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7EAAA28B-424A-40D8-B644-C86D7BE0C8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5" r:id="rId1"/>
    <sheet name="Zał.Nr2" sheetId="6" r:id="rId2"/>
    <sheet name="Zał.Nr3" sheetId="7" r:id="rId3"/>
    <sheet name="Zał.Nr4" sheetId="8" r:id="rId4"/>
    <sheet name="Zał.Nr5" sheetId="10" r:id="rId5"/>
    <sheet name="Zał.Nr6" sheetId="9" r:id="rId6"/>
  </sheets>
  <definedNames>
    <definedName name="_xlnm._FilterDatabase" localSheetId="0" hidden="1">Zał.Nr1!$A$10:$H$664</definedName>
    <definedName name="_xlnm.Print_Area" localSheetId="0">Zał.Nr1!$A$1:$H$665</definedName>
    <definedName name="_xlnm.Print_Area" localSheetId="5">Zał.Nr6!$A$1:$G$236</definedName>
    <definedName name="_xlnm.Print_Titles" localSheetId="0">Zał.Nr1!$7:$9</definedName>
    <definedName name="_xlnm.Print_Titles" localSheetId="2">Zał.Nr3!$10:$11</definedName>
    <definedName name="_xlnm.Print_Titles" localSheetId="3">Zał.Nr4!$60:$60</definedName>
    <definedName name="_xlnm.Print_Titles" localSheetId="5">Zał.Nr6!$10:$11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10" l="1"/>
  <c r="F31" i="10"/>
  <c r="E31" i="10"/>
  <c r="D31" i="10"/>
  <c r="G234" i="9" l="1"/>
  <c r="G233" i="9" s="1"/>
  <c r="G231" i="9" s="1"/>
  <c r="F230" i="9"/>
  <c r="G228" i="9"/>
  <c r="G227" i="9"/>
  <c r="G226" i="9" s="1"/>
  <c r="G224" i="9" s="1"/>
  <c r="F223" i="9"/>
  <c r="G221" i="9"/>
  <c r="G220" i="9"/>
  <c r="G219" i="9"/>
  <c r="G218" i="9" s="1"/>
  <c r="G216" i="9" s="1"/>
  <c r="G214" i="9"/>
  <c r="G213" i="9"/>
  <c r="G212" i="9"/>
  <c r="G211" i="9" s="1"/>
  <c r="G209" i="9" s="1"/>
  <c r="G207" i="9"/>
  <c r="G206" i="9" s="1"/>
  <c r="G204" i="9" s="1"/>
  <c r="G202" i="9"/>
  <c r="G201" i="9"/>
  <c r="G200" i="9"/>
  <c r="G199" i="9"/>
  <c r="G198" i="9"/>
  <c r="G197" i="9"/>
  <c r="G195" i="9" s="1"/>
  <c r="G193" i="9"/>
  <c r="G192" i="9"/>
  <c r="G190" i="9"/>
  <c r="G188" i="9"/>
  <c r="G187" i="9" s="1"/>
  <c r="G185" i="9" s="1"/>
  <c r="G183" i="9"/>
  <c r="G182" i="9"/>
  <c r="G181" i="9"/>
  <c r="G180" i="9"/>
  <c r="G179" i="9"/>
  <c r="G178" i="9" s="1"/>
  <c r="G176" i="9" s="1"/>
  <c r="G174" i="9"/>
  <c r="G173" i="9"/>
  <c r="G171" i="9" s="1"/>
  <c r="G169" i="9"/>
  <c r="G168" i="9"/>
  <c r="G166" i="9"/>
  <c r="G164" i="9"/>
  <c r="G163" i="9"/>
  <c r="G162" i="9"/>
  <c r="G161" i="9"/>
  <c r="G160" i="9"/>
  <c r="G159" i="9" s="1"/>
  <c r="G157" i="9" s="1"/>
  <c r="G155" i="9"/>
  <c r="G154" i="9" s="1"/>
  <c r="G152" i="9" s="1"/>
  <c r="G150" i="9"/>
  <c r="G149" i="9"/>
  <c r="G147" i="9" s="1"/>
  <c r="G145" i="9"/>
  <c r="G144" i="9"/>
  <c r="G142" i="9"/>
  <c r="G140" i="9"/>
  <c r="G139" i="9"/>
  <c r="G138" i="9"/>
  <c r="G137" i="9"/>
  <c r="G136" i="9"/>
  <c r="G135" i="9" s="1"/>
  <c r="G133" i="9" s="1"/>
  <c r="G131" i="9"/>
  <c r="G130" i="9" s="1"/>
  <c r="G128" i="9" s="1"/>
  <c r="G126" i="9"/>
  <c r="G125" i="9"/>
  <c r="G123" i="9" s="1"/>
  <c r="G121" i="9"/>
  <c r="G120" i="9"/>
  <c r="G118" i="9"/>
  <c r="G116" i="9"/>
  <c r="G113" i="9"/>
  <c r="G112" i="9"/>
  <c r="G111" i="9"/>
  <c r="G109" i="9" s="1"/>
  <c r="G107" i="9"/>
  <c r="G106" i="9"/>
  <c r="G105" i="9"/>
  <c r="G104" i="9"/>
  <c r="G102" i="9" s="1"/>
  <c r="G100" i="9" s="1"/>
  <c r="G103" i="9"/>
  <c r="G98" i="9"/>
  <c r="G97" i="9" s="1"/>
  <c r="G95" i="9" s="1"/>
  <c r="G93" i="9"/>
  <c r="G92" i="9" s="1"/>
  <c r="G90" i="9" s="1"/>
  <c r="G88" i="9"/>
  <c r="G87" i="9"/>
  <c r="G86" i="9"/>
  <c r="G85" i="9"/>
  <c r="G84" i="9"/>
  <c r="G83" i="9"/>
  <c r="G81" i="9" s="1"/>
  <c r="F78" i="9"/>
  <c r="F77" i="9"/>
  <c r="F76" i="9" s="1"/>
  <c r="G74" i="9"/>
  <c r="G73" i="9"/>
  <c r="G72" i="9"/>
  <c r="G70" i="9" s="1"/>
  <c r="G68" i="9" s="1"/>
  <c r="G71" i="9"/>
  <c r="F67" i="9"/>
  <c r="G65" i="9"/>
  <c r="G64" i="9"/>
  <c r="G62" i="9"/>
  <c r="F61" i="9"/>
  <c r="G59" i="9"/>
  <c r="G58" i="9"/>
  <c r="G57" i="9"/>
  <c r="G56" i="9" s="1"/>
  <c r="G54" i="9" s="1"/>
  <c r="F53" i="9"/>
  <c r="G51" i="9"/>
  <c r="G50" i="9"/>
  <c r="G49" i="9" s="1"/>
  <c r="G47" i="9"/>
  <c r="G46" i="9"/>
  <c r="F43" i="9"/>
  <c r="G41" i="9"/>
  <c r="G40" i="9"/>
  <c r="G39" i="9"/>
  <c r="G38" i="9" s="1"/>
  <c r="G36" i="9" s="1"/>
  <c r="F35" i="9"/>
  <c r="G33" i="9"/>
  <c r="G32" i="9"/>
  <c r="G31" i="9"/>
  <c r="G30" i="9"/>
  <c r="G28" i="9" s="1"/>
  <c r="F27" i="9"/>
  <c r="G25" i="9"/>
  <c r="G24" i="9"/>
  <c r="G23" i="9"/>
  <c r="G21" i="9" s="1"/>
  <c r="G19" i="9" s="1"/>
  <c r="G22" i="9"/>
  <c r="F18" i="9"/>
  <c r="G16" i="9"/>
  <c r="G15" i="9"/>
  <c r="G13" i="9"/>
  <c r="F12" i="9"/>
  <c r="F236" i="9" s="1"/>
  <c r="G79" i="9" l="1"/>
  <c r="G44" i="9"/>
  <c r="G236" i="9" s="1"/>
  <c r="F162" i="8" l="1"/>
  <c r="F160" i="8"/>
  <c r="F150" i="8"/>
  <c r="F148" i="8"/>
  <c r="F146" i="8"/>
  <c r="F139" i="8"/>
  <c r="F117" i="8"/>
  <c r="F106" i="8"/>
  <c r="F103" i="8"/>
  <c r="F91" i="8"/>
  <c r="F89" i="8"/>
  <c r="F87" i="8"/>
  <c r="F71" i="8"/>
  <c r="F61" i="8"/>
  <c r="F164" i="8" s="1"/>
  <c r="F165" i="8" s="1"/>
  <c r="F56" i="8"/>
  <c r="F58" i="8" s="1"/>
  <c r="F55" i="8"/>
  <c r="F53" i="8"/>
  <c r="F52" i="8"/>
  <c r="F51" i="8"/>
  <c r="F50" i="8"/>
  <c r="F49" i="8"/>
  <c r="F47" i="8"/>
  <c r="F46" i="8"/>
  <c r="F44" i="8"/>
  <c r="F43" i="8"/>
  <c r="F41" i="8" s="1"/>
  <c r="F42" i="8"/>
  <c r="F39" i="8"/>
  <c r="F38" i="8"/>
  <c r="F33" i="8"/>
  <c r="F30" i="8"/>
  <c r="F28" i="8"/>
  <c r="F26" i="8"/>
  <c r="F19" i="8"/>
  <c r="F17" i="8"/>
  <c r="F15" i="8"/>
  <c r="F13" i="7"/>
  <c r="F14" i="7"/>
  <c r="F15" i="7"/>
  <c r="F19" i="7"/>
  <c r="F18" i="7" s="1"/>
  <c r="F20" i="7"/>
  <c r="F22" i="7"/>
  <c r="F23" i="7"/>
  <c r="F24" i="7"/>
  <c r="F26" i="7"/>
  <c r="F28" i="7"/>
  <c r="F30" i="7"/>
  <c r="F34" i="7"/>
  <c r="F35" i="7"/>
  <c r="F37" i="7"/>
  <c r="F36" i="7" s="1"/>
  <c r="F38" i="7"/>
  <c r="F39" i="7"/>
  <c r="F41" i="7"/>
  <c r="F40" i="7" s="1"/>
  <c r="F42" i="7"/>
  <c r="F44" i="7" s="1"/>
  <c r="F43" i="7"/>
  <c r="I18" i="6"/>
  <c r="H18" i="6"/>
  <c r="D18" i="6"/>
  <c r="E17" i="6"/>
  <c r="G16" i="6"/>
  <c r="F16" i="6"/>
  <c r="E16" i="6"/>
  <c r="D16" i="6"/>
  <c r="G15" i="6"/>
  <c r="G18" i="6" s="1"/>
  <c r="F15" i="6"/>
  <c r="F18" i="6" s="1"/>
  <c r="E15" i="6"/>
  <c r="E18" i="6" s="1"/>
  <c r="D15" i="6"/>
  <c r="E14" i="6"/>
  <c r="H664" i="5"/>
  <c r="H663" i="5"/>
  <c r="H662" i="5"/>
  <c r="H661" i="5"/>
  <c r="H660" i="5"/>
  <c r="G659" i="5"/>
  <c r="F659" i="5"/>
  <c r="G658" i="5"/>
  <c r="G657" i="5" s="1"/>
  <c r="H656" i="5"/>
  <c r="H655" i="5"/>
  <c r="H654" i="5"/>
  <c r="H653" i="5"/>
  <c r="H652" i="5"/>
  <c r="G651" i="5"/>
  <c r="F651" i="5"/>
  <c r="H650" i="5"/>
  <c r="H649" i="5"/>
  <c r="H648" i="5"/>
  <c r="H647" i="5"/>
  <c r="G647" i="5"/>
  <c r="G646" i="5" s="1"/>
  <c r="G645" i="5" s="1"/>
  <c r="F647" i="5"/>
  <c r="H644" i="5"/>
  <c r="G643" i="5"/>
  <c r="G642" i="5" s="1"/>
  <c r="G641" i="5" s="1"/>
  <c r="F643" i="5"/>
  <c r="H640" i="5"/>
  <c r="H639" i="5"/>
  <c r="H638" i="5"/>
  <c r="H637" i="5"/>
  <c r="H636" i="5"/>
  <c r="H635" i="5"/>
  <c r="H634" i="5"/>
  <c r="H633" i="5"/>
  <c r="H632" i="5"/>
  <c r="H631" i="5"/>
  <c r="H630" i="5"/>
  <c r="G629" i="5"/>
  <c r="G628" i="5" s="1"/>
  <c r="F629" i="5"/>
  <c r="H629" i="5" s="1"/>
  <c r="H627" i="5"/>
  <c r="G626" i="5"/>
  <c r="G625" i="5" s="1"/>
  <c r="G624" i="5" s="1"/>
  <c r="F626" i="5"/>
  <c r="H623" i="5"/>
  <c r="G622" i="5"/>
  <c r="G621" i="5" s="1"/>
  <c r="G620" i="5" s="1"/>
  <c r="F622" i="5"/>
  <c r="H622" i="5" s="1"/>
  <c r="H618" i="5"/>
  <c r="G617" i="5"/>
  <c r="F617" i="5"/>
  <c r="H617" i="5" s="1"/>
  <c r="G616" i="5"/>
  <c r="F616" i="5"/>
  <c r="H616" i="5" s="1"/>
  <c r="H613" i="5"/>
  <c r="H612" i="5"/>
  <c r="G611" i="5"/>
  <c r="F611" i="5"/>
  <c r="H611" i="5" s="1"/>
  <c r="H610" i="5"/>
  <c r="H609" i="5"/>
  <c r="H608" i="5"/>
  <c r="H607" i="5"/>
  <c r="H606" i="5"/>
  <c r="H605" i="5"/>
  <c r="G604" i="5"/>
  <c r="G603" i="5" s="1"/>
  <c r="G600" i="5" s="1"/>
  <c r="F604" i="5"/>
  <c r="H604" i="5" s="1"/>
  <c r="H599" i="5"/>
  <c r="G598" i="5"/>
  <c r="G597" i="5" s="1"/>
  <c r="F598" i="5"/>
  <c r="H596" i="5"/>
  <c r="G595" i="5"/>
  <c r="G594" i="5" s="1"/>
  <c r="H594" i="5" s="1"/>
  <c r="F595" i="5"/>
  <c r="F594" i="5" s="1"/>
  <c r="H593" i="5"/>
  <c r="H592" i="5"/>
  <c r="H591" i="5"/>
  <c r="G591" i="5"/>
  <c r="F591" i="5"/>
  <c r="F590" i="5" s="1"/>
  <c r="H590" i="5" s="1"/>
  <c r="G590" i="5"/>
  <c r="H589" i="5"/>
  <c r="H588" i="5"/>
  <c r="H587" i="5"/>
  <c r="H586" i="5"/>
  <c r="H585" i="5"/>
  <c r="G584" i="5"/>
  <c r="F584" i="5"/>
  <c r="H584" i="5" s="1"/>
  <c r="G583" i="5"/>
  <c r="F583" i="5"/>
  <c r="H581" i="5"/>
  <c r="H580" i="5"/>
  <c r="G579" i="5"/>
  <c r="G576" i="5" s="1"/>
  <c r="G573" i="5" s="1"/>
  <c r="F579" i="5"/>
  <c r="H578" i="5"/>
  <c r="G577" i="5"/>
  <c r="F577" i="5"/>
  <c r="H577" i="5" s="1"/>
  <c r="H572" i="5"/>
  <c r="H571" i="5"/>
  <c r="G570" i="5"/>
  <c r="G565" i="5" s="1"/>
  <c r="F570" i="5"/>
  <c r="H569" i="5"/>
  <c r="H568" i="5"/>
  <c r="H567" i="5"/>
  <c r="G566" i="5"/>
  <c r="F566" i="5"/>
  <c r="H566" i="5" s="1"/>
  <c r="F565" i="5"/>
  <c r="F564" i="5" s="1"/>
  <c r="H563" i="5"/>
  <c r="H562" i="5"/>
  <c r="G561" i="5"/>
  <c r="G560" i="5" s="1"/>
  <c r="G559" i="5" s="1"/>
  <c r="F561" i="5"/>
  <c r="H561" i="5" s="1"/>
  <c r="H557" i="5"/>
  <c r="G556" i="5"/>
  <c r="F556" i="5"/>
  <c r="H556" i="5" s="1"/>
  <c r="H555" i="5"/>
  <c r="G554" i="5"/>
  <c r="G553" i="5" s="1"/>
  <c r="F554" i="5"/>
  <c r="H552" i="5"/>
  <c r="G552" i="5"/>
  <c r="H551" i="5"/>
  <c r="H550" i="5"/>
  <c r="H549" i="5"/>
  <c r="G548" i="5"/>
  <c r="H548" i="5" s="1"/>
  <c r="F548" i="5"/>
  <c r="G547" i="5"/>
  <c r="G546" i="5" s="1"/>
  <c r="F547" i="5"/>
  <c r="H547" i="5" s="1"/>
  <c r="H545" i="5"/>
  <c r="H544" i="5"/>
  <c r="H543" i="5"/>
  <c r="G542" i="5"/>
  <c r="G541" i="5" s="1"/>
  <c r="F542" i="5"/>
  <c r="H541" i="5"/>
  <c r="F541" i="5"/>
  <c r="H540" i="5"/>
  <c r="G539" i="5"/>
  <c r="G538" i="5" s="1"/>
  <c r="G537" i="5" s="1"/>
  <c r="F539" i="5"/>
  <c r="H539" i="5" s="1"/>
  <c r="H536" i="5"/>
  <c r="H535" i="5"/>
  <c r="G534" i="5"/>
  <c r="F534" i="5"/>
  <c r="H534" i="5" s="1"/>
  <c r="H533" i="5"/>
  <c r="H532" i="5"/>
  <c r="G531" i="5"/>
  <c r="G530" i="5" s="1"/>
  <c r="F531" i="5"/>
  <c r="H531" i="5" s="1"/>
  <c r="H529" i="5"/>
  <c r="H528" i="5"/>
  <c r="G527" i="5"/>
  <c r="H527" i="5" s="1"/>
  <c r="F527" i="5"/>
  <c r="F526" i="5" s="1"/>
  <c r="G526" i="5"/>
  <c r="H524" i="5"/>
  <c r="G523" i="5"/>
  <c r="F523" i="5"/>
  <c r="H523" i="5" s="1"/>
  <c r="H522" i="5"/>
  <c r="H521" i="5"/>
  <c r="G520" i="5"/>
  <c r="G519" i="5" s="1"/>
  <c r="F520" i="5"/>
  <c r="H520" i="5" s="1"/>
  <c r="H518" i="5"/>
  <c r="H517" i="5"/>
  <c r="H516" i="5"/>
  <c r="H515" i="5"/>
  <c r="G514" i="5"/>
  <c r="F514" i="5"/>
  <c r="H514" i="5" s="1"/>
  <c r="H513" i="5"/>
  <c r="H512" i="5"/>
  <c r="H511" i="5"/>
  <c r="H510" i="5"/>
  <c r="H509" i="5"/>
  <c r="H508" i="5"/>
  <c r="G507" i="5"/>
  <c r="F507" i="5"/>
  <c r="H506" i="5"/>
  <c r="H505" i="5"/>
  <c r="H504" i="5"/>
  <c r="H503" i="5"/>
  <c r="G502" i="5"/>
  <c r="F502" i="5"/>
  <c r="H502" i="5" s="1"/>
  <c r="H501" i="5"/>
  <c r="H500" i="5"/>
  <c r="H499" i="5"/>
  <c r="H498" i="5"/>
  <c r="H497" i="5"/>
  <c r="H496" i="5"/>
  <c r="H495" i="5"/>
  <c r="H494" i="5"/>
  <c r="G493" i="5"/>
  <c r="F493" i="5"/>
  <c r="H493" i="5" s="1"/>
  <c r="G492" i="5"/>
  <c r="G477" i="5" s="1"/>
  <c r="H491" i="5"/>
  <c r="H490" i="5"/>
  <c r="H489" i="5"/>
  <c r="H488" i="5"/>
  <c r="G488" i="5"/>
  <c r="F488" i="5"/>
  <c r="H487" i="5"/>
  <c r="H486" i="5"/>
  <c r="G485" i="5"/>
  <c r="F485" i="5"/>
  <c r="G484" i="5"/>
  <c r="H483" i="5"/>
  <c r="G482" i="5"/>
  <c r="H482" i="5" s="1"/>
  <c r="H481" i="5"/>
  <c r="H480" i="5"/>
  <c r="G479" i="5"/>
  <c r="F479" i="5"/>
  <c r="H479" i="5" s="1"/>
  <c r="H478" i="5"/>
  <c r="G478" i="5"/>
  <c r="F478" i="5"/>
  <c r="H476" i="5"/>
  <c r="H475" i="5"/>
  <c r="G475" i="5"/>
  <c r="F475" i="5"/>
  <c r="H474" i="5"/>
  <c r="H473" i="5"/>
  <c r="H472" i="5"/>
  <c r="H471" i="5"/>
  <c r="H470" i="5"/>
  <c r="H469" i="5"/>
  <c r="H468" i="5"/>
  <c r="G467" i="5"/>
  <c r="G466" i="5" s="1"/>
  <c r="F467" i="5"/>
  <c r="H465" i="5"/>
  <c r="G464" i="5"/>
  <c r="F464" i="5"/>
  <c r="H464" i="5" s="1"/>
  <c r="H463" i="5"/>
  <c r="G462" i="5"/>
  <c r="G461" i="5" s="1"/>
  <c r="F462" i="5"/>
  <c r="F461" i="5"/>
  <c r="F460" i="5"/>
  <c r="H460" i="5" s="1"/>
  <c r="G459" i="5"/>
  <c r="H458" i="5"/>
  <c r="H457" i="5"/>
  <c r="H456" i="5"/>
  <c r="G455" i="5"/>
  <c r="F455" i="5"/>
  <c r="H452" i="5"/>
  <c r="H451" i="5"/>
  <c r="H450" i="5"/>
  <c r="G449" i="5"/>
  <c r="G448" i="5" s="1"/>
  <c r="F449" i="5"/>
  <c r="H447" i="5"/>
  <c r="H446" i="5"/>
  <c r="H445" i="5"/>
  <c r="H444" i="5"/>
  <c r="H443" i="5"/>
  <c r="G442" i="5"/>
  <c r="G441" i="5" s="1"/>
  <c r="F442" i="5"/>
  <c r="H442" i="5" s="1"/>
  <c r="F441" i="5"/>
  <c r="G440" i="5"/>
  <c r="H439" i="5"/>
  <c r="H438" i="5"/>
  <c r="H437" i="5"/>
  <c r="H436" i="5"/>
  <c r="H435" i="5"/>
  <c r="H434" i="5"/>
  <c r="H433" i="5"/>
  <c r="H432" i="5"/>
  <c r="H431" i="5"/>
  <c r="H430" i="5"/>
  <c r="H429" i="5"/>
  <c r="H428" i="5"/>
  <c r="H427" i="5"/>
  <c r="H426" i="5"/>
  <c r="H425" i="5"/>
  <c r="H424" i="5"/>
  <c r="G423" i="5"/>
  <c r="F423" i="5"/>
  <c r="H422" i="5"/>
  <c r="H421" i="5"/>
  <c r="H420" i="5"/>
  <c r="G419" i="5"/>
  <c r="G418" i="5" s="1"/>
  <c r="F419" i="5"/>
  <c r="F418" i="5" s="1"/>
  <c r="H417" i="5"/>
  <c r="G416" i="5"/>
  <c r="H416" i="5" s="1"/>
  <c r="F416" i="5"/>
  <c r="H415" i="5"/>
  <c r="H414" i="5"/>
  <c r="H413" i="5"/>
  <c r="G413" i="5"/>
  <c r="F413" i="5"/>
  <c r="F412" i="5" s="1"/>
  <c r="G411" i="5"/>
  <c r="H411" i="5" s="1"/>
  <c r="H410" i="5"/>
  <c r="F409" i="5"/>
  <c r="F407" i="5" s="1"/>
  <c r="H405" i="5"/>
  <c r="H404" i="5"/>
  <c r="H403" i="5"/>
  <c r="H402" i="5"/>
  <c r="H401" i="5"/>
  <c r="H400" i="5"/>
  <c r="H399" i="5"/>
  <c r="F398" i="5"/>
  <c r="H398" i="5" s="1"/>
  <c r="G397" i="5"/>
  <c r="G396" i="5" s="1"/>
  <c r="H395" i="5"/>
  <c r="H394" i="5"/>
  <c r="G393" i="5"/>
  <c r="G392" i="5" s="1"/>
  <c r="F393" i="5"/>
  <c r="F392" i="5" s="1"/>
  <c r="H391" i="5"/>
  <c r="G390" i="5"/>
  <c r="H390" i="5" s="1"/>
  <c r="H389" i="5"/>
  <c r="H388" i="5"/>
  <c r="G387" i="5"/>
  <c r="F387" i="5"/>
  <c r="F386" i="5"/>
  <c r="H385" i="5"/>
  <c r="G384" i="5"/>
  <c r="F384" i="5"/>
  <c r="H383" i="5"/>
  <c r="G382" i="5"/>
  <c r="F382" i="5"/>
  <c r="H379" i="5"/>
  <c r="H378" i="5"/>
  <c r="H377" i="5"/>
  <c r="H376" i="5"/>
  <c r="H375" i="5"/>
  <c r="H374" i="5"/>
  <c r="G373" i="5"/>
  <c r="G372" i="5" s="1"/>
  <c r="F373" i="5"/>
  <c r="H371" i="5"/>
  <c r="G370" i="5"/>
  <c r="F370" i="5"/>
  <c r="H369" i="5"/>
  <c r="H368" i="5"/>
  <c r="H367" i="5"/>
  <c r="H366" i="5"/>
  <c r="H365" i="5"/>
  <c r="H364" i="5"/>
  <c r="H363" i="5"/>
  <c r="H362" i="5"/>
  <c r="G361" i="5"/>
  <c r="F361" i="5"/>
  <c r="H361" i="5" s="1"/>
  <c r="H360" i="5"/>
  <c r="H359" i="5"/>
  <c r="H358" i="5"/>
  <c r="G357" i="5"/>
  <c r="G356" i="5" s="1"/>
  <c r="F357" i="5"/>
  <c r="H354" i="5"/>
  <c r="H353" i="5"/>
  <c r="G352" i="5"/>
  <c r="F352" i="5"/>
  <c r="H351" i="5"/>
  <c r="H350" i="5"/>
  <c r="G349" i="5"/>
  <c r="F349" i="5"/>
  <c r="H346" i="5"/>
  <c r="H345" i="5"/>
  <c r="H344" i="5"/>
  <c r="G343" i="5"/>
  <c r="F343" i="5"/>
  <c r="H342" i="5"/>
  <c r="H341" i="5"/>
  <c r="G340" i="5"/>
  <c r="H340" i="5" s="1"/>
  <c r="F340" i="5"/>
  <c r="G339" i="5"/>
  <c r="H338" i="5"/>
  <c r="H337" i="5"/>
  <c r="G336" i="5"/>
  <c r="G335" i="5" s="1"/>
  <c r="F336" i="5"/>
  <c r="F335" i="5" s="1"/>
  <c r="H327" i="5"/>
  <c r="G326" i="5"/>
  <c r="F326" i="5"/>
  <c r="F325" i="5"/>
  <c r="H324" i="5"/>
  <c r="H323" i="5"/>
  <c r="H322" i="5"/>
  <c r="G321" i="5"/>
  <c r="F321" i="5"/>
  <c r="F320" i="5" s="1"/>
  <c r="H320" i="5" s="1"/>
  <c r="G320" i="5"/>
  <c r="H317" i="5"/>
  <c r="H316" i="5"/>
  <c r="H315" i="5"/>
  <c r="H314" i="5"/>
  <c r="H313" i="5"/>
  <c r="H312" i="5"/>
  <c r="H311" i="5"/>
  <c r="G311" i="5"/>
  <c r="G310" i="5" s="1"/>
  <c r="F311" i="5"/>
  <c r="F310" i="5" s="1"/>
  <c r="H306" i="5"/>
  <c r="H305" i="5"/>
  <c r="H304" i="5"/>
  <c r="H303" i="5"/>
  <c r="H302" i="5"/>
  <c r="G301" i="5"/>
  <c r="F301" i="5"/>
  <c r="F300" i="5" s="1"/>
  <c r="H299" i="5"/>
  <c r="G298" i="5"/>
  <c r="F298" i="5"/>
  <c r="H298" i="5" s="1"/>
  <c r="F297" i="5"/>
  <c r="H297" i="5" s="1"/>
  <c r="H296" i="5"/>
  <c r="H295" i="5"/>
  <c r="H294" i="5"/>
  <c r="H293" i="5"/>
  <c r="F292" i="5"/>
  <c r="G291" i="5"/>
  <c r="G290" i="5"/>
  <c r="H289" i="5"/>
  <c r="H288" i="5"/>
  <c r="G287" i="5"/>
  <c r="F287" i="5"/>
  <c r="H287" i="5" s="1"/>
  <c r="G286" i="5"/>
  <c r="F286" i="5"/>
  <c r="H284" i="5"/>
  <c r="G283" i="5"/>
  <c r="F283" i="5"/>
  <c r="H282" i="5"/>
  <c r="H281" i="5"/>
  <c r="H280" i="5"/>
  <c r="H279" i="5"/>
  <c r="H278" i="5"/>
  <c r="H277" i="5"/>
  <c r="H276" i="5"/>
  <c r="G275" i="5"/>
  <c r="G274" i="5" s="1"/>
  <c r="F275" i="5"/>
  <c r="F273" i="5"/>
  <c r="H273" i="5" s="1"/>
  <c r="H272" i="5"/>
  <c r="G272" i="5"/>
  <c r="F272" i="5"/>
  <c r="H271" i="5"/>
  <c r="H270" i="5"/>
  <c r="H269" i="5"/>
  <c r="H268" i="5"/>
  <c r="H267" i="5"/>
  <c r="H266" i="5"/>
  <c r="G266" i="5"/>
  <c r="F266" i="5"/>
  <c r="F265" i="5" s="1"/>
  <c r="G265" i="5"/>
  <c r="H264" i="5"/>
  <c r="G263" i="5"/>
  <c r="F263" i="5"/>
  <c r="F262" i="5"/>
  <c r="H262" i="5" s="1"/>
  <c r="G261" i="5"/>
  <c r="H260" i="5"/>
  <c r="H259" i="5"/>
  <c r="H258" i="5"/>
  <c r="H257" i="5"/>
  <c r="H256" i="5"/>
  <c r="H255" i="5"/>
  <c r="H254" i="5"/>
  <c r="H253" i="5"/>
  <c r="G252" i="5"/>
  <c r="F252" i="5"/>
  <c r="H250" i="5"/>
  <c r="G249" i="5"/>
  <c r="F249" i="5"/>
  <c r="H248" i="5"/>
  <c r="G247" i="5"/>
  <c r="F247" i="5"/>
  <c r="G246" i="5"/>
  <c r="H245" i="5"/>
  <c r="G244" i="5"/>
  <c r="G243" i="5" s="1"/>
  <c r="F244" i="5"/>
  <c r="H244" i="5" s="1"/>
  <c r="H242" i="5"/>
  <c r="G241" i="5"/>
  <c r="H241" i="5" s="1"/>
  <c r="F241" i="5"/>
  <c r="F240" i="5"/>
  <c r="G239" i="5"/>
  <c r="H238" i="5"/>
  <c r="H237" i="5"/>
  <c r="G236" i="5"/>
  <c r="F236" i="5"/>
  <c r="H234" i="5"/>
  <c r="H233" i="5"/>
  <c r="H232" i="5"/>
  <c r="G231" i="5"/>
  <c r="F231" i="5"/>
  <c r="F230" i="5" s="1"/>
  <c r="H229" i="5"/>
  <c r="H228" i="5"/>
  <c r="G227" i="5"/>
  <c r="G226" i="5" s="1"/>
  <c r="F227" i="5"/>
  <c r="F226" i="5"/>
  <c r="H225" i="5"/>
  <c r="G224" i="5"/>
  <c r="F224" i="5"/>
  <c r="F223" i="5"/>
  <c r="H223" i="5" s="1"/>
  <c r="G222" i="5"/>
  <c r="F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G203" i="5"/>
  <c r="F203" i="5"/>
  <c r="H203" i="5" s="1"/>
  <c r="H201" i="5"/>
  <c r="H200" i="5"/>
  <c r="G199" i="5"/>
  <c r="G198" i="5" s="1"/>
  <c r="F199" i="5"/>
  <c r="H199" i="5" s="1"/>
  <c r="F197" i="5"/>
  <c r="H197" i="5" s="1"/>
  <c r="G196" i="5"/>
  <c r="G190" i="5" s="1"/>
  <c r="F196" i="5"/>
  <c r="H195" i="5"/>
  <c r="H194" i="5"/>
  <c r="H193" i="5"/>
  <c r="H192" i="5"/>
  <c r="G191" i="5"/>
  <c r="F191" i="5"/>
  <c r="H191" i="5" s="1"/>
  <c r="H189" i="5"/>
  <c r="G188" i="5"/>
  <c r="F188" i="5"/>
  <c r="H188" i="5" s="1"/>
  <c r="F187" i="5"/>
  <c r="F186" i="5" s="1"/>
  <c r="H186" i="5" s="1"/>
  <c r="G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G170" i="5"/>
  <c r="F170" i="5"/>
  <c r="H170" i="5" s="1"/>
  <c r="H167" i="5"/>
  <c r="H166" i="5"/>
  <c r="F165" i="5"/>
  <c r="H165" i="5" s="1"/>
  <c r="G164" i="5"/>
  <c r="G163" i="5" s="1"/>
  <c r="H162" i="5"/>
  <c r="G161" i="5"/>
  <c r="G160" i="5" s="1"/>
  <c r="F161" i="5"/>
  <c r="H161" i="5" s="1"/>
  <c r="H157" i="5"/>
  <c r="H156" i="5"/>
  <c r="G155" i="5"/>
  <c r="G154" i="5" s="1"/>
  <c r="F155" i="5"/>
  <c r="H153" i="5"/>
  <c r="H152" i="5"/>
  <c r="H151" i="5"/>
  <c r="H150" i="5"/>
  <c r="H149" i="5"/>
  <c r="H148" i="5"/>
  <c r="H147" i="5"/>
  <c r="H146" i="5"/>
  <c r="H145" i="5"/>
  <c r="H144" i="5"/>
  <c r="H143" i="5"/>
  <c r="G142" i="5"/>
  <c r="G141" i="5" s="1"/>
  <c r="F142" i="5"/>
  <c r="F141" i="5"/>
  <c r="H141" i="5" s="1"/>
  <c r="H140" i="5"/>
  <c r="H139" i="5"/>
  <c r="H138" i="5"/>
  <c r="H137" i="5"/>
  <c r="H136" i="5"/>
  <c r="H135" i="5"/>
  <c r="H134" i="5"/>
  <c r="H133" i="5"/>
  <c r="H132" i="5"/>
  <c r="G131" i="5"/>
  <c r="F131" i="5"/>
  <c r="G130" i="5"/>
  <c r="H128" i="5"/>
  <c r="H127" i="5"/>
  <c r="G126" i="5"/>
  <c r="H126" i="5" s="1"/>
  <c r="F126" i="5"/>
  <c r="F125" i="5"/>
  <c r="F124" i="5" s="1"/>
  <c r="H123" i="5"/>
  <c r="H122" i="5"/>
  <c r="H121" i="5"/>
  <c r="G120" i="5"/>
  <c r="G119" i="5" s="1"/>
  <c r="F120" i="5"/>
  <c r="F119" i="5"/>
  <c r="F118" i="5"/>
  <c r="H117" i="5"/>
  <c r="H116" i="5"/>
  <c r="H115" i="5"/>
  <c r="G114" i="5"/>
  <c r="G113" i="5" s="1"/>
  <c r="F114" i="5"/>
  <c r="F113" i="5"/>
  <c r="H112" i="5"/>
  <c r="G111" i="5"/>
  <c r="G110" i="5" s="1"/>
  <c r="F111" i="5"/>
  <c r="H106" i="5"/>
  <c r="G105" i="5"/>
  <c r="G104" i="5" s="1"/>
  <c r="G103" i="5" s="1"/>
  <c r="F105" i="5"/>
  <c r="H105" i="5" s="1"/>
  <c r="H102" i="5"/>
  <c r="G101" i="5"/>
  <c r="H101" i="5" s="1"/>
  <c r="F101" i="5"/>
  <c r="F100" i="5" s="1"/>
  <c r="G100" i="5"/>
  <c r="G99" i="5" s="1"/>
  <c r="H97" i="5"/>
  <c r="G96" i="5"/>
  <c r="G95" i="5" s="1"/>
  <c r="G94" i="5" s="1"/>
  <c r="F96" i="5"/>
  <c r="H96" i="5" s="1"/>
  <c r="H93" i="5"/>
  <c r="G92" i="5"/>
  <c r="G91" i="5" s="1"/>
  <c r="G90" i="5" s="1"/>
  <c r="F92" i="5"/>
  <c r="H92" i="5" s="1"/>
  <c r="F91" i="5"/>
  <c r="F90" i="5" s="1"/>
  <c r="H88" i="5"/>
  <c r="G87" i="5"/>
  <c r="G86" i="5" s="1"/>
  <c r="F87" i="5"/>
  <c r="F86" i="5"/>
  <c r="H83" i="5"/>
  <c r="H82" i="5"/>
  <c r="G81" i="5"/>
  <c r="G80" i="5" s="1"/>
  <c r="G79" i="5" s="1"/>
  <c r="F81" i="5"/>
  <c r="H81" i="5" s="1"/>
  <c r="H78" i="5"/>
  <c r="G77" i="5"/>
  <c r="H77" i="5" s="1"/>
  <c r="F77" i="5"/>
  <c r="F76" i="5"/>
  <c r="H75" i="5"/>
  <c r="H74" i="5"/>
  <c r="G74" i="5"/>
  <c r="G73" i="5" s="1"/>
  <c r="F74" i="5"/>
  <c r="F73" i="5"/>
  <c r="H72" i="5"/>
  <c r="G71" i="5"/>
  <c r="G70" i="5" s="1"/>
  <c r="F71" i="5"/>
  <c r="F70" i="5"/>
  <c r="H70" i="5" s="1"/>
  <c r="F69" i="5"/>
  <c r="H69" i="5" s="1"/>
  <c r="G68" i="5"/>
  <c r="G67" i="5" s="1"/>
  <c r="F68" i="5"/>
  <c r="H68" i="5" s="1"/>
  <c r="H65" i="5"/>
  <c r="G64" i="5"/>
  <c r="G63" i="5" s="1"/>
  <c r="G60" i="5" s="1"/>
  <c r="F64" i="5"/>
  <c r="F63" i="5" s="1"/>
  <c r="H59" i="5"/>
  <c r="F59" i="5"/>
  <c r="G58" i="5"/>
  <c r="F58" i="5"/>
  <c r="H58" i="5" s="1"/>
  <c r="H57" i="5"/>
  <c r="G56" i="5"/>
  <c r="F56" i="5"/>
  <c r="F55" i="5" s="1"/>
  <c r="G55" i="5"/>
  <c r="G54" i="5" s="1"/>
  <c r="H53" i="5"/>
  <c r="G52" i="5"/>
  <c r="G51" i="5" s="1"/>
  <c r="G50" i="5" s="1"/>
  <c r="F52" i="5"/>
  <c r="H52" i="5" s="1"/>
  <c r="H48" i="5"/>
  <c r="G47" i="5"/>
  <c r="F47" i="5"/>
  <c r="H47" i="5" s="1"/>
  <c r="G46" i="5"/>
  <c r="H45" i="5"/>
  <c r="G44" i="5"/>
  <c r="G43" i="5" s="1"/>
  <c r="G42" i="5" s="1"/>
  <c r="F44" i="5"/>
  <c r="F43" i="5"/>
  <c r="H41" i="5"/>
  <c r="H40" i="5"/>
  <c r="G40" i="5"/>
  <c r="F40" i="5"/>
  <c r="F39" i="5" s="1"/>
  <c r="G39" i="5"/>
  <c r="G38" i="5" s="1"/>
  <c r="H37" i="5"/>
  <c r="G36" i="5"/>
  <c r="G35" i="5" s="1"/>
  <c r="F36" i="5"/>
  <c r="H36" i="5" s="1"/>
  <c r="H34" i="5"/>
  <c r="G33" i="5"/>
  <c r="G32" i="5" s="1"/>
  <c r="F33" i="5"/>
  <c r="H33" i="5" s="1"/>
  <c r="H31" i="5"/>
  <c r="G30" i="5"/>
  <c r="H30" i="5" s="1"/>
  <c r="F30" i="5"/>
  <c r="F29" i="5"/>
  <c r="H28" i="5"/>
  <c r="H27" i="5"/>
  <c r="G27" i="5"/>
  <c r="G26" i="5" s="1"/>
  <c r="F27" i="5"/>
  <c r="F26" i="5"/>
  <c r="H24" i="5"/>
  <c r="G23" i="5"/>
  <c r="G22" i="5" s="1"/>
  <c r="F23" i="5"/>
  <c r="F22" i="5"/>
  <c r="H20" i="5"/>
  <c r="G19" i="5"/>
  <c r="F19" i="5"/>
  <c r="G18" i="5"/>
  <c r="G17" i="5" s="1"/>
  <c r="H16" i="5"/>
  <c r="F16" i="5"/>
  <c r="H15" i="5"/>
  <c r="G14" i="5"/>
  <c r="H14" i="5" s="1"/>
  <c r="F14" i="5"/>
  <c r="G13" i="5"/>
  <c r="G12" i="5" s="1"/>
  <c r="F13" i="5"/>
  <c r="F32" i="7" l="1"/>
  <c r="F45" i="7" s="1"/>
  <c r="H39" i="5"/>
  <c r="F38" i="5"/>
  <c r="H38" i="5" s="1"/>
  <c r="G118" i="5"/>
  <c r="H119" i="5"/>
  <c r="H90" i="5"/>
  <c r="H113" i="5"/>
  <c r="H55" i="5"/>
  <c r="F54" i="5"/>
  <c r="H54" i="5" s="1"/>
  <c r="G525" i="5"/>
  <c r="H19" i="5"/>
  <c r="H23" i="5"/>
  <c r="F35" i="5"/>
  <c r="H64" i="5"/>
  <c r="H71" i="5"/>
  <c r="F80" i="5"/>
  <c r="H80" i="5" s="1"/>
  <c r="F104" i="5"/>
  <c r="H111" i="5"/>
  <c r="H120" i="5"/>
  <c r="G125" i="5"/>
  <c r="G124" i="5" s="1"/>
  <c r="H124" i="5" s="1"/>
  <c r="H131" i="5"/>
  <c r="H142" i="5"/>
  <c r="G159" i="5"/>
  <c r="H187" i="5"/>
  <c r="F190" i="5"/>
  <c r="G202" i="5"/>
  <c r="H243" i="5"/>
  <c r="F261" i="5"/>
  <c r="H275" i="5"/>
  <c r="H283" i="5"/>
  <c r="H336" i="5"/>
  <c r="F339" i="5"/>
  <c r="H339" i="5" s="1"/>
  <c r="H384" i="5"/>
  <c r="H419" i="5"/>
  <c r="H423" i="5"/>
  <c r="F454" i="5"/>
  <c r="H461" i="5"/>
  <c r="F538" i="5"/>
  <c r="F537" i="5" s="1"/>
  <c r="H537" i="5" s="1"/>
  <c r="H542" i="5"/>
  <c r="F560" i="5"/>
  <c r="F603" i="5"/>
  <c r="F600" i="5" s="1"/>
  <c r="H659" i="5"/>
  <c r="H118" i="5"/>
  <c r="F46" i="5"/>
  <c r="H46" i="5" s="1"/>
  <c r="H56" i="5"/>
  <c r="H91" i="5"/>
  <c r="G109" i="5"/>
  <c r="H125" i="5"/>
  <c r="H226" i="5"/>
  <c r="G235" i="5"/>
  <c r="H321" i="5"/>
  <c r="H393" i="5"/>
  <c r="H441" i="5"/>
  <c r="F459" i="5"/>
  <c r="F621" i="5"/>
  <c r="H643" i="5"/>
  <c r="H26" i="5"/>
  <c r="H73" i="5"/>
  <c r="H43" i="5"/>
  <c r="G129" i="5"/>
  <c r="H13" i="5"/>
  <c r="G29" i="5"/>
  <c r="H29" i="5" s="1"/>
  <c r="H44" i="5"/>
  <c r="F67" i="5"/>
  <c r="H67" i="5" s="1"/>
  <c r="G76" i="5"/>
  <c r="H76" i="5" s="1"/>
  <c r="H87" i="5"/>
  <c r="F95" i="5"/>
  <c r="H95" i="5" s="1"/>
  <c r="H114" i="5"/>
  <c r="H155" i="5"/>
  <c r="F160" i="5"/>
  <c r="G169" i="5"/>
  <c r="H227" i="5"/>
  <c r="F243" i="5"/>
  <c r="H249" i="5"/>
  <c r="H263" i="5"/>
  <c r="H335" i="5"/>
  <c r="H343" i="5"/>
  <c r="H352" i="5"/>
  <c r="H370" i="5"/>
  <c r="G381" i="5"/>
  <c r="H418" i="5"/>
  <c r="H459" i="5"/>
  <c r="H462" i="5"/>
  <c r="F530" i="5"/>
  <c r="F525" i="5" s="1"/>
  <c r="H565" i="5"/>
  <c r="F576" i="5"/>
  <c r="F573" i="5" s="1"/>
  <c r="H583" i="5"/>
  <c r="H595" i="5"/>
  <c r="F628" i="5"/>
  <c r="H628" i="5" s="1"/>
  <c r="H22" i="5"/>
  <c r="H35" i="5"/>
  <c r="G89" i="5"/>
  <c r="F99" i="5"/>
  <c r="H99" i="5" s="1"/>
  <c r="H100" i="5"/>
  <c r="H104" i="5"/>
  <c r="F60" i="5"/>
  <c r="H60" i="5" s="1"/>
  <c r="H63" i="5"/>
  <c r="G21" i="5"/>
  <c r="G11" i="5" s="1"/>
  <c r="H86" i="5"/>
  <c r="H160" i="5"/>
  <c r="H292" i="5"/>
  <c r="F291" i="5"/>
  <c r="H373" i="5"/>
  <c r="F372" i="5"/>
  <c r="H372" i="5" s="1"/>
  <c r="H382" i="5"/>
  <c r="F381" i="5"/>
  <c r="H381" i="5" s="1"/>
  <c r="F12" i="5"/>
  <c r="F18" i="5"/>
  <c r="F32" i="5"/>
  <c r="F51" i="5"/>
  <c r="F66" i="5"/>
  <c r="F79" i="5"/>
  <c r="H79" i="5" s="1"/>
  <c r="F103" i="5"/>
  <c r="H103" i="5" s="1"/>
  <c r="F110" i="5"/>
  <c r="F130" i="5"/>
  <c r="F154" i="5"/>
  <c r="H154" i="5" s="1"/>
  <c r="F169" i="5"/>
  <c r="H224" i="5"/>
  <c r="F202" i="5"/>
  <c r="H265" i="5"/>
  <c r="H349" i="5"/>
  <c r="G348" i="5"/>
  <c r="G347" i="5" s="1"/>
  <c r="H357" i="5"/>
  <c r="F356" i="5"/>
  <c r="H485" i="5"/>
  <c r="F484" i="5"/>
  <c r="H507" i="5"/>
  <c r="F492" i="5"/>
  <c r="H492" i="5" s="1"/>
  <c r="H526" i="5"/>
  <c r="H538" i="5"/>
  <c r="G564" i="5"/>
  <c r="H570" i="5"/>
  <c r="H573" i="5"/>
  <c r="G582" i="5"/>
  <c r="G558" i="5" s="1"/>
  <c r="H626" i="5"/>
  <c r="F625" i="5"/>
  <c r="H326" i="5"/>
  <c r="G325" i="5"/>
  <c r="H387" i="5"/>
  <c r="G386" i="5"/>
  <c r="F164" i="5"/>
  <c r="H190" i="5"/>
  <c r="H222" i="5"/>
  <c r="F274" i="5"/>
  <c r="H274" i="5" s="1"/>
  <c r="H310" i="5"/>
  <c r="H325" i="5"/>
  <c r="H386" i="5"/>
  <c r="H392" i="5"/>
  <c r="G412" i="5"/>
  <c r="H449" i="5"/>
  <c r="F448" i="5"/>
  <c r="H448" i="5" s="1"/>
  <c r="G454" i="5"/>
  <c r="H554" i="5"/>
  <c r="F553" i="5"/>
  <c r="H564" i="5"/>
  <c r="H600" i="5"/>
  <c r="F642" i="5"/>
  <c r="H240" i="5"/>
  <c r="F239" i="5"/>
  <c r="H239" i="5" s="1"/>
  <c r="H196" i="5"/>
  <c r="F198" i="5"/>
  <c r="H198" i="5" s="1"/>
  <c r="H231" i="5"/>
  <c r="G230" i="5"/>
  <c r="H236" i="5"/>
  <c r="F235" i="5"/>
  <c r="H235" i="5" s="1"/>
  <c r="H247" i="5"/>
  <c r="F246" i="5"/>
  <c r="H246" i="5" s="1"/>
  <c r="H252" i="5"/>
  <c r="G251" i="5"/>
  <c r="H286" i="5"/>
  <c r="H301" i="5"/>
  <c r="G300" i="5"/>
  <c r="H300" i="5" s="1"/>
  <c r="F348" i="5"/>
  <c r="H412" i="5"/>
  <c r="H467" i="5"/>
  <c r="F466" i="5"/>
  <c r="H466" i="5" s="1"/>
  <c r="F519" i="5"/>
  <c r="H519" i="5" s="1"/>
  <c r="H525" i="5"/>
  <c r="H530" i="5"/>
  <c r="H579" i="5"/>
  <c r="F582" i="5"/>
  <c r="H598" i="5"/>
  <c r="F597" i="5"/>
  <c r="H597" i="5" s="1"/>
  <c r="H603" i="5"/>
  <c r="G619" i="5"/>
  <c r="H651" i="5"/>
  <c r="F646" i="5"/>
  <c r="H455" i="5"/>
  <c r="F658" i="5"/>
  <c r="H576" i="5"/>
  <c r="F397" i="5"/>
  <c r="G409" i="5"/>
  <c r="G407" i="5" s="1"/>
  <c r="H407" i="5" s="1"/>
  <c r="H621" i="5" l="1"/>
  <c r="F620" i="5"/>
  <c r="H620" i="5" s="1"/>
  <c r="G66" i="5"/>
  <c r="G49" i="5" s="1"/>
  <c r="G10" i="5" s="1"/>
  <c r="G168" i="5"/>
  <c r="G108" i="5" s="1"/>
  <c r="G107" i="5" s="1"/>
  <c r="F94" i="5"/>
  <c r="F42" i="5"/>
  <c r="H42" i="5" s="1"/>
  <c r="H560" i="5"/>
  <c r="F559" i="5"/>
  <c r="H559" i="5" s="1"/>
  <c r="H261" i="5"/>
  <c r="F251" i="5"/>
  <c r="H251" i="5" s="1"/>
  <c r="H356" i="5"/>
  <c r="H51" i="5"/>
  <c r="F50" i="5"/>
  <c r="F396" i="5"/>
  <c r="H396" i="5" s="1"/>
  <c r="H397" i="5"/>
  <c r="H409" i="5"/>
  <c r="H348" i="5"/>
  <c r="F347" i="5"/>
  <c r="H347" i="5" s="1"/>
  <c r="G453" i="5"/>
  <c r="H454" i="5"/>
  <c r="F163" i="5"/>
  <c r="H164" i="5"/>
  <c r="H202" i="5"/>
  <c r="H94" i="5"/>
  <c r="F89" i="5"/>
  <c r="F290" i="5"/>
  <c r="F168" i="5" s="1"/>
  <c r="H291" i="5"/>
  <c r="H582" i="5"/>
  <c r="F558" i="5"/>
  <c r="F477" i="5"/>
  <c r="H484" i="5"/>
  <c r="H646" i="5"/>
  <c r="F645" i="5"/>
  <c r="H645" i="5" s="1"/>
  <c r="F624" i="5"/>
  <c r="H625" i="5"/>
  <c r="F453" i="5"/>
  <c r="H130" i="5"/>
  <c r="F129" i="5"/>
  <c r="H129" i="5" s="1"/>
  <c r="H32" i="5"/>
  <c r="F21" i="5"/>
  <c r="H230" i="5"/>
  <c r="H12" i="5"/>
  <c r="H658" i="5"/>
  <c r="F657" i="5"/>
  <c r="H642" i="5"/>
  <c r="F641" i="5"/>
  <c r="H641" i="5" s="1"/>
  <c r="H553" i="5"/>
  <c r="F546" i="5"/>
  <c r="H546" i="5" s="1"/>
  <c r="G355" i="5"/>
  <c r="F440" i="5"/>
  <c r="H440" i="5" s="1"/>
  <c r="H169" i="5"/>
  <c r="H110" i="5"/>
  <c r="F109" i="5"/>
  <c r="H18" i="5"/>
  <c r="F17" i="5"/>
  <c r="H17" i="5" s="1"/>
  <c r="H66" i="5" l="1"/>
  <c r="H21" i="5"/>
  <c r="H163" i="5"/>
  <c r="F159" i="5"/>
  <c r="H159" i="5" s="1"/>
  <c r="F49" i="5"/>
  <c r="H50" i="5"/>
  <c r="H168" i="5"/>
  <c r="H624" i="5"/>
  <c r="F619" i="5"/>
  <c r="H477" i="5"/>
  <c r="H290" i="5"/>
  <c r="H453" i="5"/>
  <c r="F11" i="5"/>
  <c r="H109" i="5"/>
  <c r="H657" i="5"/>
  <c r="H558" i="5"/>
  <c r="H89" i="5"/>
  <c r="F355" i="5"/>
  <c r="H355" i="5" l="1"/>
  <c r="F108" i="5"/>
  <c r="H619" i="5"/>
  <c r="H11" i="5"/>
  <c r="F10" i="5"/>
  <c r="H49" i="5"/>
  <c r="H10" i="5" l="1"/>
  <c r="H108" i="5"/>
  <c r="F107" i="5"/>
  <c r="H107" i="5" l="1"/>
</calcChain>
</file>

<file path=xl/sharedStrings.xml><?xml version="1.0" encoding="utf-8"?>
<sst xmlns="http://schemas.openxmlformats.org/spreadsheetml/2006/main" count="1445" uniqueCount="507">
  <si>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</si>
  <si>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</si>
  <si>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</si>
  <si>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</si>
  <si>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</si>
  <si>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</si>
  <si>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</si>
  <si>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</si>
  <si>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</si>
  <si>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</si>
  <si>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</si>
  <si>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</si>
  <si>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</si>
  <si>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</si>
  <si>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</si>
  <si>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Oświata i wychowanie</t>
  </si>
  <si>
    <t>Stołówki szkolne i przedszkolne</t>
  </si>
  <si>
    <t>Organ</t>
  </si>
  <si>
    <t>2030</t>
  </si>
  <si>
    <t>dotacja celowa otrzymana z budżetu państwa na realizację własnych zadań bieżących gmin (związków gmin, związków powiatowo-gminnych)</t>
  </si>
  <si>
    <t>WYDATKI OGÓŁEM:</t>
  </si>
  <si>
    <t>Wydatki na zadania własne:</t>
  </si>
  <si>
    <t>Szkoły podstawowe</t>
  </si>
  <si>
    <t>Wydział Edukacji</t>
  </si>
  <si>
    <t>2340</t>
  </si>
  <si>
    <t>dotacja celowa dla jednostki spoza sektora finansów publicznych na finansowanie lub dofinansowanie zadań bieżących związanych z pomocą obywatelom Ukrainy</t>
  </si>
  <si>
    <t>Wydział Edukacji, Zdrowia i Polityki Społecznej</t>
  </si>
  <si>
    <t>Wydział Edukacji, Zdrowia i Polityki Społecznej - Fundusz Pomocy (realizacja dodatkowych zadań oświatowych)</t>
  </si>
  <si>
    <t>Oddziały przedszkolne w szkołach podstawowych</t>
  </si>
  <si>
    <t>Przedszkola</t>
  </si>
  <si>
    <t>Dowożenie uczniów do szkół</t>
  </si>
  <si>
    <t>zakup usług pozostałych</t>
  </si>
  <si>
    <t>Technika</t>
  </si>
  <si>
    <t>Szkoły policealne</t>
  </si>
  <si>
    <t>Branżowe szkoły I i II stopnia</t>
  </si>
  <si>
    <t>Licea ogólnokształcące</t>
  </si>
  <si>
    <t>Dokształcanie i doskonalenie nauczycieli</t>
  </si>
  <si>
    <t>Jednostki oświatowe zbiorczo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</si>
  <si>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</si>
  <si>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</si>
  <si>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</si>
  <si>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</si>
  <si>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</si>
  <si>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</si>
  <si>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</si>
  <si>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</si>
  <si>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</si>
  <si>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</si>
  <si>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</si>
  <si>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</si>
  <si>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</si>
  <si>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Pozostała działalność</t>
  </si>
  <si>
    <t>wydatki osobowe niezaliczone do wynagrodzeń</t>
  </si>
  <si>
    <t>wynagrodzenia osobowe pracowników</t>
  </si>
  <si>
    <t>składki na ubezpieczenia społeczne</t>
  </si>
  <si>
    <t>wynagrodzenia bezosobowe</t>
  </si>
  <si>
    <t>zakup usług remontowych</t>
  </si>
  <si>
    <t>różne opłaty i składki</t>
  </si>
  <si>
    <t>851</t>
  </si>
  <si>
    <t>Ochrona zdrowia</t>
  </si>
  <si>
    <t>Programy polityki zdrowotnej</t>
  </si>
  <si>
    <t>zakup usług zdrowotnych</t>
  </si>
  <si>
    <t>Zwalczanie narkomanii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</si>
  <si>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</si>
  <si>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</si>
  <si>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Przeciwdziałanie alkoholizmowi</t>
  </si>
  <si>
    <t>podróże służbowe krajowe</t>
  </si>
  <si>
    <t>koszty postępowania sądowego i prokuratorskiego</t>
  </si>
  <si>
    <t xml:space="preserve">zakup usług pozostałych </t>
  </si>
  <si>
    <t>852</t>
  </si>
  <si>
    <t>Pomoc społeczna</t>
  </si>
  <si>
    <t xml:space="preserve">Zasiłki okresowe, celowe i pomoc w naturze oraz składki </t>
  </si>
  <si>
    <t>na ubezpieczenia emerytalne i rentowe</t>
  </si>
  <si>
    <t>Zasiłki stałe</t>
  </si>
  <si>
    <t>Usługi opiekuńcze i specjalistyczne usługi opiekuńcze</t>
  </si>
  <si>
    <t>Pomoc w zakresie dożywiania</t>
  </si>
  <si>
    <t>Pozostałe zadania w zakresie polityki społecznej</t>
  </si>
  <si>
    <t>Rehabilitacja zawodowa i społeczna osób niepełnosprawnych</t>
  </si>
  <si>
    <t>Edukacyjna opieka wychowawcza</t>
  </si>
  <si>
    <t>Specjalne ośrodki wychowawcze</t>
  </si>
  <si>
    <t>Wczesne wspomaganie rozwoju dziecka</t>
  </si>
  <si>
    <t>Internaty i bursy szkolne</t>
  </si>
  <si>
    <t>Pomoc materialna dla uczniów o charakterze socjalnym</t>
  </si>
  <si>
    <t>inne formy pomocy dla uczniów</t>
  </si>
  <si>
    <t>świadczenia społeczne wypłacane obywatelom Ukrainy przebywającym na terytorium RP</t>
  </si>
  <si>
    <t>Rodzina</t>
  </si>
  <si>
    <t>Świadczenia rodzinne, świadczenie z funduszu alimentacyjnego oraz składki na ubezpieczenia emerytalne i rentowe z ubezpieczenia społecznego</t>
  </si>
  <si>
    <t>Wspieranie rodziny</t>
  </si>
  <si>
    <t>Działalność placówek opiekuńczo - wychowawczych</t>
  </si>
  <si>
    <t>Wydatki na zadania zlecone:</t>
  </si>
  <si>
    <t>składki na ubezpieczenie społeczne</t>
  </si>
  <si>
    <t>składki na Fundusz Pracy oraz Fundusz Solidarnościowy</t>
  </si>
  <si>
    <t>wpłaty na PPK finansowane przez podmiot zatrudniający</t>
  </si>
  <si>
    <t>Wydatki na zadania rządowe:</t>
  </si>
  <si>
    <t xml:space="preserve">składki na Fundusz Pracy oraz Fundusz Solidarnościowy </t>
  </si>
  <si>
    <t>4170</t>
  </si>
  <si>
    <t>Załącznik Nr 2</t>
  </si>
  <si>
    <t>Dział</t>
  </si>
  <si>
    <t>x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</si>
  <si>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</si>
  <si>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</si>
  <si>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</si>
  <si>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</si>
  <si>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</si>
  <si>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Rozdział</t>
  </si>
  <si>
    <t>Dochody na 2024 rok</t>
  </si>
  <si>
    <t>Wydatki na 2024 rok</t>
  </si>
  <si>
    <t>2100</t>
  </si>
  <si>
    <t>1.</t>
  </si>
  <si>
    <t>Zapewnienie posiłku dzieciom i młodzieży</t>
  </si>
  <si>
    <t>85230</t>
  </si>
  <si>
    <t>Miejski Ośrodek Pomocy Rodzinie</t>
  </si>
  <si>
    <t>3290</t>
  </si>
  <si>
    <t>2.</t>
  </si>
  <si>
    <t>Świadczenia rodzinne</t>
  </si>
  <si>
    <t>855</t>
  </si>
  <si>
    <t>85595</t>
  </si>
  <si>
    <t>4740</t>
  </si>
  <si>
    <t>4850</t>
  </si>
  <si>
    <t>4860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</si>
  <si>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</si>
  <si>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</si>
  <si>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</si>
  <si>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</si>
  <si>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</si>
  <si>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</si>
  <si>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</si>
  <si>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</si>
  <si>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</si>
  <si>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</si>
  <si>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</si>
  <si>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</si>
  <si>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</si>
  <si>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</si>
  <si>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6.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</si>
  <si>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</si>
  <si>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</si>
  <si>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</si>
  <si>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7.</t>
  </si>
  <si>
    <t>Zasiłki okresowe</t>
  </si>
  <si>
    <t>85214</t>
  </si>
  <si>
    <t>8.</t>
  </si>
  <si>
    <t>Finansowanie pobytu dzieci obywateli Ukrainy umieszczonych w systemie pieczy zastępczej</t>
  </si>
  <si>
    <t>85510</t>
  </si>
  <si>
    <t>Centrum Opieki nad Dzieckiem</t>
  </si>
  <si>
    <t>4350</t>
  </si>
  <si>
    <t>758</t>
  </si>
  <si>
    <t>75814</t>
  </si>
  <si>
    <t>9.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</si>
  <si>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</si>
  <si>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</si>
  <si>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</si>
  <si>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</si>
  <si>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</si>
  <si>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</si>
  <si>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</si>
  <si>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</si>
  <si>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</si>
  <si>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</si>
  <si>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</si>
  <si>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</si>
  <si>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</si>
  <si>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</si>
  <si>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</si>
  <si>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10.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</si>
  <si>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</si>
  <si>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</si>
  <si>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</si>
  <si>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</si>
  <si>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11.</t>
  </si>
  <si>
    <t>Stypendia i zasiłki dla uczniów z Ukrainy</t>
  </si>
  <si>
    <t>85415</t>
  </si>
  <si>
    <t>Ogółem:</t>
  </si>
  <si>
    <t>Różne rozliczenia</t>
  </si>
  <si>
    <t>Różne rozliczenia finansowe</t>
  </si>
  <si>
    <t>Organ - Fundusz Pomocy (realizacja dodatkowych zadań oświatowych)</t>
  </si>
  <si>
    <t>0920</t>
  </si>
  <si>
    <t>wpływy z pozostałych odsetek</t>
  </si>
  <si>
    <t>środki z Funduszu Pomocy na finansowanie lub dofinansowanie zadań bieżących w zakresie pomocy obywatelom Ukrainy</t>
  </si>
  <si>
    <t xml:space="preserve">Organ </t>
  </si>
  <si>
    <t>2120</t>
  </si>
  <si>
    <t>dotacje celowe otrzymane z budżetu państwa na zadania bieżące realizowane przez powiat na podstawie porozumień z organami administracji rządowej</t>
  </si>
  <si>
    <t>Domy pomocy społecznej</t>
  </si>
  <si>
    <t>2130</t>
  </si>
  <si>
    <t>dotacje celowe otrzymane z budżetu państwa na realizację bieżących zadań własnych powiatu</t>
  </si>
  <si>
    <t>Organ - Fundusz Pomocy (zasiłki okresowe)</t>
  </si>
  <si>
    <t>Ośrodki pomocy społecznej</t>
  </si>
  <si>
    <t>Organ - Fundusz Pomocy (zapewnienie posiłku dzieciom i młodzieży)</t>
  </si>
  <si>
    <t>2040</t>
  </si>
  <si>
    <t>dotacja celowa otrzymana z budżetu państwa na realizację zadań bieżących gmin z zakresu edukacyjnej opieki wychowawczej finansowanych w całości przez budżet państwa w ramach programów rządowych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</si>
  <si>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</si>
  <si>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</si>
  <si>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</si>
  <si>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010</t>
  </si>
  <si>
    <t>Rolnictwo i łowiectwo</t>
  </si>
  <si>
    <t>01095</t>
  </si>
  <si>
    <t xml:space="preserve">Pozostała działalność </t>
  </si>
  <si>
    <t>2010</t>
  </si>
  <si>
    <t xml:space="preserve">dotacja celowa otrzymana z budżetu państwa na realizację zadań bieżących z zakresu administracji rządowej oraz innych zadań zleconych gminie (związkom gmin, związkom powiatowo-gminnym) ustawami </t>
  </si>
  <si>
    <t>Administracja publiczna</t>
  </si>
  <si>
    <t>Urzędy wojewódzkie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</si>
  <si>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</si>
  <si>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Organ - Fundusz Pomocy (nadanie numeru PESEL, potwierdzenie tożsamości obywateli Ukrainy i wprowadzenie danych do rejestru danych kontaktowych na wniosek oraz zarządzanie statusem UKR)</t>
  </si>
  <si>
    <t>Zapewnienie uczniom prawa do bezpłatnego dostępu</t>
  </si>
  <si>
    <t>do podręczników, materiałów edukacyjnych lub materiałów</t>
  </si>
  <si>
    <t>ćwiczeniowych</t>
  </si>
  <si>
    <t>Ośrodki wsparcia</t>
  </si>
  <si>
    <t>Pomoc dla cudzoziemców</t>
  </si>
  <si>
    <t>2060</t>
  </si>
  <si>
    <t>dotacja celowa otrzymana z budżetu państwa na zadania bieżące z zakresu administracji rządowej zlecone gminom (związkom gmin, związkom powiatowo - gminnym), związane z realizacją świadczenia wychowawczego stanowiącego pomoc państwa w wychowywaniu dzieci</t>
  </si>
  <si>
    <t xml:space="preserve">Składki na ubezpieczenie zdrowotne opłacane za osoby </t>
  </si>
  <si>
    <t>pobierające niektóre świadczenia rodzinne oraz za osoby</t>
  </si>
  <si>
    <t>pobierające zasiłki dla opiekunów</t>
  </si>
  <si>
    <t>Dochody na zadania rządowe:</t>
  </si>
  <si>
    <t>Gospodarka mieszkaniowa</t>
  </si>
  <si>
    <t>Gospodarka gruntami i nieruchomościami</t>
  </si>
  <si>
    <t>dotacje celowe otrzymane z budżetu państwa na zadania bieżące z zakresu administracji rządowej oraz inne zadania zlecone ustawami realizowane przez powiat</t>
  </si>
  <si>
    <t>710</t>
  </si>
  <si>
    <t>Działalność usługowa</t>
  </si>
  <si>
    <t>Zadania z zakresu geodezji i kartografii</t>
  </si>
  <si>
    <t>dotacja celowa otrzymana z budżetu państwa na zadania bieżące z zakresu administracji rządowej oraz inne zadania zlecone ustawami realizowane przez powiat</t>
  </si>
  <si>
    <t xml:space="preserve">Bezpieczeństwo publiczne i ochrona </t>
  </si>
  <si>
    <t>przeciwpożarowa</t>
  </si>
  <si>
    <t>Usuwanie skutków klęsk żywiołowych</t>
  </si>
  <si>
    <t>Zespoły do spraw orzekania o niepełnosprawności</t>
  </si>
  <si>
    <t>Transport i łączność</t>
  </si>
  <si>
    <t>Płatne parkowanie</t>
  </si>
  <si>
    <t>Miejski Zarząd Infrastruktury Drogowej i Transportu</t>
  </si>
  <si>
    <t>4210</t>
  </si>
  <si>
    <t>zakup materiałów i wyposażenia</t>
  </si>
  <si>
    <t>Turystyka</t>
  </si>
  <si>
    <t>Zadania w zakresie upowszechniania turystyki</t>
  </si>
  <si>
    <t>Ośrodek Sportu i Rekreacji</t>
  </si>
  <si>
    <t>dodatkowe wynagrodzenie roczne</t>
  </si>
  <si>
    <t>zakup energii</t>
  </si>
  <si>
    <t>Wydział Geodezji i Kartografii</t>
  </si>
  <si>
    <t xml:space="preserve">szkolenia pracowników niebędących członkami korpusu służby cywilnej </t>
  </si>
  <si>
    <t>75023</t>
  </si>
  <si>
    <t>Urzędy gmin (miast i miast na prawach powiatu)</t>
  </si>
  <si>
    <t xml:space="preserve">składki na ubezpieczenia społeczne </t>
  </si>
  <si>
    <t>wpłaty na Państwowy Fundusz Rehabilitacji Osób Niepełnosprawnych</t>
  </si>
  <si>
    <t>75085</t>
  </si>
  <si>
    <t>Wspólna obsługa jednostek samorządu terytorialnego</t>
  </si>
  <si>
    <t>Centrum Usług Wspólnych Placówek Oświatowych</t>
  </si>
  <si>
    <t>opłaty z tytułu zakupu usług telekomunikacyjnych</t>
  </si>
  <si>
    <t xml:space="preserve">różne opłaty i składki </t>
  </si>
  <si>
    <t>75095</t>
  </si>
  <si>
    <t>Wydział Inwestycji i Zamówień Publicznych</t>
  </si>
  <si>
    <t xml:space="preserve">zakup usług obejmujących wykonanie ekspertyz, analiz i opinii </t>
  </si>
  <si>
    <t>Bezpieczeństwo publiczne i ochrona</t>
  </si>
  <si>
    <t>75414</t>
  </si>
  <si>
    <t>Obrona cywilna</t>
  </si>
  <si>
    <t>Straż gminna (miejska)</t>
  </si>
  <si>
    <t>Obsługa Monitoringu</t>
  </si>
  <si>
    <t>4240</t>
  </si>
  <si>
    <t>zakup środków dydaktycznych i książek</t>
  </si>
  <si>
    <t>4260</t>
  </si>
  <si>
    <t>dodatkowe wynagrodzenie roczne nauczycieli</t>
  </si>
  <si>
    <t>Jednostki oświatowe zbiorczo - Fundusz Pomocy (realizacja dodatkowych zadań oświatowych)</t>
  </si>
  <si>
    <t>zakup towarów (w szczególności materiałów, leków, żywności) w związku z pomocą obywatelom Ukrainy</t>
  </si>
  <si>
    <t>Szkoły podstawowe specjalne</t>
  </si>
  <si>
    <t>nagrody konkursowe</t>
  </si>
  <si>
    <t>wynagrodzenie osobowe nauczycieli</t>
  </si>
  <si>
    <t>Świetlice szkolne</t>
  </si>
  <si>
    <t>4280</t>
  </si>
  <si>
    <t>4410</t>
  </si>
  <si>
    <t>Szkoły artystyczne</t>
  </si>
  <si>
    <t>4120</t>
  </si>
  <si>
    <t>Szkoły zawodowe specjalne</t>
  </si>
  <si>
    <t xml:space="preserve">Placówki kształcenia ustawicznego i centra </t>
  </si>
  <si>
    <t xml:space="preserve"> kształcenia zawodowego</t>
  </si>
  <si>
    <t>odpisy na zakładowy fundusz świadczeń socjalnych</t>
  </si>
  <si>
    <t xml:space="preserve">Wydział Edukacji, Zdrowia i Polityki Społecznej </t>
  </si>
  <si>
    <t>Zespół Szkół Technicznych - Erazmus+Akcja KA1 pn. "Wiedza to przyszłość - praktyki zawodowe uczniów ZST w ramach projektu Erazmus+"</t>
  </si>
  <si>
    <t>podróże służbowe zagraniczne</t>
  </si>
  <si>
    <t xml:space="preserve">Placówka Opiekuńczo - Wychowawcza Nr 1 "Maluch" </t>
  </si>
  <si>
    <t>Dom Pomocy Społecznej ul. Nowomiejska 19</t>
  </si>
  <si>
    <t>Dom Pomocy Społecznej ul. Dobrzyńska 102</t>
  </si>
  <si>
    <t>zakup środków żywności</t>
  </si>
  <si>
    <t>4330</t>
  </si>
  <si>
    <t xml:space="preserve">zakup usług przez jednostki samorządu terytorialnego od innych jednostek samorządu terytorialnego </t>
  </si>
  <si>
    <t>Dom Pomocy Społecznej przy ul. Nowomiejskiej 19 - Centrum Wsparcia Społecznego</t>
  </si>
  <si>
    <t>opłaty na rzecz budżetów jednostek samorządu terytorialnego</t>
  </si>
  <si>
    <t xml:space="preserve">Miejski Ośrodek Pomocy Rodzinie </t>
  </si>
  <si>
    <t>świadczenia społeczne</t>
  </si>
  <si>
    <t>Miejski Ośrodek Pomocy Rodzinie - Fundusz Pomocy (zasiłki okresowe)</t>
  </si>
  <si>
    <t>Dodatki mieszkaniowe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</si>
  <si>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</si>
  <si>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</si>
  <si>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</si>
  <si>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</si>
  <si>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Miejski Ośrodek Pomocy Rodzinie - Fundusz Pomocy (zapewnienie posiłku dzieciom i młodzieży)</t>
  </si>
  <si>
    <t>Młodzieżowy Ośrodek Wychowawczy - projekt pn. "Wykluczenie - nie ma MOWy! 2 - etap I"</t>
  </si>
  <si>
    <t xml:space="preserve">wynagrodzenia osobowe pracowników </t>
  </si>
  <si>
    <t xml:space="preserve">zakup środków żywności </t>
  </si>
  <si>
    <t xml:space="preserve">zakup środków dydaktycznych i książek  </t>
  </si>
  <si>
    <t>składki na fundusz Emerytur Pomostowych</t>
  </si>
  <si>
    <t xml:space="preserve">wynagrodzenia osobowe nauczycieli </t>
  </si>
  <si>
    <t>Miejska Jadłodajnia "U Świętego Antoniego"</t>
  </si>
  <si>
    <t xml:space="preserve">Wydział Edukacji, Zdrowia i Polityki Społecznej  </t>
  </si>
  <si>
    <t>Młodzieżowe ośrodki wychowawcze</t>
  </si>
  <si>
    <t>zakup leków, wyrobów medycznych i produktów biobójczych</t>
  </si>
  <si>
    <t>Miejski Ośrodek Pomocy Rodzinie - placówki wsparcia dziennego</t>
  </si>
  <si>
    <t>Miejski Ośrodek Pomocy Rodzinie - asystent rodziny</t>
  </si>
  <si>
    <t xml:space="preserve">Centrum Opieki nad Dzieckiem </t>
  </si>
  <si>
    <t>zakup usług obejmujących tłumaczenia</t>
  </si>
  <si>
    <t>opłaty na rzecz budżetu państwa</t>
  </si>
  <si>
    <t xml:space="preserve">Placówka Opiekuńczo - Wychowawcza Nr 2 "Calineczka" </t>
  </si>
  <si>
    <t>4230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</si>
  <si>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</si>
  <si>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</si>
  <si>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</si>
  <si>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</si>
  <si>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</si>
  <si>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</si>
  <si>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Utrzymanie zieleni w miastach i gminach</t>
  </si>
  <si>
    <t>Miejski Zakład Zieleni i Usług Komunalnych</t>
  </si>
  <si>
    <t>Miejski Zakład Zieleni i Usług Komunalnych we Włocławku - obsługa Strefy Rozwoju Gospodarczego /Park Przemysłowo - Technologiczny/</t>
  </si>
  <si>
    <t xml:space="preserve">Kultura i ochrona dziedzictwa narodowego </t>
  </si>
  <si>
    <t>Centra kultury i sztuki</t>
  </si>
  <si>
    <t>Wydział Kultury, Turystyki i Promocji</t>
  </si>
  <si>
    <t>dotacja celowa z budżetu dla pozostałych jednostek zaliczanych do sektora finansów publicznych</t>
  </si>
  <si>
    <t>Kultura fizyczna</t>
  </si>
  <si>
    <t>Instytucje kultury fizycznej</t>
  </si>
  <si>
    <t xml:space="preserve">Zadania w zakresie kultury fizycznej </t>
  </si>
  <si>
    <t>Wydział Sportu i Turystyki</t>
  </si>
  <si>
    <t>Wydział Sportu</t>
  </si>
  <si>
    <t>Wydział Finansów</t>
  </si>
  <si>
    <t>Wydział Organizacyjno - Prawny i Kadr - Fundusz Pomocy (nadanie numeru PESEL, potwierdzenie tożsamości obywateli Ukrainy i wprowadzenie danych do rejestru danych kontaktowych na wniosek oraz zarządzanie statusem UKR)</t>
  </si>
  <si>
    <t>dotacja celowa z budżetu na finansowanie lub dofinansowanie zadań zleconych do realizacji pozostałym jednostkom niezaliczanym do sektora finansów publicznych</t>
  </si>
  <si>
    <t xml:space="preserve">Środowiskowy Dom Samopomocy 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</si>
  <si>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</si>
  <si>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</si>
  <si>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</si>
  <si>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</si>
  <si>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 xml:space="preserve">składki na ubezpieczenie zdrowotne </t>
  </si>
  <si>
    <t>Wydział Gospodarowania Mieniem Komunalnym</t>
  </si>
  <si>
    <t>podatek od nieruchomości</t>
  </si>
  <si>
    <t>Nadzór budowlany</t>
  </si>
  <si>
    <t>Powiatowy Inspektorat Nadzoru Budowlanego Miasta Włocławek</t>
  </si>
  <si>
    <t>wynagrodzenia osobowe członków korpusu służby cywilnej</t>
  </si>
  <si>
    <t>szkolenia członków korpusu służby cywilnej</t>
  </si>
  <si>
    <t>Bezpieczeństwo publiczne i ochrona przeciwpożarowa</t>
  </si>
  <si>
    <t>Komenda Miejska Państwowej Straży Pożarnej</t>
  </si>
  <si>
    <t>Zadania w zakresie przeciwdziałania przemocy w rodzinie</t>
  </si>
  <si>
    <t>Miejski Ośrodek Pomocy Rodzinie - Specjalistyczny Ośrodek Wsparcia</t>
  </si>
  <si>
    <t>Miejski Ośrodek Pomocy Rodzinie - program psychologiczno - terapeutyczny</t>
  </si>
  <si>
    <t>do Zarządzenia NR 429/2024</t>
  </si>
  <si>
    <t>z dnia 31 października 2024 r.</t>
  </si>
  <si>
    <t>Dochody i wydatki związane z realizacją zadań z zakresu administracji rządowej wykonywanych na podstawie porozumień z organami administracji rządowej na 2024 rok</t>
  </si>
  <si>
    <t>z tego:</t>
  </si>
  <si>
    <t>Dotacje
ogółem</t>
  </si>
  <si>
    <t>Wydatki
ogółem
(6+9)</t>
  </si>
  <si>
    <t>w tym:</t>
  </si>
  <si>
    <t>Wydatki
bieżące</t>
  </si>
  <si>
    <t>wynagrodzenia i składki od nich naliczane</t>
  </si>
  <si>
    <t>świadczenia na rzecz osób fizycznych</t>
  </si>
  <si>
    <t>Wydatki
majątkowe</t>
  </si>
  <si>
    <t>Razem:</t>
  </si>
  <si>
    <t xml:space="preserve"> - Miejska Biblioteka Publiczna</t>
  </si>
  <si>
    <t>Biblioteki</t>
  </si>
  <si>
    <t xml:space="preserve"> - Teatr Impresaryjny</t>
  </si>
  <si>
    <t>Pozostałe instytucje kultury</t>
  </si>
  <si>
    <t xml:space="preserve"> - Centrum Kultury Browar B</t>
  </si>
  <si>
    <t xml:space="preserve"> - Galeria Sztuki Współczesnej</t>
  </si>
  <si>
    <t>Galerie i biura wystaw artystycznych</t>
  </si>
  <si>
    <t xml:space="preserve"> - Zakład Aktywności Zawodowej</t>
  </si>
  <si>
    <t>dotacje podmiotowe</t>
  </si>
  <si>
    <t>Biblioteki (dotacja na inwestycje)</t>
  </si>
  <si>
    <t>Pozostałe instytucje kultury (dotacja na inwestycje)</t>
  </si>
  <si>
    <t>Centra kultury i sztuki (dotacja na inwestycje)</t>
  </si>
  <si>
    <t xml:space="preserve"> - Centrum Kultury Browar B  (realizacja projektu pn. "Włocławek -Miasto Nowych Możliwości. Tutaj mieszkam, pracuję, inwestuję i tu wypoczywam")</t>
  </si>
  <si>
    <t>2006          2007</t>
  </si>
  <si>
    <t>Galerie i biura wystaw artystycznych (dotacja na inwestycje)</t>
  </si>
  <si>
    <t>Pozostała działalność - Senioralia 2024 – Obchody Święta Seniora (Budżet Obywatelski)</t>
  </si>
  <si>
    <t xml:space="preserve">Powiatowe urzędy pracy </t>
  </si>
  <si>
    <t>Przeciwdziałanie alkoholizmowi (dofinansowanie "Niebieskiej linii")</t>
  </si>
  <si>
    <t>dotacje celowe</t>
  </si>
  <si>
    <t>Kwota dotacji</t>
  </si>
  <si>
    <t xml:space="preserve">§ </t>
  </si>
  <si>
    <t>dla jednostek sektora finansów publicznych na 2024 rok</t>
  </si>
  <si>
    <t xml:space="preserve">Dotacje udzielane z budżetu jednostki samorządu terytorialnego </t>
  </si>
  <si>
    <t xml:space="preserve">                                                                                                 PREZYDENTA MIASTA WŁOCŁAWEK</t>
  </si>
  <si>
    <t xml:space="preserve">                                                                                                 Załącznik Nr 3</t>
  </si>
  <si>
    <t xml:space="preserve">                                                                                                 do Zarządzenia NR 429/2024</t>
  </si>
  <si>
    <t xml:space="preserve">                                                                                                 z dnia 31 października 2024 r.</t>
  </si>
  <si>
    <t xml:space="preserve">                                                                                                 Załącznik Nr 4</t>
  </si>
  <si>
    <t>dla jednostek spoza sektora finansów publicznych na 2024 rok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</si>
  <si>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</si>
  <si>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</si>
  <si>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</si>
  <si>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</si>
  <si>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</si>
  <si>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</si>
  <si>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</si>
  <si>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</si>
  <si>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</si>
  <si>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</si>
  <si>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</si>
  <si>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</si>
  <si>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</si>
  <si>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</si>
  <si>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</si>
  <si>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</si>
  <si>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</si>
  <si>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>Szkoła Podstawowa z oddziałami dwujęzycznymi Monttessori-     Schule</t>
  </si>
  <si>
    <t xml:space="preserve">Zespół Szkół Akademickich im. Obrońców Wisły 1920 roku 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</si>
  <si>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</si>
  <si>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</si>
  <si>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Zapewnienie schronienia oraz pomocy rzeczowej osobom bezdomnym (pozostała działalność)</t>
  </si>
  <si>
    <t>Usługi opiekuńcze i specjalistyczne usługi opiekuńcze - ogółem, z tego:</t>
  </si>
  <si>
    <t>15.1</t>
  </si>
  <si>
    <t xml:space="preserve"> - zadania własne</t>
  </si>
  <si>
    <t>15.2</t>
  </si>
  <si>
    <t xml:space="preserve"> - zadania zlecone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</si>
  <si>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</si>
  <si>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</si>
  <si>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</si>
  <si>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2360      2830</t>
  </si>
  <si>
    <t>Dofinansowanie przyłączy kanalizacyjnych do nieruchomości (dotacja na inwestycje)</t>
  </si>
  <si>
    <t>Wymiana źródeł ciepła zasilanych paliwami stałymi ogółem, z tego:</t>
  </si>
  <si>
    <t>21.1</t>
  </si>
  <si>
    <t>- program dla osób fizycznych (dotacja na inwestycje)</t>
  </si>
  <si>
    <t>21.2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</si>
  <si>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</si>
  <si>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</si>
  <si>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</si>
  <si>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</si>
  <si>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</si>
  <si>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</si>
  <si>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</si>
  <si>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</si>
  <si>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</si>
  <si>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</si>
  <si>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</si>
  <si>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</si>
  <si>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</si>
  <si>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</si>
  <si>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</si>
  <si>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</si>
  <si>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</si>
  <si>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</si>
  <si>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</si>
  <si>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</si>
  <si>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</si>
  <si>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</si>
  <si>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</si>
  <si>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</si>
  <si>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</si>
  <si>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</si>
  <si>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</si>
  <si>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</si>
  <si>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</si>
  <si>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</si>
  <si>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</si>
  <si>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</si>
  <si>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</si>
  <si>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</si>
  <si>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</si>
  <si>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</si>
  <si>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</si>
  <si>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</si>
  <si>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</si>
  <si>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</si>
  <si>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</si>
  <si>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</si>
  <si>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</si>
  <si>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</si>
  <si>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</si>
  <si>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</si>
  <si>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</si>
  <si>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</si>
  <si>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</si>
  <si>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</si>
  <si>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</si>
  <si>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</si>
  <si>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</si>
  <si>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</si>
  <si>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</si>
  <si>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</si>
  <si>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</si>
  <si>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</si>
  <si>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</si>
  <si>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Warsztaty Terapii Zajęciowej</t>
  </si>
  <si>
    <t>Specjalny Ośrodek Wychowawczy Zgromadzenia Sióstr Orionistek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</si>
  <si>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</si>
  <si>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</si>
  <si>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</si>
  <si>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Załącznik Nr 6</t>
  </si>
  <si>
    <t>80116</t>
  </si>
  <si>
    <t>Załącznik Nr 5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</si>
  <si>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</si>
  <si>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</si>
  <si>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</si>
  <si>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</si>
  <si>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</si>
  <si>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</si>
  <si>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</si>
  <si>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</si>
  <si>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 xml:space="preserve">Szkoły artystyczne </t>
  </si>
  <si>
    <t>Placówki kształcenia ustawicznego i centra kształcenia zawodowego</t>
  </si>
  <si>
    <t>Ośrodki szkolenia, dokształcania i doskonalenia kadr</t>
  </si>
  <si>
    <t>Inne formy kształcenia osobno niewymienione</t>
  </si>
  <si>
    <t xml:space="preserve">Kolonie i obozy oraz inne formy wypoczynku dzieci i młodzieży szkolnej, a także szkolenia młodzieży </t>
  </si>
  <si>
    <t>Szkolne schroniska młodzieżowe</t>
  </si>
  <si>
    <t xml:space="preserve">Ogółem </t>
  </si>
  <si>
    <r>
      <t>Usługi opiekuńcze i specjalistyczne usługi opiekuńcze</t>
    </r>
    <r>
      <rPr>
        <sz val="8"/>
        <rFont val="Arial CE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</si>
</sst>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43" formatCode="_-* #,##0.00_-;\-* #,##0.00_-;_-* &quot;-&quot;??_-;_-@_-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9"/>
      <name val="Arial CE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AC"/>
      <charset val="238"/>
    </font>
    <font>
      <sz val="8"/>
      <color theme="1"/>
      <name val="Arial AC"/>
      <charset val="238"/>
    </font>
    <font>
      <sz val="9"/>
      <name val="Arial CE"/>
      <family val="2"/>
      <charset val="238"/>
    </font>
    <font>
      <b/>
      <sz val="9"/>
      <name val="Arial CE"/>
      <charset val="238"/>
    </font>
    <font>
      <sz val="10"/>
      <name val="Arial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6"/>
      <name val="Arial CE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2">
    <xf numFmtId="0" fontId="0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19" fillId="0" borderId="0"/>
    <xf numFmtId="0" fontId="3" fillId="0" borderId="0"/>
    <xf numFmtId="0" fontId="29" fillId="4" borderId="0" applyNumberFormat="0" applyBorder="0" applyAlignment="0" applyProtection="0"/>
    <xf numFmtId="0" fontId="2" fillId="0" borderId="0"/>
    <xf numFmtId="0" fontId="5" fillId="0" borderId="0"/>
    <xf numFmtId="0" fontId="20" fillId="0" borderId="0"/>
    <xf numFmtId="0" fontId="20" fillId="0" borderId="0"/>
    <xf numFmtId="0" fontId="34" fillId="0" borderId="0"/>
  </cellStyleXfs>
  <cellXfs count="542">
    <xf numFmtId="0" fontId="0" fillId="0" borderId="0" xfId="0"/>
    <xf numFmtId="0" fontId="12" fillId="0" borderId="5" xfId="2" applyFont="1" applyBorder="1"/>
    <xf numFmtId="0" fontId="16" fillId="0" borderId="3" xfId="2" applyFont="1" applyBorder="1" applyAlignment="1">
      <alignment horizontal="right"/>
    </xf>
    <xf numFmtId="0" fontId="16" fillId="0" borderId="5" xfId="2" applyFont="1" applyBorder="1"/>
    <xf numFmtId="0" fontId="12" fillId="0" borderId="3" xfId="2" applyFont="1" applyBorder="1" applyAlignment="1">
      <alignment horizontal="right"/>
    </xf>
    <xf numFmtId="0" fontId="12" fillId="0" borderId="3" xfId="2" applyFont="1" applyBorder="1"/>
    <xf numFmtId="0" fontId="16" fillId="0" borderId="3" xfId="2" applyFont="1" applyBorder="1"/>
    <xf numFmtId="4" fontId="12" fillId="0" borderId="3" xfId="2" applyNumberFormat="1" applyFont="1" applyBorder="1"/>
    <xf numFmtId="0" fontId="16" fillId="0" borderId="5" xfId="2" applyFont="1" applyBorder="1" applyAlignment="1">
      <alignment horizontal="right"/>
    </xf>
    <xf numFmtId="0" fontId="18" fillId="0" borderId="3" xfId="2" applyFont="1" applyBorder="1"/>
    <xf numFmtId="0" fontId="6" fillId="0" borderId="0" xfId="7" applyFont="1"/>
    <xf numFmtId="49" fontId="6" fillId="0" borderId="0" xfId="7" applyNumberFormat="1" applyFont="1"/>
    <xf numFmtId="0" fontId="6" fillId="0" borderId="0" xfId="7" applyFont="1" applyAlignment="1">
      <alignment horizontal="left"/>
    </xf>
    <xf numFmtId="0" fontId="7" fillId="0" borderId="0" xfId="7" applyFont="1" applyAlignment="1">
      <alignment horizontal="centerContinuous"/>
    </xf>
    <xf numFmtId="49" fontId="7" fillId="0" borderId="0" xfId="7" applyNumberFormat="1" applyFont="1" applyAlignment="1">
      <alignment horizontal="centerContinuous"/>
    </xf>
    <xf numFmtId="0" fontId="8" fillId="0" borderId="0" xfId="7" applyFont="1" applyAlignment="1">
      <alignment horizontal="centerContinuous"/>
    </xf>
    <xf numFmtId="0" fontId="9" fillId="0" borderId="0" xfId="7" applyFont="1"/>
    <xf numFmtId="0" fontId="6" fillId="0" borderId="0" xfId="7" applyFont="1" applyAlignment="1">
      <alignment horizontal="center"/>
    </xf>
    <xf numFmtId="0" fontId="10" fillId="0" borderId="0" xfId="7" applyFont="1" applyAlignment="1">
      <alignment horizontal="center"/>
    </xf>
    <xf numFmtId="0" fontId="6" fillId="0" borderId="1" xfId="7" applyFont="1" applyBorder="1"/>
    <xf numFmtId="49" fontId="6" fillId="0" borderId="1" xfId="7" applyNumberFormat="1" applyFont="1" applyBorder="1"/>
    <xf numFmtId="0" fontId="9" fillId="0" borderId="2" xfId="7" applyFont="1" applyBorder="1"/>
    <xf numFmtId="0" fontId="9" fillId="0" borderId="1" xfId="7" applyFont="1" applyBorder="1" applyAlignment="1">
      <alignment horizontal="center"/>
    </xf>
    <xf numFmtId="3" fontId="6" fillId="0" borderId="1" xfId="7" applyNumberFormat="1" applyFont="1" applyBorder="1"/>
    <xf numFmtId="0" fontId="6" fillId="0" borderId="1" xfId="7" applyFont="1" applyBorder="1" applyAlignment="1">
      <alignment horizontal="center"/>
    </xf>
    <xf numFmtId="0" fontId="11" fillId="0" borderId="0" xfId="7" applyFont="1"/>
    <xf numFmtId="0" fontId="9" fillId="0" borderId="3" xfId="7" applyFont="1" applyBorder="1" applyAlignment="1">
      <alignment horizontal="center"/>
    </xf>
    <xf numFmtId="49" fontId="9" fillId="0" borderId="3" xfId="7" applyNumberFormat="1" applyFont="1" applyBorder="1" applyAlignment="1">
      <alignment horizontal="center"/>
    </xf>
    <xf numFmtId="0" fontId="9" fillId="0" borderId="4" xfId="7" applyFont="1" applyBorder="1" applyAlignment="1">
      <alignment horizontal="center"/>
    </xf>
    <xf numFmtId="3" fontId="9" fillId="0" borderId="3" xfId="7" applyNumberFormat="1" applyFont="1" applyBorder="1" applyAlignment="1">
      <alignment horizontal="center"/>
    </xf>
    <xf numFmtId="0" fontId="9" fillId="0" borderId="5" xfId="7" applyFont="1" applyBorder="1" applyAlignment="1">
      <alignment horizontal="center"/>
    </xf>
    <xf numFmtId="49" fontId="9" fillId="0" borderId="5" xfId="7" applyNumberFormat="1" applyFont="1" applyBorder="1" applyAlignment="1">
      <alignment horizontal="center"/>
    </xf>
    <xf numFmtId="0" fontId="9" fillId="0" borderId="6" xfId="7" applyFont="1" applyBorder="1" applyAlignment="1">
      <alignment horizontal="center"/>
    </xf>
    <xf numFmtId="3" fontId="9" fillId="0" borderId="5" xfId="7" applyNumberFormat="1" applyFont="1" applyBorder="1" applyAlignment="1">
      <alignment horizontal="center"/>
    </xf>
    <xf numFmtId="3" fontId="6" fillId="0" borderId="3" xfId="7" applyNumberFormat="1" applyFont="1" applyBorder="1"/>
    <xf numFmtId="49" fontId="6" fillId="0" borderId="3" xfId="7" applyNumberFormat="1" applyFont="1" applyBorder="1" applyAlignment="1">
      <alignment horizontal="right"/>
    </xf>
    <xf numFmtId="0" fontId="9" fillId="0" borderId="7" xfId="7" applyFont="1" applyBorder="1"/>
    <xf numFmtId="4" fontId="9" fillId="0" borderId="8" xfId="7" applyNumberFormat="1" applyFont="1" applyBorder="1"/>
    <xf numFmtId="0" fontId="9" fillId="0" borderId="9" xfId="7" applyFont="1" applyBorder="1"/>
    <xf numFmtId="4" fontId="9" fillId="0" borderId="10" xfId="7" applyNumberFormat="1" applyFont="1" applyBorder="1"/>
    <xf numFmtId="0" fontId="9" fillId="0" borderId="3" xfId="7" applyFont="1" applyBorder="1"/>
    <xf numFmtId="0" fontId="9" fillId="0" borderId="4" xfId="7" applyFont="1" applyBorder="1"/>
    <xf numFmtId="4" fontId="9" fillId="0" borderId="10" xfId="7" applyNumberFormat="1" applyFont="1" applyBorder="1" applyAlignment="1">
      <alignment horizontal="right"/>
    </xf>
    <xf numFmtId="0" fontId="6" fillId="0" borderId="3" xfId="7" applyFont="1" applyBorder="1" applyAlignment="1">
      <alignment horizontal="center"/>
    </xf>
    <xf numFmtId="0" fontId="6" fillId="0" borderId="6" xfId="7" applyFont="1" applyBorder="1"/>
    <xf numFmtId="4" fontId="6" fillId="0" borderId="5" xfId="7" applyNumberFormat="1" applyFont="1" applyBorder="1"/>
    <xf numFmtId="4" fontId="6" fillId="0" borderId="5" xfId="7" applyNumberFormat="1" applyFont="1" applyBorder="1" applyAlignment="1">
      <alignment horizontal="right"/>
    </xf>
    <xf numFmtId="49" fontId="6" fillId="0" borderId="3" xfId="7" applyNumberFormat="1" applyFont="1" applyBorder="1" applyAlignment="1">
      <alignment horizontal="center"/>
    </xf>
    <xf numFmtId="49" fontId="12" fillId="0" borderId="3" xfId="7" applyNumberFormat="1" applyFont="1" applyBorder="1" applyAlignment="1">
      <alignment horizontal="right"/>
    </xf>
    <xf numFmtId="0" fontId="12" fillId="0" borderId="3" xfId="7" applyFont="1" applyBorder="1"/>
    <xf numFmtId="4" fontId="12" fillId="0" borderId="3" xfId="7" applyNumberFormat="1" applyFont="1" applyBorder="1"/>
    <xf numFmtId="4" fontId="12" fillId="0" borderId="3" xfId="7" applyNumberFormat="1" applyFont="1" applyBorder="1" applyAlignment="1">
      <alignment horizontal="right"/>
    </xf>
    <xf numFmtId="4" fontId="6" fillId="0" borderId="3" xfId="7" applyNumberFormat="1" applyFont="1" applyBorder="1"/>
    <xf numFmtId="49" fontId="6" fillId="0" borderId="3" xfId="7" applyNumberFormat="1" applyFont="1" applyBorder="1" applyAlignment="1">
      <alignment horizontal="right" vertical="top"/>
    </xf>
    <xf numFmtId="0" fontId="6" fillId="0" borderId="4" xfId="7" applyFont="1" applyBorder="1" applyAlignment="1">
      <alignment vertical="top" wrapText="1"/>
    </xf>
    <xf numFmtId="4" fontId="6" fillId="0" borderId="3" xfId="7" applyNumberFormat="1" applyFont="1" applyBorder="1" applyAlignment="1">
      <alignment horizontal="right"/>
    </xf>
    <xf numFmtId="3" fontId="9" fillId="0" borderId="3" xfId="7" applyNumberFormat="1" applyFont="1" applyBorder="1"/>
    <xf numFmtId="49" fontId="9" fillId="0" borderId="3" xfId="7" applyNumberFormat="1" applyFont="1" applyBorder="1" applyAlignment="1">
      <alignment horizontal="right"/>
    </xf>
    <xf numFmtId="3" fontId="9" fillId="0" borderId="4" xfId="7" applyNumberFormat="1" applyFont="1" applyBorder="1"/>
    <xf numFmtId="4" fontId="18" fillId="0" borderId="10" xfId="2" applyNumberFormat="1" applyFont="1" applyBorder="1"/>
    <xf numFmtId="0" fontId="12" fillId="0" borderId="3" xfId="7" applyFont="1" applyBorder="1" applyAlignment="1">
      <alignment horizontal="right"/>
    </xf>
    <xf numFmtId="49" fontId="12" fillId="0" borderId="3" xfId="7" applyNumberFormat="1" applyFont="1" applyBorder="1" applyAlignment="1">
      <alignment horizontal="center"/>
    </xf>
    <xf numFmtId="0" fontId="12" fillId="0" borderId="5" xfId="7" applyFont="1" applyBorder="1" applyAlignment="1">
      <alignment horizontal="left"/>
    </xf>
    <xf numFmtId="4" fontId="12" fillId="0" borderId="17" xfId="7" applyNumberFormat="1" applyFont="1" applyBorder="1"/>
    <xf numFmtId="0" fontId="12" fillId="0" borderId="3" xfId="7" applyFont="1" applyBorder="1" applyAlignment="1">
      <alignment horizontal="center"/>
    </xf>
    <xf numFmtId="4" fontId="12" fillId="0" borderId="13" xfId="7" applyNumberFormat="1" applyFont="1" applyBorder="1"/>
    <xf numFmtId="49" fontId="12" fillId="0" borderId="3" xfId="7" applyNumberFormat="1" applyFont="1" applyBorder="1" applyAlignment="1">
      <alignment horizontal="right" vertical="top"/>
    </xf>
    <xf numFmtId="0" fontId="12" fillId="0" borderId="3" xfId="7" applyFont="1" applyBorder="1" applyAlignment="1">
      <alignment wrapText="1"/>
    </xf>
    <xf numFmtId="4" fontId="9" fillId="0" borderId="3" xfId="7" applyNumberFormat="1" applyFont="1" applyBorder="1"/>
    <xf numFmtId="0" fontId="6" fillId="0" borderId="3" xfId="7" applyFont="1" applyBorder="1" applyAlignment="1">
      <alignment horizontal="right"/>
    </xf>
    <xf numFmtId="0" fontId="6" fillId="0" borderId="3" xfId="7" applyFont="1" applyBorder="1"/>
    <xf numFmtId="0" fontId="6" fillId="0" borderId="3" xfId="7" applyFont="1" applyBorder="1" applyAlignment="1">
      <alignment wrapText="1"/>
    </xf>
    <xf numFmtId="3" fontId="6" fillId="0" borderId="4" xfId="7" applyNumberFormat="1" applyFont="1" applyBorder="1"/>
    <xf numFmtId="4" fontId="9" fillId="0" borderId="3" xfId="7" applyNumberFormat="1" applyFont="1" applyBorder="1" applyAlignment="1">
      <alignment horizontal="right"/>
    </xf>
    <xf numFmtId="3" fontId="12" fillId="0" borderId="6" xfId="7" applyNumberFormat="1" applyFont="1" applyBorder="1"/>
    <xf numFmtId="0" fontId="6" fillId="0" borderId="3" xfId="7" applyFont="1" applyBorder="1" applyAlignment="1">
      <alignment vertical="top" wrapText="1"/>
    </xf>
    <xf numFmtId="0" fontId="12" fillId="0" borderId="5" xfId="7" applyFont="1" applyBorder="1"/>
    <xf numFmtId="3" fontId="9" fillId="0" borderId="3" xfId="7" applyNumberFormat="1" applyFont="1" applyBorder="1" applyAlignment="1">
      <alignment horizontal="right"/>
    </xf>
    <xf numFmtId="3" fontId="6" fillId="0" borderId="5" xfId="7" applyNumberFormat="1" applyFont="1" applyBorder="1" applyAlignment="1">
      <alignment horizontal="right"/>
    </xf>
    <xf numFmtId="3" fontId="9" fillId="0" borderId="5" xfId="7" applyNumberFormat="1" applyFont="1" applyBorder="1"/>
    <xf numFmtId="49" fontId="6" fillId="0" borderId="5" xfId="7" applyNumberFormat="1" applyFont="1" applyBorder="1" applyAlignment="1">
      <alignment horizontal="right" vertical="top"/>
    </xf>
    <xf numFmtId="0" fontId="6" fillId="0" borderId="6" xfId="7" applyFont="1" applyBorder="1" applyAlignment="1">
      <alignment vertical="top" wrapText="1"/>
    </xf>
    <xf numFmtId="0" fontId="6" fillId="0" borderId="3" xfId="7" applyFont="1" applyBorder="1" applyAlignment="1">
      <alignment horizontal="right" vertical="top"/>
    </xf>
    <xf numFmtId="3" fontId="6" fillId="0" borderId="3" xfId="7" applyNumberFormat="1" applyFont="1" applyBorder="1" applyAlignment="1">
      <alignment horizontal="right"/>
    </xf>
    <xf numFmtId="49" fontId="18" fillId="0" borderId="4" xfId="7" applyNumberFormat="1" applyFont="1" applyBorder="1"/>
    <xf numFmtId="44" fontId="18" fillId="0" borderId="0" xfId="7" applyNumberFormat="1" applyFont="1"/>
    <xf numFmtId="0" fontId="6" fillId="0" borderId="4" xfId="7" applyFont="1" applyBorder="1" applyAlignment="1">
      <alignment vertical="center"/>
    </xf>
    <xf numFmtId="49" fontId="6" fillId="0" borderId="3" xfId="7" applyNumberFormat="1" applyFont="1" applyBorder="1" applyAlignment="1">
      <alignment horizontal="right" vertical="center"/>
    </xf>
    <xf numFmtId="0" fontId="6" fillId="0" borderId="3" xfId="7" applyFont="1" applyBorder="1" applyAlignment="1">
      <alignment horizontal="center" vertical="center"/>
    </xf>
    <xf numFmtId="0" fontId="12" fillId="0" borderId="5" xfId="7" applyFont="1" applyBorder="1" applyAlignment="1">
      <alignment horizontal="left" vertical="center"/>
    </xf>
    <xf numFmtId="0" fontId="12" fillId="0" borderId="6" xfId="7" applyFont="1" applyBorder="1" applyAlignment="1">
      <alignment horizontal="left"/>
    </xf>
    <xf numFmtId="0" fontId="12" fillId="0" borderId="4" xfId="7" applyFont="1" applyBorder="1"/>
    <xf numFmtId="3" fontId="6" fillId="0" borderId="6" xfId="7" applyNumberFormat="1" applyFont="1" applyBorder="1"/>
    <xf numFmtId="0" fontId="6" fillId="0" borderId="5" xfId="7" applyFont="1" applyBorder="1" applyAlignment="1">
      <alignment vertical="top" wrapText="1"/>
    </xf>
    <xf numFmtId="4" fontId="12" fillId="0" borderId="5" xfId="7" applyNumberFormat="1" applyFont="1" applyBorder="1" applyAlignment="1">
      <alignment horizontal="right"/>
    </xf>
    <xf numFmtId="0" fontId="6" fillId="0" borderId="6" xfId="7" applyFont="1" applyBorder="1" applyAlignment="1">
      <alignment wrapText="1"/>
    </xf>
    <xf numFmtId="0" fontId="6" fillId="0" borderId="4" xfId="7" applyFont="1" applyBorder="1" applyAlignment="1">
      <alignment wrapText="1"/>
    </xf>
    <xf numFmtId="4" fontId="12" fillId="0" borderId="14" xfId="7" applyNumberFormat="1" applyFont="1" applyBorder="1" applyAlignment="1">
      <alignment horizontal="right"/>
    </xf>
    <xf numFmtId="4" fontId="6" fillId="0" borderId="14" xfId="7" applyNumberFormat="1" applyFont="1" applyBorder="1"/>
    <xf numFmtId="0" fontId="17" fillId="0" borderId="5" xfId="7" applyFont="1" applyBorder="1"/>
    <xf numFmtId="4" fontId="12" fillId="0" borderId="5" xfId="7" applyNumberFormat="1" applyFont="1" applyBorder="1"/>
    <xf numFmtId="3" fontId="9" fillId="0" borderId="5" xfId="7" applyNumberFormat="1" applyFont="1" applyBorder="1" applyAlignment="1">
      <alignment horizontal="right"/>
    </xf>
    <xf numFmtId="0" fontId="6" fillId="0" borderId="5" xfId="7" applyFont="1" applyBorder="1"/>
    <xf numFmtId="0" fontId="6" fillId="0" borderId="5" xfId="7" applyFont="1" applyBorder="1" applyAlignment="1">
      <alignment horizontal="right"/>
    </xf>
    <xf numFmtId="0" fontId="6" fillId="0" borderId="4" xfId="7" applyFont="1" applyBorder="1"/>
    <xf numFmtId="0" fontId="18" fillId="0" borderId="3" xfId="7" applyFont="1" applyBorder="1" applyAlignment="1">
      <alignment horizontal="center"/>
    </xf>
    <xf numFmtId="0" fontId="18" fillId="0" borderId="3" xfId="7" applyFont="1" applyBorder="1" applyAlignment="1">
      <alignment horizontal="right"/>
    </xf>
    <xf numFmtId="0" fontId="18" fillId="0" borderId="10" xfId="7" applyFont="1" applyBorder="1"/>
    <xf numFmtId="0" fontId="12" fillId="0" borderId="4" xfId="7" applyFont="1" applyBorder="1" applyAlignment="1">
      <alignment wrapText="1"/>
    </xf>
    <xf numFmtId="4" fontId="18" fillId="0" borderId="10" xfId="7" applyNumberFormat="1" applyFont="1" applyBorder="1"/>
    <xf numFmtId="0" fontId="12" fillId="0" borderId="3" xfId="7" applyFont="1" applyBorder="1" applyAlignment="1">
      <alignment horizontal="right" vertical="top"/>
    </xf>
    <xf numFmtId="3" fontId="18" fillId="0" borderId="3" xfId="7" applyNumberFormat="1" applyFont="1" applyBorder="1" applyAlignment="1">
      <alignment horizontal="right"/>
    </xf>
    <xf numFmtId="0" fontId="18" fillId="0" borderId="4" xfId="7" applyFont="1" applyBorder="1"/>
    <xf numFmtId="0" fontId="12" fillId="0" borderId="6" xfId="7" applyFont="1" applyBorder="1"/>
    <xf numFmtId="4" fontId="12" fillId="0" borderId="3" xfId="7" applyNumberFormat="1" applyFont="1" applyBorder="1" applyAlignment="1">
      <alignment horizontal="right" vertical="center"/>
    </xf>
    <xf numFmtId="3" fontId="18" fillId="0" borderId="5" xfId="7" applyNumberFormat="1" applyFont="1" applyBorder="1" applyAlignment="1">
      <alignment horizontal="right"/>
    </xf>
    <xf numFmtId="49" fontId="6" fillId="0" borderId="5" xfId="7" applyNumberFormat="1" applyFont="1" applyBorder="1" applyAlignment="1">
      <alignment horizontal="right"/>
    </xf>
    <xf numFmtId="4" fontId="12" fillId="0" borderId="5" xfId="7" applyNumberFormat="1" applyFont="1" applyBorder="1" applyAlignment="1">
      <alignment horizontal="right" vertical="center"/>
    </xf>
    <xf numFmtId="0" fontId="13" fillId="0" borderId="0" xfId="7" applyFont="1"/>
    <xf numFmtId="0" fontId="30" fillId="0" borderId="5" xfId="2" applyFont="1" applyBorder="1"/>
    <xf numFmtId="3" fontId="6" fillId="0" borderId="5" xfId="7" applyNumberFormat="1" applyFont="1" applyBorder="1"/>
    <xf numFmtId="0" fontId="12" fillId="0" borderId="5" xfId="7" applyFont="1" applyBorder="1" applyAlignment="1">
      <alignment horizontal="right"/>
    </xf>
    <xf numFmtId="0" fontId="13" fillId="0" borderId="26" xfId="7" applyFont="1" applyBorder="1"/>
    <xf numFmtId="4" fontId="12" fillId="0" borderId="3" xfId="2" applyNumberFormat="1" applyFont="1" applyBorder="1" applyAlignment="1">
      <alignment horizontal="right"/>
    </xf>
    <xf numFmtId="49" fontId="12" fillId="0" borderId="5" xfId="7" applyNumberFormat="1" applyFont="1" applyBorder="1" applyAlignment="1">
      <alignment horizontal="right" vertical="top"/>
    </xf>
    <xf numFmtId="0" fontId="12" fillId="0" borderId="6" xfId="7" applyFont="1" applyBorder="1" applyAlignment="1">
      <alignment wrapText="1"/>
    </xf>
    <xf numFmtId="3" fontId="18" fillId="0" borderId="3" xfId="7" applyNumberFormat="1" applyFont="1" applyBorder="1"/>
    <xf numFmtId="3" fontId="12" fillId="0" borderId="4" xfId="7" applyNumberFormat="1" applyFont="1" applyBorder="1"/>
    <xf numFmtId="0" fontId="12" fillId="0" borderId="4" xfId="7" applyFont="1" applyBorder="1" applyAlignment="1">
      <alignment vertical="top" wrapText="1"/>
    </xf>
    <xf numFmtId="0" fontId="6" fillId="0" borderId="3" xfId="7" applyFont="1" applyBorder="1" applyAlignment="1">
      <alignment vertical="top"/>
    </xf>
    <xf numFmtId="4" fontId="12" fillId="0" borderId="3" xfId="7" applyNumberFormat="1" applyFont="1" applyBorder="1" applyAlignment="1">
      <alignment horizontal="center"/>
    </xf>
    <xf numFmtId="3" fontId="6" fillId="0" borderId="4" xfId="7" applyNumberFormat="1" applyFont="1" applyBorder="1" applyAlignment="1">
      <alignment vertical="top" wrapText="1"/>
    </xf>
    <xf numFmtId="49" fontId="9" fillId="0" borderId="5" xfId="7" applyNumberFormat="1" applyFont="1" applyBorder="1" applyAlignment="1">
      <alignment horizontal="right"/>
    </xf>
    <xf numFmtId="0" fontId="12" fillId="0" borderId="3" xfId="7" applyFont="1" applyBorder="1" applyAlignment="1">
      <alignment horizontal="right" vertical="center"/>
    </xf>
    <xf numFmtId="4" fontId="12" fillId="0" borderId="13" xfId="7" applyNumberFormat="1" applyFont="1" applyBorder="1" applyAlignment="1">
      <alignment horizontal="right"/>
    </xf>
    <xf numFmtId="4" fontId="16" fillId="0" borderId="3" xfId="2" applyNumberFormat="1" applyFont="1" applyBorder="1" applyAlignment="1">
      <alignment horizontal="right"/>
    </xf>
    <xf numFmtId="0" fontId="30" fillId="0" borderId="3" xfId="2" applyFont="1" applyBorder="1" applyAlignment="1">
      <alignment horizontal="right"/>
    </xf>
    <xf numFmtId="0" fontId="31" fillId="0" borderId="0" xfId="2" applyFont="1"/>
    <xf numFmtId="0" fontId="30" fillId="0" borderId="4" xfId="2" applyFont="1" applyBorder="1"/>
    <xf numFmtId="0" fontId="30" fillId="0" borderId="4" xfId="7" applyFont="1" applyBorder="1"/>
    <xf numFmtId="0" fontId="30" fillId="0" borderId="5" xfId="2" applyFont="1" applyBorder="1" applyAlignment="1">
      <alignment horizontal="right"/>
    </xf>
    <xf numFmtId="0" fontId="30" fillId="0" borderId="6" xfId="2" applyFont="1" applyBorder="1"/>
    <xf numFmtId="0" fontId="30" fillId="0" borderId="3" xfId="2" applyFont="1" applyBorder="1"/>
    <xf numFmtId="3" fontId="6" fillId="0" borderId="4" xfId="7" applyNumberFormat="1" applyFont="1" applyBorder="1" applyAlignment="1">
      <alignment wrapText="1"/>
    </xf>
    <xf numFmtId="0" fontId="16" fillId="0" borderId="3" xfId="7" applyFont="1" applyBorder="1"/>
    <xf numFmtId="4" fontId="12" fillId="0" borderId="4" xfId="7" applyNumberFormat="1" applyFont="1" applyBorder="1"/>
    <xf numFmtId="4" fontId="12" fillId="0" borderId="3" xfId="7" applyNumberFormat="1" applyFont="1" applyBorder="1" applyAlignment="1">
      <alignment horizontal="right" vertical="top"/>
    </xf>
    <xf numFmtId="3" fontId="12" fillId="0" borderId="3" xfId="7" applyNumberFormat="1" applyFont="1" applyBorder="1"/>
    <xf numFmtId="4" fontId="16" fillId="0" borderId="3" xfId="7" applyNumberFormat="1" applyFont="1" applyBorder="1"/>
    <xf numFmtId="4" fontId="16" fillId="0" borderId="3" xfId="7" applyNumberFormat="1" applyFont="1" applyBorder="1" applyAlignment="1">
      <alignment horizontal="right"/>
    </xf>
    <xf numFmtId="49" fontId="18" fillId="0" borderId="4" xfId="7" applyNumberFormat="1" applyFont="1" applyBorder="1" applyAlignment="1">
      <alignment horizontal="center"/>
    </xf>
    <xf numFmtId="44" fontId="18" fillId="0" borderId="0" xfId="7" applyNumberFormat="1" applyFont="1" applyAlignment="1">
      <alignment horizontal="left"/>
    </xf>
    <xf numFmtId="0" fontId="6" fillId="0" borderId="4" xfId="7" applyFont="1" applyBorder="1" applyAlignment="1">
      <alignment horizontal="center" vertical="center"/>
    </xf>
    <xf numFmtId="4" fontId="6" fillId="0" borderId="5" xfId="7" applyNumberFormat="1" applyFont="1" applyBorder="1" applyAlignment="1">
      <alignment horizontal="center"/>
    </xf>
    <xf numFmtId="0" fontId="18" fillId="0" borderId="3" xfId="2" applyFont="1" applyBorder="1" applyAlignment="1">
      <alignment horizontal="right"/>
    </xf>
    <xf numFmtId="0" fontId="12" fillId="0" borderId="3" xfId="2" applyFont="1" applyBorder="1" applyAlignment="1">
      <alignment horizontal="center"/>
    </xf>
    <xf numFmtId="49" fontId="9" fillId="0" borderId="3" xfId="7" applyNumberFormat="1" applyFont="1" applyBorder="1"/>
    <xf numFmtId="0" fontId="6" fillId="0" borderId="4" xfId="7" applyFont="1" applyBorder="1" applyAlignment="1">
      <alignment vertical="top"/>
    </xf>
    <xf numFmtId="49" fontId="6" fillId="0" borderId="3" xfId="2" applyNumberFormat="1" applyFont="1" applyBorder="1" applyAlignment="1">
      <alignment horizontal="right"/>
    </xf>
    <xf numFmtId="43" fontId="9" fillId="0" borderId="3" xfId="3" applyFont="1" applyBorder="1" applyAlignment="1">
      <alignment horizontal="right"/>
    </xf>
    <xf numFmtId="43" fontId="9" fillId="0" borderId="3" xfId="3" applyFont="1" applyBorder="1"/>
    <xf numFmtId="43" fontId="12" fillId="0" borderId="3" xfId="3" applyFont="1" applyFill="1" applyBorder="1" applyAlignment="1">
      <alignment horizontal="right"/>
    </xf>
    <xf numFmtId="0" fontId="11" fillId="0" borderId="5" xfId="7" applyFont="1" applyBorder="1"/>
    <xf numFmtId="49" fontId="11" fillId="0" borderId="5" xfId="7" applyNumberFormat="1" applyFont="1" applyBorder="1" applyAlignment="1">
      <alignment horizontal="right"/>
    </xf>
    <xf numFmtId="0" fontId="11" fillId="0" borderId="6" xfId="7" applyFont="1" applyBorder="1"/>
    <xf numFmtId="0" fontId="24" fillId="0" borderId="0" xfId="9" applyFont="1" applyAlignment="1">
      <alignment vertical="center"/>
    </xf>
    <xf numFmtId="0" fontId="6" fillId="0" borderId="0" xfId="9" applyFont="1"/>
    <xf numFmtId="0" fontId="24" fillId="0" borderId="0" xfId="9" applyFont="1"/>
    <xf numFmtId="0" fontId="6" fillId="0" borderId="0" xfId="9" applyFont="1" applyAlignment="1">
      <alignment horizontal="left"/>
    </xf>
    <xf numFmtId="0" fontId="32" fillId="0" borderId="0" xfId="9" applyFont="1"/>
    <xf numFmtId="0" fontId="23" fillId="0" borderId="0" xfId="9" applyFont="1" applyAlignment="1">
      <alignment horizontal="centerContinuous" vertical="center" wrapText="1"/>
    </xf>
    <xf numFmtId="0" fontId="23" fillId="0" borderId="0" xfId="9" applyFont="1" applyAlignment="1">
      <alignment horizontal="center" vertical="center" wrapText="1"/>
    </xf>
    <xf numFmtId="0" fontId="16" fillId="0" borderId="0" xfId="9" applyFont="1" applyAlignment="1">
      <alignment horizontal="center" vertical="center"/>
    </xf>
    <xf numFmtId="0" fontId="23" fillId="2" borderId="1" xfId="9" applyFont="1" applyFill="1" applyBorder="1" applyAlignment="1">
      <alignment horizontal="center" vertical="center"/>
    </xf>
    <xf numFmtId="0" fontId="23" fillId="2" borderId="1" xfId="9" applyFont="1" applyFill="1" applyBorder="1" applyAlignment="1">
      <alignment horizontal="center" vertical="center" wrapText="1"/>
    </xf>
    <xf numFmtId="0" fontId="23" fillId="2" borderId="18" xfId="9" applyFont="1" applyFill="1" applyBorder="1" applyAlignment="1">
      <alignment horizontal="centerContinuous" vertical="center" wrapText="1"/>
    </xf>
    <xf numFmtId="0" fontId="23" fillId="2" borderId="20" xfId="9" applyFont="1" applyFill="1" applyBorder="1" applyAlignment="1">
      <alignment horizontal="centerContinuous" vertical="center" wrapText="1"/>
    </xf>
    <xf numFmtId="0" fontId="23" fillId="2" borderId="23" xfId="9" applyFont="1" applyFill="1" applyBorder="1" applyAlignment="1">
      <alignment horizontal="centerContinuous" vertical="center" wrapText="1"/>
    </xf>
    <xf numFmtId="0" fontId="23" fillId="2" borderId="3" xfId="9" applyFont="1" applyFill="1" applyBorder="1" applyAlignment="1">
      <alignment horizontal="center" vertical="center"/>
    </xf>
    <xf numFmtId="0" fontId="23" fillId="2" borderId="3" xfId="9" applyFont="1" applyFill="1" applyBorder="1" applyAlignment="1">
      <alignment horizontal="center" vertical="center" wrapText="1"/>
    </xf>
    <xf numFmtId="0" fontId="23" fillId="2" borderId="5" xfId="9" applyFont="1" applyFill="1" applyBorder="1" applyAlignment="1">
      <alignment horizontal="center" vertical="center"/>
    </xf>
    <xf numFmtId="0" fontId="23" fillId="2" borderId="5" xfId="9" applyFont="1" applyFill="1" applyBorder="1" applyAlignment="1">
      <alignment horizontal="center" vertical="center" wrapText="1"/>
    </xf>
    <xf numFmtId="0" fontId="23" fillId="2" borderId="5" xfId="9" applyFont="1" applyFill="1" applyBorder="1" applyAlignment="1">
      <alignment horizontal="center" vertical="top" wrapText="1"/>
    </xf>
    <xf numFmtId="0" fontId="9" fillId="2" borderId="25" xfId="9" applyFont="1" applyFill="1" applyBorder="1" applyAlignment="1">
      <alignment horizontal="center" vertical="center" wrapText="1"/>
    </xf>
    <xf numFmtId="0" fontId="32" fillId="0" borderId="25" xfId="9" applyFont="1" applyBorder="1" applyAlignment="1">
      <alignment horizontal="center" vertical="center"/>
    </xf>
    <xf numFmtId="0" fontId="24" fillId="0" borderId="25" xfId="9" applyFont="1" applyBorder="1" applyAlignment="1">
      <alignment vertical="center"/>
    </xf>
    <xf numFmtId="4" fontId="24" fillId="0" borderId="25" xfId="9" applyNumberFormat="1" applyFont="1" applyBorder="1" applyAlignment="1">
      <alignment vertical="center"/>
    </xf>
    <xf numFmtId="0" fontId="24" fillId="0" borderId="24" xfId="9" applyFont="1" applyBorder="1" applyAlignment="1">
      <alignment vertical="center"/>
    </xf>
    <xf numFmtId="4" fontId="24" fillId="0" borderId="5" xfId="9" applyNumberFormat="1" applyFont="1" applyBorder="1" applyAlignment="1">
      <alignment vertical="center"/>
    </xf>
    <xf numFmtId="4" fontId="24" fillId="0" borderId="0" xfId="9" applyNumberFormat="1" applyFont="1" applyAlignment="1">
      <alignment vertical="center"/>
    </xf>
    <xf numFmtId="0" fontId="24" fillId="0" borderId="0" xfId="10" applyFont="1"/>
    <xf numFmtId="0" fontId="24" fillId="0" borderId="0" xfId="10" applyFont="1" applyAlignment="1">
      <alignment horizontal="center" vertical="top"/>
    </xf>
    <xf numFmtId="4" fontId="24" fillId="0" borderId="0" xfId="10" applyNumberFormat="1" applyFont="1"/>
    <xf numFmtId="0" fontId="16" fillId="0" borderId="0" xfId="10" applyFont="1"/>
    <xf numFmtId="4" fontId="6" fillId="0" borderId="24" xfId="10" applyNumberFormat="1" applyFont="1" applyBorder="1"/>
    <xf numFmtId="0" fontId="6" fillId="0" borderId="25" xfId="10" applyFont="1" applyBorder="1"/>
    <xf numFmtId="0" fontId="6" fillId="0" borderId="26" xfId="10" applyFont="1" applyBorder="1" applyAlignment="1">
      <alignment horizontal="center" vertical="top"/>
    </xf>
    <xf numFmtId="0" fontId="6" fillId="0" borderId="26" xfId="10" applyFont="1" applyBorder="1"/>
    <xf numFmtId="0" fontId="12" fillId="0" borderId="6" xfId="10" applyFont="1" applyBorder="1" applyAlignment="1">
      <alignment horizontal="center"/>
    </xf>
    <xf numFmtId="4" fontId="32" fillId="0" borderId="25" xfId="10" applyNumberFormat="1" applyFont="1" applyBorder="1" applyAlignment="1">
      <alignment vertical="center"/>
    </xf>
    <xf numFmtId="0" fontId="32" fillId="0" borderId="25" xfId="10" applyFont="1" applyBorder="1" applyAlignment="1">
      <alignment vertical="center"/>
    </xf>
    <xf numFmtId="0" fontId="32" fillId="0" borderId="25" xfId="10" applyFont="1" applyBorder="1" applyAlignment="1">
      <alignment horizontal="center" vertical="center"/>
    </xf>
    <xf numFmtId="0" fontId="15" fillId="0" borderId="25" xfId="10" applyFont="1" applyBorder="1" applyAlignment="1">
      <alignment horizontal="center" vertical="center"/>
    </xf>
    <xf numFmtId="0" fontId="6" fillId="0" borderId="26" xfId="10" applyFont="1" applyBorder="1" applyAlignment="1">
      <alignment horizontal="center"/>
    </xf>
    <xf numFmtId="4" fontId="32" fillId="0" borderId="23" xfId="10" applyNumberFormat="1" applyFont="1" applyBorder="1" applyAlignment="1">
      <alignment vertical="center"/>
    </xf>
    <xf numFmtId="4" fontId="6" fillId="0" borderId="23" xfId="10" applyNumberFormat="1" applyFont="1" applyBorder="1"/>
    <xf numFmtId="0" fontId="6" fillId="0" borderId="20" xfId="10" applyFont="1" applyBorder="1" applyAlignment="1">
      <alignment horizontal="center"/>
    </xf>
    <xf numFmtId="0" fontId="12" fillId="0" borderId="18" xfId="10" applyFont="1" applyBorder="1" applyAlignment="1">
      <alignment horizontal="center"/>
    </xf>
    <xf numFmtId="0" fontId="6" fillId="0" borderId="24" xfId="10" applyFont="1" applyBorder="1"/>
    <xf numFmtId="0" fontId="6" fillId="0" borderId="23" xfId="10" applyFont="1" applyBorder="1" applyAlignment="1">
      <alignment horizontal="center"/>
    </xf>
    <xf numFmtId="0" fontId="6" fillId="0" borderId="23" xfId="10" applyFont="1" applyBorder="1"/>
    <xf numFmtId="0" fontId="6" fillId="0" borderId="23" xfId="10" applyFont="1" applyBorder="1" applyAlignment="1">
      <alignment horizontal="center" vertical="top"/>
    </xf>
    <xf numFmtId="0" fontId="33" fillId="0" borderId="23" xfId="10" applyFont="1" applyBorder="1" applyAlignment="1">
      <alignment horizontal="left" vertical="center"/>
    </xf>
    <xf numFmtId="0" fontId="33" fillId="0" borderId="20" xfId="10" applyFont="1" applyBorder="1" applyAlignment="1">
      <alignment horizontal="left" vertical="center"/>
    </xf>
    <xf numFmtId="0" fontId="33" fillId="0" borderId="20" xfId="10" applyFont="1" applyBorder="1" applyAlignment="1">
      <alignment horizontal="center" vertical="top"/>
    </xf>
    <xf numFmtId="0" fontId="33" fillId="0" borderId="18" xfId="10" applyFont="1" applyBorder="1" applyAlignment="1">
      <alignment horizontal="left" vertical="center"/>
    </xf>
    <xf numFmtId="4" fontId="6" fillId="0" borderId="24" xfId="10" applyNumberFormat="1" applyFont="1" applyBorder="1" applyAlignment="1">
      <alignment vertical="center"/>
    </xf>
    <xf numFmtId="0" fontId="6" fillId="0" borderId="25" xfId="10" applyFont="1" applyBorder="1" applyAlignment="1">
      <alignment vertical="center"/>
    </xf>
    <xf numFmtId="4" fontId="6" fillId="0" borderId="24" xfId="10" applyNumberFormat="1" applyFont="1" applyBorder="1" applyAlignment="1">
      <alignment horizontal="right" vertical="center"/>
    </xf>
    <xf numFmtId="0" fontId="6" fillId="0" borderId="25" xfId="10" applyFont="1" applyBorder="1" applyAlignment="1">
      <alignment wrapText="1"/>
    </xf>
    <xf numFmtId="4" fontId="32" fillId="0" borderId="25" xfId="10" applyNumberFormat="1" applyFont="1" applyBorder="1" applyAlignment="1">
      <alignment horizontal="right" vertical="center"/>
    </xf>
    <xf numFmtId="0" fontId="32" fillId="0" borderId="25" xfId="10" applyFont="1" applyBorder="1" applyAlignment="1">
      <alignment horizontal="left" vertical="center"/>
    </xf>
    <xf numFmtId="3" fontId="32" fillId="0" borderId="25" xfId="10" applyNumberFormat="1" applyFont="1" applyBorder="1" applyAlignment="1">
      <alignment horizontal="center" vertical="center" wrapText="1"/>
    </xf>
    <xf numFmtId="4" fontId="6" fillId="0" borderId="25" xfId="10" applyNumberFormat="1" applyFont="1" applyBorder="1" applyAlignment="1">
      <alignment vertical="center"/>
    </xf>
    <xf numFmtId="0" fontId="6" fillId="0" borderId="24" xfId="10" applyFont="1" applyBorder="1" applyAlignment="1">
      <alignment vertical="center"/>
    </xf>
    <xf numFmtId="0" fontId="16" fillId="3" borderId="20" xfId="6" applyFont="1" applyFill="1" applyBorder="1" applyAlignment="1">
      <alignment horizontal="center" vertical="center"/>
    </xf>
    <xf numFmtId="0" fontId="6" fillId="3" borderId="20" xfId="11" applyFont="1" applyFill="1" applyBorder="1" applyAlignment="1">
      <alignment horizontal="center" vertical="center"/>
    </xf>
    <xf numFmtId="0" fontId="6" fillId="3" borderId="20" xfId="11" applyFont="1" applyFill="1" applyBorder="1" applyAlignment="1">
      <alignment vertical="center"/>
    </xf>
    <xf numFmtId="0" fontId="12" fillId="0" borderId="18" xfId="10" applyFont="1" applyBorder="1" applyAlignment="1">
      <alignment horizontal="center" vertical="center"/>
    </xf>
    <xf numFmtId="0" fontId="15" fillId="0" borderId="1" xfId="10" applyFont="1" applyBorder="1" applyAlignment="1">
      <alignment horizontal="center" vertical="center"/>
    </xf>
    <xf numFmtId="0" fontId="32" fillId="0" borderId="18" xfId="11" applyFont="1" applyBorder="1" applyAlignment="1">
      <alignment vertical="center" wrapText="1"/>
    </xf>
    <xf numFmtId="0" fontId="24" fillId="3" borderId="18" xfId="6" applyFont="1" applyFill="1" applyBorder="1" applyAlignment="1">
      <alignment horizontal="center" vertical="center"/>
    </xf>
    <xf numFmtId="0" fontId="32" fillId="3" borderId="25" xfId="11" applyFont="1" applyFill="1" applyBorder="1" applyAlignment="1">
      <alignment horizontal="center" vertical="center"/>
    </xf>
    <xf numFmtId="0" fontId="32" fillId="3" borderId="25" xfId="11" applyFont="1" applyFill="1" applyBorder="1" applyAlignment="1">
      <alignment vertical="center"/>
    </xf>
    <xf numFmtId="0" fontId="32" fillId="0" borderId="1" xfId="10" applyFont="1" applyBorder="1" applyAlignment="1">
      <alignment horizontal="center" vertical="center"/>
    </xf>
    <xf numFmtId="0" fontId="32" fillId="0" borderId="25" xfId="10" applyFont="1" applyBorder="1" applyAlignment="1">
      <alignment vertical="center" wrapText="1"/>
    </xf>
    <xf numFmtId="0" fontId="10" fillId="0" borderId="0" xfId="10" applyFont="1"/>
    <xf numFmtId="0" fontId="10" fillId="0" borderId="25" xfId="10" applyFont="1" applyBorder="1" applyAlignment="1">
      <alignment horizontal="center" vertical="center"/>
    </xf>
    <xf numFmtId="0" fontId="10" fillId="0" borderId="25" xfId="10" applyFont="1" applyBorder="1" applyAlignment="1">
      <alignment horizontal="center" vertical="top"/>
    </xf>
    <xf numFmtId="0" fontId="23" fillId="2" borderId="25" xfId="10" applyFont="1" applyFill="1" applyBorder="1" applyAlignment="1">
      <alignment horizontal="center" vertical="center"/>
    </xf>
    <xf numFmtId="0" fontId="23" fillId="0" borderId="25" xfId="10" applyFont="1" applyBorder="1" applyAlignment="1">
      <alignment horizontal="center" vertical="center"/>
    </xf>
    <xf numFmtId="0" fontId="10" fillId="0" borderId="0" xfId="10" applyFont="1" applyAlignment="1">
      <alignment horizontal="right"/>
    </xf>
    <xf numFmtId="0" fontId="24" fillId="0" borderId="0" xfId="10" applyFont="1" applyAlignment="1">
      <alignment vertical="center"/>
    </xf>
    <xf numFmtId="0" fontId="23" fillId="0" borderId="0" xfId="10" applyFont="1" applyAlignment="1">
      <alignment horizontal="center" vertical="center"/>
    </xf>
    <xf numFmtId="0" fontId="32" fillId="0" borderId="0" xfId="10" applyFont="1" applyAlignment="1">
      <alignment horizontal="left"/>
    </xf>
    <xf numFmtId="0" fontId="6" fillId="0" borderId="0" xfId="11" applyFont="1" applyAlignment="1">
      <alignment horizontal="left"/>
    </xf>
    <xf numFmtId="0" fontId="6" fillId="0" borderId="0" xfId="11" applyFont="1"/>
    <xf numFmtId="0" fontId="6" fillId="0" borderId="0" xfId="10" applyFont="1" applyAlignment="1">
      <alignment horizontal="left"/>
    </xf>
    <xf numFmtId="0" fontId="24" fillId="0" borderId="0" xfId="10" applyFont="1" applyAlignment="1">
      <alignment horizontal="center"/>
    </xf>
    <xf numFmtId="0" fontId="6" fillId="0" borderId="0" xfId="10" applyFont="1"/>
    <xf numFmtId="0" fontId="23" fillId="0" borderId="0" xfId="10" applyFont="1" applyAlignment="1">
      <alignment horizontal="centerContinuous" vertical="center" wrapText="1"/>
    </xf>
    <xf numFmtId="0" fontId="25" fillId="0" borderId="0" xfId="10" applyFont="1" applyAlignment="1">
      <alignment horizontal="centerContinuous" wrapText="1"/>
    </xf>
    <xf numFmtId="0" fontId="24" fillId="0" borderId="18" xfId="6" applyFont="1" applyFill="1" applyBorder="1" applyAlignment="1">
      <alignment horizontal="center" vertical="center"/>
    </xf>
    <xf numFmtId="0" fontId="23" fillId="0" borderId="18" xfId="10" applyFont="1" applyBorder="1" applyAlignment="1">
      <alignment horizontal="centerContinuous" vertical="center"/>
    </xf>
    <xf numFmtId="0" fontId="22" fillId="0" borderId="18" xfId="6" applyFont="1" applyFill="1" applyBorder="1" applyAlignment="1">
      <alignment horizontal="center" vertical="top"/>
    </xf>
    <xf numFmtId="0" fontId="10" fillId="0" borderId="18" xfId="10" applyFont="1" applyBorder="1" applyAlignment="1">
      <alignment horizontal="centerContinuous" vertical="center"/>
    </xf>
    <xf numFmtId="0" fontId="24" fillId="0" borderId="20" xfId="6" applyFont="1" applyFill="1" applyBorder="1" applyAlignment="1">
      <alignment horizontal="center" vertical="top"/>
    </xf>
    <xf numFmtId="0" fontId="24" fillId="0" borderId="25" xfId="6" applyFont="1" applyFill="1" applyBorder="1" applyAlignment="1">
      <alignment horizontal="center" vertical="center"/>
    </xf>
    <xf numFmtId="0" fontId="15" fillId="0" borderId="25" xfId="10" applyFont="1" applyBorder="1" applyAlignment="1">
      <alignment horizontal="left" vertical="center" wrapText="1"/>
    </xf>
    <xf numFmtId="4" fontId="32" fillId="0" borderId="25" xfId="10" applyNumberFormat="1" applyFont="1" applyBorder="1"/>
    <xf numFmtId="0" fontId="32" fillId="0" borderId="25" xfId="10" applyFont="1" applyBorder="1" applyAlignment="1">
      <alignment vertical="top"/>
    </xf>
    <xf numFmtId="0" fontId="24" fillId="0" borderId="25" xfId="6" applyFont="1" applyFill="1" applyBorder="1" applyAlignment="1">
      <alignment horizontal="center" vertical="top"/>
    </xf>
    <xf numFmtId="0" fontId="35" fillId="0" borderId="0" xfId="10" applyFont="1"/>
    <xf numFmtId="0" fontId="24" fillId="0" borderId="18" xfId="6" applyFont="1" applyFill="1" applyBorder="1" applyAlignment="1">
      <alignment horizontal="center" vertical="top"/>
    </xf>
    <xf numFmtId="0" fontId="32" fillId="0" borderId="18" xfId="10" applyFont="1" applyBorder="1" applyAlignment="1">
      <alignment vertical="top" wrapText="1"/>
    </xf>
    <xf numFmtId="0" fontId="24" fillId="0" borderId="5" xfId="6" applyFont="1" applyFill="1" applyBorder="1" applyAlignment="1">
      <alignment horizontal="center" vertical="center" wrapText="1"/>
    </xf>
    <xf numFmtId="0" fontId="32" fillId="0" borderId="18" xfId="10" applyFont="1" applyBorder="1" applyAlignment="1">
      <alignment vertical="center"/>
    </xf>
    <xf numFmtId="0" fontId="32" fillId="0" borderId="4" xfId="10" applyFont="1" applyBorder="1"/>
    <xf numFmtId="0" fontId="32" fillId="0" borderId="0" xfId="10" applyFont="1"/>
    <xf numFmtId="0" fontId="32" fillId="0" borderId="0" xfId="10" applyFont="1" applyAlignment="1">
      <alignment vertical="center"/>
    </xf>
    <xf numFmtId="0" fontId="24" fillId="0" borderId="25" xfId="6" applyFont="1" applyFill="1" applyBorder="1" applyAlignment="1">
      <alignment horizontal="center" vertical="top" wrapText="1"/>
    </xf>
    <xf numFmtId="0" fontId="32" fillId="0" borderId="18" xfId="10" applyFont="1" applyBorder="1" applyAlignment="1">
      <alignment horizontal="left" vertical="center" wrapText="1"/>
    </xf>
    <xf numFmtId="0" fontId="32" fillId="0" borderId="2" xfId="10" applyFont="1" applyBorder="1"/>
    <xf numFmtId="0" fontId="32" fillId="0" borderId="19" xfId="10" applyFont="1" applyBorder="1"/>
    <xf numFmtId="0" fontId="24" fillId="0" borderId="1" xfId="6" applyFont="1" applyFill="1" applyBorder="1" applyAlignment="1">
      <alignment horizontal="center" vertical="top"/>
    </xf>
    <xf numFmtId="0" fontId="32" fillId="0" borderId="27" xfId="10" applyFont="1" applyBorder="1" applyAlignment="1">
      <alignment vertical="center" wrapText="1"/>
    </xf>
    <xf numFmtId="4" fontId="32" fillId="0" borderId="13" xfId="10" applyNumberFormat="1" applyFont="1" applyBorder="1"/>
    <xf numFmtId="0" fontId="24" fillId="0" borderId="3" xfId="6" applyFont="1" applyFill="1" applyBorder="1" applyAlignment="1">
      <alignment horizontal="center" vertical="top"/>
    </xf>
    <xf numFmtId="0" fontId="32" fillId="0" borderId="28" xfId="10" applyFont="1" applyBorder="1" applyAlignment="1">
      <alignment vertical="center" wrapText="1"/>
    </xf>
    <xf numFmtId="4" fontId="32" fillId="0" borderId="29" xfId="10" applyNumberFormat="1" applyFont="1" applyBorder="1"/>
    <xf numFmtId="0" fontId="32" fillId="0" borderId="29" xfId="10" applyFont="1" applyBorder="1" applyAlignment="1">
      <alignment vertical="center" wrapText="1"/>
    </xf>
    <xf numFmtId="0" fontId="32" fillId="0" borderId="27" xfId="10" applyFont="1" applyBorder="1"/>
    <xf numFmtId="0" fontId="32" fillId="0" borderId="12" xfId="10" applyFont="1" applyBorder="1" applyAlignment="1">
      <alignment wrapText="1"/>
    </xf>
    <xf numFmtId="0" fontId="32" fillId="0" borderId="6" xfId="10" applyFont="1" applyBorder="1"/>
    <xf numFmtId="0" fontId="32" fillId="0" borderId="26" xfId="10" applyFont="1" applyBorder="1"/>
    <xf numFmtId="0" fontId="24" fillId="0" borderId="5" xfId="6" applyFont="1" applyFill="1" applyBorder="1" applyAlignment="1">
      <alignment horizontal="center" vertical="top"/>
    </xf>
    <xf numFmtId="4" fontId="32" fillId="0" borderId="15" xfId="10" applyNumberFormat="1" applyFont="1" applyBorder="1"/>
    <xf numFmtId="0" fontId="32" fillId="0" borderId="18" xfId="10" applyFont="1" applyBorder="1"/>
    <xf numFmtId="0" fontId="32" fillId="0" borderId="20" xfId="10" applyFont="1" applyBorder="1"/>
    <xf numFmtId="0" fontId="32" fillId="0" borderId="20" xfId="10" applyFont="1" applyBorder="1" applyAlignment="1">
      <alignment vertical="center"/>
    </xf>
    <xf numFmtId="0" fontId="32" fillId="0" borderId="12" xfId="10" applyFont="1" applyBorder="1" applyAlignment="1">
      <alignment horizontal="left" wrapText="1"/>
    </xf>
    <xf numFmtId="0" fontId="32" fillId="0" borderId="12" xfId="10" applyFont="1" applyBorder="1" applyAlignment="1">
      <alignment horizontal="left" vertical="center" wrapText="1"/>
    </xf>
    <xf numFmtId="0" fontId="32" fillId="0" borderId="30" xfId="10" applyFont="1" applyBorder="1" applyAlignment="1">
      <alignment horizontal="left" vertical="center" wrapText="1"/>
    </xf>
    <xf numFmtId="0" fontId="15" fillId="0" borderId="25" xfId="9" applyFont="1" applyBorder="1" applyAlignment="1">
      <alignment vertical="top"/>
    </xf>
    <xf numFmtId="0" fontId="15" fillId="0" borderId="18" xfId="9" applyFont="1" applyBorder="1" applyAlignment="1">
      <alignment vertical="top"/>
    </xf>
    <xf numFmtId="0" fontId="24" fillId="0" borderId="5" xfId="6" applyFont="1" applyFill="1" applyBorder="1" applyAlignment="1">
      <alignment horizontal="center" vertical="top" wrapText="1"/>
    </xf>
    <xf numFmtId="0" fontId="32" fillId="0" borderId="18" xfId="9" applyFont="1" applyBorder="1" applyAlignment="1">
      <alignment vertical="top" wrapText="1"/>
    </xf>
    <xf numFmtId="4" fontId="32" fillId="0" borderId="25" xfId="9" applyNumberFormat="1" applyFont="1" applyBorder="1" applyAlignment="1">
      <alignment vertical="center"/>
    </xf>
    <xf numFmtId="0" fontId="32" fillId="0" borderId="2" xfId="9" applyFont="1" applyBorder="1" applyAlignment="1">
      <alignment vertical="top"/>
    </xf>
    <xf numFmtId="0" fontId="32" fillId="0" borderId="19" xfId="9" applyFont="1" applyBorder="1" applyAlignment="1">
      <alignment vertical="top"/>
    </xf>
    <xf numFmtId="0" fontId="32" fillId="0" borderId="16" xfId="9" applyFont="1" applyBorder="1" applyAlignment="1">
      <alignment vertical="center" wrapText="1"/>
    </xf>
    <xf numFmtId="3" fontId="32" fillId="0" borderId="13" xfId="9" applyNumberFormat="1" applyFont="1" applyBorder="1"/>
    <xf numFmtId="0" fontId="32" fillId="0" borderId="4" xfId="9" applyFont="1" applyBorder="1" applyAlignment="1">
      <alignment vertical="top"/>
    </xf>
    <xf numFmtId="0" fontId="32" fillId="0" borderId="0" xfId="9" applyFont="1" applyAlignment="1">
      <alignment vertical="top"/>
    </xf>
    <xf numFmtId="0" fontId="32" fillId="0" borderId="28" xfId="9" applyFont="1" applyBorder="1" applyAlignment="1">
      <alignment vertical="center" wrapText="1"/>
    </xf>
    <xf numFmtId="3" fontId="32" fillId="0" borderId="14" xfId="9" applyNumberFormat="1" applyFont="1" applyBorder="1"/>
    <xf numFmtId="0" fontId="32" fillId="0" borderId="6" xfId="9" applyFont="1" applyBorder="1" applyAlignment="1">
      <alignment vertical="top"/>
    </xf>
    <xf numFmtId="0" fontId="32" fillId="0" borderId="26" xfId="9" applyFont="1" applyBorder="1" applyAlignment="1">
      <alignment vertical="top"/>
    </xf>
    <xf numFmtId="0" fontId="32" fillId="0" borderId="30" xfId="9" applyFont="1" applyBorder="1" applyAlignment="1">
      <alignment vertical="center" wrapText="1"/>
    </xf>
    <xf numFmtId="3" fontId="32" fillId="0" borderId="15" xfId="9" applyNumberFormat="1" applyFont="1" applyBorder="1"/>
    <xf numFmtId="0" fontId="32" fillId="0" borderId="5" xfId="10" applyFont="1" applyBorder="1" applyAlignment="1">
      <alignment vertical="top"/>
    </xf>
    <xf numFmtId="0" fontId="24" fillId="0" borderId="6" xfId="6" applyFont="1" applyFill="1" applyBorder="1" applyAlignment="1">
      <alignment horizontal="center" vertical="top"/>
    </xf>
    <xf numFmtId="0" fontId="32" fillId="0" borderId="6" xfId="10" applyFont="1" applyBorder="1" applyAlignment="1">
      <alignment vertical="top"/>
    </xf>
    <xf numFmtId="4" fontId="32" fillId="0" borderId="5" xfId="10" applyNumberFormat="1" applyFont="1" applyBorder="1"/>
    <xf numFmtId="0" fontId="32" fillId="0" borderId="1" xfId="10" applyFont="1" applyBorder="1" applyAlignment="1">
      <alignment vertical="top"/>
    </xf>
    <xf numFmtId="0" fontId="32" fillId="0" borderId="21" xfId="10" applyFont="1" applyBorder="1" applyAlignment="1">
      <alignment vertical="top"/>
    </xf>
    <xf numFmtId="0" fontId="24" fillId="0" borderId="19" xfId="6" applyFont="1" applyFill="1" applyBorder="1" applyAlignment="1">
      <alignment horizontal="center" vertical="top"/>
    </xf>
    <xf numFmtId="0" fontId="32" fillId="0" borderId="1" xfId="10" applyFont="1" applyBorder="1" applyAlignment="1">
      <alignment horizontal="right" vertical="top"/>
    </xf>
    <xf numFmtId="0" fontId="32" fillId="0" borderId="21" xfId="10" applyFont="1" applyBorder="1" applyAlignment="1">
      <alignment horizontal="right" vertical="top"/>
    </xf>
    <xf numFmtId="0" fontId="32" fillId="0" borderId="18" xfId="10" applyFont="1" applyBorder="1" applyAlignment="1">
      <alignment wrapText="1"/>
    </xf>
    <xf numFmtId="49" fontId="6" fillId="0" borderId="1" xfId="10" applyNumberFormat="1" applyFont="1" applyBorder="1" applyAlignment="1">
      <alignment horizontal="right"/>
    </xf>
    <xf numFmtId="0" fontId="6" fillId="0" borderId="1" xfId="10" applyFont="1" applyBorder="1" applyAlignment="1">
      <alignment horizontal="right" vertical="top"/>
    </xf>
    <xf numFmtId="0" fontId="6" fillId="0" borderId="21" xfId="10" applyFont="1" applyBorder="1" applyAlignment="1">
      <alignment horizontal="right" vertical="top"/>
    </xf>
    <xf numFmtId="0" fontId="16" fillId="0" borderId="19" xfId="6" applyFont="1" applyFill="1" applyBorder="1" applyAlignment="1">
      <alignment horizontal="center" vertical="top"/>
    </xf>
    <xf numFmtId="0" fontId="6" fillId="0" borderId="18" xfId="10" applyFont="1" applyBorder="1" applyAlignment="1">
      <alignment wrapText="1"/>
    </xf>
    <xf numFmtId="0" fontId="24" fillId="0" borderId="18" xfId="6" applyFont="1" applyFill="1" applyBorder="1" applyAlignment="1">
      <alignment horizontal="center" vertical="top" wrapText="1"/>
    </xf>
    <xf numFmtId="0" fontId="24" fillId="0" borderId="18" xfId="6" applyFont="1" applyFill="1" applyBorder="1" applyAlignment="1">
      <alignment horizontal="center" wrapText="1"/>
    </xf>
    <xf numFmtId="0" fontId="6" fillId="0" borderId="25" xfId="10" quotePrefix="1" applyFont="1" applyBorder="1" applyAlignment="1">
      <alignment horizontal="right" vertical="top"/>
    </xf>
    <xf numFmtId="0" fontId="6" fillId="0" borderId="25" xfId="10" applyFont="1" applyBorder="1" applyAlignment="1">
      <alignment vertical="top"/>
    </xf>
    <xf numFmtId="0" fontId="16" fillId="0" borderId="18" xfId="6" applyFont="1" applyFill="1" applyBorder="1" applyAlignment="1">
      <alignment horizontal="center" vertical="top"/>
    </xf>
    <xf numFmtId="0" fontId="6" fillId="0" borderId="18" xfId="10" quotePrefix="1" applyFont="1" applyBorder="1" applyAlignment="1">
      <alignment vertical="top" wrapText="1"/>
    </xf>
    <xf numFmtId="4" fontId="6" fillId="0" borderId="25" xfId="10" applyNumberFormat="1" applyFont="1" applyBorder="1" applyAlignment="1">
      <alignment horizontal="right" vertical="center"/>
    </xf>
    <xf numFmtId="0" fontId="32" fillId="0" borderId="25" xfId="10" quotePrefix="1" applyFont="1" applyBorder="1" applyAlignment="1">
      <alignment horizontal="right" vertical="top"/>
    </xf>
    <xf numFmtId="0" fontId="32" fillId="0" borderId="18" xfId="10" quotePrefix="1" applyFont="1" applyBorder="1" applyAlignment="1">
      <alignment vertical="top" wrapText="1"/>
    </xf>
    <xf numFmtId="0" fontId="32" fillId="0" borderId="25" xfId="10" applyFont="1" applyBorder="1"/>
    <xf numFmtId="0" fontId="24" fillId="0" borderId="18" xfId="6" applyFont="1" applyFill="1" applyBorder="1" applyAlignment="1">
      <alignment horizontal="center"/>
    </xf>
    <xf numFmtId="0" fontId="32" fillId="0" borderId="18" xfId="10" applyFont="1" applyBorder="1" applyAlignment="1">
      <alignment vertical="center" wrapText="1"/>
    </xf>
    <xf numFmtId="0" fontId="32" fillId="0" borderId="18" xfId="10" applyFont="1" applyBorder="1" applyAlignment="1">
      <alignment vertical="top"/>
    </xf>
    <xf numFmtId="0" fontId="24" fillId="0" borderId="20" xfId="6" applyFont="1" applyFill="1" applyBorder="1" applyAlignment="1">
      <alignment horizontal="center" vertical="center"/>
    </xf>
    <xf numFmtId="4" fontId="24" fillId="0" borderId="0" xfId="10" applyNumberFormat="1" applyFont="1" applyAlignment="1">
      <alignment vertical="center"/>
    </xf>
    <xf numFmtId="0" fontId="24" fillId="0" borderId="18" xfId="6" applyFont="1" applyFill="1" applyBorder="1" applyAlignment="1">
      <alignment horizontal="center" vertical="center" wrapText="1"/>
    </xf>
    <xf numFmtId="0" fontId="32" fillId="0" borderId="21" xfId="10" applyFont="1" applyBorder="1"/>
    <xf numFmtId="0" fontId="32" fillId="0" borderId="16" xfId="10" applyFont="1" applyBorder="1" applyAlignment="1">
      <alignment vertical="center" wrapText="1"/>
    </xf>
    <xf numFmtId="0" fontId="32" fillId="0" borderId="22" xfId="10" applyFont="1" applyBorder="1"/>
    <xf numFmtId="0" fontId="24" fillId="0" borderId="22" xfId="6" applyFont="1" applyFill="1" applyBorder="1" applyAlignment="1">
      <alignment horizontal="center" vertical="top"/>
    </xf>
    <xf numFmtId="0" fontId="32" fillId="0" borderId="27" xfId="10" applyFont="1" applyBorder="1" applyAlignment="1">
      <alignment horizontal="left" wrapText="1"/>
    </xf>
    <xf numFmtId="0" fontId="36" fillId="0" borderId="0" xfId="10" applyFont="1"/>
    <xf numFmtId="0" fontId="24" fillId="0" borderId="0" xfId="6" applyFont="1" applyFill="1" applyBorder="1" applyAlignment="1">
      <alignment horizontal="center" vertical="top"/>
    </xf>
    <xf numFmtId="4" fontId="32" fillId="0" borderId="11" xfId="10" applyNumberFormat="1" applyFont="1" applyBorder="1"/>
    <xf numFmtId="0" fontId="32" fillId="0" borderId="27" xfId="10" applyFont="1" applyBorder="1" applyAlignment="1">
      <alignment horizontal="left" vertical="center" wrapText="1"/>
    </xf>
    <xf numFmtId="0" fontId="32" fillId="0" borderId="24" xfId="10" applyFont="1" applyBorder="1"/>
    <xf numFmtId="0" fontId="24" fillId="0" borderId="26" xfId="6" applyFont="1" applyFill="1" applyBorder="1" applyAlignment="1">
      <alignment horizontal="center" vertical="top"/>
    </xf>
    <xf numFmtId="0" fontId="32" fillId="0" borderId="6" xfId="10" applyFont="1" applyBorder="1" applyAlignment="1">
      <alignment horizontal="left" wrapText="1"/>
    </xf>
    <xf numFmtId="0" fontId="32" fillId="0" borderId="16" xfId="10" applyFont="1" applyBorder="1" applyAlignment="1">
      <alignment horizontal="left" vertical="center" wrapText="1"/>
    </xf>
    <xf numFmtId="0" fontId="32" fillId="0" borderId="12" xfId="10" applyFont="1" applyBorder="1"/>
    <xf numFmtId="0" fontId="32" fillId="0" borderId="6" xfId="10" applyFont="1" applyBorder="1" applyAlignment="1">
      <alignment vertical="center" wrapText="1"/>
    </xf>
    <xf numFmtId="0" fontId="32" fillId="0" borderId="31" xfId="10" applyFont="1" applyBorder="1" applyAlignment="1">
      <alignment vertical="center" wrapText="1"/>
    </xf>
    <xf numFmtId="4" fontId="32" fillId="0" borderId="32" xfId="10" applyNumberFormat="1" applyFont="1" applyBorder="1"/>
    <xf numFmtId="0" fontId="24" fillId="0" borderId="25" xfId="6" applyFont="1" applyFill="1" applyBorder="1" applyAlignment="1">
      <alignment horizontal="center"/>
    </xf>
    <xf numFmtId="0" fontId="32" fillId="0" borderId="23" xfId="10" applyFont="1" applyBorder="1"/>
    <xf numFmtId="0" fontId="32" fillId="0" borderId="20" xfId="10" applyFont="1" applyBorder="1" applyAlignment="1">
      <alignment horizontal="left" vertical="center" wrapText="1"/>
    </xf>
    <xf numFmtId="0" fontId="15" fillId="0" borderId="16" xfId="10" applyFont="1" applyBorder="1"/>
    <xf numFmtId="0" fontId="24" fillId="0" borderId="0" xfId="6" quotePrefix="1" applyFont="1" applyFill="1" applyBorder="1" applyAlignment="1">
      <alignment horizontal="center" vertical="top"/>
    </xf>
    <xf numFmtId="0" fontId="15" fillId="0" borderId="12" xfId="10" applyFont="1" applyBorder="1"/>
    <xf numFmtId="0" fontId="15" fillId="0" borderId="27" xfId="10" applyFont="1" applyBorder="1"/>
    <xf numFmtId="0" fontId="24" fillId="0" borderId="22" xfId="6" quotePrefix="1" applyFont="1" applyFill="1" applyBorder="1" applyAlignment="1">
      <alignment horizontal="center" vertical="top"/>
    </xf>
    <xf numFmtId="0" fontId="32" fillId="0" borderId="27" xfId="10" applyFont="1" applyBorder="1" applyAlignment="1">
      <alignment wrapText="1"/>
    </xf>
    <xf numFmtId="0" fontId="32" fillId="0" borderId="12" xfId="10" applyFont="1" applyBorder="1" applyAlignment="1">
      <alignment vertical="center" wrapText="1"/>
    </xf>
    <xf numFmtId="0" fontId="16" fillId="0" borderId="0" xfId="6" quotePrefix="1" applyFont="1" applyFill="1" applyBorder="1" applyAlignment="1">
      <alignment horizontal="center" vertical="top"/>
    </xf>
    <xf numFmtId="0" fontId="32" fillId="0" borderId="6" xfId="10" applyFont="1" applyBorder="1" applyAlignment="1">
      <alignment horizontal="left" vertical="center" wrapText="1"/>
    </xf>
    <xf numFmtId="0" fontId="16" fillId="0" borderId="0" xfId="6" applyFont="1" applyFill="1" applyBorder="1" applyAlignment="1">
      <alignment horizontal="center" vertical="top"/>
    </xf>
    <xf numFmtId="0" fontId="24" fillId="0" borderId="19" xfId="6" quotePrefix="1" applyFont="1" applyFill="1" applyBorder="1" applyAlignment="1">
      <alignment horizontal="center" vertical="top"/>
    </xf>
    <xf numFmtId="0" fontId="24" fillId="0" borderId="26" xfId="6" quotePrefix="1" applyFont="1" applyFill="1" applyBorder="1" applyAlignment="1">
      <alignment horizontal="center" vertical="top"/>
    </xf>
    <xf numFmtId="0" fontId="32" fillId="0" borderId="29" xfId="10" applyFont="1" applyBorder="1" applyAlignment="1">
      <alignment horizontal="left" vertical="center" wrapText="1"/>
    </xf>
    <xf numFmtId="0" fontId="32" fillId="0" borderId="5" xfId="10" applyFont="1" applyBorder="1"/>
    <xf numFmtId="0" fontId="32" fillId="0" borderId="20" xfId="10" applyFont="1" applyBorder="1" applyAlignment="1">
      <alignment vertical="top" wrapText="1"/>
    </xf>
    <xf numFmtId="0" fontId="32" fillId="0" borderId="15" xfId="10" applyFont="1" applyBorder="1" applyAlignment="1">
      <alignment vertical="center" wrapText="1"/>
    </xf>
    <xf numFmtId="0" fontId="32" fillId="0" borderId="33" xfId="10" applyFont="1" applyBorder="1" applyAlignment="1">
      <alignment vertical="center" wrapText="1"/>
    </xf>
    <xf numFmtId="0" fontId="32" fillId="0" borderId="18" xfId="10" applyFont="1" applyBorder="1" applyAlignment="1">
      <alignment horizontal="left" vertical="top" wrapText="1"/>
    </xf>
    <xf numFmtId="0" fontId="32" fillId="0" borderId="34" xfId="10" applyFont="1" applyBorder="1" applyAlignment="1">
      <alignment vertical="top" wrapText="1"/>
    </xf>
    <xf numFmtId="0" fontId="23" fillId="0" borderId="18" xfId="10" applyFont="1" applyBorder="1" applyAlignment="1">
      <alignment horizontal="center" vertical="center"/>
    </xf>
    <xf numFmtId="0" fontId="23" fillId="0" borderId="20" xfId="10" applyFont="1" applyBorder="1" applyAlignment="1">
      <alignment horizontal="center" vertical="center"/>
    </xf>
    <xf numFmtId="4" fontId="33" fillId="0" borderId="25" xfId="10" applyNumberFormat="1" applyFont="1" applyBorder="1" applyAlignment="1">
      <alignment vertical="center"/>
    </xf>
    <xf numFmtId="3" fontId="24" fillId="0" borderId="0" xfId="10" applyNumberFormat="1" applyFont="1"/>
    <xf numFmtId="0" fontId="20" fillId="0" borderId="0" xfId="7" applyFont="1" applyAlignment="1">
      <alignment vertical="center"/>
    </xf>
    <xf numFmtId="0" fontId="8" fillId="0" borderId="0" xfId="7" applyFont="1" applyAlignment="1">
      <alignment horizontal="centerContinuous" vertical="center"/>
    </xf>
    <xf numFmtId="0" fontId="21" fillId="0" borderId="0" xfId="7" applyFont="1" applyAlignment="1">
      <alignment horizontal="centerContinuous" vertical="center" wrapText="1"/>
    </xf>
    <xf numFmtId="0" fontId="8" fillId="0" borderId="0" xfId="7" applyFont="1" applyAlignment="1">
      <alignment horizontal="left" vertical="center"/>
    </xf>
    <xf numFmtId="0" fontId="21" fillId="0" borderId="0" xfId="7" applyFont="1" applyAlignment="1">
      <alignment horizontal="left" vertical="center" wrapText="1"/>
    </xf>
    <xf numFmtId="0" fontId="22" fillId="0" borderId="0" xfId="7" applyFont="1" applyAlignment="1">
      <alignment horizontal="center" vertical="center"/>
    </xf>
    <xf numFmtId="0" fontId="23" fillId="2" borderId="25" xfId="7" applyFont="1" applyFill="1" applyBorder="1" applyAlignment="1">
      <alignment horizontal="center" vertical="center"/>
    </xf>
    <xf numFmtId="0" fontId="23" fillId="2" borderId="25" xfId="7" applyFont="1" applyFill="1" applyBorder="1" applyAlignment="1">
      <alignment horizontal="center" vertical="center" wrapText="1"/>
    </xf>
    <xf numFmtId="0" fontId="24" fillId="0" borderId="0" xfId="7" applyFont="1"/>
    <xf numFmtId="0" fontId="24" fillId="0" borderId="0" xfId="7" applyFont="1" applyAlignment="1">
      <alignment vertical="center"/>
    </xf>
    <xf numFmtId="0" fontId="10" fillId="0" borderId="25" xfId="7" applyFont="1" applyBorder="1" applyAlignment="1">
      <alignment horizontal="center" vertical="center"/>
    </xf>
    <xf numFmtId="0" fontId="22" fillId="0" borderId="0" xfId="7" applyFont="1"/>
    <xf numFmtId="0" fontId="22" fillId="0" borderId="0" xfId="7" applyFont="1" applyAlignment="1">
      <alignment vertical="center"/>
    </xf>
    <xf numFmtId="0" fontId="24" fillId="0" borderId="3" xfId="7" applyFont="1" applyBorder="1" applyAlignment="1">
      <alignment horizontal="center" vertical="center"/>
    </xf>
    <xf numFmtId="0" fontId="24" fillId="0" borderId="3" xfId="7" applyFont="1" applyBorder="1" applyAlignment="1">
      <alignment vertical="center"/>
    </xf>
    <xf numFmtId="49" fontId="24" fillId="0" borderId="3" xfId="7" applyNumberFormat="1" applyFont="1" applyBorder="1" applyAlignment="1">
      <alignment horizontal="center" vertical="center"/>
    </xf>
    <xf numFmtId="49" fontId="24" fillId="0" borderId="5" xfId="7" applyNumberFormat="1" applyFont="1" applyBorder="1" applyAlignment="1">
      <alignment horizontal="center" vertical="center"/>
    </xf>
    <xf numFmtId="4" fontId="25" fillId="0" borderId="5" xfId="7" applyNumberFormat="1" applyFont="1" applyBorder="1" applyAlignment="1">
      <alignment vertical="center"/>
    </xf>
    <xf numFmtId="4" fontId="24" fillId="0" borderId="5" xfId="7" applyNumberFormat="1" applyFont="1" applyBorder="1" applyAlignment="1">
      <alignment horizontal="center" vertical="center"/>
    </xf>
    <xf numFmtId="0" fontId="25" fillId="0" borderId="3" xfId="7" applyFont="1" applyBorder="1" applyAlignment="1">
      <alignment horizontal="center" vertical="center"/>
    </xf>
    <xf numFmtId="0" fontId="26" fillId="0" borderId="0" xfId="7" applyFont="1" applyAlignment="1">
      <alignment wrapText="1"/>
    </xf>
    <xf numFmtId="49" fontId="24" fillId="0" borderId="25" xfId="7" applyNumberFormat="1" applyFont="1" applyBorder="1" applyAlignment="1">
      <alignment horizontal="center" vertical="center"/>
    </xf>
    <xf numFmtId="4" fontId="24" fillId="0" borderId="25" xfId="7" applyNumberFormat="1" applyFont="1" applyBorder="1" applyAlignment="1">
      <alignment horizontal="center" vertical="center"/>
    </xf>
    <xf numFmtId="4" fontId="25" fillId="0" borderId="25" xfId="7" applyNumberFormat="1" applyFont="1" applyBorder="1" applyAlignment="1">
      <alignment vertical="center"/>
    </xf>
    <xf numFmtId="0" fontId="26" fillId="0" borderId="0" xfId="7" applyFont="1"/>
    <xf numFmtId="4" fontId="24" fillId="0" borderId="3" xfId="7" applyNumberFormat="1" applyFont="1" applyBorder="1" applyAlignment="1">
      <alignment horizontal="center" vertical="center"/>
    </xf>
    <xf numFmtId="4" fontId="24" fillId="0" borderId="3" xfId="7" applyNumberFormat="1" applyFont="1" applyBorder="1" applyAlignment="1">
      <alignment vertical="center"/>
    </xf>
    <xf numFmtId="0" fontId="24" fillId="0" borderId="5" xfId="7" applyFont="1" applyBorder="1" applyAlignment="1">
      <alignment horizontal="center" vertical="center"/>
    </xf>
    <xf numFmtId="0" fontId="24" fillId="0" borderId="5" xfId="7" applyFont="1" applyBorder="1" applyAlignment="1">
      <alignment vertical="center"/>
    </xf>
    <xf numFmtId="49" fontId="24" fillId="0" borderId="24" xfId="7" applyNumberFormat="1" applyFont="1" applyBorder="1" applyAlignment="1">
      <alignment horizontal="center" vertical="center"/>
    </xf>
    <xf numFmtId="4" fontId="24" fillId="0" borderId="5" xfId="7" applyNumberFormat="1" applyFont="1" applyBorder="1" applyAlignment="1">
      <alignment vertical="center"/>
    </xf>
    <xf numFmtId="0" fontId="26" fillId="0" borderId="0" xfId="7" applyFont="1" applyAlignment="1">
      <alignment vertical="center" wrapText="1"/>
    </xf>
    <xf numFmtId="49" fontId="24" fillId="0" borderId="22" xfId="7" applyNumberFormat="1" applyFont="1" applyBorder="1" applyAlignment="1">
      <alignment horizontal="center" vertical="center"/>
    </xf>
    <xf numFmtId="4" fontId="25" fillId="0" borderId="5" xfId="7" applyNumberFormat="1" applyFont="1" applyBorder="1" applyAlignment="1">
      <alignment horizontal="right" vertical="center"/>
    </xf>
    <xf numFmtId="49" fontId="24" fillId="0" borderId="1" xfId="7" applyNumberFormat="1" applyFont="1" applyBorder="1" applyAlignment="1">
      <alignment horizontal="center" vertical="center"/>
    </xf>
    <xf numFmtId="4" fontId="24" fillId="0" borderId="1" xfId="7" applyNumberFormat="1" applyFont="1" applyBorder="1" applyAlignment="1">
      <alignment horizontal="right" vertical="center"/>
    </xf>
    <xf numFmtId="4" fontId="24" fillId="0" borderId="1" xfId="7" applyNumberFormat="1" applyFont="1" applyBorder="1" applyAlignment="1">
      <alignment horizontal="center" vertical="center"/>
    </xf>
    <xf numFmtId="4" fontId="24" fillId="0" borderId="1" xfId="7" applyNumberFormat="1" applyFont="1" applyBorder="1" applyAlignment="1">
      <alignment vertical="center"/>
    </xf>
    <xf numFmtId="4" fontId="25" fillId="0" borderId="25" xfId="7" applyNumberFormat="1" applyFont="1" applyBorder="1" applyAlignment="1">
      <alignment horizontal="right" vertical="center"/>
    </xf>
    <xf numFmtId="0" fontId="25" fillId="0" borderId="5" xfId="7" applyFont="1" applyBorder="1" applyAlignment="1">
      <alignment horizontal="center" vertical="center"/>
    </xf>
    <xf numFmtId="4" fontId="27" fillId="0" borderId="0" xfId="7" applyNumberFormat="1" applyFont="1"/>
    <xf numFmtId="4" fontId="14" fillId="0" borderId="0" xfId="7" applyNumberFormat="1" applyFont="1"/>
    <xf numFmtId="4" fontId="28" fillId="0" borderId="0" xfId="7" applyNumberFormat="1" applyFont="1"/>
    <xf numFmtId="0" fontId="20" fillId="0" borderId="0" xfId="7" applyFont="1"/>
    <xf numFmtId="0" fontId="6" fillId="0" borderId="0" xfId="7" applyFont="1" applyAlignment="1">
      <alignment horizontal="center" vertical="center"/>
    </xf>
    <xf numFmtId="0" fontId="8" fillId="2" borderId="1" xfId="7" applyFont="1" applyFill="1" applyBorder="1" applyAlignment="1">
      <alignment horizontal="center" vertical="center"/>
    </xf>
    <xf numFmtId="0" fontId="8" fillId="2" borderId="2" xfId="7" applyFont="1" applyFill="1" applyBorder="1" applyAlignment="1">
      <alignment horizontal="center" vertical="center"/>
    </xf>
    <xf numFmtId="0" fontId="8" fillId="2" borderId="2" xfId="7" applyFont="1" applyFill="1" applyBorder="1" applyAlignment="1">
      <alignment horizontal="center" vertical="center" wrapText="1"/>
    </xf>
    <xf numFmtId="0" fontId="8" fillId="2" borderId="3" xfId="7" applyFont="1" applyFill="1" applyBorder="1" applyAlignment="1">
      <alignment horizontal="center" vertical="center"/>
    </xf>
    <xf numFmtId="0" fontId="8" fillId="2" borderId="5" xfId="7" applyFont="1" applyFill="1" applyBorder="1" applyAlignment="1">
      <alignment horizontal="center" vertical="center"/>
    </xf>
    <xf numFmtId="0" fontId="37" fillId="2" borderId="25" xfId="7" applyFont="1" applyFill="1" applyBorder="1" applyAlignment="1">
      <alignment horizontal="center" vertical="center"/>
    </xf>
    <xf numFmtId="0" fontId="38" fillId="0" borderId="5" xfId="7" applyFont="1" applyBorder="1" applyAlignment="1">
      <alignment vertical="center"/>
    </xf>
    <xf numFmtId="0" fontId="38" fillId="0" borderId="5" xfId="7" applyFont="1" applyBorder="1" applyAlignment="1">
      <alignment horizontal="center" vertical="center"/>
    </xf>
    <xf numFmtId="0" fontId="20" fillId="0" borderId="3" xfId="7" applyFont="1" applyBorder="1" applyAlignment="1">
      <alignment vertical="center"/>
    </xf>
    <xf numFmtId="0" fontId="20" fillId="0" borderId="1" xfId="7" applyFont="1" applyBorder="1" applyAlignment="1">
      <alignment horizontal="left" vertical="center" indent="2"/>
    </xf>
    <xf numFmtId="0" fontId="20" fillId="0" borderId="3" xfId="7" applyFont="1" applyBorder="1" applyAlignment="1">
      <alignment horizontal="left" vertical="center" indent="2"/>
    </xf>
    <xf numFmtId="0" fontId="20" fillId="0" borderId="3" xfId="7" applyFont="1" applyBorder="1" applyAlignment="1">
      <alignment vertical="top"/>
    </xf>
    <xf numFmtId="0" fontId="20" fillId="0" borderId="3" xfId="7" applyFont="1" applyBorder="1" applyAlignment="1">
      <alignment horizontal="left" vertical="top" wrapText="1" indent="2"/>
    </xf>
    <xf numFmtId="0" fontId="20" fillId="0" borderId="3" xfId="7" applyFont="1" applyBorder="1" applyAlignment="1">
      <alignment horizontal="center" vertical="top" wrapText="1"/>
    </xf>
    <xf numFmtId="0" fontId="38" fillId="0" borderId="25" xfId="7" applyFont="1" applyBorder="1" applyAlignment="1">
      <alignment horizontal="center"/>
    </xf>
    <xf numFmtId="0" fontId="20" fillId="0" borderId="25" xfId="7" applyFont="1" applyBorder="1" applyAlignment="1">
      <alignment horizontal="left" vertical="center" indent="2"/>
    </xf>
    <xf numFmtId="0" fontId="20" fillId="0" borderId="3" xfId="7" applyFont="1" applyBorder="1" applyAlignment="1">
      <alignment horizontal="left" vertical="center" wrapText="1" indent="2"/>
    </xf>
    <xf numFmtId="0" fontId="20" fillId="0" borderId="5" xfId="7" applyFont="1" applyBorder="1" applyAlignment="1">
      <alignment vertical="center"/>
    </xf>
    <xf numFmtId="0" fontId="20" fillId="0" borderId="5" xfId="7" applyFont="1" applyBorder="1" applyAlignment="1">
      <alignment horizontal="left" vertical="center" indent="2"/>
    </xf>
    <xf numFmtId="0" fontId="16" fillId="0" borderId="0" xfId="7" applyFont="1"/>
    <xf numFmtId="0" fontId="1" fillId="0" borderId="0" xfId="7" applyFont="1"/>
    <xf numFmtId="0" fontId="1" fillId="0" borderId="0" xfId="7" applyFont="1" applyAlignment="1">
      <alignment horizontal="centerContinuous"/>
    </xf>
    <xf numFmtId="0" fontId="12" fillId="0" borderId="12" xfId="7" applyFont="1" applyBorder="1" applyAlignment="1">
      <alignment vertical="center" wrapText="1"/>
    </xf>
    <xf numFmtId="4" fontId="12" fillId="0" borderId="11" xfId="7" applyNumberFormat="1" applyFont="1" applyBorder="1"/>
    <xf numFmtId="4" fontId="12" fillId="0" borderId="11" xfId="7" applyNumberFormat="1" applyFont="1" applyBorder="1" applyAlignment="1">
      <alignment horizontal="right"/>
    </xf>
    <xf numFmtId="0" fontId="12" fillId="0" borderId="13" xfId="7" applyFont="1" applyBorder="1" applyAlignment="1">
      <alignment horizontal="left"/>
    </xf>
    <xf numFmtId="0" fontId="12" fillId="0" borderId="12" xfId="7" applyFont="1" applyBorder="1" applyAlignment="1">
      <alignment vertical="center"/>
    </xf>
    <xf numFmtId="0" fontId="12" fillId="0" borderId="11" xfId="7" applyFont="1" applyBorder="1" applyAlignment="1">
      <alignment vertical="center" wrapText="1"/>
    </xf>
    <xf numFmtId="0" fontId="6" fillId="0" borderId="12" xfId="7" applyFont="1" applyBorder="1"/>
    <xf numFmtId="4" fontId="6" fillId="0" borderId="11" xfId="7" applyNumberFormat="1" applyFont="1" applyBorder="1"/>
    <xf numFmtId="0" fontId="12" fillId="0" borderId="11" xfId="7" applyFont="1" applyBorder="1"/>
    <xf numFmtId="0" fontId="12" fillId="0" borderId="11" xfId="2" applyFont="1" applyBorder="1"/>
    <xf numFmtId="0" fontId="12" fillId="0" borderId="12" xfId="7" applyFont="1" applyBorder="1"/>
    <xf numFmtId="4" fontId="6" fillId="0" borderId="11" xfId="7" applyNumberFormat="1" applyFont="1" applyBorder="1" applyAlignment="1">
      <alignment vertical="center"/>
    </xf>
    <xf numFmtId="4" fontId="6" fillId="0" borderId="11" xfId="7" applyNumberFormat="1" applyFont="1" applyBorder="1" applyAlignment="1">
      <alignment horizontal="right" vertical="center"/>
    </xf>
    <xf numFmtId="4" fontId="12" fillId="0" borderId="11" xfId="7" applyNumberFormat="1" applyFont="1" applyBorder="1" applyAlignment="1">
      <alignment vertical="center"/>
    </xf>
    <xf numFmtId="0" fontId="12" fillId="0" borderId="11" xfId="8" applyFont="1" applyBorder="1"/>
    <xf numFmtId="4" fontId="12" fillId="0" borderId="11" xfId="2" applyNumberFormat="1" applyFont="1" applyBorder="1" applyAlignment="1">
      <alignment horizontal="right"/>
    </xf>
    <xf numFmtId="4" fontId="6" fillId="0" borderId="11" xfId="7" applyNumberFormat="1" applyFont="1" applyBorder="1" applyAlignment="1">
      <alignment horizontal="right"/>
    </xf>
    <xf numFmtId="0" fontId="6" fillId="0" borderId="11" xfId="7" applyFont="1" applyBorder="1"/>
    <xf numFmtId="0" fontId="13" fillId="0" borderId="12" xfId="2" applyFont="1" applyBorder="1" applyAlignment="1">
      <alignment wrapText="1"/>
    </xf>
    <xf numFmtId="0" fontId="16" fillId="0" borderId="12" xfId="7" applyFont="1" applyBorder="1" applyAlignment="1">
      <alignment wrapText="1"/>
    </xf>
    <xf numFmtId="0" fontId="16" fillId="0" borderId="11" xfId="2" applyFont="1" applyBorder="1"/>
    <xf numFmtId="0" fontId="6" fillId="0" borderId="12" xfId="7" applyFont="1" applyBorder="1" applyAlignment="1">
      <alignment wrapText="1"/>
    </xf>
    <xf numFmtId="0" fontId="12" fillId="0" borderId="11" xfId="2" applyFont="1" applyBorder="1" applyAlignment="1">
      <alignment wrapText="1"/>
    </xf>
    <xf numFmtId="0" fontId="6" fillId="0" borderId="11" xfId="2" applyFont="1" applyBorder="1" applyAlignment="1">
      <alignment wrapText="1"/>
    </xf>
    <xf numFmtId="0" fontId="12" fillId="0" borderId="12" xfId="2" applyFont="1" applyBorder="1"/>
    <xf numFmtId="0" fontId="6" fillId="0" borderId="12" xfId="7" applyFont="1" applyBorder="1" applyAlignment="1">
      <alignment vertical="center" wrapText="1"/>
    </xf>
    <xf numFmtId="0" fontId="6" fillId="0" borderId="11" xfId="7" applyFont="1" applyBorder="1" applyAlignment="1">
      <alignment horizontal="left"/>
    </xf>
    <xf numFmtId="0" fontId="6" fillId="0" borderId="11" xfId="2" applyFont="1" applyBorder="1" applyAlignment="1">
      <alignment horizontal="left" wrapText="1"/>
    </xf>
    <xf numFmtId="0" fontId="12" fillId="0" borderId="11" xfId="7" applyFont="1" applyBorder="1" applyAlignment="1">
      <alignment vertical="center"/>
    </xf>
    <xf numFmtId="4" fontId="25" fillId="0" borderId="5" xfId="9" applyNumberFormat="1" applyFont="1" applyBorder="1" applyAlignment="1">
      <alignment vertical="center"/>
    </xf>
    <xf numFmtId="0" fontId="15" fillId="0" borderId="18" xfId="10" applyFont="1" applyBorder="1" applyAlignment="1">
      <alignment horizontal="left"/>
    </xf>
    <xf numFmtId="0" fontId="15" fillId="0" borderId="20" xfId="10" applyFont="1" applyBorder="1" applyAlignment="1">
      <alignment horizontal="centerContinuous"/>
    </xf>
    <xf numFmtId="0" fontId="15" fillId="0" borderId="20" xfId="10" applyFont="1" applyBorder="1" applyAlignment="1">
      <alignment horizontal="center" vertical="top"/>
    </xf>
    <xf numFmtId="0" fontId="15" fillId="0" borderId="20" xfId="10" applyFont="1" applyBorder="1" applyAlignment="1">
      <alignment horizontal="center"/>
    </xf>
    <xf numFmtId="4" fontId="15" fillId="0" borderId="25" xfId="10" applyNumberFormat="1" applyFont="1" applyBorder="1"/>
    <xf numFmtId="0" fontId="23" fillId="0" borderId="20" xfId="10" applyFont="1" applyBorder="1" applyAlignment="1">
      <alignment horizontal="centerContinuous" vertical="center"/>
    </xf>
    <xf numFmtId="0" fontId="23" fillId="0" borderId="20" xfId="10" applyFont="1" applyBorder="1" applyAlignment="1">
      <alignment horizontal="center" vertical="top"/>
    </xf>
    <xf numFmtId="0" fontId="33" fillId="0" borderId="20" xfId="10" applyFont="1" applyBorder="1" applyAlignment="1">
      <alignment horizontal="center" vertical="center"/>
    </xf>
    <xf numFmtId="0" fontId="15" fillId="0" borderId="0" xfId="10" applyFont="1" applyAlignment="1">
      <alignment vertical="center"/>
    </xf>
    <xf numFmtId="0" fontId="15" fillId="0" borderId="18" xfId="10" applyFont="1" applyBorder="1" applyAlignment="1">
      <alignment horizontal="center" vertical="center"/>
    </xf>
    <xf numFmtId="0" fontId="15" fillId="0" borderId="20" xfId="10" applyFont="1" applyBorder="1" applyAlignment="1">
      <alignment horizontal="center" vertical="center"/>
    </xf>
    <xf numFmtId="4" fontId="15" fillId="0" borderId="25" xfId="10" applyNumberFormat="1" applyFont="1" applyBorder="1" applyAlignment="1">
      <alignment vertical="center"/>
    </xf>
    <xf numFmtId="0" fontId="15" fillId="0" borderId="18" xfId="10" applyFont="1" applyBorder="1" applyAlignment="1">
      <alignment horizontal="center"/>
    </xf>
    <xf numFmtId="0" fontId="1" fillId="0" borderId="0" xfId="7" applyFont="1" applyAlignment="1">
      <alignment vertical="center"/>
    </xf>
    <xf numFmtId="0" fontId="38" fillId="0" borderId="32" xfId="7" applyFont="1" applyBorder="1" applyAlignment="1">
      <alignment vertical="center" wrapText="1"/>
    </xf>
    <xf numFmtId="3" fontId="1" fillId="0" borderId="32" xfId="7" applyNumberFormat="1" applyFont="1" applyBorder="1" applyAlignment="1">
      <alignment vertical="center"/>
    </xf>
    <xf numFmtId="0" fontId="1" fillId="0" borderId="3" xfId="7" applyFont="1" applyBorder="1" applyAlignment="1">
      <alignment horizontal="center" vertical="center"/>
    </xf>
    <xf numFmtId="4" fontId="1" fillId="0" borderId="1" xfId="7" applyNumberFormat="1" applyFont="1" applyBorder="1" applyAlignment="1">
      <alignment vertical="center"/>
    </xf>
    <xf numFmtId="4" fontId="1" fillId="0" borderId="3" xfId="7" applyNumberFormat="1" applyFont="1" applyBorder="1" applyAlignment="1">
      <alignment vertical="center"/>
    </xf>
    <xf numFmtId="4" fontId="1" fillId="0" borderId="3" xfId="7" applyNumberFormat="1" applyFont="1" applyBorder="1" applyAlignment="1">
      <alignment vertical="top"/>
    </xf>
    <xf numFmtId="4" fontId="1" fillId="0" borderId="3" xfId="7" applyNumberFormat="1" applyFont="1" applyBorder="1" applyAlignment="1">
      <alignment horizontal="right" vertical="center"/>
    </xf>
    <xf numFmtId="0" fontId="1" fillId="0" borderId="3" xfId="7" applyFont="1" applyBorder="1" applyAlignment="1">
      <alignment horizontal="center" vertical="top"/>
    </xf>
    <xf numFmtId="4" fontId="1" fillId="0" borderId="3" xfId="7" applyNumberFormat="1" applyFont="1" applyBorder="1"/>
    <xf numFmtId="0" fontId="1" fillId="0" borderId="25" xfId="7" applyFont="1" applyBorder="1" applyAlignment="1">
      <alignment vertical="center"/>
    </xf>
    <xf numFmtId="4" fontId="1" fillId="0" borderId="25" xfId="7" applyNumberFormat="1" applyFont="1" applyBorder="1" applyAlignment="1">
      <alignment vertical="center"/>
    </xf>
    <xf numFmtId="0" fontId="1" fillId="0" borderId="5" xfId="7" applyFont="1" applyBorder="1" applyAlignment="1">
      <alignment horizontal="center" vertical="center"/>
    </xf>
    <xf numFmtId="4" fontId="1" fillId="0" borderId="5" xfId="7" applyNumberFormat="1" applyFont="1" applyBorder="1" applyAlignment="1">
      <alignment vertical="center"/>
    </xf>
    <xf numFmtId="4" fontId="1" fillId="0" borderId="5" xfId="7" applyNumberFormat="1" applyFont="1" applyBorder="1" applyAlignment="1">
      <alignment horizontal="right" vertical="center"/>
    </xf>
    <xf numFmtId="0" fontId="1" fillId="3" borderId="5" xfId="7" applyFont="1" applyFill="1" applyBorder="1" applyAlignment="1">
      <alignment vertical="center"/>
    </xf>
    <xf numFmtId="0" fontId="38" fillId="3" borderId="25" xfId="7" applyFont="1" applyFill="1" applyBorder="1" applyAlignment="1">
      <alignment horizontal="left" vertical="center" indent="2"/>
    </xf>
    <xf numFmtId="4" fontId="38" fillId="3" borderId="5" xfId="7" applyNumberFormat="1" applyFont="1" applyFill="1" applyBorder="1" applyAlignment="1">
      <alignment vertical="center"/>
    </xf>
    <xf numFmtId="0" fontId="1" fillId="3" borderId="0" xfId="7" applyFont="1" applyFill="1"/>
    <xf numFmtId="0" fontId="12" fillId="0" borderId="0" xfId="7" applyFont="1"/>
    <xf numFmtId="0" fontId="16" fillId="0" borderId="0" xfId="7" applyFont="1" applyAlignment="1">
      <alignment vertical="center"/>
    </xf>
    <xf numFmtId="4" fontId="40" fillId="0" borderId="3" xfId="7" applyNumberFormat="1" applyFont="1" applyBorder="1" applyAlignment="1">
      <alignment vertical="center"/>
    </xf>
    <xf numFmtId="0" fontId="24" fillId="0" borderId="3" xfId="7" applyFont="1" applyBorder="1"/>
    <xf numFmtId="0" fontId="24" fillId="0" borderId="3" xfId="7" applyFont="1" applyBorder="1" applyAlignment="1">
      <alignment wrapText="1"/>
    </xf>
    <xf numFmtId="0" fontId="24" fillId="0" borderId="5" xfId="7" applyFont="1" applyBorder="1"/>
    <xf numFmtId="4" fontId="40" fillId="0" borderId="5" xfId="7" applyNumberFormat="1" applyFont="1" applyBorder="1" applyAlignment="1">
      <alignment vertical="center"/>
    </xf>
    <xf numFmtId="4" fontId="41" fillId="0" borderId="0" xfId="7" applyNumberFormat="1" applyFont="1"/>
    <xf numFmtId="4" fontId="16" fillId="0" borderId="0" xfId="7" applyNumberFormat="1" applyFont="1"/>
    <xf numFmtId="4" fontId="22" fillId="0" borderId="0" xfId="7" applyNumberFormat="1" applyFont="1"/>
    <xf numFmtId="0" fontId="23" fillId="0" borderId="18" xfId="7" applyFont="1" applyBorder="1" applyAlignment="1">
      <alignment horizontal="center" vertical="center"/>
    </xf>
    <xf numFmtId="0" fontId="39" fillId="0" borderId="20" xfId="7" applyFont="1" applyBorder="1" applyAlignment="1">
      <alignment horizontal="right" vertical="center"/>
    </xf>
    <xf numFmtId="0" fontId="1" fillId="0" borderId="20" xfId="7" applyFont="1" applyBorder="1" applyAlignment="1">
      <alignment horizontal="center" vertical="center"/>
    </xf>
    <xf numFmtId="4" fontId="23" fillId="0" borderId="23" xfId="7" applyNumberFormat="1" applyFont="1" applyBorder="1" applyAlignment="1">
      <alignment vertical="center"/>
    </xf>
    <xf numFmtId="4" fontId="23" fillId="0" borderId="25" xfId="7" applyNumberFormat="1" applyFont="1" applyBorder="1" applyAlignment="1">
      <alignment vertical="center"/>
    </xf>
    <xf numFmtId="0" fontId="42" fillId="0" borderId="0" xfId="7" applyFont="1" applyAlignment="1">
      <alignment vertical="center"/>
    </xf>
    <xf numFmtId="4" fontId="1" fillId="0" borderId="0" xfId="7" applyNumberFormat="1" applyFont="1"/>
    <xf numFmtId="0" fontId="25" fillId="0" borderId="6" xfId="9" applyFont="1" applyBorder="1" applyAlignment="1">
      <alignment horizontal="center" vertical="center"/>
    </xf>
    <xf numFmtId="0" fontId="25" fillId="0" borderId="26" xfId="9" applyFont="1" applyBorder="1" applyAlignment="1">
      <alignment horizontal="center" vertical="center"/>
    </xf>
    <xf numFmtId="0" fontId="25" fillId="0" borderId="24" xfId="9" applyFont="1" applyBorder="1" applyAlignment="1">
      <alignment horizontal="center" vertical="center"/>
    </xf>
    <xf numFmtId="0" fontId="23" fillId="0" borderId="0" xfId="10" applyFont="1" applyAlignment="1">
      <alignment horizontal="center" vertical="center" wrapText="1"/>
    </xf>
    <xf numFmtId="0" fontId="8" fillId="0" borderId="0" xfId="7" applyFont="1" applyAlignment="1">
      <alignment horizontal="center" vertical="center"/>
    </xf>
    <xf numFmtId="0" fontId="7" fillId="0" borderId="0" xfId="7" applyFont="1" applyAlignment="1">
      <alignment horizontal="center" vertical="center"/>
    </xf>
    <xf numFmtId="0" fontId="8" fillId="2" borderId="1" xfId="7" applyFont="1" applyFill="1" applyBorder="1" applyAlignment="1">
      <alignment horizontal="center" vertical="center"/>
    </xf>
    <xf numFmtId="0" fontId="8" fillId="2" borderId="3" xfId="7" applyFont="1" applyFill="1" applyBorder="1" applyAlignment="1">
      <alignment horizontal="center" vertical="center"/>
    </xf>
    <xf numFmtId="0" fontId="8" fillId="2" borderId="5" xfId="7" applyFont="1" applyFill="1" applyBorder="1" applyAlignment="1">
      <alignment horizontal="center" vertical="center"/>
    </xf>
    <xf numFmtId="0" fontId="8" fillId="2" borderId="1" xfId="7" applyFont="1" applyFill="1" applyBorder="1" applyAlignment="1">
      <alignment horizontal="center" vertical="center" wrapText="1"/>
    </xf>
    <xf numFmtId="0" fontId="8" fillId="2" borderId="3" xfId="7" applyFont="1" applyFill="1" applyBorder="1" applyAlignment="1">
      <alignment horizontal="center" vertical="center" wrapText="1"/>
    </xf>
    <xf numFmtId="0" fontId="8" fillId="2" borderId="5" xfId="7" applyFont="1" applyFill="1" applyBorder="1" applyAlignment="1">
      <alignment horizontal="center" vertical="center" wrapText="1"/>
    </xf>
  </cellXfs>
  <cellStyles count="12"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8" xr:uid="{84DFA1D8-2398-489D-B3DE-2604C2CE15FB}"/>
    <cellStyle name="Normalny 3 2 2" xfId="10" xr:uid="{E58CF9C7-61E5-4667-AF4B-CA38E899C8C4}"/>
    <cellStyle name="Normalny 4" xfId="7" xr:uid="{050EC917-0C90-4D53-BFAE-9153DC0C9ABA}"/>
    <cellStyle name="Normalny 5" xfId="9" xr:uid="{9E550CE3-6D06-489C-8885-AABE360AE8AB}"/>
    <cellStyle name="Normalny 6" xfId="11" xr:uid="{3F02ACE3-DE51-4B78-A694-F2C299E6C821}"/>
    <cellStyle name="Zły" xfId="6" builtinId="27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072DC-034A-4DE3-ABEF-A5BCCB32211B}">
  <sheetPr>
    <tabColor rgb="FFCC00CC"/>
  </sheetPr>
  <dimension ref="A1:H880"/>
  <sheetViews>
    <sheetView tabSelected="1" zoomScale="140" zoomScaleNormal="140" workbookViewId="0"/>
  </sheetViews>
  <sheetFormatPr defaultRowHeight="15"/>
  <cols>
    <col min="1" max="1" width="3.7109375" style="449" customWidth="1"/>
    <col min="2" max="2" width="5.5703125" style="449" customWidth="1"/>
    <col min="3" max="3" width="5" style="449" customWidth="1"/>
    <col min="4" max="4" width="39.5703125" style="449" customWidth="1"/>
    <col min="5" max="5" width="12.7109375" style="449" customWidth="1"/>
    <col min="6" max="6" width="10.5703125" style="449" customWidth="1"/>
    <col min="7" max="7" width="10.85546875" style="449" customWidth="1"/>
    <col min="8" max="8" width="12.7109375" style="449" customWidth="1"/>
    <col min="9" max="9" width="10.28515625" style="449" customWidth="1"/>
    <col min="10" max="16384" width="9.140625" style="449"/>
  </cols>
  <sheetData>
    <row r="1" spans="1:8" ht="12.75" customHeight="1">
      <c r="A1" s="10"/>
      <c r="B1" s="10"/>
      <c r="C1" s="11"/>
      <c r="D1" s="12"/>
      <c r="E1" s="12"/>
      <c r="F1" s="12" t="s">
        <v>0</v>
      </c>
      <c r="G1" s="10"/>
      <c r="H1" s="10"/>
    </row>
    <row r="2" spans="1:8" ht="12.75" customHeight="1">
      <c r="A2" s="10"/>
      <c r="B2" s="10"/>
      <c r="C2" s="11"/>
      <c r="D2" s="12"/>
      <c r="E2" s="12"/>
      <c r="F2" s="12" t="s">
        <v>347</v>
      </c>
      <c r="G2" s="10"/>
      <c r="H2" s="10"/>
    </row>
    <row r="3" spans="1:8" ht="12.75" customHeight="1">
      <c r="A3" s="10"/>
      <c r="B3" s="10"/>
      <c r="C3" s="11"/>
      <c r="D3" s="12"/>
      <c r="E3" s="12"/>
      <c r="F3" s="10" t="s">
        <v>1</v>
      </c>
      <c r="G3" s="10"/>
      <c r="H3" s="10"/>
    </row>
    <row r="4" spans="1:8" ht="12.75" customHeight="1">
      <c r="A4" s="10"/>
      <c r="B4" s="10"/>
      <c r="C4" s="11"/>
      <c r="D4" s="12"/>
      <c r="E4" s="12"/>
      <c r="F4" s="12" t="s">
        <v>348</v>
      </c>
      <c r="G4" s="10"/>
      <c r="H4" s="10"/>
    </row>
    <row r="5" spans="1:8" ht="18.75" customHeight="1">
      <c r="A5" s="13" t="s">
        <v>2</v>
      </c>
      <c r="B5" s="450"/>
      <c r="C5" s="14"/>
      <c r="D5" s="14"/>
      <c r="E5" s="450"/>
      <c r="F5" s="450"/>
      <c r="G5" s="15"/>
      <c r="H5" s="450"/>
    </row>
    <row r="6" spans="1:8" ht="22.5" customHeight="1">
      <c r="A6" s="10"/>
      <c r="B6" s="10"/>
      <c r="C6" s="11"/>
      <c r="D6" s="11"/>
      <c r="E6" s="16"/>
      <c r="F6" s="10"/>
      <c r="G6" s="17"/>
      <c r="H6" s="18" t="s">
        <v>3</v>
      </c>
    </row>
    <row r="7" spans="1:8" s="25" customFormat="1" ht="11.25">
      <c r="A7" s="19"/>
      <c r="B7" s="19"/>
      <c r="C7" s="20"/>
      <c r="D7" s="21"/>
      <c r="E7" s="22" t="s">
        <v>4</v>
      </c>
      <c r="F7" s="23"/>
      <c r="G7" s="24"/>
      <c r="H7" s="22" t="s">
        <v>4</v>
      </c>
    </row>
    <row r="8" spans="1:8" s="25" customFormat="1" ht="11.25">
      <c r="A8" s="26" t="s">
        <v>5</v>
      </c>
      <c r="B8" s="26" t="s">
        <v>6</v>
      </c>
      <c r="C8" s="27" t="s">
        <v>7</v>
      </c>
      <c r="D8" s="28" t="s">
        <v>8</v>
      </c>
      <c r="E8" s="26" t="s">
        <v>9</v>
      </c>
      <c r="F8" s="29" t="s">
        <v>10</v>
      </c>
      <c r="G8" s="26" t="s">
        <v>11</v>
      </c>
      <c r="H8" s="26" t="s">
        <v>12</v>
      </c>
    </row>
    <row r="9" spans="1:8" s="25" customFormat="1" ht="4.5" customHeight="1">
      <c r="A9" s="30"/>
      <c r="B9" s="30"/>
      <c r="C9" s="31"/>
      <c r="D9" s="32"/>
      <c r="E9" s="30"/>
      <c r="F9" s="33"/>
      <c r="G9" s="33"/>
      <c r="H9" s="30"/>
    </row>
    <row r="10" spans="1:8" s="25" customFormat="1" ht="18" customHeight="1" thickBot="1">
      <c r="A10" s="34"/>
      <c r="B10" s="34"/>
      <c r="C10" s="35"/>
      <c r="D10" s="36" t="s">
        <v>13</v>
      </c>
      <c r="E10" s="37">
        <v>1049484213.13</v>
      </c>
      <c r="F10" s="37">
        <f>SUM(F11,F49,F89)</f>
        <v>7583501.6799999997</v>
      </c>
      <c r="G10" s="37">
        <f>SUM(G11,G49,G89)</f>
        <v>167473</v>
      </c>
      <c r="H10" s="37">
        <f t="shared" ref="H10:H16" si="0">SUM(E10+F10-G10)</f>
        <v>1056900241.8099999</v>
      </c>
    </row>
    <row r="11" spans="1:8" s="25" customFormat="1" ht="17.25" customHeight="1" thickBot="1">
      <c r="A11" s="34"/>
      <c r="B11" s="34"/>
      <c r="C11" s="35"/>
      <c r="D11" s="38" t="s">
        <v>14</v>
      </c>
      <c r="E11" s="39">
        <v>960505377.87999988</v>
      </c>
      <c r="F11" s="39">
        <f>SUM(F12,F17,F21,F38,F42)</f>
        <v>569048.99</v>
      </c>
      <c r="G11" s="39">
        <f>SUM(G12,G17,G21,G38,G42)</f>
        <v>27473</v>
      </c>
      <c r="H11" s="39">
        <f t="shared" si="0"/>
        <v>961046953.86999989</v>
      </c>
    </row>
    <row r="12" spans="1:8" s="25" customFormat="1" ht="17.25" customHeight="1" thickTop="1" thickBot="1">
      <c r="A12" s="40">
        <v>758</v>
      </c>
      <c r="B12" s="26"/>
      <c r="C12" s="26"/>
      <c r="D12" s="41" t="s">
        <v>173</v>
      </c>
      <c r="E12" s="39">
        <v>304890766.31</v>
      </c>
      <c r="F12" s="42">
        <f>SUM(F13)</f>
        <v>319991.99</v>
      </c>
      <c r="G12" s="42">
        <f t="shared" ref="G12:G13" si="1">SUM(G13)</f>
        <v>0</v>
      </c>
      <c r="H12" s="39">
        <f t="shared" si="0"/>
        <v>305210758.30000001</v>
      </c>
    </row>
    <row r="13" spans="1:8" s="25" customFormat="1" ht="12" customHeight="1" thickTop="1">
      <c r="A13" s="40"/>
      <c r="B13" s="35" t="s">
        <v>147</v>
      </c>
      <c r="C13" s="43"/>
      <c r="D13" s="44" t="s">
        <v>174</v>
      </c>
      <c r="E13" s="45">
        <v>7098879.3100000005</v>
      </c>
      <c r="F13" s="46">
        <f>SUM(F14)</f>
        <v>319991.99</v>
      </c>
      <c r="G13" s="46">
        <f t="shared" si="1"/>
        <v>0</v>
      </c>
      <c r="H13" s="45">
        <f t="shared" si="0"/>
        <v>7418871.3000000007</v>
      </c>
    </row>
    <row r="14" spans="1:8" s="25" customFormat="1" ht="20.25" customHeight="1">
      <c r="A14" s="34"/>
      <c r="B14" s="47"/>
      <c r="C14" s="35"/>
      <c r="D14" s="451" t="s">
        <v>175</v>
      </c>
      <c r="E14" s="452">
        <v>3080069</v>
      </c>
      <c r="F14" s="453">
        <f>SUM(F15:F16)</f>
        <v>319991.99</v>
      </c>
      <c r="G14" s="453">
        <f>SUM(G15:G16)</f>
        <v>0</v>
      </c>
      <c r="H14" s="452">
        <f t="shared" si="0"/>
        <v>3400060.99</v>
      </c>
    </row>
    <row r="15" spans="1:8" s="25" customFormat="1" ht="12" customHeight="1">
      <c r="A15" s="34"/>
      <c r="B15" s="47"/>
      <c r="C15" s="48" t="s">
        <v>176</v>
      </c>
      <c r="D15" s="49" t="s">
        <v>177</v>
      </c>
      <c r="E15" s="50">
        <v>0</v>
      </c>
      <c r="F15" s="51">
        <v>3087.99</v>
      </c>
      <c r="G15" s="51"/>
      <c r="H15" s="52">
        <f t="shared" si="0"/>
        <v>3087.99</v>
      </c>
    </row>
    <row r="16" spans="1:8" s="25" customFormat="1" ht="36" customHeight="1">
      <c r="A16" s="34"/>
      <c r="B16" s="47"/>
      <c r="C16" s="53" t="s">
        <v>107</v>
      </c>
      <c r="D16" s="54" t="s">
        <v>178</v>
      </c>
      <c r="E16" s="52">
        <v>3080069</v>
      </c>
      <c r="F16" s="52">
        <f>199599+117305</f>
        <v>316904</v>
      </c>
      <c r="G16" s="55"/>
      <c r="H16" s="52">
        <f t="shared" si="0"/>
        <v>3396973</v>
      </c>
    </row>
    <row r="17" spans="1:8" s="25" customFormat="1" ht="12" customHeight="1" thickBot="1">
      <c r="A17" s="56">
        <v>801</v>
      </c>
      <c r="B17" s="56"/>
      <c r="C17" s="57"/>
      <c r="D17" s="58" t="s">
        <v>15</v>
      </c>
      <c r="E17" s="59">
        <v>16924639.740000002</v>
      </c>
      <c r="F17" s="42">
        <f t="shared" ref="F17:G19" si="2">SUM(F18)</f>
        <v>14500</v>
      </c>
      <c r="G17" s="42">
        <f t="shared" si="2"/>
        <v>0</v>
      </c>
      <c r="H17" s="39">
        <f>SUM(E17+F17-G17)</f>
        <v>16939139.740000002</v>
      </c>
    </row>
    <row r="18" spans="1:8" s="25" customFormat="1" ht="12" customHeight="1" thickTop="1">
      <c r="A18" s="34"/>
      <c r="B18" s="60">
        <v>80146</v>
      </c>
      <c r="C18" s="61"/>
      <c r="D18" s="62" t="s">
        <v>36</v>
      </c>
      <c r="E18" s="63">
        <v>533599.04</v>
      </c>
      <c r="F18" s="63">
        <f t="shared" si="2"/>
        <v>14500</v>
      </c>
      <c r="G18" s="63">
        <f t="shared" si="2"/>
        <v>0</v>
      </c>
      <c r="H18" s="50">
        <f t="shared" ref="H18:H20" si="3">SUM(E18+F18-G18)</f>
        <v>548099.04</v>
      </c>
    </row>
    <row r="19" spans="1:8" s="25" customFormat="1" ht="12" customHeight="1">
      <c r="A19" s="34"/>
      <c r="B19" s="64"/>
      <c r="C19" s="61"/>
      <c r="D19" s="454" t="s">
        <v>179</v>
      </c>
      <c r="E19" s="65">
        <v>527600</v>
      </c>
      <c r="F19" s="65">
        <f t="shared" si="2"/>
        <v>14500</v>
      </c>
      <c r="G19" s="65">
        <f t="shared" si="2"/>
        <v>0</v>
      </c>
      <c r="H19" s="65">
        <f t="shared" si="3"/>
        <v>542100</v>
      </c>
    </row>
    <row r="20" spans="1:8" s="25" customFormat="1" ht="34.5" customHeight="1">
      <c r="A20" s="34"/>
      <c r="B20" s="64"/>
      <c r="C20" s="66" t="s">
        <v>180</v>
      </c>
      <c r="D20" s="67" t="s">
        <v>181</v>
      </c>
      <c r="E20" s="50">
        <v>527600</v>
      </c>
      <c r="F20" s="50">
        <v>14500</v>
      </c>
      <c r="G20" s="68"/>
      <c r="H20" s="50">
        <f t="shared" si="3"/>
        <v>542100</v>
      </c>
    </row>
    <row r="21" spans="1:8" s="25" customFormat="1" ht="12.75" customHeight="1" thickBot="1">
      <c r="A21" s="56">
        <v>852</v>
      </c>
      <c r="B21" s="56"/>
      <c r="C21" s="57"/>
      <c r="D21" s="58" t="s">
        <v>70</v>
      </c>
      <c r="E21" s="42">
        <v>24336135.050000001</v>
      </c>
      <c r="F21" s="42">
        <f>SUM(F22,F26,F29,F32,F35)</f>
        <v>155481</v>
      </c>
      <c r="G21" s="42">
        <f>SUM(G22,G26,G29,G32,G35)</f>
        <v>27473</v>
      </c>
      <c r="H21" s="42">
        <f>SUM(E21+F21-G21)</f>
        <v>24464143.050000001</v>
      </c>
    </row>
    <row r="22" spans="1:8" s="25" customFormat="1" ht="12.75" customHeight="1" thickTop="1">
      <c r="A22" s="56"/>
      <c r="B22" s="69">
        <v>85202</v>
      </c>
      <c r="C22" s="35"/>
      <c r="D22" s="44" t="s">
        <v>182</v>
      </c>
      <c r="E22" s="45">
        <v>2966286.96</v>
      </c>
      <c r="F22" s="46">
        <f>SUM(F23)</f>
        <v>0</v>
      </c>
      <c r="G22" s="46">
        <f>SUM(G23)</f>
        <v>27473</v>
      </c>
      <c r="H22" s="45">
        <f t="shared" ref="H22:H24" si="4">SUM(E22+F22-G22)</f>
        <v>2938813.96</v>
      </c>
    </row>
    <row r="23" spans="1:8" s="25" customFormat="1" ht="12.75" customHeight="1">
      <c r="A23" s="56"/>
      <c r="B23" s="70"/>
      <c r="C23" s="35"/>
      <c r="D23" s="455" t="s">
        <v>17</v>
      </c>
      <c r="E23" s="452">
        <v>828882</v>
      </c>
      <c r="F23" s="453">
        <f>SUM(F24:F24)</f>
        <v>0</v>
      </c>
      <c r="G23" s="453">
        <f>SUM(G24:G24)</f>
        <v>27473</v>
      </c>
      <c r="H23" s="452">
        <f t="shared" si="4"/>
        <v>801409</v>
      </c>
    </row>
    <row r="24" spans="1:8" s="25" customFormat="1" ht="24" customHeight="1">
      <c r="A24" s="56"/>
      <c r="B24" s="70"/>
      <c r="C24" s="53" t="s">
        <v>183</v>
      </c>
      <c r="D24" s="71" t="s">
        <v>184</v>
      </c>
      <c r="E24" s="52">
        <v>828882</v>
      </c>
      <c r="F24" s="52"/>
      <c r="G24" s="52">
        <v>27473</v>
      </c>
      <c r="H24" s="52">
        <f t="shared" si="4"/>
        <v>801409</v>
      </c>
    </row>
    <row r="25" spans="1:8" s="25" customFormat="1" ht="12" customHeight="1">
      <c r="A25" s="56"/>
      <c r="B25" s="70">
        <v>85214</v>
      </c>
      <c r="C25" s="35"/>
      <c r="D25" s="72" t="s">
        <v>71</v>
      </c>
      <c r="E25" s="68"/>
      <c r="F25" s="73"/>
      <c r="G25" s="73"/>
      <c r="H25" s="68"/>
    </row>
    <row r="26" spans="1:8" s="25" customFormat="1" ht="12" customHeight="1">
      <c r="A26" s="56"/>
      <c r="B26" s="70"/>
      <c r="C26" s="35"/>
      <c r="D26" s="74" t="s">
        <v>72</v>
      </c>
      <c r="E26" s="45">
        <v>5956732</v>
      </c>
      <c r="F26" s="46">
        <f>SUM(F27)</f>
        <v>525</v>
      </c>
      <c r="G26" s="46">
        <f>SUM(G27)</f>
        <v>0</v>
      </c>
      <c r="H26" s="45">
        <f>SUM(E26+F26-G26)</f>
        <v>5957257</v>
      </c>
    </row>
    <row r="27" spans="1:8" s="25" customFormat="1" ht="12" customHeight="1">
      <c r="A27" s="56"/>
      <c r="B27" s="70"/>
      <c r="C27" s="48"/>
      <c r="D27" s="456" t="s">
        <v>185</v>
      </c>
      <c r="E27" s="452">
        <v>8007</v>
      </c>
      <c r="F27" s="453">
        <f>SUM(F28)</f>
        <v>525</v>
      </c>
      <c r="G27" s="453">
        <f>SUM(G28)</f>
        <v>0</v>
      </c>
      <c r="H27" s="452">
        <f t="shared" ref="H27:H28" si="5">SUM(E27+F27-G27)</f>
        <v>8532</v>
      </c>
    </row>
    <row r="28" spans="1:8" s="25" customFormat="1" ht="34.5" customHeight="1">
      <c r="A28" s="56"/>
      <c r="B28" s="70"/>
      <c r="C28" s="53" t="s">
        <v>107</v>
      </c>
      <c r="D28" s="75" t="s">
        <v>178</v>
      </c>
      <c r="E28" s="51">
        <v>8007</v>
      </c>
      <c r="F28" s="55">
        <v>525</v>
      </c>
      <c r="G28" s="55"/>
      <c r="H28" s="51">
        <f t="shared" si="5"/>
        <v>8532</v>
      </c>
    </row>
    <row r="29" spans="1:8" s="25" customFormat="1" ht="12" customHeight="1">
      <c r="A29" s="56"/>
      <c r="B29" s="70">
        <v>85216</v>
      </c>
      <c r="C29" s="35"/>
      <c r="D29" s="76" t="s">
        <v>73</v>
      </c>
      <c r="E29" s="45">
        <v>5006545</v>
      </c>
      <c r="F29" s="46">
        <f t="shared" ref="F29:G29" si="6">SUM(F30)</f>
        <v>21053</v>
      </c>
      <c r="G29" s="46">
        <f t="shared" si="6"/>
        <v>0</v>
      </c>
      <c r="H29" s="45">
        <f>SUM(E29+F29-G29)</f>
        <v>5027598</v>
      </c>
    </row>
    <row r="30" spans="1:8" s="25" customFormat="1" ht="12" customHeight="1">
      <c r="A30" s="56"/>
      <c r="B30" s="56"/>
      <c r="C30" s="48"/>
      <c r="D30" s="456" t="s">
        <v>17</v>
      </c>
      <c r="E30" s="452">
        <v>4963345</v>
      </c>
      <c r="F30" s="453">
        <f>SUM(F31:F31)</f>
        <v>21053</v>
      </c>
      <c r="G30" s="453">
        <f>SUM(G31:G31)</f>
        <v>0</v>
      </c>
      <c r="H30" s="452">
        <f t="shared" ref="H30" si="7">SUM(E30+F30-G30)</f>
        <v>4984398</v>
      </c>
    </row>
    <row r="31" spans="1:8" s="25" customFormat="1" ht="34.5" customHeight="1">
      <c r="A31" s="56"/>
      <c r="B31" s="56"/>
      <c r="C31" s="53" t="s">
        <v>18</v>
      </c>
      <c r="D31" s="54" t="s">
        <v>19</v>
      </c>
      <c r="E31" s="52">
        <v>4963345</v>
      </c>
      <c r="F31" s="52">
        <v>21053</v>
      </c>
      <c r="G31" s="55"/>
      <c r="H31" s="52">
        <f>SUM(E31+F31-G31)</f>
        <v>4984398</v>
      </c>
    </row>
    <row r="32" spans="1:8" s="25" customFormat="1" ht="12" customHeight="1">
      <c r="A32" s="56"/>
      <c r="B32" s="70">
        <v>85219</v>
      </c>
      <c r="C32" s="35"/>
      <c r="D32" s="44" t="s">
        <v>186</v>
      </c>
      <c r="E32" s="45">
        <v>2638809</v>
      </c>
      <c r="F32" s="46">
        <f t="shared" ref="F32:G32" si="8">SUM(F33)</f>
        <v>131591</v>
      </c>
      <c r="G32" s="46">
        <f t="shared" si="8"/>
        <v>0</v>
      </c>
      <c r="H32" s="45">
        <f>SUM(E32+F32-G32)</f>
        <v>2770400</v>
      </c>
    </row>
    <row r="33" spans="1:8" s="25" customFormat="1" ht="12" customHeight="1">
      <c r="A33" s="56"/>
      <c r="B33" s="56"/>
      <c r="C33" s="48"/>
      <c r="D33" s="456" t="s">
        <v>17</v>
      </c>
      <c r="E33" s="452">
        <v>2610357</v>
      </c>
      <c r="F33" s="453">
        <f>SUM(F34:F34)</f>
        <v>131591</v>
      </c>
      <c r="G33" s="453">
        <f>SUM(G34:G34)</f>
        <v>0</v>
      </c>
      <c r="H33" s="452">
        <f t="shared" ref="H33" si="9">SUM(E33+F33-G33)</f>
        <v>2741948</v>
      </c>
    </row>
    <row r="34" spans="1:8" s="25" customFormat="1" ht="34.5" customHeight="1">
      <c r="A34" s="56"/>
      <c r="B34" s="56"/>
      <c r="C34" s="53" t="s">
        <v>18</v>
      </c>
      <c r="D34" s="54" t="s">
        <v>19</v>
      </c>
      <c r="E34" s="52">
        <v>2610357</v>
      </c>
      <c r="F34" s="52">
        <v>131591</v>
      </c>
      <c r="G34" s="55"/>
      <c r="H34" s="52">
        <f>SUM(E34+F34-G34)</f>
        <v>2741948</v>
      </c>
    </row>
    <row r="35" spans="1:8" s="25" customFormat="1" ht="12" customHeight="1">
      <c r="A35" s="56"/>
      <c r="B35" s="70">
        <v>85230</v>
      </c>
      <c r="C35" s="35"/>
      <c r="D35" s="44" t="s">
        <v>75</v>
      </c>
      <c r="E35" s="45">
        <v>4463391</v>
      </c>
      <c r="F35" s="46">
        <f>SUM(F36)</f>
        <v>2312</v>
      </c>
      <c r="G35" s="46">
        <f>SUM(G36)</f>
        <v>0</v>
      </c>
      <c r="H35" s="45">
        <f>SUM(E35+F35-G35)</f>
        <v>4465703</v>
      </c>
    </row>
    <row r="36" spans="1:8" s="25" customFormat="1" ht="24" customHeight="1">
      <c r="A36" s="56"/>
      <c r="B36" s="56"/>
      <c r="C36" s="48"/>
      <c r="D36" s="456" t="s">
        <v>187</v>
      </c>
      <c r="E36" s="452">
        <v>7042</v>
      </c>
      <c r="F36" s="453">
        <f>SUM(F37:F37)</f>
        <v>2312</v>
      </c>
      <c r="G36" s="453">
        <f>SUM(G37:G37)</f>
        <v>0</v>
      </c>
      <c r="H36" s="452">
        <f t="shared" ref="H36:H59" si="10">SUM(E36+F36-G36)</f>
        <v>9354</v>
      </c>
    </row>
    <row r="37" spans="1:8" s="25" customFormat="1" ht="36.75" customHeight="1">
      <c r="A37" s="56"/>
      <c r="B37" s="56"/>
      <c r="C37" s="53" t="s">
        <v>107</v>
      </c>
      <c r="D37" s="54" t="s">
        <v>178</v>
      </c>
      <c r="E37" s="52">
        <v>7042</v>
      </c>
      <c r="F37" s="52">
        <v>2312</v>
      </c>
      <c r="G37" s="55"/>
      <c r="H37" s="52">
        <f t="shared" si="10"/>
        <v>9354</v>
      </c>
    </row>
    <row r="38" spans="1:8" s="25" customFormat="1" ht="12" customHeight="1" thickBot="1">
      <c r="A38" s="77">
        <v>854</v>
      </c>
      <c r="B38" s="56"/>
      <c r="C38" s="57"/>
      <c r="D38" s="58" t="s">
        <v>78</v>
      </c>
      <c r="E38" s="42">
        <v>992449.92999999993</v>
      </c>
      <c r="F38" s="42">
        <f>SUM(F39)</f>
        <v>22002</v>
      </c>
      <c r="G38" s="42">
        <f>SUM(G39)</f>
        <v>0</v>
      </c>
      <c r="H38" s="42">
        <f>SUM(E38+F38-G38)</f>
        <v>1014451.9299999999</v>
      </c>
    </row>
    <row r="39" spans="1:8" s="25" customFormat="1" ht="12" customHeight="1" thickTop="1">
      <c r="A39" s="77"/>
      <c r="B39" s="70">
        <v>85415</v>
      </c>
      <c r="C39" s="35"/>
      <c r="D39" s="44" t="s">
        <v>82</v>
      </c>
      <c r="E39" s="45">
        <v>606588</v>
      </c>
      <c r="F39" s="46">
        <f>SUM(F40)</f>
        <v>22002</v>
      </c>
      <c r="G39" s="46">
        <f>SUM(G40)</f>
        <v>0</v>
      </c>
      <c r="H39" s="45">
        <f>SUM(E39+F39-G39)</f>
        <v>628590</v>
      </c>
    </row>
    <row r="40" spans="1:8" s="25" customFormat="1" ht="12" customHeight="1">
      <c r="A40" s="77"/>
      <c r="B40" s="70"/>
      <c r="C40" s="35"/>
      <c r="D40" s="455" t="s">
        <v>17</v>
      </c>
      <c r="E40" s="452">
        <v>596588</v>
      </c>
      <c r="F40" s="453">
        <f>SUM(F41:F41)</f>
        <v>22002</v>
      </c>
      <c r="G40" s="453">
        <f>SUM(G41:G41)</f>
        <v>0</v>
      </c>
      <c r="H40" s="452">
        <f>SUM(E40+F40-G40)</f>
        <v>618590</v>
      </c>
    </row>
    <row r="41" spans="1:8" s="25" customFormat="1" ht="45.75" customHeight="1">
      <c r="A41" s="78"/>
      <c r="B41" s="79"/>
      <c r="C41" s="80" t="s">
        <v>188</v>
      </c>
      <c r="D41" s="81" t="s">
        <v>189</v>
      </c>
      <c r="E41" s="45">
        <v>91188</v>
      </c>
      <c r="F41" s="45">
        <v>22002</v>
      </c>
      <c r="G41" s="46"/>
      <c r="H41" s="45">
        <f t="shared" ref="H41" si="11">SUM(E41+F41-G41)</f>
        <v>113190</v>
      </c>
    </row>
    <row r="42" spans="1:8" s="25" customFormat="1" ht="12" customHeight="1" thickBot="1">
      <c r="A42" s="56">
        <v>855</v>
      </c>
      <c r="B42" s="56"/>
      <c r="C42" s="57"/>
      <c r="D42" s="58" t="s">
        <v>85</v>
      </c>
      <c r="E42" s="42">
        <v>6677274.6599999992</v>
      </c>
      <c r="F42" s="42">
        <f>SUM(F43,F46)</f>
        <v>57074</v>
      </c>
      <c r="G42" s="42">
        <f>SUM(G43,G46)</f>
        <v>0</v>
      </c>
      <c r="H42" s="42">
        <f t="shared" si="10"/>
        <v>6734348.6599999992</v>
      </c>
    </row>
    <row r="43" spans="1:8" s="25" customFormat="1" ht="12" customHeight="1" thickTop="1">
      <c r="A43" s="56"/>
      <c r="B43" s="82">
        <v>85510</v>
      </c>
      <c r="C43" s="35"/>
      <c r="D43" s="44" t="s">
        <v>88</v>
      </c>
      <c r="E43" s="45">
        <v>1168352.5699999998</v>
      </c>
      <c r="F43" s="46">
        <f t="shared" ref="F43:G43" si="12">SUM(F44)</f>
        <v>36379</v>
      </c>
      <c r="G43" s="46">
        <f t="shared" si="12"/>
        <v>0</v>
      </c>
      <c r="H43" s="45">
        <f t="shared" si="10"/>
        <v>1204731.5699999998</v>
      </c>
    </row>
    <row r="44" spans="1:8" s="25" customFormat="1" ht="34.5" customHeight="1">
      <c r="A44" s="56"/>
      <c r="B44" s="56"/>
      <c r="C44" s="48"/>
      <c r="D44" s="456" t="s">
        <v>190</v>
      </c>
      <c r="E44" s="452">
        <v>98024</v>
      </c>
      <c r="F44" s="453">
        <f>SUM(F45:F45)</f>
        <v>36379</v>
      </c>
      <c r="G44" s="453">
        <f>SUM(G45:G45)</f>
        <v>0</v>
      </c>
      <c r="H44" s="452">
        <f t="shared" si="10"/>
        <v>134403</v>
      </c>
    </row>
    <row r="45" spans="1:8" s="25" customFormat="1" ht="35.25" customHeight="1">
      <c r="A45" s="56"/>
      <c r="B45" s="56"/>
      <c r="C45" s="53" t="s">
        <v>107</v>
      </c>
      <c r="D45" s="54" t="s">
        <v>178</v>
      </c>
      <c r="E45" s="52">
        <v>98024</v>
      </c>
      <c r="F45" s="52">
        <v>36379</v>
      </c>
      <c r="G45" s="55"/>
      <c r="H45" s="52">
        <f t="shared" si="10"/>
        <v>134403</v>
      </c>
    </row>
    <row r="46" spans="1:8" s="25" customFormat="1" ht="12" customHeight="1">
      <c r="A46" s="69"/>
      <c r="B46" s="82">
        <v>85595</v>
      </c>
      <c r="C46" s="35"/>
      <c r="D46" s="44" t="s">
        <v>51</v>
      </c>
      <c r="E46" s="45">
        <v>789403</v>
      </c>
      <c r="F46" s="46">
        <f t="shared" ref="F46:G46" si="13">SUM(F47)</f>
        <v>20695</v>
      </c>
      <c r="G46" s="46">
        <f t="shared" si="13"/>
        <v>0</v>
      </c>
      <c r="H46" s="45">
        <f t="shared" si="10"/>
        <v>810098</v>
      </c>
    </row>
    <row r="47" spans="1:8" s="25" customFormat="1" ht="12" customHeight="1">
      <c r="A47" s="83"/>
      <c r="B47" s="56"/>
      <c r="C47" s="48"/>
      <c r="D47" s="456" t="s">
        <v>191</v>
      </c>
      <c r="E47" s="452">
        <v>238344</v>
      </c>
      <c r="F47" s="453">
        <f>SUM(F48:F48)</f>
        <v>20695</v>
      </c>
      <c r="G47" s="453">
        <f>SUM(G48:G48)</f>
        <v>0</v>
      </c>
      <c r="H47" s="452">
        <f t="shared" si="10"/>
        <v>259039</v>
      </c>
    </row>
    <row r="48" spans="1:8" s="25" customFormat="1" ht="35.25" customHeight="1">
      <c r="A48" s="83"/>
      <c r="B48" s="56"/>
      <c r="C48" s="53" t="s">
        <v>107</v>
      </c>
      <c r="D48" s="54" t="s">
        <v>178</v>
      </c>
      <c r="E48" s="52">
        <v>238344</v>
      </c>
      <c r="F48" s="52">
        <v>20695</v>
      </c>
      <c r="G48" s="55"/>
      <c r="H48" s="52">
        <f t="shared" si="10"/>
        <v>259039</v>
      </c>
    </row>
    <row r="49" spans="1:8" s="25" customFormat="1" ht="17.25" customHeight="1" thickBot="1">
      <c r="A49" s="34"/>
      <c r="B49" s="34"/>
      <c r="C49" s="35"/>
      <c r="D49" s="38" t="s">
        <v>192</v>
      </c>
      <c r="E49" s="39">
        <v>64221699.450000003</v>
      </c>
      <c r="F49" s="42">
        <f>SUM(F50,F54,F60,F66,F79)</f>
        <v>6878782.6899999995</v>
      </c>
      <c r="G49" s="42">
        <f>SUM(G50,G54,G60,G66,G79)</f>
        <v>0</v>
      </c>
      <c r="H49" s="39">
        <f t="shared" si="10"/>
        <v>71100482.140000001</v>
      </c>
    </row>
    <row r="50" spans="1:8" s="25" customFormat="1" ht="14.25" customHeight="1" thickTop="1" thickBot="1">
      <c r="A50" s="84" t="s">
        <v>193</v>
      </c>
      <c r="B50" s="43"/>
      <c r="C50" s="43"/>
      <c r="D50" s="85" t="s">
        <v>194</v>
      </c>
      <c r="E50" s="42">
        <v>10526.22</v>
      </c>
      <c r="F50" s="42">
        <f t="shared" ref="F50:G51" si="14">SUM(F51)</f>
        <v>5953.44</v>
      </c>
      <c r="G50" s="42">
        <f t="shared" si="14"/>
        <v>0</v>
      </c>
      <c r="H50" s="42">
        <f t="shared" si="10"/>
        <v>16479.66</v>
      </c>
    </row>
    <row r="51" spans="1:8" s="25" customFormat="1" ht="12" customHeight="1" thickTop="1">
      <c r="A51" s="86"/>
      <c r="B51" s="87" t="s">
        <v>195</v>
      </c>
      <c r="C51" s="88"/>
      <c r="D51" s="89" t="s">
        <v>196</v>
      </c>
      <c r="E51" s="45">
        <v>10526.22</v>
      </c>
      <c r="F51" s="46">
        <f t="shared" si="14"/>
        <v>5953.44</v>
      </c>
      <c r="G51" s="46">
        <f t="shared" si="14"/>
        <v>0</v>
      </c>
      <c r="H51" s="45">
        <f t="shared" si="10"/>
        <v>16479.66</v>
      </c>
    </row>
    <row r="52" spans="1:8" s="25" customFormat="1" ht="11.25" customHeight="1">
      <c r="A52" s="56"/>
      <c r="B52" s="70"/>
      <c r="C52" s="35"/>
      <c r="D52" s="455" t="s">
        <v>17</v>
      </c>
      <c r="E52" s="452">
        <v>10526.22</v>
      </c>
      <c r="F52" s="453">
        <f>SUM(F53)</f>
        <v>5953.44</v>
      </c>
      <c r="G52" s="453">
        <f>SUM(G53)</f>
        <v>0</v>
      </c>
      <c r="H52" s="452">
        <f t="shared" si="10"/>
        <v>16479.66</v>
      </c>
    </row>
    <row r="53" spans="1:8" s="25" customFormat="1" ht="46.5" customHeight="1">
      <c r="A53" s="56"/>
      <c r="B53" s="56"/>
      <c r="C53" s="53" t="s">
        <v>197</v>
      </c>
      <c r="D53" s="75" t="s">
        <v>198</v>
      </c>
      <c r="E53" s="51">
        <v>10526.22</v>
      </c>
      <c r="F53" s="52">
        <v>5953.44</v>
      </c>
      <c r="G53" s="52"/>
      <c r="H53" s="51">
        <f t="shared" si="10"/>
        <v>16479.66</v>
      </c>
    </row>
    <row r="54" spans="1:8" s="25" customFormat="1" ht="12" customHeight="1" thickBot="1">
      <c r="A54" s="77">
        <v>750</v>
      </c>
      <c r="B54" s="56"/>
      <c r="C54" s="57"/>
      <c r="D54" s="58" t="s">
        <v>199</v>
      </c>
      <c r="E54" s="42">
        <v>2390034.38</v>
      </c>
      <c r="F54" s="42">
        <f t="shared" ref="F54:G54" si="15">SUM(F55)</f>
        <v>85091.3</v>
      </c>
      <c r="G54" s="42">
        <f t="shared" si="15"/>
        <v>0</v>
      </c>
      <c r="H54" s="42">
        <f t="shared" si="10"/>
        <v>2475125.6799999997</v>
      </c>
    </row>
    <row r="55" spans="1:8" s="25" customFormat="1" ht="12" customHeight="1" thickTop="1">
      <c r="A55" s="77"/>
      <c r="B55" s="69">
        <v>75011</v>
      </c>
      <c r="C55" s="43"/>
      <c r="D55" s="90" t="s">
        <v>200</v>
      </c>
      <c r="E55" s="45">
        <v>2390034.38</v>
      </c>
      <c r="F55" s="46">
        <f>SUM(F56,F58)</f>
        <v>85091.3</v>
      </c>
      <c r="G55" s="46">
        <f>SUM(G56,G58)</f>
        <v>0</v>
      </c>
      <c r="H55" s="45">
        <f t="shared" si="10"/>
        <v>2475125.6799999997</v>
      </c>
    </row>
    <row r="56" spans="1:8" s="25" customFormat="1" ht="11.25" customHeight="1">
      <c r="A56" s="77"/>
      <c r="B56" s="43"/>
      <c r="C56" s="35"/>
      <c r="D56" s="455" t="s">
        <v>17</v>
      </c>
      <c r="E56" s="452">
        <v>2388333.29</v>
      </c>
      <c r="F56" s="453">
        <f>SUM(F57:F57)</f>
        <v>84501</v>
      </c>
      <c r="G56" s="453">
        <f>SUM(G57:G57)</f>
        <v>0</v>
      </c>
      <c r="H56" s="452">
        <f t="shared" si="10"/>
        <v>2472834.29</v>
      </c>
    </row>
    <row r="57" spans="1:8" s="25" customFormat="1" ht="45" customHeight="1">
      <c r="A57" s="77"/>
      <c r="B57" s="43"/>
      <c r="C57" s="53" t="s">
        <v>197</v>
      </c>
      <c r="D57" s="75" t="s">
        <v>201</v>
      </c>
      <c r="E57" s="52">
        <v>2388333.29</v>
      </c>
      <c r="F57" s="52">
        <v>84501</v>
      </c>
      <c r="G57" s="55"/>
      <c r="H57" s="52">
        <f t="shared" si="10"/>
        <v>2472834.29</v>
      </c>
    </row>
    <row r="58" spans="1:8" s="25" customFormat="1" ht="42" customHeight="1">
      <c r="A58" s="77"/>
      <c r="B58" s="56"/>
      <c r="C58" s="35"/>
      <c r="D58" s="456" t="s">
        <v>202</v>
      </c>
      <c r="E58" s="452">
        <v>1701.0900000000001</v>
      </c>
      <c r="F58" s="453">
        <f>SUM(F59:F59)</f>
        <v>590.29999999999995</v>
      </c>
      <c r="G58" s="453">
        <f>SUM(G59:G59)</f>
        <v>0</v>
      </c>
      <c r="H58" s="452">
        <f t="shared" si="10"/>
        <v>2291.3900000000003</v>
      </c>
    </row>
    <row r="59" spans="1:8" s="25" customFormat="1" ht="35.25" customHeight="1">
      <c r="A59" s="77"/>
      <c r="B59" s="56"/>
      <c r="C59" s="53" t="s">
        <v>107</v>
      </c>
      <c r="D59" s="54" t="s">
        <v>178</v>
      </c>
      <c r="E59" s="52">
        <v>1701.0900000000001</v>
      </c>
      <c r="F59" s="52">
        <f>203.73+386.57</f>
        <v>590.29999999999995</v>
      </c>
      <c r="G59" s="55"/>
      <c r="H59" s="52">
        <f t="shared" si="10"/>
        <v>2291.3900000000003</v>
      </c>
    </row>
    <row r="60" spans="1:8" s="25" customFormat="1" ht="12" customHeight="1" thickBot="1">
      <c r="A60" s="77">
        <v>801</v>
      </c>
      <c r="B60" s="56"/>
      <c r="C60" s="57"/>
      <c r="D60" s="58" t="s">
        <v>15</v>
      </c>
      <c r="E60" s="39">
        <v>904927.31</v>
      </c>
      <c r="F60" s="39">
        <f>SUM(F63)</f>
        <v>26547.95</v>
      </c>
      <c r="G60" s="39">
        <f>SUM(G63)</f>
        <v>0</v>
      </c>
      <c r="H60" s="39">
        <f>SUM(E60+F60-G60)</f>
        <v>931475.26</v>
      </c>
    </row>
    <row r="61" spans="1:8" s="25" customFormat="1" ht="12" customHeight="1" thickTop="1">
      <c r="A61" s="77"/>
      <c r="B61" s="70">
        <v>80153</v>
      </c>
      <c r="C61" s="57"/>
      <c r="D61" s="91" t="s">
        <v>203</v>
      </c>
      <c r="E61" s="68"/>
      <c r="F61" s="68"/>
      <c r="G61" s="68"/>
      <c r="H61" s="68"/>
    </row>
    <row r="62" spans="1:8" s="25" customFormat="1" ht="12" customHeight="1">
      <c r="A62" s="77"/>
      <c r="B62" s="56"/>
      <c r="C62" s="57"/>
      <c r="D62" s="91" t="s">
        <v>204</v>
      </c>
      <c r="E62" s="68"/>
      <c r="F62" s="68"/>
      <c r="G62" s="68"/>
      <c r="H62" s="68"/>
    </row>
    <row r="63" spans="1:8" s="25" customFormat="1" ht="12" customHeight="1">
      <c r="A63" s="56"/>
      <c r="B63" s="70"/>
      <c r="C63" s="35"/>
      <c r="D63" s="44" t="s">
        <v>205</v>
      </c>
      <c r="E63" s="45">
        <v>904927.31</v>
      </c>
      <c r="F63" s="45">
        <f>SUM(F64)</f>
        <v>26547.95</v>
      </c>
      <c r="G63" s="45">
        <f>SUM(G64)</f>
        <v>0</v>
      </c>
      <c r="H63" s="45">
        <f>SUM(E63+F63-G63)</f>
        <v>931475.26</v>
      </c>
    </row>
    <row r="64" spans="1:8" s="25" customFormat="1" ht="12" customHeight="1">
      <c r="A64" s="83"/>
      <c r="B64" s="70"/>
      <c r="C64" s="35"/>
      <c r="D64" s="455" t="s">
        <v>17</v>
      </c>
      <c r="E64" s="452">
        <v>904927.31</v>
      </c>
      <c r="F64" s="453">
        <f>SUM(F65)</f>
        <v>26547.95</v>
      </c>
      <c r="G64" s="453">
        <f>SUM(G65)</f>
        <v>0</v>
      </c>
      <c r="H64" s="452">
        <f>SUM(E64+F64-G64)</f>
        <v>931475.26</v>
      </c>
    </row>
    <row r="65" spans="1:8" s="25" customFormat="1" ht="42.75" customHeight="1">
      <c r="A65" s="56"/>
      <c r="B65" s="56"/>
      <c r="C65" s="53" t="s">
        <v>197</v>
      </c>
      <c r="D65" s="75" t="s">
        <v>201</v>
      </c>
      <c r="E65" s="51">
        <v>904927.31</v>
      </c>
      <c r="F65" s="52">
        <v>26547.95</v>
      </c>
      <c r="G65" s="52"/>
      <c r="H65" s="51">
        <f t="shared" ref="H65" si="16">SUM(E65+F65-G65)</f>
        <v>931475.26</v>
      </c>
    </row>
    <row r="66" spans="1:8" s="25" customFormat="1" ht="12" customHeight="1" thickBot="1">
      <c r="A66" s="56">
        <v>852</v>
      </c>
      <c r="B66" s="56"/>
      <c r="C66" s="57"/>
      <c r="D66" s="58" t="s">
        <v>70</v>
      </c>
      <c r="E66" s="42">
        <v>10517459.780000001</v>
      </c>
      <c r="F66" s="42">
        <f>SUM(F67,F70,F73,F76)</f>
        <v>933410</v>
      </c>
      <c r="G66" s="42">
        <f>SUM(G67,G70,G73,G76)</f>
        <v>0</v>
      </c>
      <c r="H66" s="42">
        <f>SUM(E66+F66-G66)</f>
        <v>11450869.780000001</v>
      </c>
    </row>
    <row r="67" spans="1:8" s="25" customFormat="1" ht="12" customHeight="1" thickTop="1">
      <c r="A67" s="56"/>
      <c r="B67" s="70">
        <v>85203</v>
      </c>
      <c r="C67" s="35"/>
      <c r="D67" s="92" t="s">
        <v>206</v>
      </c>
      <c r="E67" s="45">
        <v>1385387</v>
      </c>
      <c r="F67" s="46">
        <f t="shared" ref="F67:G68" si="17">SUM(F68)</f>
        <v>15831</v>
      </c>
      <c r="G67" s="46">
        <f t="shared" si="17"/>
        <v>0</v>
      </c>
      <c r="H67" s="45">
        <f t="shared" ref="H67:H83" si="18">SUM(E67+F67-G67)</f>
        <v>1401218</v>
      </c>
    </row>
    <row r="68" spans="1:8" s="25" customFormat="1" ht="11.25" customHeight="1">
      <c r="A68" s="56"/>
      <c r="B68" s="70"/>
      <c r="C68" s="35"/>
      <c r="D68" s="455" t="s">
        <v>17</v>
      </c>
      <c r="E68" s="452">
        <v>1385387</v>
      </c>
      <c r="F68" s="453">
        <f t="shared" si="17"/>
        <v>15831</v>
      </c>
      <c r="G68" s="453">
        <f t="shared" si="17"/>
        <v>0</v>
      </c>
      <c r="H68" s="452">
        <f t="shared" si="18"/>
        <v>1401218</v>
      </c>
    </row>
    <row r="69" spans="1:8" s="25" customFormat="1" ht="45" customHeight="1">
      <c r="A69" s="56"/>
      <c r="B69" s="56"/>
      <c r="C69" s="53" t="s">
        <v>197</v>
      </c>
      <c r="D69" s="75" t="s">
        <v>201</v>
      </c>
      <c r="E69" s="51">
        <v>1385387</v>
      </c>
      <c r="F69" s="52">
        <f>6519+9312</f>
        <v>15831</v>
      </c>
      <c r="G69" s="52"/>
      <c r="H69" s="51">
        <f t="shared" si="18"/>
        <v>1401218</v>
      </c>
    </row>
    <row r="70" spans="1:8" s="25" customFormat="1" ht="12" customHeight="1">
      <c r="A70" s="56"/>
      <c r="B70" s="70">
        <v>85219</v>
      </c>
      <c r="C70" s="35"/>
      <c r="D70" s="44" t="s">
        <v>186</v>
      </c>
      <c r="E70" s="45">
        <v>73735</v>
      </c>
      <c r="F70" s="46">
        <f t="shared" ref="F70:G71" si="19">SUM(F71)</f>
        <v>14779</v>
      </c>
      <c r="G70" s="46">
        <f t="shared" si="19"/>
        <v>0</v>
      </c>
      <c r="H70" s="45">
        <f t="shared" si="18"/>
        <v>88514</v>
      </c>
    </row>
    <row r="71" spans="1:8" s="25" customFormat="1" ht="11.25" customHeight="1">
      <c r="A71" s="56"/>
      <c r="B71" s="70"/>
      <c r="C71" s="35"/>
      <c r="D71" s="455" t="s">
        <v>17</v>
      </c>
      <c r="E71" s="452">
        <v>73735</v>
      </c>
      <c r="F71" s="453">
        <f t="shared" si="19"/>
        <v>14779</v>
      </c>
      <c r="G71" s="453">
        <f t="shared" si="19"/>
        <v>0</v>
      </c>
      <c r="H71" s="452">
        <f t="shared" si="18"/>
        <v>88514</v>
      </c>
    </row>
    <row r="72" spans="1:8" s="25" customFormat="1" ht="45" customHeight="1">
      <c r="A72" s="56"/>
      <c r="B72" s="56"/>
      <c r="C72" s="53" t="s">
        <v>197</v>
      </c>
      <c r="D72" s="75" t="s">
        <v>198</v>
      </c>
      <c r="E72" s="51">
        <v>73735</v>
      </c>
      <c r="F72" s="52">
        <v>14779</v>
      </c>
      <c r="G72" s="52"/>
      <c r="H72" s="51">
        <f t="shared" si="18"/>
        <v>88514</v>
      </c>
    </row>
    <row r="73" spans="1:8" s="25" customFormat="1" ht="12" customHeight="1">
      <c r="A73" s="56"/>
      <c r="B73" s="70">
        <v>85228</v>
      </c>
      <c r="C73" s="35"/>
      <c r="D73" s="92" t="s">
        <v>74</v>
      </c>
      <c r="E73" s="45">
        <v>4309649</v>
      </c>
      <c r="F73" s="46">
        <f t="shared" ref="F73:G74" si="20">SUM(F74)</f>
        <v>900000</v>
      </c>
      <c r="G73" s="46">
        <f t="shared" si="20"/>
        <v>0</v>
      </c>
      <c r="H73" s="45">
        <f t="shared" si="18"/>
        <v>5209649</v>
      </c>
    </row>
    <row r="74" spans="1:8" s="25" customFormat="1" ht="11.25" customHeight="1">
      <c r="A74" s="56"/>
      <c r="B74" s="70"/>
      <c r="C74" s="35"/>
      <c r="D74" s="455" t="s">
        <v>17</v>
      </c>
      <c r="E74" s="452">
        <v>4309649</v>
      </c>
      <c r="F74" s="453">
        <f t="shared" si="20"/>
        <v>900000</v>
      </c>
      <c r="G74" s="453">
        <f t="shared" si="20"/>
        <v>0</v>
      </c>
      <c r="H74" s="452">
        <f t="shared" si="18"/>
        <v>5209649</v>
      </c>
    </row>
    <row r="75" spans="1:8" s="25" customFormat="1" ht="45.75" customHeight="1">
      <c r="A75" s="79"/>
      <c r="B75" s="79"/>
      <c r="C75" s="80" t="s">
        <v>197</v>
      </c>
      <c r="D75" s="93" t="s">
        <v>201</v>
      </c>
      <c r="E75" s="94">
        <v>4309649</v>
      </c>
      <c r="F75" s="45">
        <v>900000</v>
      </c>
      <c r="G75" s="45"/>
      <c r="H75" s="94">
        <f t="shared" si="18"/>
        <v>5209649</v>
      </c>
    </row>
    <row r="76" spans="1:8" s="25" customFormat="1" ht="12" customHeight="1">
      <c r="A76" s="56"/>
      <c r="B76" s="70">
        <v>85231</v>
      </c>
      <c r="C76" s="35"/>
      <c r="D76" s="92" t="s">
        <v>207</v>
      </c>
      <c r="E76" s="45">
        <v>5400</v>
      </c>
      <c r="F76" s="46">
        <f t="shared" ref="F76:G77" si="21">SUM(F77)</f>
        <v>2800</v>
      </c>
      <c r="G76" s="46">
        <f t="shared" si="21"/>
        <v>0</v>
      </c>
      <c r="H76" s="45">
        <f t="shared" si="18"/>
        <v>8200</v>
      </c>
    </row>
    <row r="77" spans="1:8" s="25" customFormat="1" ht="12" customHeight="1">
      <c r="A77" s="56"/>
      <c r="B77" s="70"/>
      <c r="C77" s="35"/>
      <c r="D77" s="455" t="s">
        <v>17</v>
      </c>
      <c r="E77" s="452">
        <v>5400</v>
      </c>
      <c r="F77" s="453">
        <f t="shared" si="21"/>
        <v>2800</v>
      </c>
      <c r="G77" s="453">
        <f t="shared" si="21"/>
        <v>0</v>
      </c>
      <c r="H77" s="452">
        <f t="shared" si="18"/>
        <v>8200</v>
      </c>
    </row>
    <row r="78" spans="1:8" s="25" customFormat="1" ht="47.25" customHeight="1">
      <c r="A78" s="56"/>
      <c r="B78" s="56"/>
      <c r="C78" s="53" t="s">
        <v>197</v>
      </c>
      <c r="D78" s="75" t="s">
        <v>201</v>
      </c>
      <c r="E78" s="51">
        <v>5400</v>
      </c>
      <c r="F78" s="52">
        <v>2800</v>
      </c>
      <c r="G78" s="52"/>
      <c r="H78" s="51">
        <f t="shared" si="18"/>
        <v>8200</v>
      </c>
    </row>
    <row r="79" spans="1:8" s="25" customFormat="1" ht="12" customHeight="1" thickBot="1">
      <c r="A79" s="56">
        <v>855</v>
      </c>
      <c r="B79" s="56"/>
      <c r="C79" s="57"/>
      <c r="D79" s="58" t="s">
        <v>85</v>
      </c>
      <c r="E79" s="42">
        <v>47053318</v>
      </c>
      <c r="F79" s="42">
        <f>SUM(F80,F86)</f>
        <v>5827780</v>
      </c>
      <c r="G79" s="42">
        <f>SUM(G80)</f>
        <v>0</v>
      </c>
      <c r="H79" s="42">
        <f t="shared" si="18"/>
        <v>52881098</v>
      </c>
    </row>
    <row r="80" spans="1:8" s="25" customFormat="1" ht="34.5" customHeight="1" thickTop="1">
      <c r="A80" s="56"/>
      <c r="B80" s="82">
        <v>85502</v>
      </c>
      <c r="C80" s="35"/>
      <c r="D80" s="95" t="s">
        <v>86</v>
      </c>
      <c r="E80" s="45">
        <v>46384916</v>
      </c>
      <c r="F80" s="46">
        <f t="shared" ref="F80:G80" si="22">SUM(F81)</f>
        <v>5693728</v>
      </c>
      <c r="G80" s="46">
        <f t="shared" si="22"/>
        <v>0</v>
      </c>
      <c r="H80" s="45">
        <f t="shared" si="18"/>
        <v>52078644</v>
      </c>
    </row>
    <row r="81" spans="1:8" s="25" customFormat="1" ht="12" customHeight="1">
      <c r="A81" s="56"/>
      <c r="B81" s="70"/>
      <c r="C81" s="35"/>
      <c r="D81" s="455" t="s">
        <v>17</v>
      </c>
      <c r="E81" s="452">
        <v>46384916</v>
      </c>
      <c r="F81" s="453">
        <f>SUM(F82:F83)</f>
        <v>5693728</v>
      </c>
      <c r="G81" s="453">
        <f>SUM(G82:G83)</f>
        <v>0</v>
      </c>
      <c r="H81" s="452">
        <f t="shared" si="18"/>
        <v>52078644</v>
      </c>
    </row>
    <row r="82" spans="1:8" s="25" customFormat="1" ht="47.25" customHeight="1">
      <c r="A82" s="56"/>
      <c r="B82" s="56"/>
      <c r="C82" s="53" t="s">
        <v>197</v>
      </c>
      <c r="D82" s="75" t="s">
        <v>201</v>
      </c>
      <c r="E82" s="51">
        <v>46244277</v>
      </c>
      <c r="F82" s="55">
        <v>5690535</v>
      </c>
      <c r="G82" s="55"/>
      <c r="H82" s="51">
        <f t="shared" si="18"/>
        <v>51934812</v>
      </c>
    </row>
    <row r="83" spans="1:8" s="25" customFormat="1" ht="55.5" customHeight="1">
      <c r="A83" s="56"/>
      <c r="B83" s="56"/>
      <c r="C83" s="53" t="s">
        <v>208</v>
      </c>
      <c r="D83" s="54" t="s">
        <v>209</v>
      </c>
      <c r="E83" s="51">
        <v>140639</v>
      </c>
      <c r="F83" s="55">
        <v>3193</v>
      </c>
      <c r="G83" s="55"/>
      <c r="H83" s="51">
        <f t="shared" si="18"/>
        <v>143832</v>
      </c>
    </row>
    <row r="84" spans="1:8" s="25" customFormat="1" ht="12" customHeight="1">
      <c r="A84" s="56"/>
      <c r="B84" s="70">
        <v>85513</v>
      </c>
      <c r="C84" s="35"/>
      <c r="D84" s="49" t="s">
        <v>210</v>
      </c>
      <c r="E84" s="73"/>
      <c r="F84" s="73"/>
      <c r="G84" s="73"/>
      <c r="H84" s="73"/>
    </row>
    <row r="85" spans="1:8" s="25" customFormat="1" ht="12" customHeight="1">
      <c r="A85" s="56"/>
      <c r="B85" s="34"/>
      <c r="C85" s="35"/>
      <c r="D85" s="72" t="s">
        <v>211</v>
      </c>
      <c r="E85" s="73"/>
      <c r="F85" s="73"/>
      <c r="G85" s="73"/>
      <c r="H85" s="73"/>
    </row>
    <row r="86" spans="1:8" s="25" customFormat="1" ht="12" customHeight="1">
      <c r="A86" s="56"/>
      <c r="B86" s="70"/>
      <c r="C86" s="35"/>
      <c r="D86" s="44" t="s">
        <v>212</v>
      </c>
      <c r="E86" s="45">
        <v>663002</v>
      </c>
      <c r="F86" s="46">
        <f t="shared" ref="F86:G86" si="23">SUM(F87)</f>
        <v>134052</v>
      </c>
      <c r="G86" s="46">
        <f t="shared" si="23"/>
        <v>0</v>
      </c>
      <c r="H86" s="45">
        <f t="shared" ref="H86:H88" si="24">SUM(E86+F86-G86)</f>
        <v>797054</v>
      </c>
    </row>
    <row r="87" spans="1:8" s="25" customFormat="1" ht="12" customHeight="1">
      <c r="A87" s="56"/>
      <c r="B87" s="70"/>
      <c r="C87" s="35"/>
      <c r="D87" s="455" t="s">
        <v>17</v>
      </c>
      <c r="E87" s="452">
        <v>663002</v>
      </c>
      <c r="F87" s="453">
        <f>SUM(F88:F88)</f>
        <v>134052</v>
      </c>
      <c r="G87" s="453">
        <f>SUM(G88:G88)</f>
        <v>0</v>
      </c>
      <c r="H87" s="452">
        <f t="shared" si="24"/>
        <v>797054</v>
      </c>
    </row>
    <row r="88" spans="1:8" s="25" customFormat="1" ht="48" customHeight="1">
      <c r="A88" s="56"/>
      <c r="B88" s="56"/>
      <c r="C88" s="53" t="s">
        <v>197</v>
      </c>
      <c r="D88" s="75" t="s">
        <v>201</v>
      </c>
      <c r="E88" s="51">
        <v>663002</v>
      </c>
      <c r="F88" s="55">
        <v>134052</v>
      </c>
      <c r="G88" s="55"/>
      <c r="H88" s="51">
        <f t="shared" si="24"/>
        <v>797054</v>
      </c>
    </row>
    <row r="89" spans="1:8" s="25" customFormat="1" ht="16.5" customHeight="1" thickBot="1">
      <c r="A89" s="34"/>
      <c r="B89" s="34"/>
      <c r="C89" s="35"/>
      <c r="D89" s="38" t="s">
        <v>213</v>
      </c>
      <c r="E89" s="39">
        <v>24757135.800000001</v>
      </c>
      <c r="F89" s="39">
        <f>SUM(F90,F94,F99,F103)</f>
        <v>135670</v>
      </c>
      <c r="G89" s="39">
        <f>SUM(G90,G94,G99,G103)</f>
        <v>140000</v>
      </c>
      <c r="H89" s="39">
        <f t="shared" ref="H89" si="25">SUM(E89+F89-G89)</f>
        <v>24752805.800000001</v>
      </c>
    </row>
    <row r="90" spans="1:8" s="25" customFormat="1" ht="17.25" customHeight="1" thickTop="1" thickBot="1">
      <c r="A90" s="56">
        <v>700</v>
      </c>
      <c r="B90" s="56"/>
      <c r="C90" s="57"/>
      <c r="D90" s="58" t="s">
        <v>214</v>
      </c>
      <c r="E90" s="39">
        <v>763319</v>
      </c>
      <c r="F90" s="39">
        <f>SUM(F91)</f>
        <v>36337</v>
      </c>
      <c r="G90" s="39">
        <f t="shared" ref="F90:G92" si="26">SUM(G91)</f>
        <v>0</v>
      </c>
      <c r="H90" s="39">
        <f>SUM(E90+F90-G90)</f>
        <v>799656</v>
      </c>
    </row>
    <row r="91" spans="1:8" s="25" customFormat="1" ht="12" customHeight="1" thickTop="1">
      <c r="A91" s="56"/>
      <c r="B91" s="70">
        <v>70005</v>
      </c>
      <c r="C91" s="35"/>
      <c r="D91" s="74" t="s">
        <v>215</v>
      </c>
      <c r="E91" s="45">
        <v>763319</v>
      </c>
      <c r="F91" s="45">
        <f t="shared" si="26"/>
        <v>36337</v>
      </c>
      <c r="G91" s="45">
        <f t="shared" si="26"/>
        <v>0</v>
      </c>
      <c r="H91" s="45">
        <f>SUM(E91+F91-G91)</f>
        <v>799656</v>
      </c>
    </row>
    <row r="92" spans="1:8" s="25" customFormat="1" ht="12" customHeight="1">
      <c r="A92" s="34"/>
      <c r="B92" s="70"/>
      <c r="C92" s="35"/>
      <c r="D92" s="455" t="s">
        <v>17</v>
      </c>
      <c r="E92" s="452">
        <v>763319</v>
      </c>
      <c r="F92" s="453">
        <f t="shared" si="26"/>
        <v>36337</v>
      </c>
      <c r="G92" s="453">
        <f t="shared" si="26"/>
        <v>0</v>
      </c>
      <c r="H92" s="452">
        <f>SUM(E92+F92-G92)</f>
        <v>799656</v>
      </c>
    </row>
    <row r="93" spans="1:8" s="25" customFormat="1" ht="36" customHeight="1">
      <c r="A93" s="56"/>
      <c r="B93" s="34"/>
      <c r="C93" s="82">
        <v>2110</v>
      </c>
      <c r="D93" s="96" t="s">
        <v>216</v>
      </c>
      <c r="E93" s="97">
        <v>763319</v>
      </c>
      <c r="F93" s="98">
        <v>36337</v>
      </c>
      <c r="G93" s="98"/>
      <c r="H93" s="97">
        <f t="shared" ref="H93" si="27">SUM(E93+F93-G93)</f>
        <v>799656</v>
      </c>
    </row>
    <row r="94" spans="1:8" s="25" customFormat="1" ht="12" customHeight="1" thickBot="1">
      <c r="A94" s="57" t="s">
        <v>217</v>
      </c>
      <c r="B94" s="56"/>
      <c r="C94" s="57"/>
      <c r="D94" s="58" t="s">
        <v>218</v>
      </c>
      <c r="E94" s="39">
        <v>1495658</v>
      </c>
      <c r="F94" s="39">
        <f>SUM(F95)</f>
        <v>0</v>
      </c>
      <c r="G94" s="39">
        <f t="shared" ref="F94:G96" si="28">SUM(G95)</f>
        <v>140000</v>
      </c>
      <c r="H94" s="39">
        <f>SUM(E94+F94-G94)</f>
        <v>1355658</v>
      </c>
    </row>
    <row r="95" spans="1:8" s="25" customFormat="1" ht="12" customHeight="1" thickTop="1">
      <c r="A95" s="56"/>
      <c r="B95" s="70">
        <v>71012</v>
      </c>
      <c r="C95" s="69"/>
      <c r="D95" s="44" t="s">
        <v>219</v>
      </c>
      <c r="E95" s="45">
        <v>483409</v>
      </c>
      <c r="F95" s="45">
        <f t="shared" si="28"/>
        <v>0</v>
      </c>
      <c r="G95" s="45">
        <f t="shared" si="28"/>
        <v>140000</v>
      </c>
      <c r="H95" s="45">
        <f>SUM(E95+F95-G95)</f>
        <v>343409</v>
      </c>
    </row>
    <row r="96" spans="1:8" s="25" customFormat="1" ht="12" customHeight="1">
      <c r="A96" s="83"/>
      <c r="B96" s="70"/>
      <c r="C96" s="35"/>
      <c r="D96" s="455" t="s">
        <v>17</v>
      </c>
      <c r="E96" s="452">
        <v>483409</v>
      </c>
      <c r="F96" s="453">
        <f t="shared" si="28"/>
        <v>0</v>
      </c>
      <c r="G96" s="453">
        <f t="shared" si="28"/>
        <v>140000</v>
      </c>
      <c r="H96" s="452">
        <f>SUM(E96+F96-G96)</f>
        <v>343409</v>
      </c>
    </row>
    <row r="97" spans="1:8" s="25" customFormat="1" ht="36" customHeight="1">
      <c r="A97" s="77"/>
      <c r="B97" s="34"/>
      <c r="C97" s="82">
        <v>2110</v>
      </c>
      <c r="D97" s="96" t="s">
        <v>220</v>
      </c>
      <c r="E97" s="97">
        <v>483409</v>
      </c>
      <c r="F97" s="98"/>
      <c r="G97" s="98">
        <v>140000</v>
      </c>
      <c r="H97" s="97">
        <f t="shared" ref="H97" si="29">SUM(E97+F97-G97)</f>
        <v>343409</v>
      </c>
    </row>
    <row r="98" spans="1:8" s="25" customFormat="1" ht="12" customHeight="1">
      <c r="A98" s="77">
        <v>754</v>
      </c>
      <c r="B98" s="56"/>
      <c r="C98" s="57"/>
      <c r="D98" s="58" t="s">
        <v>221</v>
      </c>
      <c r="E98" s="68"/>
      <c r="F98" s="68"/>
      <c r="G98" s="68"/>
      <c r="H98" s="68"/>
    </row>
    <row r="99" spans="1:8" s="25" customFormat="1" ht="12" customHeight="1" thickBot="1">
      <c r="A99" s="77"/>
      <c r="B99" s="56"/>
      <c r="C99" s="57"/>
      <c r="D99" s="58" t="s">
        <v>222</v>
      </c>
      <c r="E99" s="39">
        <v>20682326</v>
      </c>
      <c r="F99" s="39">
        <f>SUM(F100)</f>
        <v>9333</v>
      </c>
      <c r="G99" s="39">
        <f t="shared" ref="F99:G101" si="30">SUM(G100)</f>
        <v>0</v>
      </c>
      <c r="H99" s="39">
        <f>SUM(E99+F99-G99)</f>
        <v>20691659</v>
      </c>
    </row>
    <row r="100" spans="1:8" s="25" customFormat="1" ht="12" customHeight="1" thickTop="1">
      <c r="A100" s="56"/>
      <c r="B100" s="70">
        <v>75478</v>
      </c>
      <c r="C100" s="35"/>
      <c r="D100" s="99" t="s">
        <v>223</v>
      </c>
      <c r="E100" s="45">
        <v>0</v>
      </c>
      <c r="F100" s="45">
        <f t="shared" si="30"/>
        <v>9333</v>
      </c>
      <c r="G100" s="45">
        <f t="shared" si="30"/>
        <v>0</v>
      </c>
      <c r="H100" s="45">
        <f>SUM(E100+F100-G100)</f>
        <v>9333</v>
      </c>
    </row>
    <row r="101" spans="1:8" s="25" customFormat="1" ht="11.25" customHeight="1">
      <c r="A101" s="83"/>
      <c r="B101" s="70"/>
      <c r="C101" s="35"/>
      <c r="D101" s="455" t="s">
        <v>17</v>
      </c>
      <c r="E101" s="452">
        <v>0</v>
      </c>
      <c r="F101" s="453">
        <f t="shared" si="30"/>
        <v>9333</v>
      </c>
      <c r="G101" s="453">
        <f t="shared" si="30"/>
        <v>0</v>
      </c>
      <c r="H101" s="452">
        <f>SUM(E101+F101-G101)</f>
        <v>9333</v>
      </c>
    </row>
    <row r="102" spans="1:8" s="25" customFormat="1" ht="34.5" customHeight="1">
      <c r="A102" s="77"/>
      <c r="B102" s="34"/>
      <c r="C102" s="82">
        <v>2110</v>
      </c>
      <c r="D102" s="96" t="s">
        <v>220</v>
      </c>
      <c r="E102" s="97">
        <v>0</v>
      </c>
      <c r="F102" s="98">
        <v>9333</v>
      </c>
      <c r="G102" s="98"/>
      <c r="H102" s="97">
        <f t="shared" ref="H102" si="31">SUM(E102+F102-G102)</f>
        <v>9333</v>
      </c>
    </row>
    <row r="103" spans="1:8" s="25" customFormat="1" ht="12" customHeight="1" thickBot="1">
      <c r="A103" s="77">
        <v>853</v>
      </c>
      <c r="B103" s="56"/>
      <c r="C103" s="57"/>
      <c r="D103" s="58" t="s">
        <v>76</v>
      </c>
      <c r="E103" s="39">
        <v>577070</v>
      </c>
      <c r="F103" s="39">
        <f>SUM(F104)</f>
        <v>90000</v>
      </c>
      <c r="G103" s="39">
        <f t="shared" ref="G103" si="32">SUM(G104)</f>
        <v>0</v>
      </c>
      <c r="H103" s="39">
        <f>SUM(E103+F103-G103)</f>
        <v>667070</v>
      </c>
    </row>
    <row r="104" spans="1:8" s="25" customFormat="1" ht="12" customHeight="1" thickTop="1">
      <c r="A104" s="77"/>
      <c r="B104" s="70">
        <v>85321</v>
      </c>
      <c r="C104" s="35"/>
      <c r="D104" s="44" t="s">
        <v>224</v>
      </c>
      <c r="E104" s="45">
        <v>577070</v>
      </c>
      <c r="F104" s="45">
        <f>SUM(F105)</f>
        <v>90000</v>
      </c>
      <c r="G104" s="45">
        <f>SUM(G105)</f>
        <v>0</v>
      </c>
      <c r="H104" s="45">
        <f>SUM(E104+F104-G104)</f>
        <v>667070</v>
      </c>
    </row>
    <row r="105" spans="1:8" s="25" customFormat="1" ht="12" customHeight="1">
      <c r="A105" s="77"/>
      <c r="B105" s="70"/>
      <c r="C105" s="35"/>
      <c r="D105" s="455" t="s">
        <v>17</v>
      </c>
      <c r="E105" s="452">
        <v>575000</v>
      </c>
      <c r="F105" s="453">
        <f t="shared" ref="F105:G105" si="33">SUM(F106)</f>
        <v>90000</v>
      </c>
      <c r="G105" s="453">
        <f t="shared" si="33"/>
        <v>0</v>
      </c>
      <c r="H105" s="452">
        <f>SUM(E105+F105-G105)</f>
        <v>665000</v>
      </c>
    </row>
    <row r="106" spans="1:8" s="25" customFormat="1" ht="33.75" customHeight="1">
      <c r="A106" s="77"/>
      <c r="B106" s="70"/>
      <c r="C106" s="82">
        <v>2110</v>
      </c>
      <c r="D106" s="96" t="s">
        <v>216</v>
      </c>
      <c r="E106" s="51">
        <v>575000</v>
      </c>
      <c r="F106" s="52">
        <v>90000</v>
      </c>
      <c r="G106" s="52"/>
      <c r="H106" s="51">
        <f t="shared" ref="H106:H125" si="34">SUM(E106+F106-G106)</f>
        <v>665000</v>
      </c>
    </row>
    <row r="107" spans="1:8" s="25" customFormat="1" ht="20.25" customHeight="1" thickBot="1">
      <c r="A107" s="70"/>
      <c r="B107" s="70"/>
      <c r="C107" s="35"/>
      <c r="D107" s="36" t="s">
        <v>20</v>
      </c>
      <c r="E107" s="37">
        <v>1250056926.1900001</v>
      </c>
      <c r="F107" s="37">
        <f>SUM(F108,F558,F619)</f>
        <v>11711572.732000001</v>
      </c>
      <c r="G107" s="37">
        <f>SUM(G108,G558,G619)</f>
        <v>4295544.05</v>
      </c>
      <c r="H107" s="37">
        <f t="shared" si="34"/>
        <v>1257472954.8720002</v>
      </c>
    </row>
    <row r="108" spans="1:8" s="25" customFormat="1" ht="17.25" customHeight="1" thickBot="1">
      <c r="A108" s="70"/>
      <c r="B108" s="70"/>
      <c r="C108" s="35"/>
      <c r="D108" s="38" t="s">
        <v>21</v>
      </c>
      <c r="E108" s="39">
        <v>1161078233.2400002</v>
      </c>
      <c r="F108" s="39">
        <f>SUM(F109,F118,F124,F129,F159,F168,F347,F355,F440,F453,F477,F525,F537,F546)</f>
        <v>4650681.75</v>
      </c>
      <c r="G108" s="39">
        <f>SUM(G109,G118,G124,G129,G159,G168,G347,G355,G440,G453,G477,G525,G537,G546)</f>
        <v>4109105.76</v>
      </c>
      <c r="H108" s="39">
        <f t="shared" si="34"/>
        <v>1161619809.2300003</v>
      </c>
    </row>
    <row r="109" spans="1:8" s="25" customFormat="1" ht="13.5" customHeight="1" thickTop="1" thickBot="1">
      <c r="A109" s="77">
        <v>600</v>
      </c>
      <c r="B109" s="56"/>
      <c r="C109" s="57"/>
      <c r="D109" s="58" t="s">
        <v>225</v>
      </c>
      <c r="E109" s="39">
        <v>178148245.74000001</v>
      </c>
      <c r="F109" s="39">
        <f>SUM(F110,F113)</f>
        <v>26000</v>
      </c>
      <c r="G109" s="39">
        <f>SUM(G110,G113)</f>
        <v>26000</v>
      </c>
      <c r="H109" s="39">
        <f>SUM(E109+F109-G109)</f>
        <v>178148245.74000001</v>
      </c>
    </row>
    <row r="110" spans="1:8" s="25" customFormat="1" ht="12" customHeight="1" thickTop="1">
      <c r="A110" s="77"/>
      <c r="B110" s="70">
        <v>60019</v>
      </c>
      <c r="C110" s="57"/>
      <c r="D110" s="74" t="s">
        <v>226</v>
      </c>
      <c r="E110" s="100">
        <v>1617600</v>
      </c>
      <c r="F110" s="100">
        <f>SUM(F111)</f>
        <v>0</v>
      </c>
      <c r="G110" s="100">
        <f>SUM(G111)</f>
        <v>20000</v>
      </c>
      <c r="H110" s="45">
        <f t="shared" ref="H110" si="35">SUM(E110+F110-G110)</f>
        <v>1597600</v>
      </c>
    </row>
    <row r="111" spans="1:8" s="25" customFormat="1" ht="12" customHeight="1">
      <c r="A111" s="77"/>
      <c r="B111" s="70"/>
      <c r="C111" s="35"/>
      <c r="D111" s="457" t="s">
        <v>227</v>
      </c>
      <c r="E111" s="458">
        <v>1617600</v>
      </c>
      <c r="F111" s="453">
        <f>SUM(F112:F112)</f>
        <v>0</v>
      </c>
      <c r="G111" s="453">
        <f>SUM(G112:G112)</f>
        <v>20000</v>
      </c>
      <c r="H111" s="452">
        <f>SUM(E111+F111-G111)</f>
        <v>1597600</v>
      </c>
    </row>
    <row r="112" spans="1:8" s="25" customFormat="1" ht="12" customHeight="1">
      <c r="A112" s="101"/>
      <c r="B112" s="102"/>
      <c r="C112" s="103">
        <v>4300</v>
      </c>
      <c r="D112" s="44" t="s">
        <v>31</v>
      </c>
      <c r="E112" s="100">
        <v>1610000</v>
      </c>
      <c r="F112" s="100"/>
      <c r="G112" s="100">
        <v>20000</v>
      </c>
      <c r="H112" s="45">
        <f t="shared" ref="H112:H113" si="36">SUM(E112+F112-G112)</f>
        <v>1590000</v>
      </c>
    </row>
    <row r="113" spans="1:8" s="25" customFormat="1" ht="12" customHeight="1">
      <c r="A113" s="77"/>
      <c r="B113" s="70">
        <v>60095</v>
      </c>
      <c r="C113" s="35"/>
      <c r="D113" s="44" t="s">
        <v>51</v>
      </c>
      <c r="E113" s="100">
        <v>7070664.5</v>
      </c>
      <c r="F113" s="100">
        <f>SUM(F114)</f>
        <v>26000</v>
      </c>
      <c r="G113" s="100">
        <f>SUM(G114)</f>
        <v>6000</v>
      </c>
      <c r="H113" s="45">
        <f t="shared" si="36"/>
        <v>7090664.5</v>
      </c>
    </row>
    <row r="114" spans="1:8" s="25" customFormat="1" ht="12" customHeight="1">
      <c r="A114" s="77"/>
      <c r="B114" s="56"/>
      <c r="C114" s="35"/>
      <c r="D114" s="457" t="s">
        <v>227</v>
      </c>
      <c r="E114" s="458">
        <v>6069488</v>
      </c>
      <c r="F114" s="453">
        <f>SUM(F115:F117)</f>
        <v>26000</v>
      </c>
      <c r="G114" s="453">
        <f>SUM(G115:G117)</f>
        <v>6000</v>
      </c>
      <c r="H114" s="452">
        <f>SUM(E114+F114-G114)</f>
        <v>6089488</v>
      </c>
    </row>
    <row r="115" spans="1:8" s="25" customFormat="1" ht="12" customHeight="1">
      <c r="A115" s="77"/>
      <c r="B115" s="56"/>
      <c r="C115" s="69">
        <v>4120</v>
      </c>
      <c r="D115" s="104" t="s">
        <v>94</v>
      </c>
      <c r="E115" s="50">
        <v>133673</v>
      </c>
      <c r="F115" s="51"/>
      <c r="G115" s="51">
        <v>6000</v>
      </c>
      <c r="H115" s="52">
        <f t="shared" ref="H115:H123" si="37">SUM(E115+F115-G115)</f>
        <v>127673</v>
      </c>
    </row>
    <row r="116" spans="1:8" s="25" customFormat="1" ht="12" customHeight="1">
      <c r="A116" s="77"/>
      <c r="B116" s="56"/>
      <c r="C116" s="69">
        <v>4170</v>
      </c>
      <c r="D116" s="104" t="s">
        <v>55</v>
      </c>
      <c r="E116" s="50">
        <v>226000</v>
      </c>
      <c r="F116" s="51">
        <v>6000</v>
      </c>
      <c r="G116" s="51"/>
      <c r="H116" s="52">
        <f t="shared" si="37"/>
        <v>232000</v>
      </c>
    </row>
    <row r="117" spans="1:8" s="25" customFormat="1" ht="12" customHeight="1">
      <c r="A117" s="77"/>
      <c r="B117" s="56"/>
      <c r="C117" s="48" t="s">
        <v>228</v>
      </c>
      <c r="D117" s="91" t="s">
        <v>229</v>
      </c>
      <c r="E117" s="50">
        <v>90000</v>
      </c>
      <c r="F117" s="50">
        <v>20000</v>
      </c>
      <c r="G117" s="50"/>
      <c r="H117" s="52">
        <f t="shared" si="37"/>
        <v>110000</v>
      </c>
    </row>
    <row r="118" spans="1:8" s="25" customFormat="1" ht="12" customHeight="1" thickBot="1">
      <c r="A118" s="105">
        <v>630</v>
      </c>
      <c r="B118" s="106"/>
      <c r="C118" s="105"/>
      <c r="D118" s="107" t="s">
        <v>230</v>
      </c>
      <c r="E118" s="39">
        <v>2517085.0000000005</v>
      </c>
      <c r="F118" s="39">
        <f>SUM(F119)</f>
        <v>141345</v>
      </c>
      <c r="G118" s="39">
        <f>SUM(G119)</f>
        <v>141345</v>
      </c>
      <c r="H118" s="39">
        <f t="shared" si="37"/>
        <v>2517085.0000000005</v>
      </c>
    </row>
    <row r="119" spans="1:8" s="25" customFormat="1" ht="12" customHeight="1" thickTop="1">
      <c r="A119" s="61"/>
      <c r="B119" s="60">
        <v>63003</v>
      </c>
      <c r="C119" s="64"/>
      <c r="D119" s="76" t="s">
        <v>231</v>
      </c>
      <c r="E119" s="45">
        <v>2517085.0000000005</v>
      </c>
      <c r="F119" s="45">
        <f>SUM(F120)</f>
        <v>141345</v>
      </c>
      <c r="G119" s="45">
        <f>SUM(G120)</f>
        <v>141345</v>
      </c>
      <c r="H119" s="45">
        <f t="shared" si="37"/>
        <v>2517085.0000000005</v>
      </c>
    </row>
    <row r="120" spans="1:8" s="25" customFormat="1" ht="12" customHeight="1">
      <c r="A120" s="77"/>
      <c r="B120" s="77"/>
      <c r="C120" s="57"/>
      <c r="D120" s="459" t="s">
        <v>232</v>
      </c>
      <c r="E120" s="458">
        <v>2367085.0000000005</v>
      </c>
      <c r="F120" s="458">
        <f>SUM(F121:F123)</f>
        <v>141345</v>
      </c>
      <c r="G120" s="458">
        <f>SUM(G121:G123)</f>
        <v>141345</v>
      </c>
      <c r="H120" s="458">
        <f t="shared" si="37"/>
        <v>2367085.0000000005</v>
      </c>
    </row>
    <row r="121" spans="1:8" s="25" customFormat="1" ht="12" customHeight="1">
      <c r="A121" s="77"/>
      <c r="B121" s="77"/>
      <c r="C121" s="69">
        <v>4010</v>
      </c>
      <c r="D121" s="104" t="s">
        <v>53</v>
      </c>
      <c r="E121" s="50">
        <v>1071751.1200000001</v>
      </c>
      <c r="F121" s="50">
        <v>141345</v>
      </c>
      <c r="G121" s="50"/>
      <c r="H121" s="55">
        <f t="shared" si="37"/>
        <v>1213096.1200000001</v>
      </c>
    </row>
    <row r="122" spans="1:8" s="25" customFormat="1" ht="12" customHeight="1">
      <c r="A122" s="77"/>
      <c r="B122" s="77"/>
      <c r="C122" s="69">
        <v>4040</v>
      </c>
      <c r="D122" s="104" t="s">
        <v>233</v>
      </c>
      <c r="E122" s="50">
        <v>102890</v>
      </c>
      <c r="F122" s="50"/>
      <c r="G122" s="50">
        <v>72000</v>
      </c>
      <c r="H122" s="55">
        <f t="shared" si="37"/>
        <v>30890</v>
      </c>
    </row>
    <row r="123" spans="1:8" s="25" customFormat="1" ht="12" customHeight="1">
      <c r="A123" s="77"/>
      <c r="B123" s="69"/>
      <c r="C123" s="69">
        <v>4260</v>
      </c>
      <c r="D123" s="104" t="s">
        <v>234</v>
      </c>
      <c r="E123" s="51">
        <v>323475</v>
      </c>
      <c r="F123" s="51"/>
      <c r="G123" s="51">
        <v>69345</v>
      </c>
      <c r="H123" s="55">
        <f t="shared" si="37"/>
        <v>254130</v>
      </c>
    </row>
    <row r="124" spans="1:8" s="25" customFormat="1" ht="12" customHeight="1" thickBot="1">
      <c r="A124" s="77">
        <v>710</v>
      </c>
      <c r="B124" s="56"/>
      <c r="C124" s="57"/>
      <c r="D124" s="58" t="s">
        <v>218</v>
      </c>
      <c r="E124" s="39">
        <v>4820000</v>
      </c>
      <c r="F124" s="42">
        <f>SUM(F125)</f>
        <v>1200</v>
      </c>
      <c r="G124" s="42">
        <f>SUM(G125)</f>
        <v>1200</v>
      </c>
      <c r="H124" s="39">
        <f t="shared" si="34"/>
        <v>4820000</v>
      </c>
    </row>
    <row r="125" spans="1:8" s="25" customFormat="1" ht="12" customHeight="1" thickTop="1">
      <c r="A125" s="56"/>
      <c r="B125" s="60">
        <v>71095</v>
      </c>
      <c r="C125" s="64"/>
      <c r="D125" s="44" t="s">
        <v>51</v>
      </c>
      <c r="E125" s="45">
        <v>238500</v>
      </c>
      <c r="F125" s="46">
        <f>SUM(F126)</f>
        <v>1200</v>
      </c>
      <c r="G125" s="46">
        <f>SUM(G126)</f>
        <v>1200</v>
      </c>
      <c r="H125" s="45">
        <f t="shared" si="34"/>
        <v>238500</v>
      </c>
    </row>
    <row r="126" spans="1:8" s="25" customFormat="1" ht="12" customHeight="1">
      <c r="A126" s="70"/>
      <c r="B126" s="69"/>
      <c r="C126" s="35"/>
      <c r="D126" s="459" t="s">
        <v>235</v>
      </c>
      <c r="E126" s="458">
        <v>156500</v>
      </c>
      <c r="F126" s="453">
        <f>SUM(F127:F128)</f>
        <v>1200</v>
      </c>
      <c r="G126" s="453">
        <f>SUM(G127:G128)</f>
        <v>1200</v>
      </c>
      <c r="H126" s="452">
        <f>SUM(E126+F126-G126)</f>
        <v>156500</v>
      </c>
    </row>
    <row r="127" spans="1:8" s="25" customFormat="1" ht="12" customHeight="1">
      <c r="A127" s="70"/>
      <c r="B127" s="69"/>
      <c r="C127" s="69">
        <v>4300</v>
      </c>
      <c r="D127" s="104" t="s">
        <v>31</v>
      </c>
      <c r="E127" s="50">
        <v>133600</v>
      </c>
      <c r="F127" s="51"/>
      <c r="G127" s="51">
        <v>1200</v>
      </c>
      <c r="H127" s="52">
        <f t="shared" ref="H127:H140" si="38">SUM(E127+F127-G127)</f>
        <v>132400</v>
      </c>
    </row>
    <row r="128" spans="1:8" s="25" customFormat="1" ht="24" customHeight="1">
      <c r="A128" s="70"/>
      <c r="B128" s="69"/>
      <c r="C128" s="82">
        <v>4700</v>
      </c>
      <c r="D128" s="108" t="s">
        <v>236</v>
      </c>
      <c r="E128" s="50">
        <v>4500</v>
      </c>
      <c r="F128" s="51">
        <v>1200</v>
      </c>
      <c r="G128" s="51"/>
      <c r="H128" s="52">
        <f t="shared" si="38"/>
        <v>5700</v>
      </c>
    </row>
    <row r="129" spans="1:8" s="25" customFormat="1" ht="12" customHeight="1" thickBot="1">
      <c r="A129" s="77">
        <v>750</v>
      </c>
      <c r="B129" s="77"/>
      <c r="C129" s="57"/>
      <c r="D129" s="58" t="s">
        <v>199</v>
      </c>
      <c r="E129" s="39">
        <v>83115771.590000004</v>
      </c>
      <c r="F129" s="42">
        <f>SUM(F130,F141,F154)</f>
        <v>747500</v>
      </c>
      <c r="G129" s="42">
        <f>SUM(G130,G141,G154)</f>
        <v>747500</v>
      </c>
      <c r="H129" s="109">
        <f t="shared" si="38"/>
        <v>83115771.590000004</v>
      </c>
    </row>
    <row r="130" spans="1:8" s="25" customFormat="1" ht="12" customHeight="1" thickTop="1">
      <c r="A130" s="77"/>
      <c r="B130" s="35" t="s">
        <v>237</v>
      </c>
      <c r="C130" s="69"/>
      <c r="D130" s="44" t="s">
        <v>238</v>
      </c>
      <c r="E130" s="45">
        <v>38556954.399999999</v>
      </c>
      <c r="F130" s="45">
        <f>SUM(F131)</f>
        <v>620900</v>
      </c>
      <c r="G130" s="45">
        <f>SUM(G131)</f>
        <v>620900</v>
      </c>
      <c r="H130" s="45">
        <f t="shared" si="38"/>
        <v>38556954.399999999</v>
      </c>
    </row>
    <row r="131" spans="1:8" s="25" customFormat="1" ht="12" customHeight="1">
      <c r="A131" s="77"/>
      <c r="B131" s="56"/>
      <c r="C131" s="69"/>
      <c r="D131" s="460" t="s">
        <v>168</v>
      </c>
      <c r="E131" s="452">
        <v>35337168.450000003</v>
      </c>
      <c r="F131" s="458">
        <f>SUM(F132:F140)</f>
        <v>620900</v>
      </c>
      <c r="G131" s="458">
        <f>SUM(G132:G140)</f>
        <v>620900</v>
      </c>
      <c r="H131" s="458">
        <f t="shared" si="38"/>
        <v>35337168.450000003</v>
      </c>
    </row>
    <row r="132" spans="1:8" s="25" customFormat="1" ht="12" customHeight="1">
      <c r="A132" s="77"/>
      <c r="B132" s="56"/>
      <c r="C132" s="69">
        <v>3020</v>
      </c>
      <c r="D132" s="104" t="s">
        <v>52</v>
      </c>
      <c r="E132" s="50">
        <v>72910</v>
      </c>
      <c r="F132" s="50">
        <v>39900</v>
      </c>
      <c r="G132" s="50"/>
      <c r="H132" s="55">
        <f t="shared" si="38"/>
        <v>112810</v>
      </c>
    </row>
    <row r="133" spans="1:8" s="25" customFormat="1" ht="12" customHeight="1">
      <c r="A133" s="77"/>
      <c r="B133" s="56"/>
      <c r="C133" s="69">
        <v>4010</v>
      </c>
      <c r="D133" s="104" t="s">
        <v>53</v>
      </c>
      <c r="E133" s="55">
        <v>22777575</v>
      </c>
      <c r="F133" s="55">
        <v>481000</v>
      </c>
      <c r="G133" s="55"/>
      <c r="H133" s="55">
        <f t="shared" si="38"/>
        <v>23258575</v>
      </c>
    </row>
    <row r="134" spans="1:8" s="25" customFormat="1" ht="12" customHeight="1">
      <c r="A134" s="77"/>
      <c r="B134" s="56"/>
      <c r="C134" s="69">
        <v>4040</v>
      </c>
      <c r="D134" s="104" t="s">
        <v>233</v>
      </c>
      <c r="E134" s="55">
        <v>1647714</v>
      </c>
      <c r="F134" s="55"/>
      <c r="G134" s="55">
        <v>115000</v>
      </c>
      <c r="H134" s="55">
        <f t="shared" si="38"/>
        <v>1532714</v>
      </c>
    </row>
    <row r="135" spans="1:8" s="25" customFormat="1" ht="12" customHeight="1">
      <c r="A135" s="77"/>
      <c r="B135" s="56"/>
      <c r="C135" s="69">
        <v>4110</v>
      </c>
      <c r="D135" s="104" t="s">
        <v>239</v>
      </c>
      <c r="E135" s="55">
        <v>4287455</v>
      </c>
      <c r="F135" s="55"/>
      <c r="G135" s="55">
        <v>200000</v>
      </c>
      <c r="H135" s="55">
        <f t="shared" si="38"/>
        <v>4087455</v>
      </c>
    </row>
    <row r="136" spans="1:8" s="25" customFormat="1" ht="12" customHeight="1">
      <c r="A136" s="77"/>
      <c r="B136" s="56"/>
      <c r="C136" s="69">
        <v>4120</v>
      </c>
      <c r="D136" s="104" t="s">
        <v>94</v>
      </c>
      <c r="E136" s="55">
        <v>585321</v>
      </c>
      <c r="F136" s="55"/>
      <c r="G136" s="55">
        <v>126000</v>
      </c>
      <c r="H136" s="55">
        <f t="shared" si="38"/>
        <v>459321</v>
      </c>
    </row>
    <row r="137" spans="1:8" s="25" customFormat="1" ht="23.25" customHeight="1">
      <c r="A137" s="77"/>
      <c r="B137" s="56"/>
      <c r="C137" s="110">
        <v>4140</v>
      </c>
      <c r="D137" s="108" t="s">
        <v>240</v>
      </c>
      <c r="E137" s="55">
        <v>213364</v>
      </c>
      <c r="F137" s="55"/>
      <c r="G137" s="55">
        <v>40000</v>
      </c>
      <c r="H137" s="55">
        <f t="shared" si="38"/>
        <v>173364</v>
      </c>
    </row>
    <row r="138" spans="1:8" s="25" customFormat="1" ht="12" customHeight="1">
      <c r="A138" s="77"/>
      <c r="B138" s="56"/>
      <c r="C138" s="48" t="s">
        <v>228</v>
      </c>
      <c r="D138" s="91" t="s">
        <v>229</v>
      </c>
      <c r="E138" s="55">
        <v>485000</v>
      </c>
      <c r="F138" s="55"/>
      <c r="G138" s="55">
        <v>27900</v>
      </c>
      <c r="H138" s="55">
        <f t="shared" si="38"/>
        <v>457100</v>
      </c>
    </row>
    <row r="139" spans="1:8" s="25" customFormat="1" ht="12" customHeight="1">
      <c r="A139" s="77"/>
      <c r="B139" s="56"/>
      <c r="C139" s="69">
        <v>4260</v>
      </c>
      <c r="D139" s="104" t="s">
        <v>234</v>
      </c>
      <c r="E139" s="55">
        <v>1613020</v>
      </c>
      <c r="F139" s="55"/>
      <c r="G139" s="55">
        <v>112000</v>
      </c>
      <c r="H139" s="55">
        <f t="shared" si="38"/>
        <v>1501020</v>
      </c>
    </row>
    <row r="140" spans="1:8" s="25" customFormat="1" ht="12" customHeight="1">
      <c r="A140" s="77"/>
      <c r="B140" s="56"/>
      <c r="C140" s="69">
        <v>4300</v>
      </c>
      <c r="D140" s="104" t="s">
        <v>31</v>
      </c>
      <c r="E140" s="55">
        <v>1444820.45</v>
      </c>
      <c r="F140" s="55">
        <v>100000</v>
      </c>
      <c r="G140" s="55"/>
      <c r="H140" s="55">
        <f t="shared" si="38"/>
        <v>1544820.45</v>
      </c>
    </row>
    <row r="141" spans="1:8" s="25" customFormat="1" ht="12" customHeight="1">
      <c r="A141" s="77"/>
      <c r="B141" s="35" t="s">
        <v>241</v>
      </c>
      <c r="C141" s="69"/>
      <c r="D141" s="44" t="s">
        <v>242</v>
      </c>
      <c r="E141" s="45">
        <v>8422470</v>
      </c>
      <c r="F141" s="46">
        <f>SUM(F142)</f>
        <v>76600</v>
      </c>
      <c r="G141" s="46">
        <f>SUM(G142)</f>
        <v>76600</v>
      </c>
      <c r="H141" s="45">
        <f>SUM(E141+F141-G141)</f>
        <v>8422470</v>
      </c>
    </row>
    <row r="142" spans="1:8" s="25" customFormat="1" ht="12" customHeight="1">
      <c r="A142" s="77"/>
      <c r="B142" s="35"/>
      <c r="C142" s="35"/>
      <c r="D142" s="457" t="s">
        <v>243</v>
      </c>
      <c r="E142" s="458">
        <v>8422470</v>
      </c>
      <c r="F142" s="453">
        <f>SUM(F143:F153)</f>
        <v>76600</v>
      </c>
      <c r="G142" s="453">
        <f>SUM(G143:G153)</f>
        <v>76600</v>
      </c>
      <c r="H142" s="452">
        <f>SUM(E142+F142-G142)</f>
        <v>8422470</v>
      </c>
    </row>
    <row r="143" spans="1:8" s="25" customFormat="1" ht="12" customHeight="1">
      <c r="A143" s="77"/>
      <c r="B143" s="35"/>
      <c r="C143" s="69">
        <v>4010</v>
      </c>
      <c r="D143" s="104" t="s">
        <v>53</v>
      </c>
      <c r="E143" s="50">
        <v>5191967</v>
      </c>
      <c r="F143" s="51">
        <v>50000</v>
      </c>
      <c r="G143" s="51"/>
      <c r="H143" s="50">
        <f t="shared" ref="H143:H157" si="39">SUM(E143+F143-G143)</f>
        <v>5241967</v>
      </c>
    </row>
    <row r="144" spans="1:8" s="25" customFormat="1" ht="12" customHeight="1">
      <c r="A144" s="77"/>
      <c r="B144" s="35"/>
      <c r="C144" s="69">
        <v>4110</v>
      </c>
      <c r="D144" s="104" t="s">
        <v>239</v>
      </c>
      <c r="E144" s="50">
        <v>985177</v>
      </c>
      <c r="F144" s="51"/>
      <c r="G144" s="51">
        <v>50000</v>
      </c>
      <c r="H144" s="50">
        <f t="shared" si="39"/>
        <v>935177</v>
      </c>
    </row>
    <row r="145" spans="1:8" s="25" customFormat="1" ht="12" customHeight="1">
      <c r="A145" s="77"/>
      <c r="B145" s="35"/>
      <c r="C145" s="69">
        <v>4170</v>
      </c>
      <c r="D145" s="104" t="s">
        <v>55</v>
      </c>
      <c r="E145" s="50">
        <v>8800</v>
      </c>
      <c r="F145" s="51"/>
      <c r="G145" s="51">
        <v>4300</v>
      </c>
      <c r="H145" s="50">
        <f t="shared" si="39"/>
        <v>4500</v>
      </c>
    </row>
    <row r="146" spans="1:8" s="25" customFormat="1" ht="12" customHeight="1">
      <c r="A146" s="77"/>
      <c r="B146" s="35"/>
      <c r="C146" s="48" t="s">
        <v>228</v>
      </c>
      <c r="D146" s="91" t="s">
        <v>229</v>
      </c>
      <c r="E146" s="50">
        <v>90900</v>
      </c>
      <c r="F146" s="51">
        <v>16600</v>
      </c>
      <c r="G146" s="51"/>
      <c r="H146" s="50">
        <f t="shared" si="39"/>
        <v>107500</v>
      </c>
    </row>
    <row r="147" spans="1:8" s="25" customFormat="1" ht="12" customHeight="1">
      <c r="A147" s="77"/>
      <c r="B147" s="35"/>
      <c r="C147" s="69">
        <v>4260</v>
      </c>
      <c r="D147" s="104" t="s">
        <v>234</v>
      </c>
      <c r="E147" s="50">
        <v>173000</v>
      </c>
      <c r="F147" s="51"/>
      <c r="G147" s="51">
        <v>10000</v>
      </c>
      <c r="H147" s="50">
        <f t="shared" si="39"/>
        <v>163000</v>
      </c>
    </row>
    <row r="148" spans="1:8" s="25" customFormat="1" ht="12" customHeight="1">
      <c r="A148" s="77"/>
      <c r="B148" s="35"/>
      <c r="C148" s="69">
        <v>4280</v>
      </c>
      <c r="D148" s="104" t="s">
        <v>61</v>
      </c>
      <c r="E148" s="50">
        <v>7504</v>
      </c>
      <c r="F148" s="51"/>
      <c r="G148" s="51">
        <v>2500</v>
      </c>
      <c r="H148" s="50">
        <f t="shared" si="39"/>
        <v>5004</v>
      </c>
    </row>
    <row r="149" spans="1:8" s="25" customFormat="1" ht="12" customHeight="1">
      <c r="A149" s="77"/>
      <c r="B149" s="35"/>
      <c r="C149" s="69">
        <v>4300</v>
      </c>
      <c r="D149" s="104" t="s">
        <v>31</v>
      </c>
      <c r="E149" s="50">
        <v>284000</v>
      </c>
      <c r="F149" s="51">
        <v>10000</v>
      </c>
      <c r="G149" s="51"/>
      <c r="H149" s="50">
        <f t="shared" si="39"/>
        <v>294000</v>
      </c>
    </row>
    <row r="150" spans="1:8" s="25" customFormat="1" ht="12" customHeight="1">
      <c r="A150" s="77"/>
      <c r="B150" s="35"/>
      <c r="C150" s="69">
        <v>4360</v>
      </c>
      <c r="D150" s="104" t="s">
        <v>244</v>
      </c>
      <c r="E150" s="50">
        <v>8780</v>
      </c>
      <c r="F150" s="51"/>
      <c r="G150" s="51">
        <v>2500</v>
      </c>
      <c r="H150" s="50">
        <f t="shared" si="39"/>
        <v>6280</v>
      </c>
    </row>
    <row r="151" spans="1:8" s="25" customFormat="1" ht="12" customHeight="1">
      <c r="A151" s="77"/>
      <c r="B151" s="35"/>
      <c r="C151" s="69">
        <v>4410</v>
      </c>
      <c r="D151" s="91" t="s">
        <v>66</v>
      </c>
      <c r="E151" s="50">
        <v>600</v>
      </c>
      <c r="F151" s="51"/>
      <c r="G151" s="51">
        <v>600</v>
      </c>
      <c r="H151" s="50">
        <f t="shared" si="39"/>
        <v>0</v>
      </c>
    </row>
    <row r="152" spans="1:8" s="25" customFormat="1" ht="12" customHeight="1">
      <c r="A152" s="77"/>
      <c r="B152" s="35"/>
      <c r="C152" s="69">
        <v>4430</v>
      </c>
      <c r="D152" s="104" t="s">
        <v>245</v>
      </c>
      <c r="E152" s="50">
        <v>1135</v>
      </c>
      <c r="F152" s="51"/>
      <c r="G152" s="51">
        <v>700</v>
      </c>
      <c r="H152" s="50">
        <f t="shared" si="39"/>
        <v>435</v>
      </c>
    </row>
    <row r="153" spans="1:8" s="25" customFormat="1" ht="24" customHeight="1">
      <c r="A153" s="77"/>
      <c r="B153" s="35"/>
      <c r="C153" s="82">
        <v>4700</v>
      </c>
      <c r="D153" s="108" t="s">
        <v>236</v>
      </c>
      <c r="E153" s="50">
        <v>13200</v>
      </c>
      <c r="F153" s="51"/>
      <c r="G153" s="51">
        <v>6000</v>
      </c>
      <c r="H153" s="50">
        <f t="shared" si="39"/>
        <v>7200</v>
      </c>
    </row>
    <row r="154" spans="1:8" s="25" customFormat="1" ht="12" customHeight="1">
      <c r="A154" s="77"/>
      <c r="B154" s="35" t="s">
        <v>246</v>
      </c>
      <c r="C154" s="69"/>
      <c r="D154" s="44" t="s">
        <v>51</v>
      </c>
      <c r="E154" s="45">
        <v>25770874.09</v>
      </c>
      <c r="F154" s="46">
        <f>SUM(F155)</f>
        <v>50000</v>
      </c>
      <c r="G154" s="46">
        <f>SUM(G155)</f>
        <v>50000</v>
      </c>
      <c r="H154" s="45">
        <f t="shared" si="39"/>
        <v>25770874.09</v>
      </c>
    </row>
    <row r="155" spans="1:8" s="25" customFormat="1" ht="12" customHeight="1">
      <c r="A155" s="77"/>
      <c r="B155" s="35"/>
      <c r="C155" s="69"/>
      <c r="D155" s="461" t="s">
        <v>247</v>
      </c>
      <c r="E155" s="462">
        <v>7043679.9799999995</v>
      </c>
      <c r="F155" s="463">
        <f>SUM(F156:F157)</f>
        <v>50000</v>
      </c>
      <c r="G155" s="463">
        <f>SUM(G156:G157)</f>
        <v>50000</v>
      </c>
      <c r="H155" s="464">
        <f t="shared" si="39"/>
        <v>7043679.9799999995</v>
      </c>
    </row>
    <row r="156" spans="1:8" s="25" customFormat="1" ht="12" customHeight="1">
      <c r="A156" s="77"/>
      <c r="B156" s="35"/>
      <c r="C156" s="69">
        <v>4260</v>
      </c>
      <c r="D156" s="104" t="s">
        <v>234</v>
      </c>
      <c r="E156" s="51">
        <v>0</v>
      </c>
      <c r="F156" s="50">
        <v>50000</v>
      </c>
      <c r="G156" s="50"/>
      <c r="H156" s="52">
        <f t="shared" si="39"/>
        <v>50000</v>
      </c>
    </row>
    <row r="157" spans="1:8" s="25" customFormat="1" ht="24" customHeight="1">
      <c r="A157" s="77"/>
      <c r="B157" s="35"/>
      <c r="C157" s="82">
        <v>4390</v>
      </c>
      <c r="D157" s="96" t="s">
        <v>248</v>
      </c>
      <c r="E157" s="51">
        <v>126422</v>
      </c>
      <c r="F157" s="50"/>
      <c r="G157" s="50">
        <v>50000</v>
      </c>
      <c r="H157" s="52">
        <f t="shared" si="39"/>
        <v>76422</v>
      </c>
    </row>
    <row r="158" spans="1:8" s="25" customFormat="1" ht="12" customHeight="1">
      <c r="A158" s="111">
        <v>754</v>
      </c>
      <c r="B158" s="106"/>
      <c r="C158" s="106"/>
      <c r="D158" s="112" t="s">
        <v>249</v>
      </c>
      <c r="E158" s="51"/>
      <c r="F158" s="51"/>
      <c r="G158" s="51"/>
      <c r="H158" s="51"/>
    </row>
    <row r="159" spans="1:8" s="25" customFormat="1" ht="12" customHeight="1" thickBot="1">
      <c r="A159" s="111"/>
      <c r="B159" s="106"/>
      <c r="C159" s="106"/>
      <c r="D159" s="112" t="s">
        <v>222</v>
      </c>
      <c r="E159" s="39">
        <v>7425190</v>
      </c>
      <c r="F159" s="42">
        <f>SUM(F160,F163)</f>
        <v>26000</v>
      </c>
      <c r="G159" s="42">
        <f>SUM(G160,G163)</f>
        <v>26000</v>
      </c>
      <c r="H159" s="39">
        <f>SUM(E159+F159-G159)</f>
        <v>7425190</v>
      </c>
    </row>
    <row r="160" spans="1:8" s="25" customFormat="1" ht="12" customHeight="1" thickTop="1">
      <c r="A160" s="111"/>
      <c r="B160" s="35" t="s">
        <v>250</v>
      </c>
      <c r="C160" s="69"/>
      <c r="D160" s="44" t="s">
        <v>251</v>
      </c>
      <c r="E160" s="45">
        <v>152000</v>
      </c>
      <c r="F160" s="46">
        <f>SUM(F161)</f>
        <v>0</v>
      </c>
      <c r="G160" s="46">
        <f>SUM(G161)</f>
        <v>6000</v>
      </c>
      <c r="H160" s="45">
        <f>SUM(E160+F160-G160)</f>
        <v>146000</v>
      </c>
    </row>
    <row r="161" spans="1:8" s="25" customFormat="1" ht="12" customHeight="1">
      <c r="A161" s="111"/>
      <c r="B161" s="35"/>
      <c r="C161" s="48"/>
      <c r="D161" s="461" t="s">
        <v>131</v>
      </c>
      <c r="E161" s="458">
        <v>152000</v>
      </c>
      <c r="F161" s="458">
        <f>SUM(F162:F162)</f>
        <v>0</v>
      </c>
      <c r="G161" s="458">
        <f>SUM(G162:G162)</f>
        <v>6000</v>
      </c>
      <c r="H161" s="452">
        <f>SUM(E161+F161-G161)</f>
        <v>146000</v>
      </c>
    </row>
    <row r="162" spans="1:8" s="25" customFormat="1" ht="12" customHeight="1">
      <c r="A162" s="111"/>
      <c r="B162" s="35"/>
      <c r="C162" s="69">
        <v>4270</v>
      </c>
      <c r="D162" s="104" t="s">
        <v>56</v>
      </c>
      <c r="E162" s="50">
        <v>7599</v>
      </c>
      <c r="F162" s="50"/>
      <c r="G162" s="50">
        <v>6000</v>
      </c>
      <c r="H162" s="52">
        <f t="shared" ref="H162" si="40">SUM(E162+F162-G162)</f>
        <v>1599</v>
      </c>
    </row>
    <row r="163" spans="1:8" s="25" customFormat="1" ht="12" customHeight="1">
      <c r="A163" s="111"/>
      <c r="B163" s="60">
        <v>75416</v>
      </c>
      <c r="C163" s="60"/>
      <c r="D163" s="113" t="s">
        <v>252</v>
      </c>
      <c r="E163" s="45">
        <v>6924898</v>
      </c>
      <c r="F163" s="46">
        <f>SUM(F164)</f>
        <v>26000</v>
      </c>
      <c r="G163" s="46">
        <f>SUM(G164)</f>
        <v>20000</v>
      </c>
      <c r="H163" s="45">
        <f>SUM(E163+F163-G163)</f>
        <v>6930898</v>
      </c>
    </row>
    <row r="164" spans="1:8" s="25" customFormat="1" ht="12" customHeight="1">
      <c r="A164" s="111"/>
      <c r="B164" s="35"/>
      <c r="C164" s="60"/>
      <c r="D164" s="465" t="s">
        <v>253</v>
      </c>
      <c r="E164" s="452">
        <v>1164852</v>
      </c>
      <c r="F164" s="453">
        <f>SUM(F165:F167)</f>
        <v>26000</v>
      </c>
      <c r="G164" s="453">
        <f>SUM(G165:G167)</f>
        <v>20000</v>
      </c>
      <c r="H164" s="458">
        <f>SUM(E164+F164-G164)</f>
        <v>1170852</v>
      </c>
    </row>
    <row r="165" spans="1:8" s="25" customFormat="1" ht="12" customHeight="1">
      <c r="A165" s="111"/>
      <c r="B165" s="35"/>
      <c r="C165" s="48" t="s">
        <v>228</v>
      </c>
      <c r="D165" s="91" t="s">
        <v>229</v>
      </c>
      <c r="E165" s="114">
        <v>20000</v>
      </c>
      <c r="F165" s="114">
        <f>6000+13000</f>
        <v>19000</v>
      </c>
      <c r="G165" s="114"/>
      <c r="H165" s="52">
        <f t="shared" ref="H165:H167" si="41">SUM(E165+F165-G165)</f>
        <v>39000</v>
      </c>
    </row>
    <row r="166" spans="1:8" s="25" customFormat="1" ht="12" customHeight="1">
      <c r="A166" s="111"/>
      <c r="B166" s="35"/>
      <c r="C166" s="69">
        <v>4260</v>
      </c>
      <c r="D166" s="104" t="s">
        <v>234</v>
      </c>
      <c r="E166" s="114">
        <v>106800</v>
      </c>
      <c r="F166" s="114"/>
      <c r="G166" s="114">
        <v>20000</v>
      </c>
      <c r="H166" s="52">
        <f t="shared" si="41"/>
        <v>86800</v>
      </c>
    </row>
    <row r="167" spans="1:8" s="25" customFormat="1" ht="12" customHeight="1">
      <c r="A167" s="115"/>
      <c r="B167" s="116"/>
      <c r="C167" s="103">
        <v>4300</v>
      </c>
      <c r="D167" s="44" t="s">
        <v>31</v>
      </c>
      <c r="E167" s="117">
        <v>10840</v>
      </c>
      <c r="F167" s="117">
        <v>7000</v>
      </c>
      <c r="G167" s="117"/>
      <c r="H167" s="45">
        <f t="shared" si="41"/>
        <v>17840</v>
      </c>
    </row>
    <row r="168" spans="1:8" s="25" customFormat="1" ht="12" thickBot="1">
      <c r="A168" s="56">
        <v>801</v>
      </c>
      <c r="B168" s="56"/>
      <c r="C168" s="57"/>
      <c r="D168" s="58" t="s">
        <v>15</v>
      </c>
      <c r="E168" s="59">
        <v>435310902.70999998</v>
      </c>
      <c r="F168" s="42">
        <f>SUM(F169,F190,F198,F202,F226,F230,F235,F243,F246,F251,F265,F274,F286,F290,F300,F310,F320,F325,F335,F339)</f>
        <v>856258.42</v>
      </c>
      <c r="G168" s="42">
        <f>SUM(G169,G190,G198,G202,G226,G230,G235,G243,G246,G251,G265,G274,G286,G290,G300,G310,G320,G325,G335,G339)</f>
        <v>527637.76000000001</v>
      </c>
      <c r="H168" s="39">
        <f>SUM(E168+F168-G168)</f>
        <v>435639523.37</v>
      </c>
    </row>
    <row r="169" spans="1:8" s="25" customFormat="1" ht="12" thickTop="1">
      <c r="A169" s="56"/>
      <c r="B169" s="70">
        <v>80101</v>
      </c>
      <c r="C169" s="35"/>
      <c r="D169" s="44" t="s">
        <v>22</v>
      </c>
      <c r="E169" s="45">
        <v>114141920.70999999</v>
      </c>
      <c r="F169" s="46">
        <f>SUM(F170,F186,F188)</f>
        <v>290257.39</v>
      </c>
      <c r="G169" s="46">
        <f>SUM(G170,G186,G188)</f>
        <v>151856</v>
      </c>
      <c r="H169" s="45">
        <f>SUM(E169+F169-G169)</f>
        <v>114280322.09999999</v>
      </c>
    </row>
    <row r="170" spans="1:8" s="25" customFormat="1" ht="11.25">
      <c r="A170" s="56"/>
      <c r="B170" s="70"/>
      <c r="C170" s="35"/>
      <c r="D170" s="457" t="s">
        <v>37</v>
      </c>
      <c r="E170" s="458">
        <v>98632808</v>
      </c>
      <c r="F170" s="458">
        <f>SUM(F171:F185)</f>
        <v>118562</v>
      </c>
      <c r="G170" s="458">
        <f>SUM(G171:G185)</f>
        <v>151856</v>
      </c>
      <c r="H170" s="452">
        <f>SUM(E170+F170-G170)</f>
        <v>98599514</v>
      </c>
    </row>
    <row r="171" spans="1:8" s="25" customFormat="1" ht="11.25">
      <c r="A171" s="56"/>
      <c r="B171" s="70"/>
      <c r="C171" s="69">
        <v>3020</v>
      </c>
      <c r="D171" s="104" t="s">
        <v>52</v>
      </c>
      <c r="E171" s="50">
        <v>324513</v>
      </c>
      <c r="F171" s="50"/>
      <c r="G171" s="50">
        <v>17000</v>
      </c>
      <c r="H171" s="52">
        <f t="shared" ref="H171:H185" si="42">SUM(E171+F171-G171)</f>
        <v>307513</v>
      </c>
    </row>
    <row r="172" spans="1:8" s="25" customFormat="1" ht="11.25">
      <c r="A172" s="56"/>
      <c r="B172" s="70"/>
      <c r="C172" s="69">
        <v>4040</v>
      </c>
      <c r="D172" s="104" t="s">
        <v>233</v>
      </c>
      <c r="E172" s="50">
        <v>869576</v>
      </c>
      <c r="F172" s="50"/>
      <c r="G172" s="50">
        <v>3779</v>
      </c>
      <c r="H172" s="52">
        <f t="shared" si="42"/>
        <v>865797</v>
      </c>
    </row>
    <row r="173" spans="1:8" s="25" customFormat="1" ht="11.25">
      <c r="A173" s="56"/>
      <c r="B173" s="70"/>
      <c r="C173" s="69">
        <v>4110</v>
      </c>
      <c r="D173" s="104" t="s">
        <v>239</v>
      </c>
      <c r="E173" s="50">
        <v>12279945</v>
      </c>
      <c r="F173" s="50">
        <v>172</v>
      </c>
      <c r="G173" s="50"/>
      <c r="H173" s="52">
        <f t="shared" si="42"/>
        <v>12280117</v>
      </c>
    </row>
    <row r="174" spans="1:8" s="25" customFormat="1" ht="11.25">
      <c r="A174" s="56"/>
      <c r="B174" s="56"/>
      <c r="C174" s="69">
        <v>4120</v>
      </c>
      <c r="D174" s="104" t="s">
        <v>94</v>
      </c>
      <c r="E174" s="50">
        <v>1361715</v>
      </c>
      <c r="F174" s="50">
        <v>25</v>
      </c>
      <c r="G174" s="50"/>
      <c r="H174" s="55">
        <f t="shared" si="42"/>
        <v>1361740</v>
      </c>
    </row>
    <row r="175" spans="1:8" s="25" customFormat="1" ht="11.25">
      <c r="A175" s="56"/>
      <c r="B175" s="70"/>
      <c r="C175" s="48" t="s">
        <v>228</v>
      </c>
      <c r="D175" s="91" t="s">
        <v>229</v>
      </c>
      <c r="E175" s="50">
        <v>626657.80000000005</v>
      </c>
      <c r="F175" s="50">
        <v>47279</v>
      </c>
      <c r="G175" s="50"/>
      <c r="H175" s="52">
        <f t="shared" si="42"/>
        <v>673936.8</v>
      </c>
    </row>
    <row r="176" spans="1:8" s="25" customFormat="1" ht="11.25">
      <c r="A176" s="56"/>
      <c r="B176" s="70"/>
      <c r="C176" s="48" t="s">
        <v>254</v>
      </c>
      <c r="D176" s="104" t="s">
        <v>255</v>
      </c>
      <c r="E176" s="50">
        <v>457981</v>
      </c>
      <c r="F176" s="50"/>
      <c r="G176" s="50">
        <v>42356</v>
      </c>
      <c r="H176" s="52">
        <f t="shared" si="42"/>
        <v>415625</v>
      </c>
    </row>
    <row r="177" spans="1:8" s="25" customFormat="1" ht="11.25">
      <c r="A177" s="56"/>
      <c r="B177" s="70"/>
      <c r="C177" s="48" t="s">
        <v>256</v>
      </c>
      <c r="D177" s="91" t="s">
        <v>234</v>
      </c>
      <c r="E177" s="50">
        <v>7186404</v>
      </c>
      <c r="F177" s="50"/>
      <c r="G177" s="50">
        <v>76777</v>
      </c>
      <c r="H177" s="52">
        <f t="shared" si="42"/>
        <v>7109627</v>
      </c>
    </row>
    <row r="178" spans="1:8" s="25" customFormat="1" ht="11.25">
      <c r="A178" s="56"/>
      <c r="B178" s="70"/>
      <c r="C178" s="69">
        <v>4270</v>
      </c>
      <c r="D178" s="104" t="s">
        <v>56</v>
      </c>
      <c r="E178" s="50">
        <v>300850</v>
      </c>
      <c r="F178" s="50">
        <v>19500</v>
      </c>
      <c r="G178" s="50"/>
      <c r="H178" s="52">
        <f t="shared" si="42"/>
        <v>320350</v>
      </c>
    </row>
    <row r="179" spans="1:8" s="25" customFormat="1" ht="11.25">
      <c r="A179" s="56"/>
      <c r="B179" s="70"/>
      <c r="C179" s="69">
        <v>4280</v>
      </c>
      <c r="D179" s="104" t="s">
        <v>61</v>
      </c>
      <c r="E179" s="50">
        <v>118279</v>
      </c>
      <c r="F179" s="50">
        <v>3300</v>
      </c>
      <c r="G179" s="50"/>
      <c r="H179" s="52">
        <f t="shared" si="42"/>
        <v>121579</v>
      </c>
    </row>
    <row r="180" spans="1:8" s="25" customFormat="1" ht="11.25">
      <c r="A180" s="56"/>
      <c r="B180" s="70"/>
      <c r="C180" s="69">
        <v>4300</v>
      </c>
      <c r="D180" s="104" t="s">
        <v>31</v>
      </c>
      <c r="E180" s="50">
        <v>991376.2</v>
      </c>
      <c r="F180" s="50">
        <v>43786</v>
      </c>
      <c r="G180" s="50"/>
      <c r="H180" s="52">
        <f t="shared" si="42"/>
        <v>1035162.2</v>
      </c>
    </row>
    <row r="181" spans="1:8" s="25" customFormat="1" ht="22.5">
      <c r="A181" s="56"/>
      <c r="B181" s="70"/>
      <c r="C181" s="82">
        <v>4390</v>
      </c>
      <c r="D181" s="96" t="s">
        <v>248</v>
      </c>
      <c r="E181" s="50">
        <v>54489</v>
      </c>
      <c r="F181" s="50"/>
      <c r="G181" s="50">
        <v>600</v>
      </c>
      <c r="H181" s="52">
        <f t="shared" si="42"/>
        <v>53889</v>
      </c>
    </row>
    <row r="182" spans="1:8" s="25" customFormat="1" ht="11.25">
      <c r="A182" s="56"/>
      <c r="B182" s="70"/>
      <c r="C182" s="69">
        <v>4410</v>
      </c>
      <c r="D182" s="91" t="s">
        <v>66</v>
      </c>
      <c r="E182" s="50">
        <v>25315</v>
      </c>
      <c r="F182" s="50"/>
      <c r="G182" s="50">
        <v>1500</v>
      </c>
      <c r="H182" s="52">
        <f t="shared" si="42"/>
        <v>23815</v>
      </c>
    </row>
    <row r="183" spans="1:8" s="25" customFormat="1" ht="22.5">
      <c r="A183" s="56"/>
      <c r="B183" s="70"/>
      <c r="C183" s="82">
        <v>4700</v>
      </c>
      <c r="D183" s="108" t="s">
        <v>236</v>
      </c>
      <c r="E183" s="51">
        <v>94386</v>
      </c>
      <c r="F183" s="51">
        <v>4500</v>
      </c>
      <c r="G183" s="51"/>
      <c r="H183" s="52">
        <f t="shared" si="42"/>
        <v>98886</v>
      </c>
    </row>
    <row r="184" spans="1:8" s="25" customFormat="1" ht="11.25">
      <c r="A184" s="56"/>
      <c r="B184" s="70"/>
      <c r="C184" s="69">
        <v>4710</v>
      </c>
      <c r="D184" s="104" t="s">
        <v>92</v>
      </c>
      <c r="E184" s="51">
        <v>249540</v>
      </c>
      <c r="F184" s="51"/>
      <c r="G184" s="51">
        <v>7200</v>
      </c>
      <c r="H184" s="52">
        <f t="shared" si="42"/>
        <v>242340</v>
      </c>
    </row>
    <row r="185" spans="1:8" s="25" customFormat="1" ht="12" customHeight="1">
      <c r="A185" s="56"/>
      <c r="B185" s="70"/>
      <c r="C185" s="60">
        <v>4800</v>
      </c>
      <c r="D185" s="118" t="s">
        <v>257</v>
      </c>
      <c r="E185" s="51">
        <v>3345673</v>
      </c>
      <c r="F185" s="51"/>
      <c r="G185" s="51">
        <v>2644</v>
      </c>
      <c r="H185" s="52">
        <f t="shared" si="42"/>
        <v>3343029</v>
      </c>
    </row>
    <row r="186" spans="1:8" s="25" customFormat="1" ht="24.75" customHeight="1">
      <c r="A186" s="56"/>
      <c r="B186" s="70"/>
      <c r="C186" s="35"/>
      <c r="D186" s="451" t="s">
        <v>258</v>
      </c>
      <c r="E186" s="458">
        <v>1894435.95</v>
      </c>
      <c r="F186" s="458">
        <f>SUM(F187:F187)</f>
        <v>170864.39</v>
      </c>
      <c r="G186" s="458">
        <f>SUM(G187:G187)</f>
        <v>0</v>
      </c>
      <c r="H186" s="452">
        <f>SUM(E186+F186-G186)</f>
        <v>2065300.3399999999</v>
      </c>
    </row>
    <row r="187" spans="1:8" s="25" customFormat="1" ht="23.25" customHeight="1">
      <c r="A187" s="56"/>
      <c r="B187" s="70"/>
      <c r="C187" s="66" t="s">
        <v>145</v>
      </c>
      <c r="D187" s="108" t="s">
        <v>259</v>
      </c>
      <c r="E187" s="50">
        <v>1319687.98</v>
      </c>
      <c r="F187" s="50">
        <f>(1740.39+169124)</f>
        <v>170864.39</v>
      </c>
      <c r="G187" s="50"/>
      <c r="H187" s="52">
        <f t="shared" ref="H187" si="43">SUM(E187+F187-G187)</f>
        <v>1490552.37</v>
      </c>
    </row>
    <row r="188" spans="1:8" s="25" customFormat="1" ht="25.5" customHeight="1">
      <c r="A188" s="56"/>
      <c r="B188" s="70"/>
      <c r="C188" s="35"/>
      <c r="D188" s="451" t="s">
        <v>27</v>
      </c>
      <c r="E188" s="458">
        <v>11234</v>
      </c>
      <c r="F188" s="458">
        <f>SUM(F189)</f>
        <v>831</v>
      </c>
      <c r="G188" s="458">
        <f>SUM(G189)</f>
        <v>0</v>
      </c>
      <c r="H188" s="452">
        <f>SUM(E188+F188-G188)</f>
        <v>12065</v>
      </c>
    </row>
    <row r="189" spans="1:8" s="25" customFormat="1" ht="34.5" customHeight="1">
      <c r="A189" s="56"/>
      <c r="B189" s="70"/>
      <c r="C189" s="66" t="s">
        <v>24</v>
      </c>
      <c r="D189" s="108" t="s">
        <v>25</v>
      </c>
      <c r="E189" s="51">
        <v>11234</v>
      </c>
      <c r="F189" s="50">
        <v>831</v>
      </c>
      <c r="G189" s="50"/>
      <c r="H189" s="52">
        <f t="shared" ref="H189" si="44">SUM(E189+F189-G189)</f>
        <v>12065</v>
      </c>
    </row>
    <row r="190" spans="1:8" s="25" customFormat="1" ht="11.25">
      <c r="A190" s="56"/>
      <c r="B190" s="70">
        <v>80102</v>
      </c>
      <c r="C190" s="35"/>
      <c r="D190" s="44" t="s">
        <v>260</v>
      </c>
      <c r="E190" s="46">
        <v>19992547.869999997</v>
      </c>
      <c r="F190" s="46">
        <f>SUM(F191,F196)</f>
        <v>42144.05</v>
      </c>
      <c r="G190" s="46">
        <f>SUM(G191,G196)</f>
        <v>26500</v>
      </c>
      <c r="H190" s="45">
        <f>SUM(E190+F190-G190)</f>
        <v>20008191.919999998</v>
      </c>
    </row>
    <row r="191" spans="1:8" s="25" customFormat="1" ht="11.25">
      <c r="A191" s="56"/>
      <c r="B191" s="70"/>
      <c r="C191" s="35"/>
      <c r="D191" s="457" t="s">
        <v>37</v>
      </c>
      <c r="E191" s="458">
        <v>16292068</v>
      </c>
      <c r="F191" s="458">
        <f>SUM(F192:F195)</f>
        <v>23000</v>
      </c>
      <c r="G191" s="458">
        <f>SUM(G192:G195)</f>
        <v>26500</v>
      </c>
      <c r="H191" s="452">
        <f>SUM(E191+F191-G191)</f>
        <v>16288568</v>
      </c>
    </row>
    <row r="192" spans="1:8" s="25" customFormat="1" ht="11.25">
      <c r="A192" s="56"/>
      <c r="B192" s="70"/>
      <c r="C192" s="69">
        <v>4190</v>
      </c>
      <c r="D192" s="104" t="s">
        <v>261</v>
      </c>
      <c r="E192" s="50">
        <v>1500</v>
      </c>
      <c r="F192" s="50"/>
      <c r="G192" s="50">
        <v>1000</v>
      </c>
      <c r="H192" s="52">
        <f t="shared" ref="H192:H195" si="45">SUM(E192+F192-G192)</f>
        <v>500</v>
      </c>
    </row>
    <row r="193" spans="1:8" s="25" customFormat="1" ht="11.25">
      <c r="A193" s="56"/>
      <c r="B193" s="70"/>
      <c r="C193" s="48" t="s">
        <v>228</v>
      </c>
      <c r="D193" s="91" t="s">
        <v>229</v>
      </c>
      <c r="E193" s="50">
        <v>55091.199999999997</v>
      </c>
      <c r="F193" s="50">
        <v>23000</v>
      </c>
      <c r="G193" s="50"/>
      <c r="H193" s="52">
        <f t="shared" si="45"/>
        <v>78091.199999999997</v>
      </c>
    </row>
    <row r="194" spans="1:8" s="25" customFormat="1" ht="11.25">
      <c r="A194" s="56"/>
      <c r="B194" s="70"/>
      <c r="C194" s="69">
        <v>4260</v>
      </c>
      <c r="D194" s="104" t="s">
        <v>234</v>
      </c>
      <c r="E194" s="50">
        <v>323000</v>
      </c>
      <c r="F194" s="50"/>
      <c r="G194" s="50">
        <v>23000</v>
      </c>
      <c r="H194" s="52">
        <f t="shared" si="45"/>
        <v>300000</v>
      </c>
    </row>
    <row r="195" spans="1:8" s="25" customFormat="1" ht="11.25">
      <c r="A195" s="56"/>
      <c r="B195" s="70"/>
      <c r="C195" s="69">
        <v>4270</v>
      </c>
      <c r="D195" s="104" t="s">
        <v>56</v>
      </c>
      <c r="E195" s="50">
        <v>20500</v>
      </c>
      <c r="F195" s="50"/>
      <c r="G195" s="50">
        <v>2500</v>
      </c>
      <c r="H195" s="52">
        <f t="shared" si="45"/>
        <v>18000</v>
      </c>
    </row>
    <row r="196" spans="1:8" s="25" customFormat="1" ht="22.5">
      <c r="A196" s="56"/>
      <c r="B196" s="70"/>
      <c r="C196" s="35"/>
      <c r="D196" s="451" t="s">
        <v>258</v>
      </c>
      <c r="E196" s="458">
        <v>200479.87</v>
      </c>
      <c r="F196" s="458">
        <f>SUM(F197:F197)</f>
        <v>19144.05</v>
      </c>
      <c r="G196" s="458">
        <f>SUM(G197:G197)</f>
        <v>0</v>
      </c>
      <c r="H196" s="452">
        <f>SUM(E196+F196-G196)</f>
        <v>219623.91999999998</v>
      </c>
    </row>
    <row r="197" spans="1:8" s="25" customFormat="1" ht="23.25" customHeight="1">
      <c r="A197" s="56"/>
      <c r="B197" s="70"/>
      <c r="C197" s="66" t="s">
        <v>145</v>
      </c>
      <c r="D197" s="108" t="s">
        <v>259</v>
      </c>
      <c r="E197" s="50">
        <v>168479.87</v>
      </c>
      <c r="F197" s="50">
        <f>(167.05+18977)</f>
        <v>19144.05</v>
      </c>
      <c r="G197" s="50"/>
      <c r="H197" s="52">
        <f t="shared" ref="H197" si="46">SUM(E197+F197-G197)</f>
        <v>187623.91999999998</v>
      </c>
    </row>
    <row r="198" spans="1:8" s="25" customFormat="1" ht="11.25">
      <c r="A198" s="56"/>
      <c r="B198" s="70">
        <v>80103</v>
      </c>
      <c r="C198" s="35"/>
      <c r="D198" s="119" t="s">
        <v>28</v>
      </c>
      <c r="E198" s="46">
        <v>1037390</v>
      </c>
      <c r="F198" s="46">
        <f>SUM(F199)</f>
        <v>1000</v>
      </c>
      <c r="G198" s="46">
        <f>SUM(G199)</f>
        <v>1000</v>
      </c>
      <c r="H198" s="45">
        <f>SUM(E198+F198-G198)</f>
        <v>1037390</v>
      </c>
    </row>
    <row r="199" spans="1:8" s="25" customFormat="1" ht="11.25">
      <c r="A199" s="56"/>
      <c r="B199" s="70"/>
      <c r="C199" s="35"/>
      <c r="D199" s="457" t="s">
        <v>37</v>
      </c>
      <c r="E199" s="458">
        <v>836916</v>
      </c>
      <c r="F199" s="458">
        <f>SUM(F200:F201)</f>
        <v>1000</v>
      </c>
      <c r="G199" s="458">
        <f>SUM(G200:G201)</f>
        <v>1000</v>
      </c>
      <c r="H199" s="452">
        <f>SUM(E199+F199-G199)</f>
        <v>836916</v>
      </c>
    </row>
    <row r="200" spans="1:8" s="25" customFormat="1" ht="11.25">
      <c r="A200" s="56"/>
      <c r="B200" s="70"/>
      <c r="C200" s="69">
        <v>3020</v>
      </c>
      <c r="D200" s="104" t="s">
        <v>52</v>
      </c>
      <c r="E200" s="50">
        <v>5215</v>
      </c>
      <c r="F200" s="50">
        <v>1000</v>
      </c>
      <c r="G200" s="50"/>
      <c r="H200" s="52">
        <f t="shared" ref="H200:H201" si="47">SUM(E200+F200-G200)</f>
        <v>6215</v>
      </c>
    </row>
    <row r="201" spans="1:8" s="25" customFormat="1" ht="11.25">
      <c r="A201" s="56"/>
      <c r="B201" s="70"/>
      <c r="C201" s="48" t="s">
        <v>256</v>
      </c>
      <c r="D201" s="91" t="s">
        <v>234</v>
      </c>
      <c r="E201" s="50">
        <v>104878</v>
      </c>
      <c r="F201" s="50"/>
      <c r="G201" s="50">
        <v>1000</v>
      </c>
      <c r="H201" s="52">
        <f t="shared" si="47"/>
        <v>103878</v>
      </c>
    </row>
    <row r="202" spans="1:8" s="25" customFormat="1" ht="11.25">
      <c r="A202" s="56"/>
      <c r="B202" s="70">
        <v>80104</v>
      </c>
      <c r="C202" s="35"/>
      <c r="D202" s="44" t="s">
        <v>29</v>
      </c>
      <c r="E202" s="46">
        <v>58718552.710000008</v>
      </c>
      <c r="F202" s="46">
        <f>SUM(F203,F222,F224)</f>
        <v>148063.20000000001</v>
      </c>
      <c r="G202" s="46">
        <f>SUM(G203,G222,G224)</f>
        <v>115762</v>
      </c>
      <c r="H202" s="45">
        <f>SUM(E202+F202-G202)</f>
        <v>58750853.910000011</v>
      </c>
    </row>
    <row r="203" spans="1:8" s="25" customFormat="1" ht="11.25">
      <c r="A203" s="56"/>
      <c r="B203" s="70"/>
      <c r="C203" s="35"/>
      <c r="D203" s="457" t="s">
        <v>37</v>
      </c>
      <c r="E203" s="458">
        <v>44133726</v>
      </c>
      <c r="F203" s="458">
        <f>SUM(F204:F221)</f>
        <v>118112</v>
      </c>
      <c r="G203" s="458">
        <f>SUM(G204:G221)</f>
        <v>115762</v>
      </c>
      <c r="H203" s="452">
        <f>SUM(E203+F203-G203)</f>
        <v>44136076</v>
      </c>
    </row>
    <row r="204" spans="1:8" s="25" customFormat="1" ht="11.25">
      <c r="A204" s="56"/>
      <c r="B204" s="70"/>
      <c r="C204" s="69">
        <v>3020</v>
      </c>
      <c r="D204" s="104" t="s">
        <v>52</v>
      </c>
      <c r="E204" s="50">
        <v>144023</v>
      </c>
      <c r="F204" s="50"/>
      <c r="G204" s="50">
        <v>3500</v>
      </c>
      <c r="H204" s="52">
        <f t="shared" ref="H204:H221" si="48">SUM(E204+F204-G204)</f>
        <v>140523</v>
      </c>
    </row>
    <row r="205" spans="1:8" s="25" customFormat="1" ht="11.25">
      <c r="A205" s="56"/>
      <c r="B205" s="70"/>
      <c r="C205" s="69">
        <v>4040</v>
      </c>
      <c r="D205" s="104" t="s">
        <v>233</v>
      </c>
      <c r="E205" s="50">
        <v>806614</v>
      </c>
      <c r="F205" s="50"/>
      <c r="G205" s="50">
        <v>5100</v>
      </c>
      <c r="H205" s="52">
        <f t="shared" si="48"/>
        <v>801514</v>
      </c>
    </row>
    <row r="206" spans="1:8" s="25" customFormat="1" ht="11.25">
      <c r="A206" s="56"/>
      <c r="B206" s="70"/>
      <c r="C206" s="69">
        <v>4110</v>
      </c>
      <c r="D206" s="104" t="s">
        <v>239</v>
      </c>
      <c r="E206" s="50">
        <v>5379737</v>
      </c>
      <c r="F206" s="50">
        <v>650</v>
      </c>
      <c r="G206" s="50"/>
      <c r="H206" s="52">
        <f t="shared" si="48"/>
        <v>5380387</v>
      </c>
    </row>
    <row r="207" spans="1:8" s="25" customFormat="1" ht="11.25">
      <c r="A207" s="56"/>
      <c r="B207" s="56"/>
      <c r="C207" s="69">
        <v>4120</v>
      </c>
      <c r="D207" s="104" t="s">
        <v>94</v>
      </c>
      <c r="E207" s="50">
        <v>655005</v>
      </c>
      <c r="F207" s="50">
        <v>100</v>
      </c>
      <c r="G207" s="50"/>
      <c r="H207" s="55">
        <f t="shared" si="48"/>
        <v>655105</v>
      </c>
    </row>
    <row r="208" spans="1:8" s="25" customFormat="1" ht="11.25">
      <c r="A208" s="56"/>
      <c r="B208" s="70"/>
      <c r="C208" s="48" t="s">
        <v>228</v>
      </c>
      <c r="D208" s="91" t="s">
        <v>229</v>
      </c>
      <c r="E208" s="50">
        <v>718754.5</v>
      </c>
      <c r="F208" s="50">
        <v>39000</v>
      </c>
      <c r="G208" s="50"/>
      <c r="H208" s="52">
        <f t="shared" si="48"/>
        <v>757754.5</v>
      </c>
    </row>
    <row r="209" spans="1:8" s="25" customFormat="1" ht="12" customHeight="1">
      <c r="A209" s="56"/>
      <c r="B209" s="70"/>
      <c r="C209" s="48" t="s">
        <v>254</v>
      </c>
      <c r="D209" s="104" t="s">
        <v>255</v>
      </c>
      <c r="E209" s="50">
        <v>115295</v>
      </c>
      <c r="F209" s="50">
        <v>3000</v>
      </c>
      <c r="G209" s="50"/>
      <c r="H209" s="52">
        <f t="shared" si="48"/>
        <v>118295</v>
      </c>
    </row>
    <row r="210" spans="1:8" s="25" customFormat="1" ht="12" customHeight="1">
      <c r="A210" s="56"/>
      <c r="B210" s="70"/>
      <c r="C210" s="48" t="s">
        <v>256</v>
      </c>
      <c r="D210" s="91" t="s">
        <v>234</v>
      </c>
      <c r="E210" s="50">
        <v>2756331</v>
      </c>
      <c r="F210" s="50"/>
      <c r="G210" s="50">
        <v>67700</v>
      </c>
      <c r="H210" s="52">
        <f t="shared" si="48"/>
        <v>2688631</v>
      </c>
    </row>
    <row r="211" spans="1:8" s="25" customFormat="1" ht="12" customHeight="1">
      <c r="A211" s="56"/>
      <c r="B211" s="70"/>
      <c r="C211" s="69">
        <v>4270</v>
      </c>
      <c r="D211" s="104" t="s">
        <v>56</v>
      </c>
      <c r="E211" s="50">
        <v>243260</v>
      </c>
      <c r="F211" s="50">
        <v>15520</v>
      </c>
      <c r="G211" s="50"/>
      <c r="H211" s="52">
        <f t="shared" si="48"/>
        <v>258780</v>
      </c>
    </row>
    <row r="212" spans="1:8" s="25" customFormat="1" ht="11.25">
      <c r="A212" s="56"/>
      <c r="B212" s="70"/>
      <c r="C212" s="69">
        <v>4280</v>
      </c>
      <c r="D212" s="104" t="s">
        <v>61</v>
      </c>
      <c r="E212" s="50">
        <v>40422</v>
      </c>
      <c r="F212" s="50">
        <v>1500</v>
      </c>
      <c r="G212" s="50"/>
      <c r="H212" s="52">
        <f t="shared" si="48"/>
        <v>41922</v>
      </c>
    </row>
    <row r="213" spans="1:8" s="25" customFormat="1" ht="11.25">
      <c r="A213" s="56"/>
      <c r="B213" s="70"/>
      <c r="C213" s="69">
        <v>4300</v>
      </c>
      <c r="D213" s="104" t="s">
        <v>31</v>
      </c>
      <c r="E213" s="50">
        <v>712356</v>
      </c>
      <c r="F213" s="50">
        <v>46400</v>
      </c>
      <c r="G213" s="50"/>
      <c r="H213" s="52">
        <f t="shared" si="48"/>
        <v>758756</v>
      </c>
    </row>
    <row r="214" spans="1:8" s="25" customFormat="1" ht="11.25">
      <c r="A214" s="56"/>
      <c r="B214" s="70"/>
      <c r="C214" s="69">
        <v>4360</v>
      </c>
      <c r="D214" s="104" t="s">
        <v>244</v>
      </c>
      <c r="E214" s="50">
        <v>25347</v>
      </c>
      <c r="F214" s="50">
        <v>300</v>
      </c>
      <c r="G214" s="50"/>
      <c r="H214" s="52">
        <f t="shared" si="48"/>
        <v>25647</v>
      </c>
    </row>
    <row r="215" spans="1:8" s="25" customFormat="1" ht="22.5">
      <c r="A215" s="56"/>
      <c r="B215" s="70"/>
      <c r="C215" s="82">
        <v>4390</v>
      </c>
      <c r="D215" s="96" t="s">
        <v>248</v>
      </c>
      <c r="E215" s="50">
        <v>30398.5</v>
      </c>
      <c r="F215" s="50"/>
      <c r="G215" s="50">
        <v>800</v>
      </c>
      <c r="H215" s="52">
        <f t="shared" si="48"/>
        <v>29598.5</v>
      </c>
    </row>
    <row r="216" spans="1:8" s="25" customFormat="1" ht="11.25">
      <c r="A216" s="56"/>
      <c r="B216" s="70"/>
      <c r="C216" s="69">
        <v>4410</v>
      </c>
      <c r="D216" s="91" t="s">
        <v>66</v>
      </c>
      <c r="E216" s="50">
        <v>5446</v>
      </c>
      <c r="F216" s="50"/>
      <c r="G216" s="50">
        <v>107</v>
      </c>
      <c r="H216" s="52">
        <f t="shared" si="48"/>
        <v>5339</v>
      </c>
    </row>
    <row r="217" spans="1:8" s="25" customFormat="1" ht="11.25">
      <c r="A217" s="56"/>
      <c r="B217" s="70"/>
      <c r="C217" s="69">
        <v>4430</v>
      </c>
      <c r="D217" s="104" t="s">
        <v>245</v>
      </c>
      <c r="E217" s="50">
        <v>17364</v>
      </c>
      <c r="F217" s="50">
        <v>635</v>
      </c>
      <c r="G217" s="50"/>
      <c r="H217" s="52">
        <f t="shared" si="48"/>
        <v>17999</v>
      </c>
    </row>
    <row r="218" spans="1:8" s="25" customFormat="1" ht="22.5">
      <c r="A218" s="56"/>
      <c r="B218" s="70"/>
      <c r="C218" s="82">
        <v>4700</v>
      </c>
      <c r="D218" s="108" t="s">
        <v>236</v>
      </c>
      <c r="E218" s="50">
        <v>45915</v>
      </c>
      <c r="F218" s="50">
        <v>7407</v>
      </c>
      <c r="G218" s="50"/>
      <c r="H218" s="52">
        <f t="shared" si="48"/>
        <v>53322</v>
      </c>
    </row>
    <row r="219" spans="1:8" s="25" customFormat="1" ht="11.25">
      <c r="A219" s="56"/>
      <c r="B219" s="70"/>
      <c r="C219" s="69">
        <v>4710</v>
      </c>
      <c r="D219" s="104" t="s">
        <v>92</v>
      </c>
      <c r="E219" s="51">
        <v>226936</v>
      </c>
      <c r="F219" s="51"/>
      <c r="G219" s="51">
        <v>33055</v>
      </c>
      <c r="H219" s="52">
        <f t="shared" si="48"/>
        <v>193881</v>
      </c>
    </row>
    <row r="220" spans="1:8" s="25" customFormat="1" ht="11.25">
      <c r="A220" s="79"/>
      <c r="B220" s="120"/>
      <c r="C220" s="121">
        <v>4790</v>
      </c>
      <c r="D220" s="122" t="s">
        <v>262</v>
      </c>
      <c r="E220" s="100">
        <v>17553734</v>
      </c>
      <c r="F220" s="100">
        <v>3600</v>
      </c>
      <c r="G220" s="94"/>
      <c r="H220" s="46">
        <f t="shared" si="48"/>
        <v>17557334</v>
      </c>
    </row>
    <row r="221" spans="1:8" s="25" customFormat="1" ht="11.25">
      <c r="A221" s="56"/>
      <c r="B221" s="70"/>
      <c r="C221" s="60">
        <v>4800</v>
      </c>
      <c r="D221" s="118" t="s">
        <v>257</v>
      </c>
      <c r="E221" s="51">
        <v>1075895</v>
      </c>
      <c r="F221" s="51"/>
      <c r="G221" s="51">
        <v>5500</v>
      </c>
      <c r="H221" s="52">
        <f t="shared" si="48"/>
        <v>1070395</v>
      </c>
    </row>
    <row r="222" spans="1:8" s="25" customFormat="1" ht="22.5">
      <c r="A222" s="56"/>
      <c r="B222" s="70"/>
      <c r="C222" s="35"/>
      <c r="D222" s="451" t="s">
        <v>258</v>
      </c>
      <c r="E222" s="466">
        <v>385338.31</v>
      </c>
      <c r="F222" s="458">
        <f>SUM(F223:F223)</f>
        <v>26225.200000000001</v>
      </c>
      <c r="G222" s="458">
        <f>SUM(G223:G223)</f>
        <v>0</v>
      </c>
      <c r="H222" s="452">
        <f>SUM(E222+F222-G222)</f>
        <v>411563.51</v>
      </c>
    </row>
    <row r="223" spans="1:8" s="25" customFormat="1" ht="22.5">
      <c r="A223" s="56"/>
      <c r="B223" s="70"/>
      <c r="C223" s="66" t="s">
        <v>145</v>
      </c>
      <c r="D223" s="108" t="s">
        <v>259</v>
      </c>
      <c r="E223" s="123">
        <v>332709.31</v>
      </c>
      <c r="F223" s="50">
        <f>(307.2+25918)</f>
        <v>26225.200000000001</v>
      </c>
      <c r="G223" s="50"/>
      <c r="H223" s="52">
        <f t="shared" ref="H223" si="49">SUM(E223+F223-G223)</f>
        <v>358934.51</v>
      </c>
    </row>
    <row r="224" spans="1:8" s="25" customFormat="1" ht="24.75" customHeight="1">
      <c r="A224" s="56"/>
      <c r="B224" s="70"/>
      <c r="C224" s="35"/>
      <c r="D224" s="451" t="s">
        <v>27</v>
      </c>
      <c r="E224" s="458">
        <v>23436</v>
      </c>
      <c r="F224" s="458">
        <f>SUM(F225)</f>
        <v>3726</v>
      </c>
      <c r="G224" s="458">
        <f>SUM(G225)</f>
        <v>0</v>
      </c>
      <c r="H224" s="452">
        <f>SUM(E224+F224-G224)</f>
        <v>27162</v>
      </c>
    </row>
    <row r="225" spans="1:8" s="25" customFormat="1" ht="33" customHeight="1">
      <c r="A225" s="56"/>
      <c r="B225" s="70"/>
      <c r="C225" s="66" t="s">
        <v>24</v>
      </c>
      <c r="D225" s="108" t="s">
        <v>25</v>
      </c>
      <c r="E225" s="51">
        <v>23436</v>
      </c>
      <c r="F225" s="50">
        <v>3726</v>
      </c>
      <c r="G225" s="50"/>
      <c r="H225" s="52">
        <f t="shared" ref="H225" si="50">SUM(E225+F225-G225)</f>
        <v>27162</v>
      </c>
    </row>
    <row r="226" spans="1:8" s="25" customFormat="1" ht="11.25">
      <c r="A226" s="56"/>
      <c r="B226" s="70">
        <v>80107</v>
      </c>
      <c r="C226" s="35"/>
      <c r="D226" s="76" t="s">
        <v>263</v>
      </c>
      <c r="E226" s="45">
        <v>8323523</v>
      </c>
      <c r="F226" s="46">
        <f>SUM(F227)</f>
        <v>0</v>
      </c>
      <c r="G226" s="46">
        <f>SUM(G227)</f>
        <v>6179</v>
      </c>
      <c r="H226" s="45">
        <f>SUM(E226+F226-G226)</f>
        <v>8317344</v>
      </c>
    </row>
    <row r="227" spans="1:8" s="25" customFormat="1" ht="11.25">
      <c r="A227" s="56"/>
      <c r="B227" s="56"/>
      <c r="C227" s="35"/>
      <c r="D227" s="457" t="s">
        <v>37</v>
      </c>
      <c r="E227" s="458">
        <v>8323523</v>
      </c>
      <c r="F227" s="458">
        <f>SUM(F228:F229)</f>
        <v>0</v>
      </c>
      <c r="G227" s="458">
        <f>SUM(G228:G229)</f>
        <v>6179</v>
      </c>
      <c r="H227" s="458">
        <f t="shared" ref="H227:H229" si="51">SUM(E227+F227-G227)</f>
        <v>8317344</v>
      </c>
    </row>
    <row r="228" spans="1:8" s="25" customFormat="1" ht="11.25">
      <c r="A228" s="56"/>
      <c r="B228" s="34"/>
      <c r="C228" s="69">
        <v>4710</v>
      </c>
      <c r="D228" s="104" t="s">
        <v>92</v>
      </c>
      <c r="E228" s="50">
        <v>57946</v>
      </c>
      <c r="F228" s="50"/>
      <c r="G228" s="51">
        <v>3000</v>
      </c>
      <c r="H228" s="55">
        <f t="shared" si="51"/>
        <v>54946</v>
      </c>
    </row>
    <row r="229" spans="1:8" s="25" customFormat="1" ht="11.25">
      <c r="A229" s="56"/>
      <c r="B229" s="34"/>
      <c r="C229" s="60">
        <v>4800</v>
      </c>
      <c r="D229" s="118" t="s">
        <v>257</v>
      </c>
      <c r="E229" s="50">
        <v>362590</v>
      </c>
      <c r="F229" s="50"/>
      <c r="G229" s="51">
        <v>3179</v>
      </c>
      <c r="H229" s="55">
        <f t="shared" si="51"/>
        <v>359411</v>
      </c>
    </row>
    <row r="230" spans="1:8" s="25" customFormat="1" ht="11.25">
      <c r="A230" s="56"/>
      <c r="B230" s="70">
        <v>80113</v>
      </c>
      <c r="C230" s="35"/>
      <c r="D230" s="44" t="s">
        <v>30</v>
      </c>
      <c r="E230" s="45">
        <v>1241793</v>
      </c>
      <c r="F230" s="46">
        <f>SUM(F231)</f>
        <v>30000</v>
      </c>
      <c r="G230" s="46">
        <f>SUM(G231)</f>
        <v>0</v>
      </c>
      <c r="H230" s="45">
        <f>SUM(E230+F230-G230)</f>
        <v>1271793</v>
      </c>
    </row>
    <row r="231" spans="1:8" s="25" customFormat="1" ht="11.25">
      <c r="A231" s="56"/>
      <c r="B231" s="56"/>
      <c r="C231" s="35"/>
      <c r="D231" s="457" t="s">
        <v>37</v>
      </c>
      <c r="E231" s="458">
        <v>941793</v>
      </c>
      <c r="F231" s="458">
        <f>SUM(F232:F234)</f>
        <v>30000</v>
      </c>
      <c r="G231" s="458">
        <f>SUM(G232:G234)</f>
        <v>0</v>
      </c>
      <c r="H231" s="458">
        <f t="shared" ref="H231:H234" si="52">SUM(E231+F231-G231)</f>
        <v>971793</v>
      </c>
    </row>
    <row r="232" spans="1:8" s="25" customFormat="1" ht="11.25">
      <c r="A232" s="56"/>
      <c r="B232" s="70"/>
      <c r="C232" s="48" t="s">
        <v>228</v>
      </c>
      <c r="D232" s="91" t="s">
        <v>229</v>
      </c>
      <c r="E232" s="50">
        <v>115310</v>
      </c>
      <c r="F232" s="50">
        <v>15000</v>
      </c>
      <c r="G232" s="50"/>
      <c r="H232" s="52">
        <f t="shared" si="52"/>
        <v>130310</v>
      </c>
    </row>
    <row r="233" spans="1:8" s="25" customFormat="1" ht="11.25">
      <c r="A233" s="56"/>
      <c r="B233" s="70"/>
      <c r="C233" s="69">
        <v>4270</v>
      </c>
      <c r="D233" s="104" t="s">
        <v>56</v>
      </c>
      <c r="E233" s="50">
        <v>29600</v>
      </c>
      <c r="F233" s="50">
        <v>5000</v>
      </c>
      <c r="G233" s="50"/>
      <c r="H233" s="52">
        <f t="shared" si="52"/>
        <v>34600</v>
      </c>
    </row>
    <row r="234" spans="1:8" s="25" customFormat="1" ht="11.25">
      <c r="A234" s="56"/>
      <c r="B234" s="70"/>
      <c r="C234" s="69">
        <v>4300</v>
      </c>
      <c r="D234" s="104" t="s">
        <v>31</v>
      </c>
      <c r="E234" s="50">
        <v>33333</v>
      </c>
      <c r="F234" s="50">
        <v>10000</v>
      </c>
      <c r="G234" s="50"/>
      <c r="H234" s="52">
        <f t="shared" si="52"/>
        <v>43333</v>
      </c>
    </row>
    <row r="235" spans="1:8" s="25" customFormat="1" ht="11.25">
      <c r="A235" s="56"/>
      <c r="B235" s="70">
        <v>80115</v>
      </c>
      <c r="C235" s="35"/>
      <c r="D235" s="44" t="s">
        <v>32</v>
      </c>
      <c r="E235" s="45">
        <v>82494886.900000006</v>
      </c>
      <c r="F235" s="46">
        <f>SUM(F236,F239,F241)</f>
        <v>33109.490000000005</v>
      </c>
      <c r="G235" s="46">
        <f>SUM(G236,G239,G241)</f>
        <v>2000</v>
      </c>
      <c r="H235" s="45">
        <f>SUM(E235+F235-G235)</f>
        <v>82525996.390000001</v>
      </c>
    </row>
    <row r="236" spans="1:8" s="25" customFormat="1" ht="11.25">
      <c r="A236" s="56"/>
      <c r="B236" s="70"/>
      <c r="C236" s="35"/>
      <c r="D236" s="457" t="s">
        <v>37</v>
      </c>
      <c r="E236" s="458">
        <v>59349745.109999999</v>
      </c>
      <c r="F236" s="458">
        <f>SUM(F237:F238)</f>
        <v>2000</v>
      </c>
      <c r="G236" s="458">
        <f>SUM(G237:G238)</f>
        <v>2000</v>
      </c>
      <c r="H236" s="452">
        <f>SUM(E236+F236-G236)</f>
        <v>59349745.109999999</v>
      </c>
    </row>
    <row r="237" spans="1:8" s="25" customFormat="1" ht="12" customHeight="1">
      <c r="A237" s="56"/>
      <c r="B237" s="70"/>
      <c r="C237" s="69">
        <v>3020</v>
      </c>
      <c r="D237" s="104" t="s">
        <v>52</v>
      </c>
      <c r="E237" s="50">
        <v>114662</v>
      </c>
      <c r="F237" s="50">
        <v>2000</v>
      </c>
      <c r="G237" s="50"/>
      <c r="H237" s="52">
        <f t="shared" ref="H237:H238" si="53">SUM(E237+F237-G237)</f>
        <v>116662</v>
      </c>
    </row>
    <row r="238" spans="1:8" s="25" customFormat="1" ht="12" customHeight="1">
      <c r="A238" s="56"/>
      <c r="B238" s="70"/>
      <c r="C238" s="69">
        <v>4410</v>
      </c>
      <c r="D238" s="104" t="s">
        <v>66</v>
      </c>
      <c r="E238" s="50">
        <v>25518</v>
      </c>
      <c r="F238" s="50"/>
      <c r="G238" s="50">
        <v>2000</v>
      </c>
      <c r="H238" s="52">
        <f t="shared" si="53"/>
        <v>23518</v>
      </c>
    </row>
    <row r="239" spans="1:8" s="25" customFormat="1" ht="24.75" customHeight="1">
      <c r="A239" s="56"/>
      <c r="B239" s="70"/>
      <c r="C239" s="35"/>
      <c r="D239" s="451" t="s">
        <v>258</v>
      </c>
      <c r="E239" s="458">
        <v>216489.79</v>
      </c>
      <c r="F239" s="458">
        <f>SUM(F240:F240)</f>
        <v>29939.49</v>
      </c>
      <c r="G239" s="458">
        <f>SUM(G240:G240)</f>
        <v>0</v>
      </c>
      <c r="H239" s="452">
        <f>SUM(E239+F239-G239)</f>
        <v>246429.28</v>
      </c>
    </row>
    <row r="240" spans="1:8" s="25" customFormat="1" ht="22.5">
      <c r="A240" s="56"/>
      <c r="B240" s="70"/>
      <c r="C240" s="66" t="s">
        <v>145</v>
      </c>
      <c r="D240" s="108" t="s">
        <v>259</v>
      </c>
      <c r="E240" s="50">
        <v>173059.79</v>
      </c>
      <c r="F240" s="50">
        <f>(391.49+29548)</f>
        <v>29939.49</v>
      </c>
      <c r="G240" s="50"/>
      <c r="H240" s="52">
        <f t="shared" ref="H240" si="54">SUM(E240+F240-G240)</f>
        <v>202999.28</v>
      </c>
    </row>
    <row r="241" spans="1:8" s="25" customFormat="1" ht="22.5" customHeight="1">
      <c r="A241" s="56"/>
      <c r="B241" s="70"/>
      <c r="C241" s="35"/>
      <c r="D241" s="451" t="s">
        <v>27</v>
      </c>
      <c r="E241" s="458">
        <v>4842</v>
      </c>
      <c r="F241" s="458">
        <f>SUM(F242)</f>
        <v>1170</v>
      </c>
      <c r="G241" s="458">
        <f>SUM(G242)</f>
        <v>0</v>
      </c>
      <c r="H241" s="452">
        <f>SUM(E241+F241-G241)</f>
        <v>6012</v>
      </c>
    </row>
    <row r="242" spans="1:8" s="25" customFormat="1" ht="33.75" customHeight="1">
      <c r="A242" s="56"/>
      <c r="B242" s="70"/>
      <c r="C242" s="66" t="s">
        <v>24</v>
      </c>
      <c r="D242" s="108" t="s">
        <v>25</v>
      </c>
      <c r="E242" s="51">
        <v>4842</v>
      </c>
      <c r="F242" s="50">
        <v>1170</v>
      </c>
      <c r="G242" s="50"/>
      <c r="H242" s="52">
        <f t="shared" ref="H242" si="55">SUM(E242+F242-G242)</f>
        <v>6012</v>
      </c>
    </row>
    <row r="243" spans="1:8" s="25" customFormat="1" ht="11.25">
      <c r="A243" s="56"/>
      <c r="B243" s="70">
        <v>80116</v>
      </c>
      <c r="C243" s="35"/>
      <c r="D243" s="44" t="s">
        <v>33</v>
      </c>
      <c r="E243" s="100">
        <v>10234450.25</v>
      </c>
      <c r="F243" s="46">
        <f>SUM(F244)</f>
        <v>306</v>
      </c>
      <c r="G243" s="46">
        <f>SUM(G244,G246)</f>
        <v>0</v>
      </c>
      <c r="H243" s="45">
        <f>SUM(E243+F243-G243)</f>
        <v>10234756.25</v>
      </c>
    </row>
    <row r="244" spans="1:8" s="25" customFormat="1" ht="24" customHeight="1">
      <c r="A244" s="56"/>
      <c r="B244" s="70"/>
      <c r="C244" s="35"/>
      <c r="D244" s="451" t="s">
        <v>258</v>
      </c>
      <c r="E244" s="458">
        <v>0</v>
      </c>
      <c r="F244" s="458">
        <f>SUM(F245:F245)</f>
        <v>306</v>
      </c>
      <c r="G244" s="458">
        <f>SUM(G245:G245)</f>
        <v>0</v>
      </c>
      <c r="H244" s="452">
        <f>SUM(E244+F244-G244)</f>
        <v>306</v>
      </c>
    </row>
    <row r="245" spans="1:8" s="25" customFormat="1" ht="24.75" customHeight="1">
      <c r="A245" s="56"/>
      <c r="B245" s="70"/>
      <c r="C245" s="66" t="s">
        <v>145</v>
      </c>
      <c r="D245" s="108" t="s">
        <v>259</v>
      </c>
      <c r="E245" s="50">
        <v>0</v>
      </c>
      <c r="F245" s="50">
        <v>306</v>
      </c>
      <c r="G245" s="50"/>
      <c r="H245" s="52">
        <f t="shared" ref="H245" si="56">SUM(E245+F245-G245)</f>
        <v>306</v>
      </c>
    </row>
    <row r="246" spans="1:8" s="25" customFormat="1" ht="12" customHeight="1">
      <c r="A246" s="56"/>
      <c r="B246" s="70">
        <v>80117</v>
      </c>
      <c r="C246" s="35"/>
      <c r="D246" s="44" t="s">
        <v>34</v>
      </c>
      <c r="E246" s="100">
        <v>12884299.02</v>
      </c>
      <c r="F246" s="46">
        <f>SUM(F247,F249)</f>
        <v>27285</v>
      </c>
      <c r="G246" s="46">
        <f>SUM(G247,G253)</f>
        <v>0</v>
      </c>
      <c r="H246" s="45">
        <f>SUM(E246+F246-G246)</f>
        <v>12911584.02</v>
      </c>
    </row>
    <row r="247" spans="1:8" s="25" customFormat="1" ht="22.5">
      <c r="A247" s="56"/>
      <c r="B247" s="70"/>
      <c r="C247" s="35"/>
      <c r="D247" s="451" t="s">
        <v>258</v>
      </c>
      <c r="E247" s="458">
        <v>189301.02000000002</v>
      </c>
      <c r="F247" s="458">
        <f>SUM(F248)</f>
        <v>23052</v>
      </c>
      <c r="G247" s="458">
        <f>SUM(G248:G248)</f>
        <v>0</v>
      </c>
      <c r="H247" s="452">
        <f>SUM(E247+F247-G247)</f>
        <v>212353.02000000002</v>
      </c>
    </row>
    <row r="248" spans="1:8" s="25" customFormat="1" ht="22.5">
      <c r="A248" s="56"/>
      <c r="B248" s="70"/>
      <c r="C248" s="66" t="s">
        <v>145</v>
      </c>
      <c r="D248" s="108" t="s">
        <v>259</v>
      </c>
      <c r="E248" s="50">
        <v>141990.08000000002</v>
      </c>
      <c r="F248" s="50">
        <v>23052</v>
      </c>
      <c r="G248" s="50"/>
      <c r="H248" s="52">
        <f t="shared" ref="H248" si="57">SUM(E248+F248-G248)</f>
        <v>165042.08000000002</v>
      </c>
    </row>
    <row r="249" spans="1:8" s="25" customFormat="1" ht="22.5" customHeight="1">
      <c r="A249" s="56"/>
      <c r="B249" s="70"/>
      <c r="C249" s="35"/>
      <c r="D249" s="451" t="s">
        <v>27</v>
      </c>
      <c r="E249" s="458">
        <v>13146</v>
      </c>
      <c r="F249" s="458">
        <f>SUM(F250)</f>
        <v>4233</v>
      </c>
      <c r="G249" s="458">
        <f>SUM(G250)</f>
        <v>0</v>
      </c>
      <c r="H249" s="452">
        <f>SUM(E249+F249-G249)</f>
        <v>17379</v>
      </c>
    </row>
    <row r="250" spans="1:8" s="25" customFormat="1" ht="33.75" customHeight="1">
      <c r="A250" s="56"/>
      <c r="B250" s="70"/>
      <c r="C250" s="66" t="s">
        <v>24</v>
      </c>
      <c r="D250" s="108" t="s">
        <v>25</v>
      </c>
      <c r="E250" s="51">
        <v>13146</v>
      </c>
      <c r="F250" s="50">
        <v>4233</v>
      </c>
      <c r="G250" s="50"/>
      <c r="H250" s="52">
        <f t="shared" ref="H250" si="58">SUM(E250+F250-G250)</f>
        <v>17379</v>
      </c>
    </row>
    <row r="251" spans="1:8" s="25" customFormat="1" ht="11.25">
      <c r="A251" s="56"/>
      <c r="B251" s="60">
        <v>80120</v>
      </c>
      <c r="C251" s="64"/>
      <c r="D251" s="76" t="s">
        <v>35</v>
      </c>
      <c r="E251" s="100">
        <v>47079175.899999999</v>
      </c>
      <c r="F251" s="46">
        <f>SUM(F252,F261,F263)</f>
        <v>36087.17</v>
      </c>
      <c r="G251" s="46">
        <f>SUM(G252,G261,G263)</f>
        <v>23000</v>
      </c>
      <c r="H251" s="45">
        <f>SUM(E251+F251-G251)</f>
        <v>47092263.07</v>
      </c>
    </row>
    <row r="252" spans="1:8" s="25" customFormat="1" ht="11.25">
      <c r="A252" s="56"/>
      <c r="B252" s="60"/>
      <c r="C252" s="35"/>
      <c r="D252" s="457" t="s">
        <v>37</v>
      </c>
      <c r="E252" s="458">
        <v>38075567</v>
      </c>
      <c r="F252" s="458">
        <f>SUM(F253:F260)</f>
        <v>15500</v>
      </c>
      <c r="G252" s="458">
        <f>SUM(G253:G260)</f>
        <v>23000</v>
      </c>
      <c r="H252" s="458">
        <f>SUM(E252+F252-G252)</f>
        <v>38068067</v>
      </c>
    </row>
    <row r="253" spans="1:8" s="25" customFormat="1" ht="12" customHeight="1">
      <c r="A253" s="56"/>
      <c r="B253" s="60"/>
      <c r="C253" s="69">
        <v>3020</v>
      </c>
      <c r="D253" s="104" t="s">
        <v>52</v>
      </c>
      <c r="E253" s="50">
        <v>35994</v>
      </c>
      <c r="F253" s="50">
        <v>1000</v>
      </c>
      <c r="G253" s="50"/>
      <c r="H253" s="52">
        <f t="shared" ref="H253:H260" si="59">SUM(E253+F253-G253)</f>
        <v>36994</v>
      </c>
    </row>
    <row r="254" spans="1:8" s="25" customFormat="1" ht="12" customHeight="1">
      <c r="A254" s="56"/>
      <c r="B254" s="60"/>
      <c r="C254" s="69">
        <v>4040</v>
      </c>
      <c r="D254" s="104" t="s">
        <v>233</v>
      </c>
      <c r="E254" s="50">
        <v>269815</v>
      </c>
      <c r="F254" s="50"/>
      <c r="G254" s="50">
        <v>12000</v>
      </c>
      <c r="H254" s="52">
        <f t="shared" si="59"/>
        <v>257815</v>
      </c>
    </row>
    <row r="255" spans="1:8" s="25" customFormat="1" ht="12" customHeight="1">
      <c r="A255" s="56"/>
      <c r="B255" s="60"/>
      <c r="C255" s="48" t="s">
        <v>228</v>
      </c>
      <c r="D255" s="91" t="s">
        <v>229</v>
      </c>
      <c r="E255" s="50">
        <v>168409.8</v>
      </c>
      <c r="F255" s="50">
        <v>10000</v>
      </c>
      <c r="G255" s="50"/>
      <c r="H255" s="52">
        <f t="shared" si="59"/>
        <v>178409.8</v>
      </c>
    </row>
    <row r="256" spans="1:8" s="25" customFormat="1" ht="11.25">
      <c r="A256" s="56"/>
      <c r="B256" s="60"/>
      <c r="C256" s="69">
        <v>4270</v>
      </c>
      <c r="D256" s="104" t="s">
        <v>56</v>
      </c>
      <c r="E256" s="50">
        <v>58235</v>
      </c>
      <c r="F256" s="50">
        <v>2000</v>
      </c>
      <c r="G256" s="50"/>
      <c r="H256" s="52">
        <f t="shared" si="59"/>
        <v>60235</v>
      </c>
    </row>
    <row r="257" spans="1:8" s="25" customFormat="1" ht="11.25">
      <c r="A257" s="56"/>
      <c r="B257" s="60"/>
      <c r="C257" s="48" t="s">
        <v>264</v>
      </c>
      <c r="D257" s="91" t="s">
        <v>61</v>
      </c>
      <c r="E257" s="50">
        <v>30162</v>
      </c>
      <c r="F257" s="50">
        <v>1000</v>
      </c>
      <c r="G257" s="50"/>
      <c r="H257" s="52">
        <f t="shared" si="59"/>
        <v>31162</v>
      </c>
    </row>
    <row r="258" spans="1:8" s="25" customFormat="1" ht="11.25">
      <c r="A258" s="56"/>
      <c r="B258" s="60"/>
      <c r="C258" s="48" t="s">
        <v>265</v>
      </c>
      <c r="D258" s="91" t="s">
        <v>66</v>
      </c>
      <c r="E258" s="50">
        <v>11740</v>
      </c>
      <c r="F258" s="50">
        <v>1000</v>
      </c>
      <c r="G258" s="50"/>
      <c r="H258" s="52">
        <f t="shared" si="59"/>
        <v>12740</v>
      </c>
    </row>
    <row r="259" spans="1:8" s="25" customFormat="1" ht="22.5">
      <c r="A259" s="56"/>
      <c r="B259" s="60"/>
      <c r="C259" s="82">
        <v>4700</v>
      </c>
      <c r="D259" s="108" t="s">
        <v>236</v>
      </c>
      <c r="E259" s="51">
        <v>23341</v>
      </c>
      <c r="F259" s="51">
        <v>500</v>
      </c>
      <c r="G259" s="51"/>
      <c r="H259" s="52">
        <f t="shared" si="59"/>
        <v>23841</v>
      </c>
    </row>
    <row r="260" spans="1:8" s="25" customFormat="1" ht="11.25">
      <c r="A260" s="56"/>
      <c r="B260" s="60"/>
      <c r="C260" s="69">
        <v>4710</v>
      </c>
      <c r="D260" s="91" t="s">
        <v>92</v>
      </c>
      <c r="E260" s="51">
        <v>117664</v>
      </c>
      <c r="F260" s="51"/>
      <c r="G260" s="51">
        <v>11000</v>
      </c>
      <c r="H260" s="52">
        <f t="shared" si="59"/>
        <v>106664</v>
      </c>
    </row>
    <row r="261" spans="1:8" s="25" customFormat="1" ht="22.5">
      <c r="A261" s="56"/>
      <c r="B261" s="70"/>
      <c r="C261" s="35"/>
      <c r="D261" s="451" t="s">
        <v>258</v>
      </c>
      <c r="E261" s="458">
        <v>224738.12</v>
      </c>
      <c r="F261" s="458">
        <f>SUM(F262:F262)</f>
        <v>13367.17</v>
      </c>
      <c r="G261" s="458">
        <f>SUM(G262:G262)</f>
        <v>0</v>
      </c>
      <c r="H261" s="452">
        <f>SUM(E261+F261-G261)</f>
        <v>238105.29</v>
      </c>
    </row>
    <row r="262" spans="1:8" s="25" customFormat="1" ht="22.5" customHeight="1">
      <c r="A262" s="79"/>
      <c r="B262" s="102"/>
      <c r="C262" s="124" t="s">
        <v>145</v>
      </c>
      <c r="D262" s="125" t="s">
        <v>259</v>
      </c>
      <c r="E262" s="100">
        <v>165274.4</v>
      </c>
      <c r="F262" s="100">
        <f>(210.17+13157)</f>
        <v>13367.17</v>
      </c>
      <c r="G262" s="100"/>
      <c r="H262" s="45">
        <f t="shared" ref="H262" si="60">SUM(E262+F262-G262)</f>
        <v>178641.57</v>
      </c>
    </row>
    <row r="263" spans="1:8" s="25" customFormat="1" ht="22.5" customHeight="1">
      <c r="A263" s="56"/>
      <c r="B263" s="70"/>
      <c r="C263" s="35"/>
      <c r="D263" s="451" t="s">
        <v>27</v>
      </c>
      <c r="E263" s="458">
        <v>22605</v>
      </c>
      <c r="F263" s="458">
        <f>SUM(F264)</f>
        <v>7220</v>
      </c>
      <c r="G263" s="458">
        <f>SUM(G264)</f>
        <v>0</v>
      </c>
      <c r="H263" s="452">
        <f>SUM(E263+F263-G263)</f>
        <v>29825</v>
      </c>
    </row>
    <row r="264" spans="1:8" s="25" customFormat="1" ht="34.5" customHeight="1">
      <c r="A264" s="56"/>
      <c r="B264" s="70"/>
      <c r="C264" s="66" t="s">
        <v>24</v>
      </c>
      <c r="D264" s="108" t="s">
        <v>25</v>
      </c>
      <c r="E264" s="51">
        <v>22605</v>
      </c>
      <c r="F264" s="50">
        <v>7220</v>
      </c>
      <c r="G264" s="50"/>
      <c r="H264" s="52">
        <f t="shared" ref="H264" si="61">SUM(E264+F264-G264)</f>
        <v>29825</v>
      </c>
    </row>
    <row r="265" spans="1:8" s="25" customFormat="1" ht="11.25">
      <c r="A265" s="56"/>
      <c r="B265" s="69">
        <v>80132</v>
      </c>
      <c r="C265" s="35"/>
      <c r="D265" s="44" t="s">
        <v>266</v>
      </c>
      <c r="E265" s="46">
        <v>7891452.8200000003</v>
      </c>
      <c r="F265" s="46">
        <f>SUM(F266,F272)</f>
        <v>39814.36</v>
      </c>
      <c r="G265" s="46">
        <f>SUM(G266,G272)</f>
        <v>20000</v>
      </c>
      <c r="H265" s="45">
        <f>SUM(E265+F265-G265)</f>
        <v>7911267.1800000006</v>
      </c>
    </row>
    <row r="266" spans="1:8" s="25" customFormat="1" ht="11.25">
      <c r="A266" s="56"/>
      <c r="B266" s="69"/>
      <c r="C266" s="35"/>
      <c r="D266" s="457" t="s">
        <v>37</v>
      </c>
      <c r="E266" s="458">
        <v>7772195</v>
      </c>
      <c r="F266" s="458">
        <f>SUM(F267:F271)</f>
        <v>28000</v>
      </c>
      <c r="G266" s="458">
        <f>SUM(G267:G271)</f>
        <v>20000</v>
      </c>
      <c r="H266" s="458">
        <f t="shared" ref="H266:H271" si="62">SUM(E266+F266-G266)</f>
        <v>7780195</v>
      </c>
    </row>
    <row r="267" spans="1:8" s="25" customFormat="1" ht="11.25">
      <c r="A267" s="126"/>
      <c r="B267" s="60"/>
      <c r="C267" s="48" t="s">
        <v>267</v>
      </c>
      <c r="D267" s="91" t="s">
        <v>94</v>
      </c>
      <c r="E267" s="50">
        <v>115844</v>
      </c>
      <c r="F267" s="50"/>
      <c r="G267" s="50">
        <v>5000</v>
      </c>
      <c r="H267" s="50">
        <f t="shared" si="62"/>
        <v>110844</v>
      </c>
    </row>
    <row r="268" spans="1:8" s="25" customFormat="1" ht="11.25">
      <c r="A268" s="126"/>
      <c r="B268" s="60"/>
      <c r="C268" s="48" t="s">
        <v>95</v>
      </c>
      <c r="D268" s="91" t="s">
        <v>55</v>
      </c>
      <c r="E268" s="50">
        <v>10000</v>
      </c>
      <c r="F268" s="50"/>
      <c r="G268" s="50">
        <v>5000</v>
      </c>
      <c r="H268" s="50">
        <f t="shared" si="62"/>
        <v>5000</v>
      </c>
    </row>
    <row r="269" spans="1:8" s="25" customFormat="1" ht="11.25">
      <c r="A269" s="126"/>
      <c r="B269" s="60"/>
      <c r="C269" s="48" t="s">
        <v>228</v>
      </c>
      <c r="D269" s="91" t="s">
        <v>229</v>
      </c>
      <c r="E269" s="50">
        <v>38723.199999999997</v>
      </c>
      <c r="F269" s="50">
        <v>10000</v>
      </c>
      <c r="G269" s="50"/>
      <c r="H269" s="50">
        <f t="shared" si="62"/>
        <v>48723.199999999997</v>
      </c>
    </row>
    <row r="270" spans="1:8" s="25" customFormat="1" ht="11.25">
      <c r="A270" s="126"/>
      <c r="B270" s="60"/>
      <c r="C270" s="48" t="s">
        <v>254</v>
      </c>
      <c r="D270" s="91" t="s">
        <v>255</v>
      </c>
      <c r="E270" s="50">
        <v>21000</v>
      </c>
      <c r="F270" s="50"/>
      <c r="G270" s="50">
        <v>10000</v>
      </c>
      <c r="H270" s="50">
        <f t="shared" si="62"/>
        <v>11000</v>
      </c>
    </row>
    <row r="271" spans="1:8" s="25" customFormat="1" ht="11.25">
      <c r="A271" s="126"/>
      <c r="B271" s="60"/>
      <c r="C271" s="60">
        <v>4300</v>
      </c>
      <c r="D271" s="91" t="s">
        <v>31</v>
      </c>
      <c r="E271" s="50">
        <v>42648.800000000003</v>
      </c>
      <c r="F271" s="50">
        <v>18000</v>
      </c>
      <c r="G271" s="50"/>
      <c r="H271" s="50">
        <f t="shared" si="62"/>
        <v>60648.800000000003</v>
      </c>
    </row>
    <row r="272" spans="1:8" s="25" customFormat="1" ht="22.5">
      <c r="A272" s="56"/>
      <c r="B272" s="69"/>
      <c r="C272" s="35"/>
      <c r="D272" s="451" t="s">
        <v>258</v>
      </c>
      <c r="E272" s="458">
        <v>119257.82</v>
      </c>
      <c r="F272" s="458">
        <f>SUM(F273:F273)</f>
        <v>11814.36</v>
      </c>
      <c r="G272" s="458">
        <f>SUM(G273:G273)</f>
        <v>0</v>
      </c>
      <c r="H272" s="452">
        <f>SUM(E272+F272-G272)</f>
        <v>131072.18</v>
      </c>
    </row>
    <row r="273" spans="1:8" s="25" customFormat="1" ht="22.5">
      <c r="A273" s="56"/>
      <c r="B273" s="69"/>
      <c r="C273" s="66" t="s">
        <v>145</v>
      </c>
      <c r="D273" s="108" t="s">
        <v>259</v>
      </c>
      <c r="E273" s="50">
        <v>79657.820000000007</v>
      </c>
      <c r="F273" s="50">
        <f>(98.36+11716)</f>
        <v>11814.36</v>
      </c>
      <c r="G273" s="50"/>
      <c r="H273" s="52">
        <f t="shared" ref="H273" si="63">SUM(E273+F273-G273)</f>
        <v>91472.180000000008</v>
      </c>
    </row>
    <row r="274" spans="1:8" s="25" customFormat="1" ht="11.25">
      <c r="A274" s="56"/>
      <c r="B274" s="70">
        <v>80134</v>
      </c>
      <c r="C274" s="35"/>
      <c r="D274" s="92" t="s">
        <v>268</v>
      </c>
      <c r="E274" s="100">
        <v>14507465.42</v>
      </c>
      <c r="F274" s="46">
        <f>SUM(F275,F283)</f>
        <v>57728</v>
      </c>
      <c r="G274" s="46">
        <f>SUM(G275,G283)</f>
        <v>82000</v>
      </c>
      <c r="H274" s="45">
        <f>SUM(E274+F274-G274)</f>
        <v>14483193.42</v>
      </c>
    </row>
    <row r="275" spans="1:8" s="25" customFormat="1" ht="11.25">
      <c r="A275" s="56"/>
      <c r="B275" s="70"/>
      <c r="C275" s="35"/>
      <c r="D275" s="457" t="s">
        <v>37</v>
      </c>
      <c r="E275" s="458">
        <v>14423443</v>
      </c>
      <c r="F275" s="458">
        <f>SUM(F276:F282)</f>
        <v>55500</v>
      </c>
      <c r="G275" s="458">
        <f>SUM(G276:G282)</f>
        <v>82000</v>
      </c>
      <c r="H275" s="458">
        <f t="shared" ref="H275:H282" si="64">SUM(E275+F275-G275)</f>
        <v>14396943</v>
      </c>
    </row>
    <row r="276" spans="1:8" s="25" customFormat="1" ht="11.25">
      <c r="A276" s="126"/>
      <c r="B276" s="60"/>
      <c r="C276" s="48" t="s">
        <v>95</v>
      </c>
      <c r="D276" s="91" t="s">
        <v>55</v>
      </c>
      <c r="E276" s="50">
        <v>1900</v>
      </c>
      <c r="F276" s="50">
        <v>3000</v>
      </c>
      <c r="G276" s="50"/>
      <c r="H276" s="52">
        <f t="shared" si="64"/>
        <v>4900</v>
      </c>
    </row>
    <row r="277" spans="1:8" s="25" customFormat="1" ht="11.25">
      <c r="A277" s="56"/>
      <c r="B277" s="70"/>
      <c r="C277" s="69">
        <v>4190</v>
      </c>
      <c r="D277" s="104" t="s">
        <v>261</v>
      </c>
      <c r="E277" s="50">
        <v>2500</v>
      </c>
      <c r="F277" s="50"/>
      <c r="G277" s="50">
        <v>2000</v>
      </c>
      <c r="H277" s="52">
        <f t="shared" si="64"/>
        <v>500</v>
      </c>
    </row>
    <row r="278" spans="1:8" s="25" customFormat="1" ht="11.25">
      <c r="A278" s="56"/>
      <c r="B278" s="70"/>
      <c r="C278" s="69">
        <v>4210</v>
      </c>
      <c r="D278" s="104" t="s">
        <v>229</v>
      </c>
      <c r="E278" s="50">
        <v>48363.199999999997</v>
      </c>
      <c r="F278" s="50">
        <v>47500</v>
      </c>
      <c r="G278" s="50"/>
      <c r="H278" s="52">
        <f t="shared" si="64"/>
        <v>95863.2</v>
      </c>
    </row>
    <row r="279" spans="1:8" s="25" customFormat="1" ht="11.25">
      <c r="A279" s="56"/>
      <c r="B279" s="70"/>
      <c r="C279" s="69">
        <v>4240</v>
      </c>
      <c r="D279" s="104" t="s">
        <v>255</v>
      </c>
      <c r="E279" s="50">
        <v>20000</v>
      </c>
      <c r="F279" s="50"/>
      <c r="G279" s="50">
        <v>5000</v>
      </c>
      <c r="H279" s="52">
        <f t="shared" si="64"/>
        <v>15000</v>
      </c>
    </row>
    <row r="280" spans="1:8" s="25" customFormat="1" ht="11.25">
      <c r="A280" s="56"/>
      <c r="B280" s="70"/>
      <c r="C280" s="69">
        <v>4260</v>
      </c>
      <c r="D280" s="104" t="s">
        <v>234</v>
      </c>
      <c r="E280" s="50">
        <v>300401</v>
      </c>
      <c r="F280" s="50"/>
      <c r="G280" s="50">
        <v>70000</v>
      </c>
      <c r="H280" s="52">
        <f t="shared" si="64"/>
        <v>230401</v>
      </c>
    </row>
    <row r="281" spans="1:8" s="25" customFormat="1" ht="11.25">
      <c r="A281" s="56"/>
      <c r="B281" s="70"/>
      <c r="C281" s="69">
        <v>4270</v>
      </c>
      <c r="D281" s="104" t="s">
        <v>56</v>
      </c>
      <c r="E281" s="50">
        <v>37850</v>
      </c>
      <c r="F281" s="50"/>
      <c r="G281" s="50">
        <v>5000</v>
      </c>
      <c r="H281" s="52">
        <f t="shared" si="64"/>
        <v>32850</v>
      </c>
    </row>
    <row r="282" spans="1:8" s="25" customFormat="1" ht="11.25">
      <c r="A282" s="56"/>
      <c r="B282" s="70"/>
      <c r="C282" s="69">
        <v>4300</v>
      </c>
      <c r="D282" s="104" t="s">
        <v>31</v>
      </c>
      <c r="E282" s="50">
        <v>78477.8</v>
      </c>
      <c r="F282" s="50">
        <v>5000</v>
      </c>
      <c r="G282" s="50"/>
      <c r="H282" s="52">
        <f t="shared" si="64"/>
        <v>83477.8</v>
      </c>
    </row>
    <row r="283" spans="1:8" s="25" customFormat="1" ht="22.5">
      <c r="A283" s="56"/>
      <c r="B283" s="69"/>
      <c r="C283" s="35"/>
      <c r="D283" s="451" t="s">
        <v>258</v>
      </c>
      <c r="E283" s="458">
        <v>14022.42</v>
      </c>
      <c r="F283" s="458">
        <f>SUM(F284)</f>
        <v>2228</v>
      </c>
      <c r="G283" s="458">
        <f>SUM(G284:G286)</f>
        <v>0</v>
      </c>
      <c r="H283" s="452">
        <f>SUM(E283+F283-G283)</f>
        <v>16250.42</v>
      </c>
    </row>
    <row r="284" spans="1:8" s="25" customFormat="1" ht="22.5">
      <c r="A284" s="56"/>
      <c r="B284" s="69"/>
      <c r="C284" s="66" t="s">
        <v>145</v>
      </c>
      <c r="D284" s="108" t="s">
        <v>259</v>
      </c>
      <c r="E284" s="50">
        <v>14022.42</v>
      </c>
      <c r="F284" s="50">
        <v>2228</v>
      </c>
      <c r="G284" s="50"/>
      <c r="H284" s="52">
        <f t="shared" ref="H284" si="65">SUM(E284+F284-G284)</f>
        <v>16250.42</v>
      </c>
    </row>
    <row r="285" spans="1:8" s="25" customFormat="1" ht="11.25">
      <c r="A285" s="56"/>
      <c r="B285" s="70">
        <v>80140</v>
      </c>
      <c r="C285" s="48"/>
      <c r="D285" s="127" t="s">
        <v>269</v>
      </c>
      <c r="E285" s="50"/>
      <c r="F285" s="50"/>
      <c r="G285" s="50"/>
      <c r="H285" s="52"/>
    </row>
    <row r="286" spans="1:8" s="25" customFormat="1" ht="11.25">
      <c r="A286" s="56"/>
      <c r="B286" s="70"/>
      <c r="C286" s="35"/>
      <c r="D286" s="44" t="s">
        <v>270</v>
      </c>
      <c r="E286" s="45">
        <v>5041600</v>
      </c>
      <c r="F286" s="46">
        <f>SUM(F287)</f>
        <v>27000</v>
      </c>
      <c r="G286" s="46">
        <f>SUM(G287)</f>
        <v>0</v>
      </c>
      <c r="H286" s="45">
        <f>SUM(E286+F286-G286)</f>
        <v>5068600</v>
      </c>
    </row>
    <row r="287" spans="1:8" s="25" customFormat="1" ht="11.25">
      <c r="A287" s="56"/>
      <c r="B287" s="70"/>
      <c r="C287" s="35"/>
      <c r="D287" s="457" t="s">
        <v>37</v>
      </c>
      <c r="E287" s="452">
        <v>5041600</v>
      </c>
      <c r="F287" s="467">
        <f>SUM(F288:F289)</f>
        <v>27000</v>
      </c>
      <c r="G287" s="467">
        <f>SUM(G288:G289)</f>
        <v>0</v>
      </c>
      <c r="H287" s="458">
        <f t="shared" ref="H287:H289" si="66">SUM(E287+F287-G287)</f>
        <v>5068600</v>
      </c>
    </row>
    <row r="288" spans="1:8" s="25" customFormat="1" ht="11.25">
      <c r="A288" s="56"/>
      <c r="B288" s="70"/>
      <c r="C288" s="69">
        <v>4010</v>
      </c>
      <c r="D288" s="104" t="s">
        <v>53</v>
      </c>
      <c r="E288" s="50">
        <v>567525</v>
      </c>
      <c r="F288" s="50">
        <v>7000</v>
      </c>
      <c r="G288" s="50"/>
      <c r="H288" s="52">
        <f t="shared" si="66"/>
        <v>574525</v>
      </c>
    </row>
    <row r="289" spans="1:8" s="25" customFormat="1" ht="11.25">
      <c r="A289" s="56"/>
      <c r="B289" s="70"/>
      <c r="C289" s="69">
        <v>4300</v>
      </c>
      <c r="D289" s="104" t="s">
        <v>31</v>
      </c>
      <c r="E289" s="50">
        <v>173148.79999999999</v>
      </c>
      <c r="F289" s="50">
        <v>20000</v>
      </c>
      <c r="G289" s="50"/>
      <c r="H289" s="52">
        <f t="shared" si="66"/>
        <v>193148.79999999999</v>
      </c>
    </row>
    <row r="290" spans="1:8" s="25" customFormat="1" ht="11.25">
      <c r="A290" s="56"/>
      <c r="B290" s="49">
        <v>80146</v>
      </c>
      <c r="C290" s="48"/>
      <c r="D290" s="44" t="s">
        <v>36</v>
      </c>
      <c r="E290" s="45">
        <v>1696267.04</v>
      </c>
      <c r="F290" s="46">
        <f>SUM(F291,F298)</f>
        <v>27299.760000000002</v>
      </c>
      <c r="G290" s="46">
        <f>SUM(G291,G298)</f>
        <v>12799.76</v>
      </c>
      <c r="H290" s="45">
        <f>SUM(E290+F290-G290)</f>
        <v>1710767.04</v>
      </c>
    </row>
    <row r="291" spans="1:8" s="25" customFormat="1" ht="11.25">
      <c r="A291" s="56"/>
      <c r="B291" s="70"/>
      <c r="C291" s="35"/>
      <c r="D291" s="457" t="s">
        <v>37</v>
      </c>
      <c r="E291" s="452">
        <v>1590172.79</v>
      </c>
      <c r="F291" s="467">
        <f>SUM(F292:F297)</f>
        <v>27299.760000000002</v>
      </c>
      <c r="G291" s="467">
        <f>SUM(G292:G297)</f>
        <v>11300</v>
      </c>
      <c r="H291" s="458">
        <f t="shared" ref="H291:H297" si="67">SUM(E291+F291-G291)</f>
        <v>1606172.55</v>
      </c>
    </row>
    <row r="292" spans="1:8" s="25" customFormat="1" ht="11.25">
      <c r="A292" s="56"/>
      <c r="B292" s="70"/>
      <c r="C292" s="69">
        <v>4110</v>
      </c>
      <c r="D292" s="104" t="s">
        <v>239</v>
      </c>
      <c r="E292" s="52">
        <v>67000</v>
      </c>
      <c r="F292" s="51">
        <f>(2000+1000)</f>
        <v>3000</v>
      </c>
      <c r="G292" s="51"/>
      <c r="H292" s="55">
        <f t="shared" si="67"/>
        <v>70000</v>
      </c>
    </row>
    <row r="293" spans="1:8" s="25" customFormat="1" ht="11.25">
      <c r="A293" s="56"/>
      <c r="B293" s="70"/>
      <c r="C293" s="69">
        <v>4120</v>
      </c>
      <c r="D293" s="91" t="s">
        <v>94</v>
      </c>
      <c r="E293" s="52">
        <v>13000</v>
      </c>
      <c r="F293" s="51"/>
      <c r="G293" s="51">
        <v>4000</v>
      </c>
      <c r="H293" s="55">
        <f t="shared" si="67"/>
        <v>9000</v>
      </c>
    </row>
    <row r="294" spans="1:8" s="25" customFormat="1" ht="11.25">
      <c r="A294" s="56"/>
      <c r="B294" s="70"/>
      <c r="C294" s="69">
        <v>4300</v>
      </c>
      <c r="D294" s="104" t="s">
        <v>31</v>
      </c>
      <c r="E294" s="50">
        <v>334206</v>
      </c>
      <c r="F294" s="50"/>
      <c r="G294" s="50">
        <v>7300</v>
      </c>
      <c r="H294" s="52">
        <f t="shared" si="67"/>
        <v>326906</v>
      </c>
    </row>
    <row r="295" spans="1:8" s="25" customFormat="1" ht="11.25">
      <c r="A295" s="56"/>
      <c r="B295" s="70"/>
      <c r="C295" s="69">
        <v>4440</v>
      </c>
      <c r="D295" s="104" t="s">
        <v>271</v>
      </c>
      <c r="E295" s="52">
        <v>22000</v>
      </c>
      <c r="F295" s="51">
        <v>8006</v>
      </c>
      <c r="G295" s="51"/>
      <c r="H295" s="55">
        <f t="shared" si="67"/>
        <v>30006</v>
      </c>
    </row>
    <row r="296" spans="1:8" s="25" customFormat="1" ht="22.5">
      <c r="A296" s="56"/>
      <c r="B296" s="60"/>
      <c r="C296" s="82">
        <v>4700</v>
      </c>
      <c r="D296" s="108" t="s">
        <v>236</v>
      </c>
      <c r="E296" s="51">
        <v>682466.79</v>
      </c>
      <c r="F296" s="51">
        <v>8799.76</v>
      </c>
      <c r="G296" s="51"/>
      <c r="H296" s="52">
        <f t="shared" si="67"/>
        <v>691266.55</v>
      </c>
    </row>
    <row r="297" spans="1:8" s="25" customFormat="1" ht="11.25">
      <c r="A297" s="56"/>
      <c r="B297" s="70"/>
      <c r="C297" s="82">
        <v>4790</v>
      </c>
      <c r="D297" s="128" t="s">
        <v>262</v>
      </c>
      <c r="E297" s="52">
        <v>400500</v>
      </c>
      <c r="F297" s="51">
        <f>(2000+5494)</f>
        <v>7494</v>
      </c>
      <c r="G297" s="51"/>
      <c r="H297" s="55">
        <f t="shared" si="67"/>
        <v>407994</v>
      </c>
    </row>
    <row r="298" spans="1:8" s="25" customFormat="1" ht="11.25">
      <c r="A298" s="56"/>
      <c r="B298" s="70"/>
      <c r="C298" s="35"/>
      <c r="D298" s="451" t="s">
        <v>272</v>
      </c>
      <c r="E298" s="458">
        <v>106094.25</v>
      </c>
      <c r="F298" s="458">
        <f>SUM(F299)</f>
        <v>0</v>
      </c>
      <c r="G298" s="458">
        <f>SUM(G299)</f>
        <v>1499.76</v>
      </c>
      <c r="H298" s="452">
        <f>SUM(E298+F298-G298)</f>
        <v>104594.49</v>
      </c>
    </row>
    <row r="299" spans="1:8" s="25" customFormat="1" ht="11.25">
      <c r="A299" s="56"/>
      <c r="B299" s="70"/>
      <c r="C299" s="69">
        <v>4300</v>
      </c>
      <c r="D299" s="104" t="s">
        <v>31</v>
      </c>
      <c r="E299" s="50">
        <v>106094.25</v>
      </c>
      <c r="F299" s="50"/>
      <c r="G299" s="50">
        <v>1499.76</v>
      </c>
      <c r="H299" s="52">
        <f t="shared" ref="H299" si="68">SUM(E299+F299-G299)</f>
        <v>104594.49</v>
      </c>
    </row>
    <row r="300" spans="1:8" s="25" customFormat="1" ht="11.25">
      <c r="A300" s="56"/>
      <c r="B300" s="70">
        <v>80148</v>
      </c>
      <c r="C300" s="35"/>
      <c r="D300" s="1" t="s">
        <v>16</v>
      </c>
      <c r="E300" s="46">
        <v>5486045</v>
      </c>
      <c r="F300" s="46">
        <f>SUM(F301)</f>
        <v>10000</v>
      </c>
      <c r="G300" s="46">
        <f>SUM(G301)</f>
        <v>13733</v>
      </c>
      <c r="H300" s="45">
        <f>SUM(E300+F300-G300)</f>
        <v>5482312</v>
      </c>
    </row>
    <row r="301" spans="1:8" s="25" customFormat="1" ht="11.25">
      <c r="A301" s="56"/>
      <c r="B301" s="70"/>
      <c r="C301" s="35"/>
      <c r="D301" s="457" t="s">
        <v>37</v>
      </c>
      <c r="E301" s="458">
        <v>5486045</v>
      </c>
      <c r="F301" s="458">
        <f>SUM(F302:F306)</f>
        <v>10000</v>
      </c>
      <c r="G301" s="458">
        <f>SUM(G302:G306)</f>
        <v>13733</v>
      </c>
      <c r="H301" s="458">
        <f t="shared" ref="H301:H306" si="69">SUM(E301+F301-G301)</f>
        <v>5482312</v>
      </c>
    </row>
    <row r="302" spans="1:8" s="25" customFormat="1" ht="11.25">
      <c r="A302" s="56"/>
      <c r="B302" s="60"/>
      <c r="C302" s="69">
        <v>4040</v>
      </c>
      <c r="D302" s="104" t="s">
        <v>233</v>
      </c>
      <c r="E302" s="50">
        <v>246425</v>
      </c>
      <c r="F302" s="50"/>
      <c r="G302" s="50">
        <v>1733</v>
      </c>
      <c r="H302" s="52">
        <f t="shared" si="69"/>
        <v>244692</v>
      </c>
    </row>
    <row r="303" spans="1:8" s="25" customFormat="1" ht="11.25">
      <c r="A303" s="56"/>
      <c r="B303" s="70"/>
      <c r="C303" s="69">
        <v>4210</v>
      </c>
      <c r="D303" s="91" t="s">
        <v>229</v>
      </c>
      <c r="E303" s="52">
        <v>432894</v>
      </c>
      <c r="F303" s="55">
        <v>6000</v>
      </c>
      <c r="G303" s="55"/>
      <c r="H303" s="55">
        <f>SUM(E303+F303-G303)</f>
        <v>438894</v>
      </c>
    </row>
    <row r="304" spans="1:8" s="25" customFormat="1" ht="11.25">
      <c r="A304" s="56"/>
      <c r="B304" s="70"/>
      <c r="C304" s="69">
        <v>4260</v>
      </c>
      <c r="D304" s="104" t="s">
        <v>234</v>
      </c>
      <c r="E304" s="52">
        <v>188351</v>
      </c>
      <c r="F304" s="55"/>
      <c r="G304" s="55">
        <v>10000</v>
      </c>
      <c r="H304" s="55">
        <f>SUM(E304+F304-G304)</f>
        <v>178351</v>
      </c>
    </row>
    <row r="305" spans="1:8" s="25" customFormat="1" ht="11.25">
      <c r="A305" s="56"/>
      <c r="B305" s="70"/>
      <c r="C305" s="69">
        <v>4300</v>
      </c>
      <c r="D305" s="104" t="s">
        <v>31</v>
      </c>
      <c r="E305" s="52">
        <v>52881</v>
      </c>
      <c r="F305" s="55">
        <v>4000</v>
      </c>
      <c r="G305" s="55"/>
      <c r="H305" s="55">
        <f t="shared" si="69"/>
        <v>56881</v>
      </c>
    </row>
    <row r="306" spans="1:8" s="25" customFormat="1" ht="11.25">
      <c r="A306" s="56"/>
      <c r="B306" s="70"/>
      <c r="C306" s="69">
        <v>4710</v>
      </c>
      <c r="D306" s="104" t="s">
        <v>92</v>
      </c>
      <c r="E306" s="50">
        <v>27596</v>
      </c>
      <c r="F306" s="50"/>
      <c r="G306" s="50">
        <v>2000</v>
      </c>
      <c r="H306" s="55">
        <f t="shared" si="69"/>
        <v>25596</v>
      </c>
    </row>
    <row r="307" spans="1:8" s="25" customFormat="1" ht="11.25">
      <c r="A307" s="56"/>
      <c r="B307" s="70">
        <v>80149</v>
      </c>
      <c r="C307" s="48"/>
      <c r="D307" s="91" t="s">
        <v>38</v>
      </c>
      <c r="E307" s="55"/>
      <c r="F307" s="55"/>
      <c r="G307" s="55"/>
      <c r="H307" s="55"/>
    </row>
    <row r="308" spans="1:8" s="25" customFormat="1" ht="11.25">
      <c r="A308" s="56"/>
      <c r="B308" s="70"/>
      <c r="C308" s="48"/>
      <c r="D308" s="91" t="s">
        <v>39</v>
      </c>
      <c r="E308" s="55"/>
      <c r="F308" s="55"/>
      <c r="G308" s="55"/>
      <c r="H308" s="55"/>
    </row>
    <row r="309" spans="1:8" s="25" customFormat="1" ht="11.25">
      <c r="A309" s="56"/>
      <c r="B309" s="70"/>
      <c r="C309" s="48"/>
      <c r="D309" s="91" t="s">
        <v>40</v>
      </c>
      <c r="E309" s="55"/>
      <c r="F309" s="55"/>
      <c r="G309" s="55"/>
      <c r="H309" s="55"/>
    </row>
    <row r="310" spans="1:8" s="25" customFormat="1" ht="11.25">
      <c r="A310" s="56"/>
      <c r="B310" s="70"/>
      <c r="C310" s="35"/>
      <c r="D310" s="44" t="s">
        <v>41</v>
      </c>
      <c r="E310" s="45">
        <v>8002179.5599999996</v>
      </c>
      <c r="F310" s="46">
        <f>SUM(F311)</f>
        <v>9730</v>
      </c>
      <c r="G310" s="46">
        <f>SUM(G311)</f>
        <v>3000</v>
      </c>
      <c r="H310" s="45">
        <f>SUM(E310+F310-G310)</f>
        <v>8008909.5599999996</v>
      </c>
    </row>
    <row r="311" spans="1:8" s="25" customFormat="1" ht="11.25">
      <c r="A311" s="56"/>
      <c r="B311" s="56"/>
      <c r="C311" s="35"/>
      <c r="D311" s="457" t="s">
        <v>37</v>
      </c>
      <c r="E311" s="458">
        <v>3722542</v>
      </c>
      <c r="F311" s="458">
        <f>SUM(F312:F317)</f>
        <v>9730</v>
      </c>
      <c r="G311" s="458">
        <f>SUM(G312:G317)</f>
        <v>3000</v>
      </c>
      <c r="H311" s="458">
        <f t="shared" ref="H311:H317" si="70">SUM(E311+F311-G311)</f>
        <v>3729272</v>
      </c>
    </row>
    <row r="312" spans="1:8" s="25" customFormat="1" ht="11.25">
      <c r="A312" s="56"/>
      <c r="B312" s="56"/>
      <c r="C312" s="69">
        <v>3020</v>
      </c>
      <c r="D312" s="104" t="s">
        <v>52</v>
      </c>
      <c r="E312" s="52">
        <v>3215</v>
      </c>
      <c r="F312" s="55">
        <v>1000</v>
      </c>
      <c r="G312" s="55"/>
      <c r="H312" s="55">
        <f t="shared" si="70"/>
        <v>4215</v>
      </c>
    </row>
    <row r="313" spans="1:8" s="25" customFormat="1" ht="11.25">
      <c r="A313" s="56"/>
      <c r="B313" s="56"/>
      <c r="C313" s="69">
        <v>4110</v>
      </c>
      <c r="D313" s="104" t="s">
        <v>239</v>
      </c>
      <c r="E313" s="52">
        <v>599258</v>
      </c>
      <c r="F313" s="55">
        <v>1300</v>
      </c>
      <c r="G313" s="55"/>
      <c r="H313" s="55">
        <f t="shared" si="70"/>
        <v>600558</v>
      </c>
    </row>
    <row r="314" spans="1:8" s="25" customFormat="1" ht="11.25">
      <c r="A314" s="56"/>
      <c r="B314" s="56"/>
      <c r="C314" s="69">
        <v>4120</v>
      </c>
      <c r="D314" s="104" t="s">
        <v>94</v>
      </c>
      <c r="E314" s="52">
        <v>64452</v>
      </c>
      <c r="F314" s="55">
        <v>180</v>
      </c>
      <c r="G314" s="55"/>
      <c r="H314" s="55">
        <f t="shared" si="70"/>
        <v>64632</v>
      </c>
    </row>
    <row r="315" spans="1:8" s="25" customFormat="1" ht="11.25">
      <c r="A315" s="56"/>
      <c r="B315" s="70"/>
      <c r="C315" s="69">
        <v>4300</v>
      </c>
      <c r="D315" s="104" t="s">
        <v>31</v>
      </c>
      <c r="E315" s="52">
        <v>9000</v>
      </c>
      <c r="F315" s="55"/>
      <c r="G315" s="55">
        <v>3000</v>
      </c>
      <c r="H315" s="55">
        <f t="shared" si="70"/>
        <v>6000</v>
      </c>
    </row>
    <row r="316" spans="1:8" s="25" customFormat="1" ht="11.25">
      <c r="A316" s="56"/>
      <c r="B316" s="70"/>
      <c r="C316" s="69">
        <v>4710</v>
      </c>
      <c r="D316" s="104" t="s">
        <v>92</v>
      </c>
      <c r="E316" s="50">
        <v>24548</v>
      </c>
      <c r="F316" s="50">
        <v>150</v>
      </c>
      <c r="G316" s="50"/>
      <c r="H316" s="55">
        <f t="shared" si="70"/>
        <v>24698</v>
      </c>
    </row>
    <row r="317" spans="1:8" s="25" customFormat="1" ht="11.25">
      <c r="A317" s="79"/>
      <c r="B317" s="102"/>
      <c r="C317" s="121">
        <v>4790</v>
      </c>
      <c r="D317" s="122" t="s">
        <v>262</v>
      </c>
      <c r="E317" s="100">
        <v>2651037</v>
      </c>
      <c r="F317" s="100">
        <v>7100</v>
      </c>
      <c r="G317" s="100"/>
      <c r="H317" s="46">
        <f t="shared" si="70"/>
        <v>2658137</v>
      </c>
    </row>
    <row r="318" spans="1:8" s="25" customFormat="1" ht="11.25">
      <c r="A318" s="56"/>
      <c r="B318" s="70">
        <v>80150</v>
      </c>
      <c r="C318" s="48"/>
      <c r="D318" s="91" t="s">
        <v>38</v>
      </c>
      <c r="E318" s="55"/>
      <c r="F318" s="55"/>
      <c r="G318" s="55"/>
      <c r="H318" s="55"/>
    </row>
    <row r="319" spans="1:8" s="25" customFormat="1" ht="11.25">
      <c r="A319" s="56"/>
      <c r="B319" s="70"/>
      <c r="C319" s="48"/>
      <c r="D319" s="91" t="s">
        <v>42</v>
      </c>
      <c r="E319" s="55"/>
      <c r="F319" s="55"/>
      <c r="G319" s="55"/>
      <c r="H319" s="55"/>
    </row>
    <row r="320" spans="1:8" s="25" customFormat="1" ht="11.25">
      <c r="A320" s="56"/>
      <c r="B320" s="70"/>
      <c r="C320" s="35"/>
      <c r="D320" s="44" t="s">
        <v>43</v>
      </c>
      <c r="E320" s="45">
        <v>15840359.68</v>
      </c>
      <c r="F320" s="46">
        <f>SUM(F321)</f>
        <v>36000</v>
      </c>
      <c r="G320" s="46">
        <f>SUM(G321)</f>
        <v>1874</v>
      </c>
      <c r="H320" s="45">
        <f>SUM(E320+F320-G320)</f>
        <v>15874485.68</v>
      </c>
    </row>
    <row r="321" spans="1:8" s="25" customFormat="1" ht="11.25">
      <c r="A321" s="56"/>
      <c r="B321" s="70"/>
      <c r="C321" s="35"/>
      <c r="D321" s="457" t="s">
        <v>37</v>
      </c>
      <c r="E321" s="458">
        <v>14939214</v>
      </c>
      <c r="F321" s="458">
        <f>SUM(F322:F324)</f>
        <v>36000</v>
      </c>
      <c r="G321" s="458">
        <f>SUM(G322:G324)</f>
        <v>1874</v>
      </c>
      <c r="H321" s="458">
        <f t="shared" ref="H321:H324" si="71">SUM(E321+F321-G321)</f>
        <v>14973340</v>
      </c>
    </row>
    <row r="322" spans="1:8" s="25" customFormat="1" ht="11.25">
      <c r="A322" s="56"/>
      <c r="B322" s="70"/>
      <c r="C322" s="69">
        <v>3020</v>
      </c>
      <c r="D322" s="104" t="s">
        <v>52</v>
      </c>
      <c r="E322" s="50">
        <v>18308</v>
      </c>
      <c r="F322" s="50">
        <v>1000</v>
      </c>
      <c r="G322" s="50"/>
      <c r="H322" s="55">
        <f t="shared" si="71"/>
        <v>19308</v>
      </c>
    </row>
    <row r="323" spans="1:8" s="25" customFormat="1" ht="11.25">
      <c r="A323" s="56"/>
      <c r="B323" s="70"/>
      <c r="C323" s="69">
        <v>4240</v>
      </c>
      <c r="D323" s="104" t="s">
        <v>255</v>
      </c>
      <c r="E323" s="50">
        <v>154147</v>
      </c>
      <c r="F323" s="50">
        <v>35000</v>
      </c>
      <c r="G323" s="50"/>
      <c r="H323" s="55">
        <f t="shared" si="71"/>
        <v>189147</v>
      </c>
    </row>
    <row r="324" spans="1:8" s="25" customFormat="1" ht="11.25">
      <c r="A324" s="56"/>
      <c r="B324" s="70"/>
      <c r="C324" s="69">
        <v>4800</v>
      </c>
      <c r="D324" s="104" t="s">
        <v>257</v>
      </c>
      <c r="E324" s="50">
        <v>596376</v>
      </c>
      <c r="F324" s="50"/>
      <c r="G324" s="50">
        <v>1874</v>
      </c>
      <c r="H324" s="55">
        <f t="shared" si="71"/>
        <v>594502</v>
      </c>
    </row>
    <row r="325" spans="1:8" s="25" customFormat="1" ht="11.25">
      <c r="A325" s="56"/>
      <c r="B325" s="70">
        <v>80151</v>
      </c>
      <c r="C325" s="35"/>
      <c r="D325" s="44" t="s">
        <v>44</v>
      </c>
      <c r="E325" s="45">
        <v>829350.6</v>
      </c>
      <c r="F325" s="46">
        <f>SUM(F326)</f>
        <v>0</v>
      </c>
      <c r="G325" s="46">
        <f>SUM(G326)</f>
        <v>27000</v>
      </c>
      <c r="H325" s="45">
        <f>SUM(E325+F325-G325)</f>
        <v>802350.6</v>
      </c>
    </row>
    <row r="326" spans="1:8" s="25" customFormat="1" ht="11.25">
      <c r="A326" s="56"/>
      <c r="B326" s="70"/>
      <c r="C326" s="35"/>
      <c r="D326" s="457" t="s">
        <v>37</v>
      </c>
      <c r="E326" s="452">
        <v>778941</v>
      </c>
      <c r="F326" s="467">
        <f>SUM(F327:F327)</f>
        <v>0</v>
      </c>
      <c r="G326" s="467">
        <f>SUM(G327:G328)</f>
        <v>27000</v>
      </c>
      <c r="H326" s="458">
        <f t="shared" ref="H326:H327" si="72">SUM(E326+F326-G326)</f>
        <v>751941</v>
      </c>
    </row>
    <row r="327" spans="1:8" s="25" customFormat="1" ht="11.25">
      <c r="A327" s="56"/>
      <c r="B327" s="70"/>
      <c r="C327" s="69">
        <v>4790</v>
      </c>
      <c r="D327" s="118" t="s">
        <v>262</v>
      </c>
      <c r="E327" s="50">
        <v>376407</v>
      </c>
      <c r="F327" s="50"/>
      <c r="G327" s="50">
        <v>27000</v>
      </c>
      <c r="H327" s="52">
        <f t="shared" si="72"/>
        <v>349407</v>
      </c>
    </row>
    <row r="328" spans="1:8" s="25" customFormat="1" ht="11.25">
      <c r="A328" s="56"/>
      <c r="B328" s="70">
        <v>80152</v>
      </c>
      <c r="C328" s="48"/>
      <c r="D328" s="91" t="s">
        <v>38</v>
      </c>
      <c r="E328" s="50"/>
      <c r="F328" s="50"/>
      <c r="G328" s="50"/>
      <c r="H328" s="55"/>
    </row>
    <row r="329" spans="1:8" s="25" customFormat="1" ht="11.25">
      <c r="A329" s="56"/>
      <c r="B329" s="70"/>
      <c r="C329" s="48"/>
      <c r="D329" s="91" t="s">
        <v>42</v>
      </c>
      <c r="E329" s="50"/>
      <c r="F329" s="50"/>
      <c r="G329" s="50"/>
      <c r="H329" s="55"/>
    </row>
    <row r="330" spans="1:8" s="25" customFormat="1" ht="11.25">
      <c r="A330" s="56"/>
      <c r="B330" s="70"/>
      <c r="C330" s="48"/>
      <c r="D330" s="91" t="s">
        <v>45</v>
      </c>
      <c r="E330" s="50"/>
      <c r="F330" s="50"/>
      <c r="G330" s="50"/>
      <c r="H330" s="55"/>
    </row>
    <row r="331" spans="1:8" s="25" customFormat="1" ht="11.25">
      <c r="A331" s="56"/>
      <c r="B331" s="70"/>
      <c r="C331" s="48"/>
      <c r="D331" s="49" t="s">
        <v>46</v>
      </c>
      <c r="E331" s="50"/>
      <c r="F331" s="50"/>
      <c r="G331" s="50"/>
      <c r="H331" s="55"/>
    </row>
    <row r="332" spans="1:8" s="25" customFormat="1" ht="11.25">
      <c r="A332" s="56"/>
      <c r="B332" s="70"/>
      <c r="C332" s="48"/>
      <c r="D332" s="49" t="s">
        <v>47</v>
      </c>
      <c r="E332" s="50"/>
      <c r="F332" s="50"/>
      <c r="G332" s="50"/>
      <c r="H332" s="55"/>
    </row>
    <row r="333" spans="1:8" s="25" customFormat="1" ht="11.25">
      <c r="A333" s="56"/>
      <c r="B333" s="70"/>
      <c r="C333" s="48"/>
      <c r="D333" s="91" t="s">
        <v>48</v>
      </c>
      <c r="E333" s="50"/>
      <c r="F333" s="50"/>
      <c r="G333" s="50"/>
      <c r="H333" s="55"/>
    </row>
    <row r="334" spans="1:8" s="25" customFormat="1" ht="11.25">
      <c r="A334" s="56"/>
      <c r="B334" s="70"/>
      <c r="C334" s="48"/>
      <c r="D334" s="49" t="s">
        <v>49</v>
      </c>
      <c r="E334" s="50"/>
      <c r="F334" s="50"/>
      <c r="G334" s="50"/>
      <c r="H334" s="55"/>
    </row>
    <row r="335" spans="1:8" s="25" customFormat="1" ht="11.25">
      <c r="A335" s="56"/>
      <c r="B335" s="70"/>
      <c r="C335" s="35"/>
      <c r="D335" s="76" t="s">
        <v>50</v>
      </c>
      <c r="E335" s="100">
        <v>6483836.6400000006</v>
      </c>
      <c r="F335" s="46">
        <f>SUM(F336)</f>
        <v>1500</v>
      </c>
      <c r="G335" s="46">
        <f>SUM(G336)</f>
        <v>2000</v>
      </c>
      <c r="H335" s="45">
        <f>SUM(E335+F335-G335)</f>
        <v>6483336.6400000006</v>
      </c>
    </row>
    <row r="336" spans="1:8" s="25" customFormat="1" ht="11.25">
      <c r="A336" s="56"/>
      <c r="B336" s="77"/>
      <c r="C336" s="35"/>
      <c r="D336" s="457" t="s">
        <v>37</v>
      </c>
      <c r="E336" s="458">
        <v>5286816</v>
      </c>
      <c r="F336" s="458">
        <f>SUM(F337:F338)</f>
        <v>1500</v>
      </c>
      <c r="G336" s="458">
        <f>SUM(G337:G338)</f>
        <v>2000</v>
      </c>
      <c r="H336" s="458">
        <f t="shared" ref="H336:H338" si="73">SUM(E336+F336-G336)</f>
        <v>5286316</v>
      </c>
    </row>
    <row r="337" spans="1:8" s="25" customFormat="1" ht="11.25">
      <c r="A337" s="56"/>
      <c r="B337" s="69"/>
      <c r="C337" s="69">
        <v>4300</v>
      </c>
      <c r="D337" s="104" t="s">
        <v>31</v>
      </c>
      <c r="E337" s="52">
        <v>6241</v>
      </c>
      <c r="F337" s="55">
        <v>1500</v>
      </c>
      <c r="G337" s="55"/>
      <c r="H337" s="55">
        <f t="shared" si="73"/>
        <v>7741</v>
      </c>
    </row>
    <row r="338" spans="1:8" s="25" customFormat="1" ht="11.25">
      <c r="A338" s="56"/>
      <c r="B338" s="69"/>
      <c r="C338" s="60">
        <v>4710</v>
      </c>
      <c r="D338" s="118" t="s">
        <v>92</v>
      </c>
      <c r="E338" s="52">
        <v>29520</v>
      </c>
      <c r="F338" s="55"/>
      <c r="G338" s="55">
        <v>2000</v>
      </c>
      <c r="H338" s="55">
        <f t="shared" si="73"/>
        <v>27520</v>
      </c>
    </row>
    <row r="339" spans="1:8" s="25" customFormat="1" ht="11.25">
      <c r="A339" s="56"/>
      <c r="B339" s="70">
        <v>80195</v>
      </c>
      <c r="C339" s="35"/>
      <c r="D339" s="1" t="s">
        <v>51</v>
      </c>
      <c r="E339" s="46">
        <v>11668262.84</v>
      </c>
      <c r="F339" s="46">
        <f>SUM(F340,F343)</f>
        <v>38934</v>
      </c>
      <c r="G339" s="46">
        <f>SUM(G340,G343)</f>
        <v>38934</v>
      </c>
      <c r="H339" s="45">
        <f>SUM(E339+F339-G339)</f>
        <v>11668262.84</v>
      </c>
    </row>
    <row r="340" spans="1:8" s="25" customFormat="1" ht="11.25">
      <c r="A340" s="56"/>
      <c r="B340" s="70"/>
      <c r="C340" s="35"/>
      <c r="D340" s="457" t="s">
        <v>37</v>
      </c>
      <c r="E340" s="458">
        <v>2153509</v>
      </c>
      <c r="F340" s="458">
        <f>SUM(F341:F342)</f>
        <v>200</v>
      </c>
      <c r="G340" s="458">
        <f>SUM(G341:G342)</f>
        <v>200</v>
      </c>
      <c r="H340" s="458">
        <f t="shared" ref="H340:H392" si="74">SUM(E340+F340-G340)</f>
        <v>2153509</v>
      </c>
    </row>
    <row r="341" spans="1:8" s="25" customFormat="1" ht="11.25">
      <c r="A341" s="56"/>
      <c r="B341" s="69"/>
      <c r="C341" s="69">
        <v>4300</v>
      </c>
      <c r="D341" s="104" t="s">
        <v>31</v>
      </c>
      <c r="E341" s="50">
        <v>54929</v>
      </c>
      <c r="F341" s="50">
        <v>200</v>
      </c>
      <c r="G341" s="50"/>
      <c r="H341" s="52">
        <f t="shared" si="74"/>
        <v>55129</v>
      </c>
    </row>
    <row r="342" spans="1:8" s="25" customFormat="1" ht="11.25">
      <c r="A342" s="56"/>
      <c r="B342" s="69"/>
      <c r="C342" s="60">
        <v>4710</v>
      </c>
      <c r="D342" s="118" t="s">
        <v>92</v>
      </c>
      <c r="E342" s="50">
        <v>210</v>
      </c>
      <c r="F342" s="50"/>
      <c r="G342" s="50">
        <v>200</v>
      </c>
      <c r="H342" s="52">
        <f t="shared" si="74"/>
        <v>10</v>
      </c>
    </row>
    <row r="343" spans="1:8" s="25" customFormat="1" ht="33.75">
      <c r="A343" s="56"/>
      <c r="B343" s="69"/>
      <c r="C343" s="48"/>
      <c r="D343" s="451" t="s">
        <v>273</v>
      </c>
      <c r="E343" s="452">
        <v>232251.63</v>
      </c>
      <c r="F343" s="453">
        <f>SUM(F344:F346)</f>
        <v>38734</v>
      </c>
      <c r="G343" s="453">
        <f>SUM(G344:G346)</f>
        <v>38734</v>
      </c>
      <c r="H343" s="452">
        <f t="shared" si="74"/>
        <v>232251.63</v>
      </c>
    </row>
    <row r="344" spans="1:8" s="25" customFormat="1" ht="11.25">
      <c r="A344" s="56"/>
      <c r="B344" s="69"/>
      <c r="C344" s="69">
        <v>4301</v>
      </c>
      <c r="D344" s="104" t="s">
        <v>31</v>
      </c>
      <c r="E344" s="52">
        <v>217839.63</v>
      </c>
      <c r="F344" s="52"/>
      <c r="G344" s="55">
        <v>38734</v>
      </c>
      <c r="H344" s="52">
        <f t="shared" si="74"/>
        <v>179105.63</v>
      </c>
    </row>
    <row r="345" spans="1:8" s="25" customFormat="1" ht="11.25">
      <c r="A345" s="56"/>
      <c r="B345" s="69"/>
      <c r="C345" s="69">
        <v>4421</v>
      </c>
      <c r="D345" s="91" t="s">
        <v>274</v>
      </c>
      <c r="E345" s="52">
        <v>0</v>
      </c>
      <c r="F345" s="52">
        <v>22667</v>
      </c>
      <c r="G345" s="55"/>
      <c r="H345" s="52">
        <f t="shared" si="74"/>
        <v>22667</v>
      </c>
    </row>
    <row r="346" spans="1:8" s="25" customFormat="1" ht="22.5">
      <c r="A346" s="56"/>
      <c r="B346" s="69"/>
      <c r="C346" s="129">
        <v>4701</v>
      </c>
      <c r="D346" s="108" t="s">
        <v>236</v>
      </c>
      <c r="E346" s="52">
        <v>5396</v>
      </c>
      <c r="F346" s="52">
        <v>16067</v>
      </c>
      <c r="G346" s="55"/>
      <c r="H346" s="52">
        <f t="shared" si="74"/>
        <v>21463</v>
      </c>
    </row>
    <row r="347" spans="1:8" s="25" customFormat="1" ht="12" customHeight="1" thickBot="1">
      <c r="A347" s="57" t="s">
        <v>58</v>
      </c>
      <c r="B347" s="56"/>
      <c r="C347" s="57"/>
      <c r="D347" s="58" t="s">
        <v>59</v>
      </c>
      <c r="E347" s="39">
        <v>8248094.9399999995</v>
      </c>
      <c r="F347" s="42">
        <f>SUM(F348)</f>
        <v>22500</v>
      </c>
      <c r="G347" s="42">
        <f>SUM(G348)</f>
        <v>22500</v>
      </c>
      <c r="H347" s="39">
        <f t="shared" si="74"/>
        <v>8248094.9399999995</v>
      </c>
    </row>
    <row r="348" spans="1:8" s="25" customFormat="1" ht="12" customHeight="1" thickTop="1">
      <c r="A348" s="56"/>
      <c r="B348" s="60">
        <v>85154</v>
      </c>
      <c r="C348" s="64"/>
      <c r="D348" s="76" t="s">
        <v>65</v>
      </c>
      <c r="E348" s="100">
        <v>6735644.9399999995</v>
      </c>
      <c r="F348" s="46">
        <f>SUM(F349,F352)</f>
        <v>22500</v>
      </c>
      <c r="G348" s="46">
        <f>SUM(G349,G352)</f>
        <v>22500</v>
      </c>
      <c r="H348" s="45">
        <f t="shared" si="74"/>
        <v>6735644.9399999995</v>
      </c>
    </row>
    <row r="349" spans="1:8" s="25" customFormat="1" ht="12" customHeight="1">
      <c r="A349" s="56"/>
      <c r="B349" s="60"/>
      <c r="C349" s="69"/>
      <c r="D349" s="457" t="s">
        <v>111</v>
      </c>
      <c r="E349" s="453">
        <v>1734525</v>
      </c>
      <c r="F349" s="453">
        <f>SUM(F350:F351)</f>
        <v>12500</v>
      </c>
      <c r="G349" s="453">
        <f>SUM(G350:G351)</f>
        <v>12500</v>
      </c>
      <c r="H349" s="452">
        <f t="shared" si="74"/>
        <v>1734525</v>
      </c>
    </row>
    <row r="350" spans="1:8" s="25" customFormat="1" ht="12" customHeight="1">
      <c r="A350" s="56"/>
      <c r="B350" s="60"/>
      <c r="C350" s="48" t="s">
        <v>228</v>
      </c>
      <c r="D350" s="91" t="s">
        <v>229</v>
      </c>
      <c r="E350" s="51">
        <v>110300</v>
      </c>
      <c r="F350" s="51">
        <v>12500</v>
      </c>
      <c r="G350" s="51"/>
      <c r="H350" s="50">
        <f t="shared" si="74"/>
        <v>122800</v>
      </c>
    </row>
    <row r="351" spans="1:8" s="25" customFormat="1" ht="12" customHeight="1">
      <c r="A351" s="56"/>
      <c r="B351" s="60"/>
      <c r="C351" s="69">
        <v>4260</v>
      </c>
      <c r="D351" s="104" t="s">
        <v>234</v>
      </c>
      <c r="E351" s="51">
        <v>162400</v>
      </c>
      <c r="F351" s="51"/>
      <c r="G351" s="51">
        <v>12500</v>
      </c>
      <c r="H351" s="50">
        <f t="shared" si="74"/>
        <v>149900</v>
      </c>
    </row>
    <row r="352" spans="1:8" s="25" customFormat="1" ht="12" customHeight="1">
      <c r="A352" s="56"/>
      <c r="B352" s="60"/>
      <c r="C352" s="35"/>
      <c r="D352" s="468" t="s">
        <v>275</v>
      </c>
      <c r="E352" s="452">
        <v>75000</v>
      </c>
      <c r="F352" s="467">
        <f>SUM(F353:F354)</f>
        <v>10000</v>
      </c>
      <c r="G352" s="467">
        <f>SUM(G353:G354)</f>
        <v>10000</v>
      </c>
      <c r="H352" s="452">
        <f t="shared" si="74"/>
        <v>75000</v>
      </c>
    </row>
    <row r="353" spans="1:8" s="25" customFormat="1" ht="12" customHeight="1">
      <c r="A353" s="56"/>
      <c r="B353" s="60"/>
      <c r="C353" s="69">
        <v>4170</v>
      </c>
      <c r="D353" s="104" t="s">
        <v>55</v>
      </c>
      <c r="E353" s="50">
        <v>63300</v>
      </c>
      <c r="F353" s="51"/>
      <c r="G353" s="51">
        <v>10000</v>
      </c>
      <c r="H353" s="51">
        <f t="shared" si="74"/>
        <v>53300</v>
      </c>
    </row>
    <row r="354" spans="1:8" s="25" customFormat="1" ht="12" customHeight="1">
      <c r="A354" s="56"/>
      <c r="B354" s="60"/>
      <c r="C354" s="69">
        <v>4300</v>
      </c>
      <c r="D354" s="104" t="s">
        <v>31</v>
      </c>
      <c r="E354" s="51">
        <v>11700</v>
      </c>
      <c r="F354" s="51">
        <v>10000</v>
      </c>
      <c r="G354" s="51"/>
      <c r="H354" s="50">
        <f>SUM(E354+F354-G354)</f>
        <v>21700</v>
      </c>
    </row>
    <row r="355" spans="1:8" s="25" customFormat="1" ht="12" customHeight="1" thickBot="1">
      <c r="A355" s="57" t="s">
        <v>69</v>
      </c>
      <c r="B355" s="56"/>
      <c r="C355" s="57"/>
      <c r="D355" s="58" t="s">
        <v>70</v>
      </c>
      <c r="E355" s="39">
        <v>82588310.049999997</v>
      </c>
      <c r="F355" s="42">
        <f>SUM(F356,F381,F386,F372,F392,F396,F407,F412,F418)</f>
        <v>2188877</v>
      </c>
      <c r="G355" s="42">
        <f>SUM(G356,G381,G386,G372,G392,G396,G407,G412,G418)</f>
        <v>2060869</v>
      </c>
      <c r="H355" s="39">
        <f t="shared" si="74"/>
        <v>82716318.049999997</v>
      </c>
    </row>
    <row r="356" spans="1:8" s="25" customFormat="1" ht="12" customHeight="1" thickTop="1">
      <c r="A356" s="57"/>
      <c r="B356" s="70">
        <v>85202</v>
      </c>
      <c r="C356" s="35"/>
      <c r="D356" s="92" t="s">
        <v>182</v>
      </c>
      <c r="E356" s="45">
        <v>23104075.109999999</v>
      </c>
      <c r="F356" s="46">
        <f>SUM(F357,F361,F370)</f>
        <v>1162142</v>
      </c>
      <c r="G356" s="46">
        <f>SUM(G357,G361,G370)</f>
        <v>76049</v>
      </c>
      <c r="H356" s="45">
        <f>SUM(E356+F356-G356)</f>
        <v>24190168.109999999</v>
      </c>
    </row>
    <row r="357" spans="1:8" s="25" customFormat="1" ht="12" customHeight="1">
      <c r="A357" s="57"/>
      <c r="B357" s="70"/>
      <c r="C357" s="35"/>
      <c r="D357" s="457" t="s">
        <v>276</v>
      </c>
      <c r="E357" s="452">
        <v>5808248.8900000006</v>
      </c>
      <c r="F357" s="467">
        <f>SUM(F358:F360)</f>
        <v>270</v>
      </c>
      <c r="G357" s="467">
        <f>SUM(G358:G360)</f>
        <v>27743</v>
      </c>
      <c r="H357" s="458">
        <f t="shared" ref="H357:H379" si="75">SUM(E357+F357-G357)</f>
        <v>5780775.8900000006</v>
      </c>
    </row>
    <row r="358" spans="1:8" s="25" customFormat="1" ht="12" customHeight="1">
      <c r="A358" s="57"/>
      <c r="B358" s="70"/>
      <c r="C358" s="69">
        <v>4110</v>
      </c>
      <c r="D358" s="104" t="s">
        <v>239</v>
      </c>
      <c r="E358" s="51">
        <v>578563</v>
      </c>
      <c r="F358" s="51">
        <v>270</v>
      </c>
      <c r="G358" s="51"/>
      <c r="H358" s="55">
        <f t="shared" si="75"/>
        <v>578833</v>
      </c>
    </row>
    <row r="359" spans="1:8" s="25" customFormat="1" ht="12" customHeight="1">
      <c r="A359" s="57"/>
      <c r="B359" s="70"/>
      <c r="C359" s="69">
        <v>4260</v>
      </c>
      <c r="D359" s="104" t="s">
        <v>234</v>
      </c>
      <c r="E359" s="51">
        <v>434394</v>
      </c>
      <c r="F359" s="51"/>
      <c r="G359" s="51">
        <v>27473</v>
      </c>
      <c r="H359" s="55">
        <f t="shared" si="75"/>
        <v>406921</v>
      </c>
    </row>
    <row r="360" spans="1:8" s="25" customFormat="1" ht="12" customHeight="1">
      <c r="A360" s="57"/>
      <c r="B360" s="70"/>
      <c r="C360" s="69">
        <v>4710</v>
      </c>
      <c r="D360" s="104" t="s">
        <v>92</v>
      </c>
      <c r="E360" s="51">
        <v>7270</v>
      </c>
      <c r="F360" s="51"/>
      <c r="G360" s="51">
        <v>270</v>
      </c>
      <c r="H360" s="55">
        <f t="shared" si="75"/>
        <v>7000</v>
      </c>
    </row>
    <row r="361" spans="1:8" s="25" customFormat="1" ht="12" customHeight="1">
      <c r="A361" s="57"/>
      <c r="B361" s="70"/>
      <c r="C361" s="35"/>
      <c r="D361" s="457" t="s">
        <v>277</v>
      </c>
      <c r="E361" s="452">
        <v>4866488</v>
      </c>
      <c r="F361" s="467">
        <f>SUM(F362:F369)</f>
        <v>48306</v>
      </c>
      <c r="G361" s="467">
        <f>SUM(G362:G369)</f>
        <v>48306</v>
      </c>
      <c r="H361" s="458">
        <f t="shared" si="75"/>
        <v>4866488</v>
      </c>
    </row>
    <row r="362" spans="1:8" s="25" customFormat="1" ht="12" customHeight="1">
      <c r="A362" s="57"/>
      <c r="B362" s="70"/>
      <c r="C362" s="69">
        <v>4010</v>
      </c>
      <c r="D362" s="104" t="s">
        <v>53</v>
      </c>
      <c r="E362" s="51">
        <v>2736000</v>
      </c>
      <c r="F362" s="51">
        <v>3566</v>
      </c>
      <c r="G362" s="130"/>
      <c r="H362" s="55">
        <f t="shared" si="75"/>
        <v>2739566</v>
      </c>
    </row>
    <row r="363" spans="1:8" s="25" customFormat="1" ht="12" customHeight="1">
      <c r="A363" s="57"/>
      <c r="B363" s="70"/>
      <c r="C363" s="69">
        <v>4170</v>
      </c>
      <c r="D363" s="104" t="s">
        <v>55</v>
      </c>
      <c r="E363" s="123">
        <v>5510</v>
      </c>
      <c r="F363" s="51">
        <v>1180</v>
      </c>
      <c r="G363" s="130"/>
      <c r="H363" s="55">
        <f t="shared" si="75"/>
        <v>6690</v>
      </c>
    </row>
    <row r="364" spans="1:8" s="25" customFormat="1" ht="12" customHeight="1">
      <c r="A364" s="57"/>
      <c r="B364" s="70"/>
      <c r="C364" s="69">
        <v>4220</v>
      </c>
      <c r="D364" s="104" t="s">
        <v>278</v>
      </c>
      <c r="E364" s="123">
        <v>282880</v>
      </c>
      <c r="F364" s="51"/>
      <c r="G364" s="51">
        <v>10000</v>
      </c>
      <c r="H364" s="55">
        <f t="shared" si="75"/>
        <v>272880</v>
      </c>
    </row>
    <row r="365" spans="1:8" s="25" customFormat="1" ht="12" customHeight="1">
      <c r="A365" s="57"/>
      <c r="B365" s="70"/>
      <c r="C365" s="69">
        <v>4260</v>
      </c>
      <c r="D365" s="104" t="s">
        <v>234</v>
      </c>
      <c r="E365" s="123">
        <v>333500</v>
      </c>
      <c r="F365" s="51"/>
      <c r="G365" s="51">
        <v>34740</v>
      </c>
      <c r="H365" s="55">
        <f t="shared" si="75"/>
        <v>298760</v>
      </c>
    </row>
    <row r="366" spans="1:8" s="25" customFormat="1" ht="12" customHeight="1">
      <c r="A366" s="57"/>
      <c r="B366" s="70"/>
      <c r="C366" s="69">
        <v>4280</v>
      </c>
      <c r="D366" s="104" t="s">
        <v>61</v>
      </c>
      <c r="E366" s="123">
        <v>4000</v>
      </c>
      <c r="F366" s="51">
        <v>610</v>
      </c>
      <c r="G366" s="130"/>
      <c r="H366" s="55">
        <f t="shared" si="75"/>
        <v>4610</v>
      </c>
    </row>
    <row r="367" spans="1:8" s="25" customFormat="1" ht="12" customHeight="1">
      <c r="A367" s="57"/>
      <c r="B367" s="70"/>
      <c r="C367" s="69">
        <v>4300</v>
      </c>
      <c r="D367" s="104" t="s">
        <v>31</v>
      </c>
      <c r="E367" s="123">
        <v>109050</v>
      </c>
      <c r="F367" s="51">
        <v>32950</v>
      </c>
      <c r="G367" s="130"/>
      <c r="H367" s="55">
        <f t="shared" si="75"/>
        <v>142000</v>
      </c>
    </row>
    <row r="368" spans="1:8" s="25" customFormat="1" ht="24" customHeight="1">
      <c r="A368" s="57"/>
      <c r="B368" s="70"/>
      <c r="C368" s="82">
        <v>4700</v>
      </c>
      <c r="D368" s="108" t="s">
        <v>236</v>
      </c>
      <c r="E368" s="123">
        <v>15000</v>
      </c>
      <c r="F368" s="51">
        <v>10000</v>
      </c>
      <c r="G368" s="130"/>
      <c r="H368" s="55">
        <f t="shared" si="75"/>
        <v>25000</v>
      </c>
    </row>
    <row r="369" spans="1:8" s="25" customFormat="1" ht="12" customHeight="1">
      <c r="A369" s="57"/>
      <c r="B369" s="70"/>
      <c r="C369" s="69">
        <v>4710</v>
      </c>
      <c r="D369" s="104" t="s">
        <v>92</v>
      </c>
      <c r="E369" s="51">
        <v>14326</v>
      </c>
      <c r="F369" s="51"/>
      <c r="G369" s="51">
        <v>3566</v>
      </c>
      <c r="H369" s="55">
        <f t="shared" si="75"/>
        <v>10760</v>
      </c>
    </row>
    <row r="370" spans="1:8" s="25" customFormat="1" ht="12" customHeight="1">
      <c r="A370" s="57"/>
      <c r="B370" s="56"/>
      <c r="C370" s="82"/>
      <c r="D370" s="457" t="s">
        <v>111</v>
      </c>
      <c r="E370" s="453">
        <v>12287898</v>
      </c>
      <c r="F370" s="453">
        <f>SUM(F371)</f>
        <v>1113566</v>
      </c>
      <c r="G370" s="453">
        <f>SUM(G371)</f>
        <v>0</v>
      </c>
      <c r="H370" s="452">
        <f t="shared" si="75"/>
        <v>13401464</v>
      </c>
    </row>
    <row r="371" spans="1:8" s="25" customFormat="1" ht="23.25" customHeight="1">
      <c r="A371" s="57"/>
      <c r="B371" s="56"/>
      <c r="C371" s="53" t="s">
        <v>279</v>
      </c>
      <c r="D371" s="131" t="s">
        <v>280</v>
      </c>
      <c r="E371" s="51">
        <v>12287898</v>
      </c>
      <c r="F371" s="55">
        <v>1113566</v>
      </c>
      <c r="G371" s="55"/>
      <c r="H371" s="51">
        <f t="shared" si="75"/>
        <v>13401464</v>
      </c>
    </row>
    <row r="372" spans="1:8" s="25" customFormat="1" ht="12" customHeight="1">
      <c r="A372" s="57"/>
      <c r="B372" s="49">
        <v>85203</v>
      </c>
      <c r="C372" s="105"/>
      <c r="D372" s="76" t="s">
        <v>206</v>
      </c>
      <c r="E372" s="100">
        <v>1855751.57</v>
      </c>
      <c r="F372" s="46">
        <f>SUM(F373)</f>
        <v>12670</v>
      </c>
      <c r="G372" s="46">
        <f>SUM(G373)</f>
        <v>12670</v>
      </c>
      <c r="H372" s="45">
        <f t="shared" si="75"/>
        <v>1855751.57</v>
      </c>
    </row>
    <row r="373" spans="1:8" s="25" customFormat="1" ht="22.15" customHeight="1">
      <c r="A373" s="57"/>
      <c r="B373" s="70"/>
      <c r="C373" s="35"/>
      <c r="D373" s="469" t="s">
        <v>281</v>
      </c>
      <c r="E373" s="452">
        <v>1526223.57</v>
      </c>
      <c r="F373" s="467">
        <f>SUM(F374:F379)</f>
        <v>12670</v>
      </c>
      <c r="G373" s="467">
        <f>SUM(G374:G379)</f>
        <v>12670</v>
      </c>
      <c r="H373" s="458">
        <f t="shared" si="75"/>
        <v>1526223.57</v>
      </c>
    </row>
    <row r="374" spans="1:8" s="25" customFormat="1" ht="12" customHeight="1">
      <c r="A374" s="132"/>
      <c r="B374" s="102"/>
      <c r="C374" s="103">
        <v>4010</v>
      </c>
      <c r="D374" s="44" t="s">
        <v>53</v>
      </c>
      <c r="E374" s="94">
        <v>388302</v>
      </c>
      <c r="F374" s="100">
        <v>12670</v>
      </c>
      <c r="G374" s="100"/>
      <c r="H374" s="46">
        <f t="shared" si="75"/>
        <v>400972</v>
      </c>
    </row>
    <row r="375" spans="1:8" s="25" customFormat="1" ht="11.85" customHeight="1">
      <c r="A375" s="57"/>
      <c r="B375" s="70"/>
      <c r="C375" s="69">
        <v>4040</v>
      </c>
      <c r="D375" s="104" t="s">
        <v>233</v>
      </c>
      <c r="E375" s="51">
        <v>34855</v>
      </c>
      <c r="F375" s="50"/>
      <c r="G375" s="50">
        <v>3020</v>
      </c>
      <c r="H375" s="55">
        <f t="shared" si="75"/>
        <v>31835</v>
      </c>
    </row>
    <row r="376" spans="1:8" s="25" customFormat="1" ht="11.85" customHeight="1">
      <c r="A376" s="57"/>
      <c r="B376" s="70"/>
      <c r="C376" s="69">
        <v>4120</v>
      </c>
      <c r="D376" s="104" t="s">
        <v>94</v>
      </c>
      <c r="E376" s="51">
        <v>22972</v>
      </c>
      <c r="F376" s="50"/>
      <c r="G376" s="50">
        <v>2842</v>
      </c>
      <c r="H376" s="55">
        <f t="shared" si="75"/>
        <v>20130</v>
      </c>
    </row>
    <row r="377" spans="1:8" s="25" customFormat="1" ht="11.85" customHeight="1">
      <c r="A377" s="57"/>
      <c r="B377" s="70"/>
      <c r="C377" s="69">
        <v>4430</v>
      </c>
      <c r="D377" s="104" t="s">
        <v>245</v>
      </c>
      <c r="E377" s="51">
        <v>11000</v>
      </c>
      <c r="F377" s="50"/>
      <c r="G377" s="50">
        <v>1880</v>
      </c>
      <c r="H377" s="55">
        <f t="shared" si="75"/>
        <v>9120</v>
      </c>
    </row>
    <row r="378" spans="1:8" s="25" customFormat="1" ht="12" customHeight="1">
      <c r="A378" s="57"/>
      <c r="B378" s="70"/>
      <c r="C378" s="82">
        <v>4520</v>
      </c>
      <c r="D378" s="71" t="s">
        <v>282</v>
      </c>
      <c r="E378" s="51">
        <v>6900</v>
      </c>
      <c r="F378" s="50"/>
      <c r="G378" s="50">
        <v>3928</v>
      </c>
      <c r="H378" s="55">
        <f t="shared" si="75"/>
        <v>2972</v>
      </c>
    </row>
    <row r="379" spans="1:8" s="25" customFormat="1" ht="11.25" customHeight="1">
      <c r="A379" s="57"/>
      <c r="B379" s="70"/>
      <c r="C379" s="69">
        <v>4710</v>
      </c>
      <c r="D379" s="104" t="s">
        <v>92</v>
      </c>
      <c r="E379" s="50">
        <v>2000</v>
      </c>
      <c r="F379" s="51"/>
      <c r="G379" s="51">
        <v>1000</v>
      </c>
      <c r="H379" s="55">
        <f t="shared" si="75"/>
        <v>1000</v>
      </c>
    </row>
    <row r="380" spans="1:8" s="25" customFormat="1" ht="12" customHeight="1">
      <c r="A380" s="57"/>
      <c r="B380" s="70">
        <v>85214</v>
      </c>
      <c r="C380" s="35"/>
      <c r="D380" s="72" t="s">
        <v>71</v>
      </c>
      <c r="E380" s="68"/>
      <c r="F380" s="73"/>
      <c r="G380" s="73"/>
      <c r="H380" s="51"/>
    </row>
    <row r="381" spans="1:8" s="25" customFormat="1" ht="12" customHeight="1">
      <c r="A381" s="57"/>
      <c r="B381" s="70"/>
      <c r="C381" s="35"/>
      <c r="D381" s="74" t="s">
        <v>72</v>
      </c>
      <c r="E381" s="45">
        <v>7621072</v>
      </c>
      <c r="F381" s="46">
        <f>SUM(F382,F384)</f>
        <v>525</v>
      </c>
      <c r="G381" s="46">
        <f>SUM(G382,G384)</f>
        <v>492002</v>
      </c>
      <c r="H381" s="45">
        <f>SUM(E381+F381-G381)</f>
        <v>7129595</v>
      </c>
    </row>
    <row r="382" spans="1:8" s="25" customFormat="1" ht="12" customHeight="1">
      <c r="A382" s="57"/>
      <c r="B382" s="70"/>
      <c r="C382" s="35"/>
      <c r="D382" s="457" t="s">
        <v>283</v>
      </c>
      <c r="E382" s="65">
        <v>7592940</v>
      </c>
      <c r="F382" s="467">
        <f>SUM(F383:F383)</f>
        <v>0</v>
      </c>
      <c r="G382" s="467">
        <f>SUM(G383:G383)</f>
        <v>492002</v>
      </c>
      <c r="H382" s="458">
        <f t="shared" ref="H382:H386" si="76">SUM(E382+F382-G382)</f>
        <v>7100938</v>
      </c>
    </row>
    <row r="383" spans="1:8" s="25" customFormat="1" ht="12" customHeight="1">
      <c r="A383" s="57"/>
      <c r="B383" s="70"/>
      <c r="C383" s="69">
        <v>3110</v>
      </c>
      <c r="D383" s="104" t="s">
        <v>284</v>
      </c>
      <c r="E383" s="97">
        <v>7472640</v>
      </c>
      <c r="F383" s="51"/>
      <c r="G383" s="51">
        <v>492002</v>
      </c>
      <c r="H383" s="55">
        <f t="shared" si="76"/>
        <v>6980638</v>
      </c>
    </row>
    <row r="384" spans="1:8" s="25" customFormat="1" ht="19.899999999999999" customHeight="1">
      <c r="A384" s="57"/>
      <c r="B384" s="70"/>
      <c r="C384" s="48"/>
      <c r="D384" s="456" t="s">
        <v>285</v>
      </c>
      <c r="E384" s="452">
        <v>8007</v>
      </c>
      <c r="F384" s="467">
        <f>SUM(F385:F385)</f>
        <v>525</v>
      </c>
      <c r="G384" s="467">
        <f>SUM(G385:G385)</f>
        <v>0</v>
      </c>
      <c r="H384" s="458">
        <f t="shared" si="76"/>
        <v>8532</v>
      </c>
    </row>
    <row r="385" spans="1:8" s="25" customFormat="1" ht="20.45" customHeight="1">
      <c r="A385" s="57"/>
      <c r="B385" s="70"/>
      <c r="C385" s="82">
        <v>3290</v>
      </c>
      <c r="D385" s="96" t="s">
        <v>84</v>
      </c>
      <c r="E385" s="51">
        <v>8007</v>
      </c>
      <c r="F385" s="51">
        <v>525</v>
      </c>
      <c r="G385" s="51"/>
      <c r="H385" s="55">
        <f t="shared" si="76"/>
        <v>8532</v>
      </c>
    </row>
    <row r="386" spans="1:8" s="25" customFormat="1" ht="12" customHeight="1">
      <c r="A386" s="57"/>
      <c r="B386" s="49">
        <v>85215</v>
      </c>
      <c r="C386" s="64"/>
      <c r="D386" s="76" t="s">
        <v>286</v>
      </c>
      <c r="E386" s="94">
        <v>4575992</v>
      </c>
      <c r="F386" s="100">
        <f>SUM(F387)</f>
        <v>4000</v>
      </c>
      <c r="G386" s="100">
        <f>SUM(G387)</f>
        <v>24650</v>
      </c>
      <c r="H386" s="45">
        <f t="shared" si="76"/>
        <v>4555342</v>
      </c>
    </row>
    <row r="387" spans="1:8" s="25" customFormat="1" ht="12" customHeight="1">
      <c r="A387" s="57"/>
      <c r="B387" s="70"/>
      <c r="C387" s="35"/>
      <c r="D387" s="470" t="s">
        <v>283</v>
      </c>
      <c r="E387" s="452">
        <v>4575992</v>
      </c>
      <c r="F387" s="453">
        <f>SUM(F388:F391)</f>
        <v>4000</v>
      </c>
      <c r="G387" s="453">
        <f>SUM(G388:G391)</f>
        <v>24650</v>
      </c>
      <c r="H387" s="452">
        <f>SUM(E387+F387-G387)</f>
        <v>4555342</v>
      </c>
    </row>
    <row r="388" spans="1:8" s="25" customFormat="1" ht="12" customHeight="1">
      <c r="A388" s="57"/>
      <c r="B388" s="70"/>
      <c r="C388" s="69">
        <v>3110</v>
      </c>
      <c r="D388" s="104" t="s">
        <v>284</v>
      </c>
      <c r="E388" s="50">
        <v>4502260</v>
      </c>
      <c r="F388" s="51"/>
      <c r="G388" s="51">
        <v>10000</v>
      </c>
      <c r="H388" s="55">
        <f t="shared" ref="H388:H391" si="77">SUM(E388+F388-G388)</f>
        <v>4492260</v>
      </c>
    </row>
    <row r="389" spans="1:8" s="25" customFormat="1" ht="12" customHeight="1">
      <c r="A389" s="57"/>
      <c r="B389" s="70"/>
      <c r="C389" s="48" t="s">
        <v>228</v>
      </c>
      <c r="D389" s="91" t="s">
        <v>229</v>
      </c>
      <c r="E389" s="50">
        <v>19570</v>
      </c>
      <c r="F389" s="51">
        <v>4000</v>
      </c>
      <c r="G389" s="51"/>
      <c r="H389" s="55">
        <f t="shared" si="77"/>
        <v>23570</v>
      </c>
    </row>
    <row r="390" spans="1:8" s="25" customFormat="1" ht="12" customHeight="1">
      <c r="A390" s="57"/>
      <c r="B390" s="56"/>
      <c r="C390" s="69">
        <v>4260</v>
      </c>
      <c r="D390" s="104" t="s">
        <v>234</v>
      </c>
      <c r="E390" s="50">
        <v>24600</v>
      </c>
      <c r="F390" s="55"/>
      <c r="G390" s="55">
        <f>4000+10000</f>
        <v>14000</v>
      </c>
      <c r="H390" s="55">
        <f t="shared" si="77"/>
        <v>10600</v>
      </c>
    </row>
    <row r="391" spans="1:8" s="25" customFormat="1" ht="12" customHeight="1">
      <c r="A391" s="57"/>
      <c r="B391" s="56"/>
      <c r="C391" s="133">
        <v>4360</v>
      </c>
      <c r="D391" s="86" t="s">
        <v>244</v>
      </c>
      <c r="E391" s="50">
        <v>1500</v>
      </c>
      <c r="F391" s="55"/>
      <c r="G391" s="55">
        <v>650</v>
      </c>
      <c r="H391" s="55">
        <f t="shared" si="77"/>
        <v>850</v>
      </c>
    </row>
    <row r="392" spans="1:8" s="25" customFormat="1" ht="12" customHeight="1">
      <c r="A392" s="57"/>
      <c r="B392" s="4">
        <v>85216</v>
      </c>
      <c r="C392" s="4"/>
      <c r="D392" s="1" t="s">
        <v>73</v>
      </c>
      <c r="E392" s="94">
        <v>5006545</v>
      </c>
      <c r="F392" s="100">
        <f>SUM(F393)</f>
        <v>21863</v>
      </c>
      <c r="G392" s="100">
        <f>SUM(G393)</f>
        <v>810</v>
      </c>
      <c r="H392" s="45">
        <f t="shared" si="74"/>
        <v>5027598</v>
      </c>
    </row>
    <row r="393" spans="1:8" s="25" customFormat="1" ht="11.85" customHeight="1">
      <c r="A393" s="57"/>
      <c r="B393" s="70"/>
      <c r="C393" s="48"/>
      <c r="D393" s="457" t="s">
        <v>111</v>
      </c>
      <c r="E393" s="134">
        <v>4963345</v>
      </c>
      <c r="F393" s="65">
        <f>SUM(F394:F395)</f>
        <v>21863</v>
      </c>
      <c r="G393" s="65">
        <f>SUM(G394:G395)</f>
        <v>810</v>
      </c>
      <c r="H393" s="452">
        <f>SUM(E393+F393-G393)</f>
        <v>4984398</v>
      </c>
    </row>
    <row r="394" spans="1:8" s="25" customFormat="1" ht="11.85" customHeight="1">
      <c r="A394" s="57"/>
      <c r="B394" s="70"/>
      <c r="C394" s="69">
        <v>3110</v>
      </c>
      <c r="D394" s="104" t="s">
        <v>284</v>
      </c>
      <c r="E394" s="51">
        <v>4962035</v>
      </c>
      <c r="F394" s="50">
        <v>21863</v>
      </c>
      <c r="G394" s="50"/>
      <c r="H394" s="50">
        <f t="shared" ref="H394:H405" si="78">SUM(E394+F394-G394)</f>
        <v>4983898</v>
      </c>
    </row>
    <row r="395" spans="1:8" s="25" customFormat="1" ht="11.85" customHeight="1">
      <c r="A395" s="57"/>
      <c r="B395" s="70"/>
      <c r="C395" s="69">
        <v>4300</v>
      </c>
      <c r="D395" s="104" t="s">
        <v>31</v>
      </c>
      <c r="E395" s="51">
        <v>1310</v>
      </c>
      <c r="F395" s="50"/>
      <c r="G395" s="50">
        <v>810</v>
      </c>
      <c r="H395" s="50">
        <f t="shared" si="78"/>
        <v>500</v>
      </c>
    </row>
    <row r="396" spans="1:8" s="25" customFormat="1" ht="12" customHeight="1">
      <c r="A396" s="57"/>
      <c r="B396" s="60">
        <v>85219</v>
      </c>
      <c r="C396" s="64"/>
      <c r="D396" s="76" t="s">
        <v>186</v>
      </c>
      <c r="E396" s="100">
        <v>19243483</v>
      </c>
      <c r="F396" s="46">
        <f>SUM(F397)</f>
        <v>860245</v>
      </c>
      <c r="G396" s="46">
        <f>SUM(G397)</f>
        <v>228802</v>
      </c>
      <c r="H396" s="45">
        <f t="shared" si="78"/>
        <v>19874926</v>
      </c>
    </row>
    <row r="397" spans="1:8" s="25" customFormat="1" ht="12" customHeight="1">
      <c r="A397" s="57"/>
      <c r="B397" s="69"/>
      <c r="C397" s="48"/>
      <c r="D397" s="457" t="s">
        <v>111</v>
      </c>
      <c r="E397" s="452">
        <v>18129891</v>
      </c>
      <c r="F397" s="453">
        <f>SUM(F398:F405)</f>
        <v>860245</v>
      </c>
      <c r="G397" s="453">
        <f>SUM(G398:G405)</f>
        <v>228802</v>
      </c>
      <c r="H397" s="452">
        <f t="shared" si="78"/>
        <v>18761334</v>
      </c>
    </row>
    <row r="398" spans="1:8" s="25" customFormat="1" ht="11.85" customHeight="1">
      <c r="A398" s="57"/>
      <c r="B398" s="69"/>
      <c r="C398" s="69">
        <v>4010</v>
      </c>
      <c r="D398" s="104" t="s">
        <v>53</v>
      </c>
      <c r="E398" s="50">
        <v>12564377</v>
      </c>
      <c r="F398" s="51">
        <f>667654+131591</f>
        <v>799245</v>
      </c>
      <c r="G398" s="51"/>
      <c r="H398" s="55">
        <f t="shared" si="78"/>
        <v>13363622</v>
      </c>
    </row>
    <row r="399" spans="1:8" s="25" customFormat="1" ht="11.85" customHeight="1">
      <c r="A399" s="57"/>
      <c r="B399" s="69"/>
      <c r="C399" s="69">
        <v>4040</v>
      </c>
      <c r="D399" s="104" t="s">
        <v>233</v>
      </c>
      <c r="E399" s="50">
        <v>969423</v>
      </c>
      <c r="F399" s="51"/>
      <c r="G399" s="51">
        <v>57802</v>
      </c>
      <c r="H399" s="55">
        <f t="shared" si="78"/>
        <v>911621</v>
      </c>
    </row>
    <row r="400" spans="1:8" s="25" customFormat="1" ht="11.85" customHeight="1">
      <c r="A400" s="57"/>
      <c r="B400" s="69"/>
      <c r="C400" s="69">
        <v>4110</v>
      </c>
      <c r="D400" s="104" t="s">
        <v>239</v>
      </c>
      <c r="E400" s="50">
        <v>2280729</v>
      </c>
      <c r="F400" s="51">
        <v>50000</v>
      </c>
      <c r="G400" s="51"/>
      <c r="H400" s="55">
        <f t="shared" si="78"/>
        <v>2330729</v>
      </c>
    </row>
    <row r="401" spans="1:8" s="25" customFormat="1" ht="11.85" customHeight="1">
      <c r="A401" s="57"/>
      <c r="B401" s="69"/>
      <c r="C401" s="69">
        <v>4120</v>
      </c>
      <c r="D401" s="104" t="s">
        <v>94</v>
      </c>
      <c r="E401" s="50">
        <v>290630</v>
      </c>
      <c r="F401" s="51"/>
      <c r="G401" s="51">
        <v>30000</v>
      </c>
      <c r="H401" s="55">
        <f t="shared" si="78"/>
        <v>260630</v>
      </c>
    </row>
    <row r="402" spans="1:8" s="25" customFormat="1" ht="11.85" customHeight="1">
      <c r="A402" s="57"/>
      <c r="B402" s="69"/>
      <c r="C402" s="69">
        <v>4170</v>
      </c>
      <c r="D402" s="104" t="s">
        <v>55</v>
      </c>
      <c r="E402" s="50">
        <v>23500</v>
      </c>
      <c r="F402" s="51"/>
      <c r="G402" s="51">
        <v>10000</v>
      </c>
      <c r="H402" s="55">
        <f t="shared" si="78"/>
        <v>13500</v>
      </c>
    </row>
    <row r="403" spans="1:8" s="25" customFormat="1" ht="11.85" customHeight="1">
      <c r="A403" s="57"/>
      <c r="B403" s="56"/>
      <c r="C403" s="48" t="s">
        <v>228</v>
      </c>
      <c r="D403" s="91" t="s">
        <v>229</v>
      </c>
      <c r="E403" s="52">
        <v>224392</v>
      </c>
      <c r="F403" s="52">
        <v>11000</v>
      </c>
      <c r="G403" s="55"/>
      <c r="H403" s="55">
        <f t="shared" si="78"/>
        <v>235392</v>
      </c>
    </row>
    <row r="404" spans="1:8" s="25" customFormat="1" ht="11.85" customHeight="1">
      <c r="A404" s="57"/>
      <c r="B404" s="56"/>
      <c r="C404" s="69">
        <v>4260</v>
      </c>
      <c r="D404" s="104" t="s">
        <v>234</v>
      </c>
      <c r="E404" s="52">
        <v>378000</v>
      </c>
      <c r="F404" s="52"/>
      <c r="G404" s="55">
        <v>120000</v>
      </c>
      <c r="H404" s="55">
        <f t="shared" si="78"/>
        <v>258000</v>
      </c>
    </row>
    <row r="405" spans="1:8" s="25" customFormat="1" ht="11.85" customHeight="1">
      <c r="A405" s="57"/>
      <c r="B405" s="56"/>
      <c r="C405" s="133">
        <v>4360</v>
      </c>
      <c r="D405" s="86" t="s">
        <v>244</v>
      </c>
      <c r="E405" s="52">
        <v>32000</v>
      </c>
      <c r="F405" s="52"/>
      <c r="G405" s="55">
        <v>11000</v>
      </c>
      <c r="H405" s="55">
        <f t="shared" si="78"/>
        <v>21000</v>
      </c>
    </row>
    <row r="406" spans="1:8" s="25" customFormat="1" ht="11.85" customHeight="1">
      <c r="A406" s="57"/>
      <c r="B406" s="60">
        <v>85220</v>
      </c>
      <c r="C406" s="64"/>
      <c r="D406" s="49" t="s">
        <v>287</v>
      </c>
      <c r="E406" s="50"/>
      <c r="F406" s="51"/>
      <c r="G406" s="51"/>
      <c r="H406" s="55"/>
    </row>
    <row r="407" spans="1:8" s="25" customFormat="1" ht="12" customHeight="1">
      <c r="A407" s="57"/>
      <c r="B407" s="61"/>
      <c r="C407" s="64"/>
      <c r="D407" s="76" t="s">
        <v>288</v>
      </c>
      <c r="E407" s="100">
        <v>956002</v>
      </c>
      <c r="F407" s="46">
        <f>SUM(F409)</f>
        <v>12000</v>
      </c>
      <c r="G407" s="46">
        <f>SUM(G409)</f>
        <v>21000</v>
      </c>
      <c r="H407" s="45">
        <f t="shared" ref="H407:H448" si="79">SUM(E407+F407-G407)</f>
        <v>947002</v>
      </c>
    </row>
    <row r="408" spans="1:8" s="25" customFormat="1" ht="12" customHeight="1">
      <c r="A408" s="57"/>
      <c r="B408" s="61"/>
      <c r="C408" s="64"/>
      <c r="D408" s="6" t="s">
        <v>289</v>
      </c>
      <c r="E408" s="50"/>
      <c r="F408" s="55"/>
      <c r="G408" s="55"/>
      <c r="H408" s="52"/>
    </row>
    <row r="409" spans="1:8" s="25" customFormat="1" ht="12" customHeight="1">
      <c r="A409" s="57"/>
      <c r="B409" s="69"/>
      <c r="C409" s="48"/>
      <c r="D409" s="471" t="s">
        <v>290</v>
      </c>
      <c r="E409" s="452">
        <v>882357</v>
      </c>
      <c r="F409" s="453">
        <f>SUM(F410:F411)</f>
        <v>12000</v>
      </c>
      <c r="G409" s="453">
        <f>SUM(G410:G411)</f>
        <v>21000</v>
      </c>
      <c r="H409" s="452">
        <f t="shared" si="79"/>
        <v>873357</v>
      </c>
    </row>
    <row r="410" spans="1:8" s="25" customFormat="1" ht="12" customHeight="1">
      <c r="A410" s="57"/>
      <c r="B410" s="69"/>
      <c r="C410" s="48" t="s">
        <v>228</v>
      </c>
      <c r="D410" s="91" t="s">
        <v>229</v>
      </c>
      <c r="E410" s="50">
        <v>24700</v>
      </c>
      <c r="F410" s="51">
        <v>12000</v>
      </c>
      <c r="G410" s="51"/>
      <c r="H410" s="55">
        <f t="shared" si="79"/>
        <v>36700</v>
      </c>
    </row>
    <row r="411" spans="1:8" s="25" customFormat="1" ht="12" customHeight="1">
      <c r="A411" s="57"/>
      <c r="B411" s="56"/>
      <c r="C411" s="69">
        <v>4260</v>
      </c>
      <c r="D411" s="104" t="s">
        <v>234</v>
      </c>
      <c r="E411" s="52">
        <v>32800</v>
      </c>
      <c r="F411" s="52"/>
      <c r="G411" s="55">
        <f>12000+9000</f>
        <v>21000</v>
      </c>
      <c r="H411" s="55">
        <f t="shared" si="79"/>
        <v>11800</v>
      </c>
    </row>
    <row r="412" spans="1:8" s="25" customFormat="1" ht="12" customHeight="1">
      <c r="A412" s="57"/>
      <c r="B412" s="60">
        <v>85230</v>
      </c>
      <c r="C412" s="64"/>
      <c r="D412" s="76" t="s">
        <v>75</v>
      </c>
      <c r="E412" s="100">
        <v>6690524</v>
      </c>
      <c r="F412" s="46">
        <f>SUM(F413,F416)</f>
        <v>72312</v>
      </c>
      <c r="G412" s="46">
        <f>SUM(G413,G416)</f>
        <v>1183566</v>
      </c>
      <c r="H412" s="45">
        <f t="shared" si="79"/>
        <v>5579270</v>
      </c>
    </row>
    <row r="413" spans="1:8" s="25" customFormat="1" ht="11.25" customHeight="1">
      <c r="A413" s="57"/>
      <c r="B413" s="60"/>
      <c r="C413" s="35"/>
      <c r="D413" s="470" t="s">
        <v>283</v>
      </c>
      <c r="E413" s="452">
        <v>6681399</v>
      </c>
      <c r="F413" s="453">
        <f>SUM(F414:F415)</f>
        <v>70000</v>
      </c>
      <c r="G413" s="453">
        <f>SUM(G414:G415)</f>
        <v>1183566</v>
      </c>
      <c r="H413" s="452">
        <f>SUM(E413+F413-G413)</f>
        <v>5567833</v>
      </c>
    </row>
    <row r="414" spans="1:8" s="25" customFormat="1" ht="12" customHeight="1">
      <c r="A414" s="57"/>
      <c r="B414" s="60"/>
      <c r="C414" s="69">
        <v>3110</v>
      </c>
      <c r="D414" s="104" t="s">
        <v>284</v>
      </c>
      <c r="E414" s="50">
        <v>2653500</v>
      </c>
      <c r="F414" s="51">
        <v>70000</v>
      </c>
      <c r="G414" s="51">
        <v>435667</v>
      </c>
      <c r="H414" s="55">
        <f t="shared" ref="H414:H415" si="80">SUM(E414+F414-G414)</f>
        <v>2287833</v>
      </c>
    </row>
    <row r="415" spans="1:8" s="25" customFormat="1" ht="11.25" customHeight="1">
      <c r="A415" s="57"/>
      <c r="B415" s="60"/>
      <c r="C415" s="69">
        <v>4300</v>
      </c>
      <c r="D415" s="104" t="s">
        <v>31</v>
      </c>
      <c r="E415" s="50">
        <v>4027899</v>
      </c>
      <c r="F415" s="55"/>
      <c r="G415" s="55">
        <v>747899</v>
      </c>
      <c r="H415" s="55">
        <f t="shared" si="80"/>
        <v>3280000</v>
      </c>
    </row>
    <row r="416" spans="1:8" s="25" customFormat="1" ht="22.5" customHeight="1">
      <c r="A416" s="57"/>
      <c r="B416" s="60"/>
      <c r="C416" s="35"/>
      <c r="D416" s="472" t="s">
        <v>291</v>
      </c>
      <c r="E416" s="452">
        <v>7042</v>
      </c>
      <c r="F416" s="453">
        <f>SUM(F417:F417)</f>
        <v>2312</v>
      </c>
      <c r="G416" s="453">
        <f>SUM(G417:G417)</f>
        <v>0</v>
      </c>
      <c r="H416" s="452">
        <f t="shared" si="79"/>
        <v>9354</v>
      </c>
    </row>
    <row r="417" spans="1:8" s="25" customFormat="1" ht="21.75" customHeight="1">
      <c r="A417" s="57"/>
      <c r="B417" s="60"/>
      <c r="C417" s="82">
        <v>3290</v>
      </c>
      <c r="D417" s="96" t="s">
        <v>84</v>
      </c>
      <c r="E417" s="50">
        <v>7042</v>
      </c>
      <c r="F417" s="51">
        <v>2312</v>
      </c>
      <c r="G417" s="51"/>
      <c r="H417" s="55">
        <f t="shared" si="79"/>
        <v>9354</v>
      </c>
    </row>
    <row r="418" spans="1:8" s="25" customFormat="1" ht="12" customHeight="1">
      <c r="A418" s="57"/>
      <c r="B418" s="70">
        <v>85295</v>
      </c>
      <c r="C418" s="35"/>
      <c r="D418" s="44" t="s">
        <v>51</v>
      </c>
      <c r="E418" s="100">
        <v>4672581.2699999996</v>
      </c>
      <c r="F418" s="45">
        <f>SUM(F419,F423)</f>
        <v>43120</v>
      </c>
      <c r="G418" s="45">
        <f>SUM(G419,G423)</f>
        <v>21320</v>
      </c>
      <c r="H418" s="45">
        <f>SUM(E418+F418-G418)</f>
        <v>4694381.2699999996</v>
      </c>
    </row>
    <row r="419" spans="1:8" s="25" customFormat="1" ht="12" customHeight="1">
      <c r="A419" s="57"/>
      <c r="B419" s="70"/>
      <c r="C419" s="48"/>
      <c r="D419" s="457" t="s">
        <v>111</v>
      </c>
      <c r="E419" s="452">
        <v>1659982</v>
      </c>
      <c r="F419" s="453">
        <f>SUM(F420:F422)</f>
        <v>25000</v>
      </c>
      <c r="G419" s="453">
        <f>SUM(G420:G422)</f>
        <v>3200</v>
      </c>
      <c r="H419" s="452">
        <f>SUM(E419+F419-G419)</f>
        <v>1681782</v>
      </c>
    </row>
    <row r="420" spans="1:8" s="25" customFormat="1" ht="11.85" customHeight="1">
      <c r="A420" s="57"/>
      <c r="B420" s="70"/>
      <c r="C420" s="69">
        <v>4010</v>
      </c>
      <c r="D420" s="104" t="s">
        <v>53</v>
      </c>
      <c r="E420" s="135">
        <v>1027989</v>
      </c>
      <c r="F420" s="55">
        <v>25000</v>
      </c>
      <c r="G420" s="55"/>
      <c r="H420" s="55">
        <f t="shared" ref="H420:H422" si="81">SUM(E420+F420-G420)</f>
        <v>1052989</v>
      </c>
    </row>
    <row r="421" spans="1:8" s="25" customFormat="1" ht="11.85" customHeight="1">
      <c r="A421" s="57"/>
      <c r="B421" s="70"/>
      <c r="C421" s="69">
        <v>4260</v>
      </c>
      <c r="D421" s="104" t="s">
        <v>234</v>
      </c>
      <c r="E421" s="135">
        <v>19800</v>
      </c>
      <c r="F421" s="55"/>
      <c r="G421" s="55">
        <v>1800</v>
      </c>
      <c r="H421" s="55">
        <f t="shared" si="81"/>
        <v>18000</v>
      </c>
    </row>
    <row r="422" spans="1:8" s="25" customFormat="1" ht="11.85" customHeight="1">
      <c r="A422" s="57"/>
      <c r="B422" s="70"/>
      <c r="C422" s="133">
        <v>4360</v>
      </c>
      <c r="D422" s="86" t="s">
        <v>244</v>
      </c>
      <c r="E422" s="135">
        <v>3000</v>
      </c>
      <c r="F422" s="55"/>
      <c r="G422" s="55">
        <v>1400</v>
      </c>
      <c r="H422" s="55">
        <f t="shared" si="81"/>
        <v>1600</v>
      </c>
    </row>
    <row r="423" spans="1:8" s="25" customFormat="1" ht="24" customHeight="1">
      <c r="A423" s="57"/>
      <c r="B423" s="60"/>
      <c r="C423" s="35"/>
      <c r="D423" s="472" t="s">
        <v>292</v>
      </c>
      <c r="E423" s="452">
        <v>280997.26999999996</v>
      </c>
      <c r="F423" s="452">
        <f>SUM(F424:F439)</f>
        <v>18120</v>
      </c>
      <c r="G423" s="452">
        <f>SUM(G424:G439)</f>
        <v>18120</v>
      </c>
      <c r="H423" s="452">
        <f>SUM(E423+F423-G423)</f>
        <v>280997.26999999996</v>
      </c>
    </row>
    <row r="424" spans="1:8" s="25" customFormat="1" ht="11.85" customHeight="1">
      <c r="A424" s="57"/>
      <c r="B424" s="60"/>
      <c r="C424" s="69">
        <v>4017</v>
      </c>
      <c r="D424" s="104" t="s">
        <v>53</v>
      </c>
      <c r="E424" s="50">
        <v>5373.6500000000015</v>
      </c>
      <c r="F424" s="50"/>
      <c r="G424" s="50">
        <v>1073.68</v>
      </c>
      <c r="H424" s="52">
        <f>SUM(E424+F424-G424)</f>
        <v>4299.9700000000012</v>
      </c>
    </row>
    <row r="425" spans="1:8" s="25" customFormat="1" ht="11.85" customHeight="1">
      <c r="A425" s="57"/>
      <c r="B425" s="60"/>
      <c r="C425" s="136">
        <v>4019</v>
      </c>
      <c r="D425" s="137" t="s">
        <v>293</v>
      </c>
      <c r="E425" s="50">
        <v>632.19999999999982</v>
      </c>
      <c r="F425" s="50"/>
      <c r="G425" s="50">
        <v>126.32</v>
      </c>
      <c r="H425" s="52">
        <f t="shared" ref="H425:H439" si="82">SUM(E425+F425-G425)</f>
        <v>505.87999999999982</v>
      </c>
    </row>
    <row r="426" spans="1:8" s="25" customFormat="1" ht="11.85" customHeight="1">
      <c r="A426" s="57"/>
      <c r="B426" s="60"/>
      <c r="C426" s="136">
        <v>4117</v>
      </c>
      <c r="D426" s="138" t="s">
        <v>54</v>
      </c>
      <c r="E426" s="50">
        <v>23190.33</v>
      </c>
      <c r="F426" s="50">
        <v>2139.3200000000002</v>
      </c>
      <c r="G426" s="50"/>
      <c r="H426" s="52">
        <f t="shared" si="82"/>
        <v>25329.65</v>
      </c>
    </row>
    <row r="427" spans="1:8" s="25" customFormat="1" ht="11.85" customHeight="1">
      <c r="A427" s="57"/>
      <c r="B427" s="60"/>
      <c r="C427" s="136">
        <v>4119</v>
      </c>
      <c r="D427" s="138" t="s">
        <v>54</v>
      </c>
      <c r="E427" s="50">
        <v>2728.28</v>
      </c>
      <c r="F427" s="50">
        <v>251.68</v>
      </c>
      <c r="G427" s="50"/>
      <c r="H427" s="52">
        <f t="shared" si="82"/>
        <v>2979.96</v>
      </c>
    </row>
    <row r="428" spans="1:8" s="25" customFormat="1" ht="11.85" customHeight="1">
      <c r="A428" s="57"/>
      <c r="B428" s="60"/>
      <c r="C428" s="136">
        <v>4127</v>
      </c>
      <c r="D428" s="139" t="s">
        <v>94</v>
      </c>
      <c r="E428" s="50">
        <v>3299.44</v>
      </c>
      <c r="F428" s="50">
        <v>305.11</v>
      </c>
      <c r="G428" s="50"/>
      <c r="H428" s="52">
        <f t="shared" si="82"/>
        <v>3604.55</v>
      </c>
    </row>
    <row r="429" spans="1:8" s="25" customFormat="1" ht="11.85" customHeight="1">
      <c r="A429" s="57"/>
      <c r="B429" s="60"/>
      <c r="C429" s="136">
        <v>4129</v>
      </c>
      <c r="D429" s="139" t="s">
        <v>94</v>
      </c>
      <c r="E429" s="50">
        <v>388.17</v>
      </c>
      <c r="F429" s="50">
        <v>35.89</v>
      </c>
      <c r="G429" s="50"/>
      <c r="H429" s="52">
        <f t="shared" si="82"/>
        <v>424.06</v>
      </c>
    </row>
    <row r="430" spans="1:8" s="25" customFormat="1" ht="11.85" customHeight="1">
      <c r="A430" s="57"/>
      <c r="B430" s="60"/>
      <c r="C430" s="136">
        <v>4227</v>
      </c>
      <c r="D430" s="138" t="s">
        <v>294</v>
      </c>
      <c r="E430" s="50">
        <v>3578.95</v>
      </c>
      <c r="F430" s="50"/>
      <c r="G430" s="50">
        <v>1789.48</v>
      </c>
      <c r="H430" s="52">
        <f t="shared" si="82"/>
        <v>1789.4699999999998</v>
      </c>
    </row>
    <row r="431" spans="1:8" s="25" customFormat="1" ht="11.85" customHeight="1">
      <c r="A431" s="132"/>
      <c r="B431" s="121"/>
      <c r="C431" s="140">
        <v>4229</v>
      </c>
      <c r="D431" s="141" t="s">
        <v>294</v>
      </c>
      <c r="E431" s="100">
        <v>421.05</v>
      </c>
      <c r="F431" s="100"/>
      <c r="G431" s="100">
        <v>210.52</v>
      </c>
      <c r="H431" s="45">
        <f t="shared" si="82"/>
        <v>210.53</v>
      </c>
    </row>
    <row r="432" spans="1:8" s="25" customFormat="1" ht="12" customHeight="1">
      <c r="A432" s="57"/>
      <c r="B432" s="60"/>
      <c r="C432" s="136">
        <v>4247</v>
      </c>
      <c r="D432" s="137" t="s">
        <v>295</v>
      </c>
      <c r="E432" s="50">
        <v>37400</v>
      </c>
      <c r="F432" s="50"/>
      <c r="G432" s="50">
        <v>10557.9</v>
      </c>
      <c r="H432" s="52">
        <f t="shared" si="82"/>
        <v>26842.1</v>
      </c>
    </row>
    <row r="433" spans="1:8" s="25" customFormat="1" ht="12" customHeight="1">
      <c r="A433" s="57"/>
      <c r="B433" s="60"/>
      <c r="C433" s="136">
        <v>4249</v>
      </c>
      <c r="D433" s="137" t="s">
        <v>295</v>
      </c>
      <c r="E433" s="50">
        <v>4400</v>
      </c>
      <c r="F433" s="50"/>
      <c r="G433" s="50">
        <v>1242.0999999999999</v>
      </c>
      <c r="H433" s="52">
        <f t="shared" si="82"/>
        <v>3157.9</v>
      </c>
    </row>
    <row r="434" spans="1:8" s="25" customFormat="1" ht="12" customHeight="1">
      <c r="A434" s="57"/>
      <c r="B434" s="60"/>
      <c r="C434" s="136">
        <v>4307</v>
      </c>
      <c r="D434" s="138" t="s">
        <v>68</v>
      </c>
      <c r="E434" s="50">
        <v>43663.16</v>
      </c>
      <c r="F434" s="50"/>
      <c r="G434" s="50">
        <v>2791.58</v>
      </c>
      <c r="H434" s="52">
        <f t="shared" si="82"/>
        <v>40871.58</v>
      </c>
    </row>
    <row r="435" spans="1:8" s="25" customFormat="1" ht="12" customHeight="1">
      <c r="A435" s="57"/>
      <c r="B435" s="60"/>
      <c r="C435" s="136">
        <v>4309</v>
      </c>
      <c r="D435" s="138" t="s">
        <v>68</v>
      </c>
      <c r="E435" s="50">
        <v>5136.84</v>
      </c>
      <c r="F435" s="50"/>
      <c r="G435" s="50">
        <v>328.42</v>
      </c>
      <c r="H435" s="52">
        <f t="shared" si="82"/>
        <v>4808.42</v>
      </c>
    </row>
    <row r="436" spans="1:8" s="25" customFormat="1" ht="12" customHeight="1">
      <c r="A436" s="57"/>
      <c r="B436" s="60"/>
      <c r="C436" s="136">
        <v>4787</v>
      </c>
      <c r="D436" s="137" t="s">
        <v>296</v>
      </c>
      <c r="E436" s="50">
        <v>1768.27</v>
      </c>
      <c r="F436" s="50">
        <v>204</v>
      </c>
      <c r="G436" s="50"/>
      <c r="H436" s="52">
        <f t="shared" si="82"/>
        <v>1972.27</v>
      </c>
    </row>
    <row r="437" spans="1:8" s="25" customFormat="1" ht="12" customHeight="1">
      <c r="A437" s="57"/>
      <c r="B437" s="60"/>
      <c r="C437" s="136">
        <v>4789</v>
      </c>
      <c r="D437" s="137" t="s">
        <v>296</v>
      </c>
      <c r="E437" s="50">
        <v>208.03</v>
      </c>
      <c r="F437" s="50">
        <v>24</v>
      </c>
      <c r="G437" s="50"/>
      <c r="H437" s="52">
        <f t="shared" si="82"/>
        <v>232.03</v>
      </c>
    </row>
    <row r="438" spans="1:8" s="25" customFormat="1" ht="12" customHeight="1">
      <c r="A438" s="57"/>
      <c r="B438" s="60"/>
      <c r="C438" s="136">
        <v>4797</v>
      </c>
      <c r="D438" s="142" t="s">
        <v>297</v>
      </c>
      <c r="E438" s="50">
        <v>117884.71</v>
      </c>
      <c r="F438" s="50">
        <v>13564.21</v>
      </c>
      <c r="G438" s="50"/>
      <c r="H438" s="52">
        <f t="shared" si="82"/>
        <v>131448.92000000001</v>
      </c>
    </row>
    <row r="439" spans="1:8" s="25" customFormat="1" ht="12" customHeight="1">
      <c r="A439" s="57"/>
      <c r="B439" s="60"/>
      <c r="C439" s="136">
        <v>4799</v>
      </c>
      <c r="D439" s="142" t="s">
        <v>297</v>
      </c>
      <c r="E439" s="50">
        <v>13868.79</v>
      </c>
      <c r="F439" s="50">
        <v>1595.79</v>
      </c>
      <c r="G439" s="50"/>
      <c r="H439" s="52">
        <f t="shared" si="82"/>
        <v>15464.580000000002</v>
      </c>
    </row>
    <row r="440" spans="1:8" s="25" customFormat="1" ht="12" customHeight="1" thickBot="1">
      <c r="A440" s="77">
        <v>853</v>
      </c>
      <c r="B440" s="56"/>
      <c r="C440" s="57"/>
      <c r="D440" s="58" t="s">
        <v>76</v>
      </c>
      <c r="E440" s="39">
        <v>14346415.75</v>
      </c>
      <c r="F440" s="42">
        <f>SUM(F441,F448)</f>
        <v>10140</v>
      </c>
      <c r="G440" s="42">
        <f>SUM(G441,G448)</f>
        <v>10140</v>
      </c>
      <c r="H440" s="39">
        <f t="shared" si="79"/>
        <v>14346415.75</v>
      </c>
    </row>
    <row r="441" spans="1:8" s="25" customFormat="1" ht="12" customHeight="1" thickTop="1">
      <c r="A441" s="77"/>
      <c r="B441" s="70">
        <v>85321</v>
      </c>
      <c r="C441" s="35"/>
      <c r="D441" s="44" t="s">
        <v>224</v>
      </c>
      <c r="E441" s="100">
        <v>498303</v>
      </c>
      <c r="F441" s="46">
        <f>SUM(F442)</f>
        <v>1540</v>
      </c>
      <c r="G441" s="46">
        <f>SUM(G442)</f>
        <v>1540</v>
      </c>
      <c r="H441" s="45">
        <f t="shared" si="79"/>
        <v>498303</v>
      </c>
    </row>
    <row r="442" spans="1:8" s="25" customFormat="1" ht="12" customHeight="1">
      <c r="A442" s="77"/>
      <c r="B442" s="70"/>
      <c r="C442" s="35"/>
      <c r="D442" s="457" t="s">
        <v>168</v>
      </c>
      <c r="E442" s="65">
        <v>431308</v>
      </c>
      <c r="F442" s="467">
        <f>SUM(F443:F447)</f>
        <v>1540</v>
      </c>
      <c r="G442" s="467">
        <f>SUM(G443:G447)</f>
        <v>1540</v>
      </c>
      <c r="H442" s="458">
        <f t="shared" si="79"/>
        <v>431308</v>
      </c>
    </row>
    <row r="443" spans="1:8" s="25" customFormat="1" ht="12" customHeight="1">
      <c r="A443" s="77"/>
      <c r="B443" s="56"/>
      <c r="C443" s="69">
        <v>4040</v>
      </c>
      <c r="D443" s="104" t="s">
        <v>233</v>
      </c>
      <c r="E443" s="51">
        <v>18665</v>
      </c>
      <c r="F443" s="51"/>
      <c r="G443" s="51">
        <v>1450</v>
      </c>
      <c r="H443" s="55">
        <f t="shared" si="79"/>
        <v>17215</v>
      </c>
    </row>
    <row r="444" spans="1:8" s="25" customFormat="1" ht="12" customHeight="1">
      <c r="A444" s="77"/>
      <c r="B444" s="56"/>
      <c r="C444" s="48" t="s">
        <v>228</v>
      </c>
      <c r="D444" s="91" t="s">
        <v>229</v>
      </c>
      <c r="E444" s="51">
        <v>3300</v>
      </c>
      <c r="F444" s="51">
        <v>196</v>
      </c>
      <c r="G444" s="51"/>
      <c r="H444" s="55">
        <f t="shared" si="79"/>
        <v>3496</v>
      </c>
    </row>
    <row r="445" spans="1:8" s="25" customFormat="1" ht="12" customHeight="1">
      <c r="A445" s="77"/>
      <c r="B445" s="56"/>
      <c r="C445" s="69">
        <v>4260</v>
      </c>
      <c r="D445" s="104" t="s">
        <v>234</v>
      </c>
      <c r="E445" s="51">
        <v>15100</v>
      </c>
      <c r="F445" s="51">
        <v>885</v>
      </c>
      <c r="G445" s="51"/>
      <c r="H445" s="55">
        <f t="shared" si="79"/>
        <v>15985</v>
      </c>
    </row>
    <row r="446" spans="1:8" s="25" customFormat="1" ht="12" customHeight="1">
      <c r="A446" s="77"/>
      <c r="B446" s="56"/>
      <c r="C446" s="69">
        <v>4280</v>
      </c>
      <c r="D446" s="104" t="s">
        <v>61</v>
      </c>
      <c r="E446" s="51">
        <v>300</v>
      </c>
      <c r="F446" s="51"/>
      <c r="G446" s="51">
        <v>90</v>
      </c>
      <c r="H446" s="55">
        <f t="shared" si="79"/>
        <v>210</v>
      </c>
    </row>
    <row r="447" spans="1:8" s="25" customFormat="1" ht="12" customHeight="1">
      <c r="A447" s="77"/>
      <c r="B447" s="56"/>
      <c r="C447" s="69">
        <v>4300</v>
      </c>
      <c r="D447" s="104" t="s">
        <v>31</v>
      </c>
      <c r="E447" s="51">
        <v>36600</v>
      </c>
      <c r="F447" s="51">
        <v>459</v>
      </c>
      <c r="G447" s="51"/>
      <c r="H447" s="55">
        <f t="shared" si="79"/>
        <v>37059</v>
      </c>
    </row>
    <row r="448" spans="1:8" s="25" customFormat="1" ht="12" customHeight="1">
      <c r="A448" s="57"/>
      <c r="B448" s="70">
        <v>85395</v>
      </c>
      <c r="C448" s="35"/>
      <c r="D448" s="44" t="s">
        <v>51</v>
      </c>
      <c r="E448" s="100">
        <v>9380171.75</v>
      </c>
      <c r="F448" s="45">
        <f>SUM(F449)</f>
        <v>8600</v>
      </c>
      <c r="G448" s="45">
        <f>SUM(G449)</f>
        <v>8600</v>
      </c>
      <c r="H448" s="45">
        <f t="shared" si="79"/>
        <v>9380171.75</v>
      </c>
    </row>
    <row r="449" spans="1:8" s="25" customFormat="1" ht="12" customHeight="1">
      <c r="A449" s="57"/>
      <c r="B449" s="70"/>
      <c r="C449" s="69"/>
      <c r="D449" s="461" t="s">
        <v>298</v>
      </c>
      <c r="E449" s="458">
        <v>6375725</v>
      </c>
      <c r="F449" s="458">
        <f>SUM(F450:F452)</f>
        <v>8600</v>
      </c>
      <c r="G449" s="458">
        <f>SUM(G450:G452)</f>
        <v>8600</v>
      </c>
      <c r="H449" s="452">
        <f>SUM(E449+F449-G449)</f>
        <v>6375725</v>
      </c>
    </row>
    <row r="450" spans="1:8" s="25" customFormat="1" ht="12" customHeight="1">
      <c r="A450" s="57"/>
      <c r="B450" s="70"/>
      <c r="C450" s="69">
        <v>3020</v>
      </c>
      <c r="D450" s="104" t="s">
        <v>52</v>
      </c>
      <c r="E450" s="135">
        <v>11000</v>
      </c>
      <c r="F450" s="55">
        <v>3600</v>
      </c>
      <c r="G450" s="55"/>
      <c r="H450" s="55">
        <f t="shared" ref="H450:H454" si="83">SUM(E450+F450-G450)</f>
        <v>14600</v>
      </c>
    </row>
    <row r="451" spans="1:8" s="25" customFormat="1" ht="12" customHeight="1">
      <c r="A451" s="57"/>
      <c r="B451" s="70"/>
      <c r="C451" s="69">
        <v>4220</v>
      </c>
      <c r="D451" s="104" t="s">
        <v>278</v>
      </c>
      <c r="E451" s="135">
        <v>1955870</v>
      </c>
      <c r="F451" s="55"/>
      <c r="G451" s="55">
        <v>8600</v>
      </c>
      <c r="H451" s="55">
        <f t="shared" si="83"/>
        <v>1947270</v>
      </c>
    </row>
    <row r="452" spans="1:8" s="25" customFormat="1" ht="12" customHeight="1">
      <c r="A452" s="57"/>
      <c r="B452" s="70"/>
      <c r="C452" s="69">
        <v>4270</v>
      </c>
      <c r="D452" s="104" t="s">
        <v>56</v>
      </c>
      <c r="E452" s="135">
        <v>61000</v>
      </c>
      <c r="F452" s="55">
        <v>5000</v>
      </c>
      <c r="G452" s="55"/>
      <c r="H452" s="55">
        <f t="shared" si="83"/>
        <v>66000</v>
      </c>
    </row>
    <row r="453" spans="1:8" s="25" customFormat="1" ht="12" thickBot="1">
      <c r="A453" s="56">
        <v>854</v>
      </c>
      <c r="B453" s="56"/>
      <c r="C453" s="57"/>
      <c r="D453" s="58" t="s">
        <v>78</v>
      </c>
      <c r="E453" s="39">
        <v>22783500.990000002</v>
      </c>
      <c r="F453" s="42">
        <f>SUM(F454,F461,F466)</f>
        <v>93373.33</v>
      </c>
      <c r="G453" s="42">
        <f>SUM(G454,G466)</f>
        <v>65500</v>
      </c>
      <c r="H453" s="39">
        <f t="shared" si="83"/>
        <v>22811374.32</v>
      </c>
    </row>
    <row r="454" spans="1:8" s="25" customFormat="1" ht="12" thickTop="1">
      <c r="A454" s="56"/>
      <c r="B454" s="60">
        <v>85410</v>
      </c>
      <c r="C454" s="61"/>
      <c r="D454" s="76" t="s">
        <v>81</v>
      </c>
      <c r="E454" s="45">
        <v>4736242.7200000007</v>
      </c>
      <c r="F454" s="46">
        <f>SUM(F455,F459)</f>
        <v>26729.8</v>
      </c>
      <c r="G454" s="46">
        <f>SUM(G455,G459)</f>
        <v>21000</v>
      </c>
      <c r="H454" s="45">
        <f t="shared" si="83"/>
        <v>4741972.5200000005</v>
      </c>
    </row>
    <row r="455" spans="1:8" s="25" customFormat="1" ht="11.25">
      <c r="A455" s="56"/>
      <c r="B455" s="70"/>
      <c r="C455" s="35"/>
      <c r="D455" s="457" t="s">
        <v>37</v>
      </c>
      <c r="E455" s="452">
        <v>3449239</v>
      </c>
      <c r="F455" s="452">
        <f>SUM(F456:F458)</f>
        <v>21000</v>
      </c>
      <c r="G455" s="452">
        <f>SUM(G456:G458)</f>
        <v>21000</v>
      </c>
      <c r="H455" s="452">
        <f>SUM(E455+F455-G455)</f>
        <v>3449239</v>
      </c>
    </row>
    <row r="456" spans="1:8" s="25" customFormat="1" ht="11.25">
      <c r="A456" s="56"/>
      <c r="B456" s="49"/>
      <c r="C456" s="133">
        <v>4280</v>
      </c>
      <c r="D456" s="86" t="s">
        <v>61</v>
      </c>
      <c r="E456" s="50">
        <v>1800</v>
      </c>
      <c r="F456" s="50">
        <v>1000</v>
      </c>
      <c r="G456" s="50"/>
      <c r="H456" s="55">
        <f>SUM(E456+F456-G456)</f>
        <v>2800</v>
      </c>
    </row>
    <row r="457" spans="1:8" s="25" customFormat="1" ht="11.25">
      <c r="A457" s="56"/>
      <c r="B457" s="49"/>
      <c r="C457" s="133">
        <v>4300</v>
      </c>
      <c r="D457" s="104" t="s">
        <v>31</v>
      </c>
      <c r="E457" s="50">
        <v>89740</v>
      </c>
      <c r="F457" s="50">
        <v>20000</v>
      </c>
      <c r="G457" s="50"/>
      <c r="H457" s="55">
        <f>SUM(E457+F457-G457)</f>
        <v>109740</v>
      </c>
    </row>
    <row r="458" spans="1:8" s="25" customFormat="1" ht="11.25">
      <c r="A458" s="56"/>
      <c r="B458" s="49"/>
      <c r="C458" s="133">
        <v>4710</v>
      </c>
      <c r="D458" s="118" t="s">
        <v>92</v>
      </c>
      <c r="E458" s="50">
        <v>26913</v>
      </c>
      <c r="F458" s="50"/>
      <c r="G458" s="50">
        <v>21000</v>
      </c>
      <c r="H458" s="55">
        <f t="shared" ref="H458" si="84">SUM(E458+F458-G458)</f>
        <v>5913</v>
      </c>
    </row>
    <row r="459" spans="1:8" s="25" customFormat="1" ht="22.5">
      <c r="A459" s="56"/>
      <c r="B459" s="69"/>
      <c r="C459" s="35"/>
      <c r="D459" s="451" t="s">
        <v>258</v>
      </c>
      <c r="E459" s="458">
        <v>35677.72</v>
      </c>
      <c r="F459" s="458">
        <f>SUM(F460)</f>
        <v>5729.8</v>
      </c>
      <c r="G459" s="458">
        <f>SUM(G460)</f>
        <v>0</v>
      </c>
      <c r="H459" s="452">
        <f>SUM(E459+F459-G459)</f>
        <v>41407.520000000004</v>
      </c>
    </row>
    <row r="460" spans="1:8" s="25" customFormat="1" ht="22.5">
      <c r="A460" s="56"/>
      <c r="B460" s="69"/>
      <c r="C460" s="66" t="s">
        <v>145</v>
      </c>
      <c r="D460" s="108" t="s">
        <v>259</v>
      </c>
      <c r="E460" s="50">
        <v>28634.720000000001</v>
      </c>
      <c r="F460" s="50">
        <f>(31.8+5698)</f>
        <v>5729.8</v>
      </c>
      <c r="G460" s="50"/>
      <c r="H460" s="52">
        <f t="shared" ref="H460:H461" si="85">SUM(E460+F460-G460)</f>
        <v>34364.520000000004</v>
      </c>
    </row>
    <row r="461" spans="1:8" s="25" customFormat="1" ht="11.25">
      <c r="A461" s="56"/>
      <c r="B461" s="60">
        <v>85415</v>
      </c>
      <c r="C461" s="61"/>
      <c r="D461" s="76" t="s">
        <v>82</v>
      </c>
      <c r="E461" s="45">
        <v>736588</v>
      </c>
      <c r="F461" s="46">
        <f>SUM(F462,F464)</f>
        <v>22002</v>
      </c>
      <c r="G461" s="46">
        <f>SUM(G462,G471)</f>
        <v>0</v>
      </c>
      <c r="H461" s="45">
        <f t="shared" si="85"/>
        <v>758590</v>
      </c>
    </row>
    <row r="462" spans="1:8" s="25" customFormat="1" ht="12" customHeight="1">
      <c r="A462" s="56"/>
      <c r="B462" s="70"/>
      <c r="C462" s="35"/>
      <c r="D462" s="457" t="s">
        <v>37</v>
      </c>
      <c r="E462" s="452">
        <v>96450</v>
      </c>
      <c r="F462" s="452">
        <f>SUM(F463)</f>
        <v>19470</v>
      </c>
      <c r="G462" s="452">
        <f>SUM(G463)</f>
        <v>0</v>
      </c>
      <c r="H462" s="452">
        <f>SUM(E462+F462-G462)</f>
        <v>115920</v>
      </c>
    </row>
    <row r="463" spans="1:8" s="25" customFormat="1" ht="11.25">
      <c r="A463" s="56"/>
      <c r="B463" s="49"/>
      <c r="C463" s="69">
        <v>3260</v>
      </c>
      <c r="D463" s="104" t="s">
        <v>83</v>
      </c>
      <c r="E463" s="50">
        <v>91050</v>
      </c>
      <c r="F463" s="50">
        <v>19470</v>
      </c>
      <c r="G463" s="50"/>
      <c r="H463" s="55">
        <f>SUM(E463+F463-G463)</f>
        <v>110520</v>
      </c>
    </row>
    <row r="464" spans="1:8" s="25" customFormat="1" ht="11.25">
      <c r="A464" s="56"/>
      <c r="B464" s="70"/>
      <c r="C464" s="35"/>
      <c r="D464" s="457" t="s">
        <v>299</v>
      </c>
      <c r="E464" s="452">
        <v>506178</v>
      </c>
      <c r="F464" s="452">
        <f>SUM(F465)</f>
        <v>2532</v>
      </c>
      <c r="G464" s="452">
        <f>SUM(G465)</f>
        <v>0</v>
      </c>
      <c r="H464" s="452">
        <f>SUM(E464+F464-G464)</f>
        <v>508710</v>
      </c>
    </row>
    <row r="465" spans="1:8" s="25" customFormat="1" ht="11.25">
      <c r="A465" s="56"/>
      <c r="B465" s="49"/>
      <c r="C465" s="69">
        <v>3260</v>
      </c>
      <c r="D465" s="104" t="s">
        <v>83</v>
      </c>
      <c r="E465" s="50">
        <v>18278</v>
      </c>
      <c r="F465" s="50">
        <v>2532</v>
      </c>
      <c r="G465" s="50"/>
      <c r="H465" s="55">
        <f>SUM(E465+F465-G465)</f>
        <v>20810</v>
      </c>
    </row>
    <row r="466" spans="1:8" s="25" customFormat="1" ht="11.25">
      <c r="A466" s="56"/>
      <c r="B466" s="60">
        <v>85420</v>
      </c>
      <c r="C466" s="61"/>
      <c r="D466" s="76" t="s">
        <v>300</v>
      </c>
      <c r="E466" s="45">
        <v>8193355.3499999996</v>
      </c>
      <c r="F466" s="46">
        <f>SUM(F467,F475)</f>
        <v>44641.53</v>
      </c>
      <c r="G466" s="46">
        <f>SUM(G467,G475)</f>
        <v>44500</v>
      </c>
      <c r="H466" s="45">
        <f t="shared" ref="H466:H476" si="86">SUM(E466+F466-G466)</f>
        <v>8193496.8799999999</v>
      </c>
    </row>
    <row r="467" spans="1:8" s="25" customFormat="1" ht="11.25">
      <c r="A467" s="56"/>
      <c r="B467" s="70"/>
      <c r="C467" s="35"/>
      <c r="D467" s="457" t="s">
        <v>37</v>
      </c>
      <c r="E467" s="452">
        <v>7995504</v>
      </c>
      <c r="F467" s="452">
        <f>SUM(F468:F474)</f>
        <v>44500</v>
      </c>
      <c r="G467" s="452">
        <f>SUM(G468:G474)</f>
        <v>44500</v>
      </c>
      <c r="H467" s="452">
        <f t="shared" si="86"/>
        <v>7995504</v>
      </c>
    </row>
    <row r="468" spans="1:8" s="25" customFormat="1" ht="11.25">
      <c r="A468" s="56"/>
      <c r="B468" s="70"/>
      <c r="C468" s="69">
        <v>4190</v>
      </c>
      <c r="D468" s="104" t="s">
        <v>261</v>
      </c>
      <c r="E468" s="50">
        <v>16000</v>
      </c>
      <c r="F468" s="50"/>
      <c r="G468" s="50">
        <v>9000</v>
      </c>
      <c r="H468" s="50">
        <f t="shared" si="86"/>
        <v>7000</v>
      </c>
    </row>
    <row r="469" spans="1:8" s="25" customFormat="1" ht="11.25">
      <c r="A469" s="56"/>
      <c r="B469" s="70"/>
      <c r="C469" s="69">
        <v>4210</v>
      </c>
      <c r="D469" s="104" t="s">
        <v>229</v>
      </c>
      <c r="E469" s="50">
        <v>140000</v>
      </c>
      <c r="F469" s="50">
        <v>38000</v>
      </c>
      <c r="G469" s="50"/>
      <c r="H469" s="50">
        <f t="shared" si="86"/>
        <v>178000</v>
      </c>
    </row>
    <row r="470" spans="1:8" s="25" customFormat="1" ht="11.25">
      <c r="A470" s="56"/>
      <c r="B470" s="70"/>
      <c r="C470" s="69">
        <v>4220</v>
      </c>
      <c r="D470" s="104" t="s">
        <v>278</v>
      </c>
      <c r="E470" s="50">
        <v>420000</v>
      </c>
      <c r="F470" s="50"/>
      <c r="G470" s="50">
        <v>30000</v>
      </c>
      <c r="H470" s="50">
        <f t="shared" si="86"/>
        <v>390000</v>
      </c>
    </row>
    <row r="471" spans="1:8" s="25" customFormat="1" ht="11.25" customHeight="1">
      <c r="A471" s="56"/>
      <c r="B471" s="70"/>
      <c r="C471" s="82">
        <v>4230</v>
      </c>
      <c r="D471" s="143" t="s">
        <v>301</v>
      </c>
      <c r="E471" s="50">
        <v>20000</v>
      </c>
      <c r="F471" s="50">
        <v>1000</v>
      </c>
      <c r="G471" s="50"/>
      <c r="H471" s="50">
        <f t="shared" si="86"/>
        <v>21000</v>
      </c>
    </row>
    <row r="472" spans="1:8" s="25" customFormat="1" ht="11.25">
      <c r="A472" s="56"/>
      <c r="B472" s="70"/>
      <c r="C472" s="69">
        <v>4280</v>
      </c>
      <c r="D472" s="104" t="s">
        <v>61</v>
      </c>
      <c r="E472" s="50">
        <v>2500</v>
      </c>
      <c r="F472" s="50">
        <v>2500</v>
      </c>
      <c r="G472" s="50"/>
      <c r="H472" s="50">
        <f t="shared" si="86"/>
        <v>5000</v>
      </c>
    </row>
    <row r="473" spans="1:8" s="25" customFormat="1" ht="11.25">
      <c r="A473" s="56"/>
      <c r="B473" s="70"/>
      <c r="C473" s="69">
        <v>4610</v>
      </c>
      <c r="D473" s="104" t="s">
        <v>67</v>
      </c>
      <c r="E473" s="50">
        <v>13923</v>
      </c>
      <c r="F473" s="50">
        <v>3000</v>
      </c>
      <c r="G473" s="50"/>
      <c r="H473" s="50">
        <f t="shared" si="86"/>
        <v>16923</v>
      </c>
    </row>
    <row r="474" spans="1:8" s="25" customFormat="1" ht="11.25">
      <c r="A474" s="56"/>
      <c r="B474" s="49"/>
      <c r="C474" s="110">
        <v>4710</v>
      </c>
      <c r="D474" s="118" t="s">
        <v>92</v>
      </c>
      <c r="E474" s="50">
        <v>21997</v>
      </c>
      <c r="F474" s="50"/>
      <c r="G474" s="50">
        <v>5500</v>
      </c>
      <c r="H474" s="50">
        <f t="shared" si="86"/>
        <v>16497</v>
      </c>
    </row>
    <row r="475" spans="1:8" s="25" customFormat="1" ht="22.5">
      <c r="A475" s="56"/>
      <c r="B475" s="70"/>
      <c r="C475" s="35"/>
      <c r="D475" s="451" t="s">
        <v>258</v>
      </c>
      <c r="E475" s="452">
        <v>67851.350000000006</v>
      </c>
      <c r="F475" s="452">
        <f>SUM(F476:F476)</f>
        <v>141.53</v>
      </c>
      <c r="G475" s="452">
        <f>SUM(G476:G476)</f>
        <v>0</v>
      </c>
      <c r="H475" s="452">
        <f t="shared" si="86"/>
        <v>67992.88</v>
      </c>
    </row>
    <row r="476" spans="1:8" s="25" customFormat="1" ht="22.5">
      <c r="A476" s="56"/>
      <c r="B476" s="49"/>
      <c r="C476" s="110">
        <v>4350</v>
      </c>
      <c r="D476" s="108" t="s">
        <v>259</v>
      </c>
      <c r="E476" s="50">
        <v>58951.35</v>
      </c>
      <c r="F476" s="50">
        <v>141.53</v>
      </c>
      <c r="G476" s="50"/>
      <c r="H476" s="55">
        <f t="shared" si="86"/>
        <v>59092.88</v>
      </c>
    </row>
    <row r="477" spans="1:8" s="25" customFormat="1" ht="12" customHeight="1" thickBot="1">
      <c r="A477" s="56">
        <v>855</v>
      </c>
      <c r="B477" s="56"/>
      <c r="C477" s="57"/>
      <c r="D477" s="58" t="s">
        <v>85</v>
      </c>
      <c r="E477" s="42">
        <v>45450612.709999993</v>
      </c>
      <c r="F477" s="42">
        <f>SUM(F478,F484,F492,F519)</f>
        <v>162983</v>
      </c>
      <c r="G477" s="42">
        <f>SUM(G478,G484,G492,G519)</f>
        <v>105909</v>
      </c>
      <c r="H477" s="42">
        <f>SUM(E477+F477-G477)</f>
        <v>45507686.709999993</v>
      </c>
    </row>
    <row r="478" spans="1:8" s="25" customFormat="1" ht="35.25" customHeight="1" thickTop="1">
      <c r="A478" s="56"/>
      <c r="B478" s="82">
        <v>85502</v>
      </c>
      <c r="C478" s="35"/>
      <c r="D478" s="95" t="s">
        <v>86</v>
      </c>
      <c r="E478" s="45">
        <v>1357479</v>
      </c>
      <c r="F478" s="46">
        <f>SUM(F479)</f>
        <v>32000</v>
      </c>
      <c r="G478" s="46">
        <f>SUM(G479)</f>
        <v>32000</v>
      </c>
      <c r="H478" s="45">
        <f>SUM(E478+F478-G478)</f>
        <v>1357479</v>
      </c>
    </row>
    <row r="479" spans="1:8" s="25" customFormat="1" ht="12" customHeight="1">
      <c r="A479" s="56"/>
      <c r="B479" s="56"/>
      <c r="C479" s="48"/>
      <c r="D479" s="456" t="s">
        <v>111</v>
      </c>
      <c r="E479" s="452">
        <v>1084982</v>
      </c>
      <c r="F479" s="453">
        <f>SUM(F480:F483)</f>
        <v>32000</v>
      </c>
      <c r="G479" s="453">
        <f>SUM(G480:G483)</f>
        <v>32000</v>
      </c>
      <c r="H479" s="452">
        <f t="shared" ref="H479:H491" si="87">SUM(E479+F479-G479)</f>
        <v>1084982</v>
      </c>
    </row>
    <row r="480" spans="1:8" s="25" customFormat="1" ht="12" customHeight="1">
      <c r="A480" s="56"/>
      <c r="B480" s="56"/>
      <c r="C480" s="69">
        <v>4010</v>
      </c>
      <c r="D480" s="104" t="s">
        <v>53</v>
      </c>
      <c r="E480" s="50">
        <v>619534</v>
      </c>
      <c r="F480" s="51">
        <v>16000</v>
      </c>
      <c r="G480" s="51"/>
      <c r="H480" s="52">
        <f t="shared" si="87"/>
        <v>635534</v>
      </c>
    </row>
    <row r="481" spans="1:8" s="25" customFormat="1" ht="12" customHeight="1">
      <c r="A481" s="56"/>
      <c r="B481" s="70"/>
      <c r="C481" s="48" t="s">
        <v>228</v>
      </c>
      <c r="D481" s="91" t="s">
        <v>229</v>
      </c>
      <c r="E481" s="51">
        <v>72580</v>
      </c>
      <c r="F481" s="50">
        <v>16000</v>
      </c>
      <c r="G481" s="51"/>
      <c r="H481" s="52">
        <f t="shared" si="87"/>
        <v>88580</v>
      </c>
    </row>
    <row r="482" spans="1:8" s="25" customFormat="1" ht="12" customHeight="1">
      <c r="A482" s="56"/>
      <c r="B482" s="70"/>
      <c r="C482" s="69">
        <v>4260</v>
      </c>
      <c r="D482" s="104" t="s">
        <v>234</v>
      </c>
      <c r="E482" s="51">
        <v>93500</v>
      </c>
      <c r="F482" s="50"/>
      <c r="G482" s="51">
        <f>10000+16000</f>
        <v>26000</v>
      </c>
      <c r="H482" s="52">
        <f t="shared" si="87"/>
        <v>67500</v>
      </c>
    </row>
    <row r="483" spans="1:8" s="25" customFormat="1" ht="12" customHeight="1">
      <c r="A483" s="56"/>
      <c r="B483" s="70"/>
      <c r="C483" s="69">
        <v>4360</v>
      </c>
      <c r="D483" s="104" t="s">
        <v>244</v>
      </c>
      <c r="E483" s="51">
        <v>10000</v>
      </c>
      <c r="F483" s="50"/>
      <c r="G483" s="51">
        <v>6000</v>
      </c>
      <c r="H483" s="52">
        <f t="shared" si="87"/>
        <v>4000</v>
      </c>
    </row>
    <row r="484" spans="1:8" s="25" customFormat="1" ht="12" customHeight="1">
      <c r="A484" s="56"/>
      <c r="B484" s="69">
        <v>85504</v>
      </c>
      <c r="C484" s="35"/>
      <c r="D484" s="62" t="s">
        <v>87</v>
      </c>
      <c r="E484" s="100">
        <v>2280834.1399999997</v>
      </c>
      <c r="F484" s="45">
        <f>SUM(F485,F488)</f>
        <v>23449</v>
      </c>
      <c r="G484" s="45">
        <f>SUM(G485,G488)</f>
        <v>23449</v>
      </c>
      <c r="H484" s="45">
        <f t="shared" si="87"/>
        <v>2280834.1399999997</v>
      </c>
    </row>
    <row r="485" spans="1:8" s="25" customFormat="1" ht="21" customHeight="1">
      <c r="A485" s="56"/>
      <c r="B485" s="69"/>
      <c r="C485" s="60"/>
      <c r="D485" s="473" t="s">
        <v>302</v>
      </c>
      <c r="E485" s="458">
        <v>882681</v>
      </c>
      <c r="F485" s="453">
        <f>SUM(F486:F487)</f>
        <v>10278</v>
      </c>
      <c r="G485" s="453">
        <f>SUM(G486:G487)</f>
        <v>15549</v>
      </c>
      <c r="H485" s="452">
        <f t="shared" si="87"/>
        <v>877410</v>
      </c>
    </row>
    <row r="486" spans="1:8" s="25" customFormat="1" ht="12" customHeight="1">
      <c r="A486" s="79"/>
      <c r="B486" s="103"/>
      <c r="C486" s="8">
        <v>4010</v>
      </c>
      <c r="D486" s="3" t="s">
        <v>53</v>
      </c>
      <c r="E486" s="100">
        <v>498643</v>
      </c>
      <c r="F486" s="46">
        <v>10278</v>
      </c>
      <c r="G486" s="46"/>
      <c r="H486" s="46">
        <f t="shared" si="87"/>
        <v>508921</v>
      </c>
    </row>
    <row r="487" spans="1:8" s="25" customFormat="1" ht="12" customHeight="1">
      <c r="A487" s="56"/>
      <c r="B487" s="69"/>
      <c r="C487" s="69">
        <v>4260</v>
      </c>
      <c r="D487" s="104" t="s">
        <v>234</v>
      </c>
      <c r="E487" s="50">
        <v>63000</v>
      </c>
      <c r="F487" s="55"/>
      <c r="G487" s="55">
        <v>15549</v>
      </c>
      <c r="H487" s="55">
        <f t="shared" si="87"/>
        <v>47451</v>
      </c>
    </row>
    <row r="488" spans="1:8" s="25" customFormat="1" ht="12" customHeight="1">
      <c r="A488" s="56"/>
      <c r="B488" s="77"/>
      <c r="C488" s="60"/>
      <c r="D488" s="459" t="s">
        <v>303</v>
      </c>
      <c r="E488" s="458">
        <v>988050.58999999985</v>
      </c>
      <c r="F488" s="453">
        <f>SUM(F489:F491)</f>
        <v>13171</v>
      </c>
      <c r="G488" s="453">
        <f>SUM(G489:G491)</f>
        <v>7900</v>
      </c>
      <c r="H488" s="452">
        <f t="shared" si="87"/>
        <v>993321.58999999985</v>
      </c>
    </row>
    <row r="489" spans="1:8" s="25" customFormat="1" ht="12" customHeight="1">
      <c r="A489" s="56"/>
      <c r="B489" s="77"/>
      <c r="C489" s="69">
        <v>4010</v>
      </c>
      <c r="D489" s="104" t="s">
        <v>53</v>
      </c>
      <c r="E489" s="50">
        <v>718793.22</v>
      </c>
      <c r="F489" s="55">
        <v>13171</v>
      </c>
      <c r="G489" s="55"/>
      <c r="H489" s="55">
        <f t="shared" si="87"/>
        <v>731964.22</v>
      </c>
    </row>
    <row r="490" spans="1:8" s="25" customFormat="1" ht="12" customHeight="1">
      <c r="A490" s="56"/>
      <c r="B490" s="77"/>
      <c r="C490" s="69">
        <v>4260</v>
      </c>
      <c r="D490" s="104" t="s">
        <v>234</v>
      </c>
      <c r="E490" s="50">
        <v>17500</v>
      </c>
      <c r="F490" s="55"/>
      <c r="G490" s="55">
        <v>7000</v>
      </c>
      <c r="H490" s="55">
        <f t="shared" si="87"/>
        <v>10500</v>
      </c>
    </row>
    <row r="491" spans="1:8" s="25" customFormat="1" ht="12" customHeight="1">
      <c r="A491" s="56"/>
      <c r="B491" s="77"/>
      <c r="C491" s="69">
        <v>4360</v>
      </c>
      <c r="D491" s="104" t="s">
        <v>244</v>
      </c>
      <c r="E491" s="50">
        <v>3500</v>
      </c>
      <c r="F491" s="55"/>
      <c r="G491" s="55">
        <v>900</v>
      </c>
      <c r="H491" s="55">
        <f t="shared" si="87"/>
        <v>2600</v>
      </c>
    </row>
    <row r="492" spans="1:8" s="25" customFormat="1" ht="12" customHeight="1">
      <c r="A492" s="56"/>
      <c r="B492" s="70">
        <v>85510</v>
      </c>
      <c r="C492" s="69"/>
      <c r="D492" s="44" t="s">
        <v>88</v>
      </c>
      <c r="E492" s="100">
        <v>26045864.309999999</v>
      </c>
      <c r="F492" s="45">
        <f>SUM(F493,F502,F507,F514)</f>
        <v>83339</v>
      </c>
      <c r="G492" s="45">
        <f>SUM(G493,G502,G507,G514)</f>
        <v>46960</v>
      </c>
      <c r="H492" s="45">
        <f t="shared" ref="H492:H518" si="88">SUM(E492+F492-G492)</f>
        <v>26082243.309999999</v>
      </c>
    </row>
    <row r="493" spans="1:8" s="25" customFormat="1" ht="12" customHeight="1">
      <c r="A493" s="56"/>
      <c r="B493" s="70"/>
      <c r="C493" s="35"/>
      <c r="D493" s="457" t="s">
        <v>304</v>
      </c>
      <c r="E493" s="452">
        <v>5028192</v>
      </c>
      <c r="F493" s="467">
        <f>SUM(F494:F501)</f>
        <v>16963</v>
      </c>
      <c r="G493" s="467">
        <f>SUM(G494:G501)</f>
        <v>16963</v>
      </c>
      <c r="H493" s="452">
        <f t="shared" si="88"/>
        <v>5028192</v>
      </c>
    </row>
    <row r="494" spans="1:8" s="25" customFormat="1" ht="12" customHeight="1">
      <c r="A494" s="56"/>
      <c r="B494" s="70"/>
      <c r="C494" s="69">
        <v>4010</v>
      </c>
      <c r="D494" s="104" t="s">
        <v>53</v>
      </c>
      <c r="E494" s="50">
        <v>2787139</v>
      </c>
      <c r="F494" s="51">
        <v>10400</v>
      </c>
      <c r="G494" s="51"/>
      <c r="H494" s="51">
        <f t="shared" si="88"/>
        <v>2797539</v>
      </c>
    </row>
    <row r="495" spans="1:8" s="25" customFormat="1" ht="12" customHeight="1">
      <c r="A495" s="56"/>
      <c r="B495" s="70"/>
      <c r="C495" s="69">
        <v>4040</v>
      </c>
      <c r="D495" s="104" t="s">
        <v>233</v>
      </c>
      <c r="E495" s="50">
        <v>201638</v>
      </c>
      <c r="F495" s="51"/>
      <c r="G495" s="51">
        <v>10400</v>
      </c>
      <c r="H495" s="51">
        <f t="shared" si="88"/>
        <v>191238</v>
      </c>
    </row>
    <row r="496" spans="1:8" s="25" customFormat="1" ht="12" customHeight="1">
      <c r="A496" s="56"/>
      <c r="B496" s="70"/>
      <c r="C496" s="48" t="s">
        <v>228</v>
      </c>
      <c r="D496" s="91" t="s">
        <v>229</v>
      </c>
      <c r="E496" s="50">
        <v>206556</v>
      </c>
      <c r="F496" s="51">
        <v>6343</v>
      </c>
      <c r="G496" s="51"/>
      <c r="H496" s="51">
        <f t="shared" si="88"/>
        <v>212899</v>
      </c>
    </row>
    <row r="497" spans="1:8" s="25" customFormat="1" ht="12" customHeight="1">
      <c r="A497" s="56"/>
      <c r="B497" s="70"/>
      <c r="C497" s="69">
        <v>4380</v>
      </c>
      <c r="D497" s="91" t="s">
        <v>305</v>
      </c>
      <c r="E497" s="50">
        <v>78</v>
      </c>
      <c r="F497" s="51"/>
      <c r="G497" s="51">
        <v>78</v>
      </c>
      <c r="H497" s="51">
        <f t="shared" si="88"/>
        <v>0</v>
      </c>
    </row>
    <row r="498" spans="1:8" s="25" customFormat="1" ht="21.6" customHeight="1">
      <c r="A498" s="56"/>
      <c r="B498" s="70"/>
      <c r="C498" s="82">
        <v>4390</v>
      </c>
      <c r="D498" s="96" t="s">
        <v>248</v>
      </c>
      <c r="E498" s="50">
        <v>3040</v>
      </c>
      <c r="F498" s="51">
        <v>220</v>
      </c>
      <c r="G498" s="51"/>
      <c r="H498" s="51">
        <f t="shared" si="88"/>
        <v>3260</v>
      </c>
    </row>
    <row r="499" spans="1:8" s="25" customFormat="1" ht="12" customHeight="1">
      <c r="A499" s="56"/>
      <c r="B499" s="70"/>
      <c r="C499" s="69">
        <v>4510</v>
      </c>
      <c r="D499" s="104" t="s">
        <v>306</v>
      </c>
      <c r="E499" s="50">
        <v>385</v>
      </c>
      <c r="F499" s="51"/>
      <c r="G499" s="51">
        <v>385</v>
      </c>
      <c r="H499" s="51">
        <f t="shared" si="88"/>
        <v>0</v>
      </c>
    </row>
    <row r="500" spans="1:8" s="25" customFormat="1" ht="12" customHeight="1">
      <c r="A500" s="56"/>
      <c r="B500" s="70"/>
      <c r="C500" s="82">
        <v>4520</v>
      </c>
      <c r="D500" s="71" t="s">
        <v>282</v>
      </c>
      <c r="E500" s="50">
        <v>23085</v>
      </c>
      <c r="F500" s="51"/>
      <c r="G500" s="51">
        <v>5600</v>
      </c>
      <c r="H500" s="51">
        <f t="shared" si="88"/>
        <v>17485</v>
      </c>
    </row>
    <row r="501" spans="1:8" s="25" customFormat="1" ht="12" customHeight="1">
      <c r="A501" s="56"/>
      <c r="B501" s="70"/>
      <c r="C501" s="69">
        <v>4610</v>
      </c>
      <c r="D501" s="144" t="s">
        <v>67</v>
      </c>
      <c r="E501" s="50">
        <v>500</v>
      </c>
      <c r="F501" s="51"/>
      <c r="G501" s="51">
        <v>500</v>
      </c>
      <c r="H501" s="51">
        <f t="shared" si="88"/>
        <v>0</v>
      </c>
    </row>
    <row r="502" spans="1:8" s="25" customFormat="1" ht="12" customHeight="1">
      <c r="A502" s="56"/>
      <c r="B502" s="70"/>
      <c r="C502" s="35"/>
      <c r="D502" s="468" t="s">
        <v>275</v>
      </c>
      <c r="E502" s="452">
        <v>3083687</v>
      </c>
      <c r="F502" s="467">
        <f>SUM(F503:F506)</f>
        <v>15097</v>
      </c>
      <c r="G502" s="467">
        <f>SUM(G503:G506)</f>
        <v>15097</v>
      </c>
      <c r="H502" s="452">
        <f t="shared" si="88"/>
        <v>3083687</v>
      </c>
    </row>
    <row r="503" spans="1:8" s="25" customFormat="1" ht="21" customHeight="1">
      <c r="A503" s="56"/>
      <c r="B503" s="70"/>
      <c r="C503" s="110">
        <v>4140</v>
      </c>
      <c r="D503" s="108" t="s">
        <v>240</v>
      </c>
      <c r="E503" s="50">
        <v>14297</v>
      </c>
      <c r="F503" s="51"/>
      <c r="G503" s="51">
        <v>14297</v>
      </c>
      <c r="H503" s="51">
        <f t="shared" si="88"/>
        <v>0</v>
      </c>
    </row>
    <row r="504" spans="1:8" s="25" customFormat="1" ht="12" customHeight="1">
      <c r="A504" s="56"/>
      <c r="B504" s="70"/>
      <c r="C504" s="69">
        <v>4170</v>
      </c>
      <c r="D504" s="104" t="s">
        <v>55</v>
      </c>
      <c r="E504" s="50">
        <v>41890</v>
      </c>
      <c r="F504" s="51">
        <v>14297</v>
      </c>
      <c r="G504" s="51"/>
      <c r="H504" s="51">
        <f t="shared" si="88"/>
        <v>56187</v>
      </c>
    </row>
    <row r="505" spans="1:8" s="25" customFormat="1" ht="12" customHeight="1">
      <c r="A505" s="56"/>
      <c r="B505" s="70"/>
      <c r="C505" s="69">
        <v>4280</v>
      </c>
      <c r="D505" s="104" t="s">
        <v>61</v>
      </c>
      <c r="E505" s="50">
        <v>4206</v>
      </c>
      <c r="F505" s="51">
        <v>800</v>
      </c>
      <c r="G505" s="51"/>
      <c r="H505" s="51">
        <f t="shared" si="88"/>
        <v>5006</v>
      </c>
    </row>
    <row r="506" spans="1:8" s="25" customFormat="1" ht="12" customHeight="1">
      <c r="A506" s="56"/>
      <c r="B506" s="70"/>
      <c r="C506" s="69">
        <v>4710</v>
      </c>
      <c r="D506" s="91" t="s">
        <v>92</v>
      </c>
      <c r="E506" s="50">
        <v>16577</v>
      </c>
      <c r="F506" s="51"/>
      <c r="G506" s="51">
        <v>800</v>
      </c>
      <c r="H506" s="51">
        <f t="shared" si="88"/>
        <v>15777</v>
      </c>
    </row>
    <row r="507" spans="1:8" s="25" customFormat="1" ht="12" customHeight="1">
      <c r="A507" s="56"/>
      <c r="B507" s="70"/>
      <c r="C507" s="35"/>
      <c r="D507" s="468" t="s">
        <v>307</v>
      </c>
      <c r="E507" s="452">
        <v>2277850</v>
      </c>
      <c r="F507" s="467">
        <f>SUM(F508:F513)</f>
        <v>14900</v>
      </c>
      <c r="G507" s="467">
        <f>SUM(G508:G513)</f>
        <v>14900</v>
      </c>
      <c r="H507" s="452">
        <f t="shared" si="88"/>
        <v>2277850</v>
      </c>
    </row>
    <row r="508" spans="1:8" s="25" customFormat="1" ht="12" customHeight="1">
      <c r="A508" s="56"/>
      <c r="B508" s="70"/>
      <c r="C508" s="2">
        <v>4110</v>
      </c>
      <c r="D508" s="6" t="s">
        <v>90</v>
      </c>
      <c r="E508" s="135">
        <v>276991</v>
      </c>
      <c r="F508" s="51"/>
      <c r="G508" s="51">
        <v>4000</v>
      </c>
      <c r="H508" s="51">
        <f t="shared" si="88"/>
        <v>272991</v>
      </c>
    </row>
    <row r="509" spans="1:8" s="25" customFormat="1" ht="12" customHeight="1">
      <c r="A509" s="56"/>
      <c r="B509" s="70"/>
      <c r="C509" s="2">
        <v>4120</v>
      </c>
      <c r="D509" s="6" t="s">
        <v>94</v>
      </c>
      <c r="E509" s="135">
        <v>38332</v>
      </c>
      <c r="F509" s="52"/>
      <c r="G509" s="52">
        <v>2000</v>
      </c>
      <c r="H509" s="51">
        <f t="shared" si="88"/>
        <v>36332</v>
      </c>
    </row>
    <row r="510" spans="1:8" s="25" customFormat="1" ht="12" customHeight="1">
      <c r="A510" s="56"/>
      <c r="B510" s="70"/>
      <c r="C510" s="69">
        <v>4220</v>
      </c>
      <c r="D510" s="104" t="s">
        <v>278</v>
      </c>
      <c r="E510" s="135">
        <v>89000</v>
      </c>
      <c r="F510" s="52">
        <v>13900</v>
      </c>
      <c r="G510" s="52"/>
      <c r="H510" s="51">
        <f t="shared" si="88"/>
        <v>102900</v>
      </c>
    </row>
    <row r="511" spans="1:8" s="25" customFormat="1" ht="12" customHeight="1">
      <c r="A511" s="56"/>
      <c r="B511" s="70"/>
      <c r="C511" s="35" t="s">
        <v>308</v>
      </c>
      <c r="D511" s="143" t="s">
        <v>301</v>
      </c>
      <c r="E511" s="135">
        <v>12650</v>
      </c>
      <c r="F511" s="52">
        <v>1000</v>
      </c>
      <c r="G511" s="52"/>
      <c r="H511" s="51">
        <f t="shared" si="88"/>
        <v>13650</v>
      </c>
    </row>
    <row r="512" spans="1:8" s="25" customFormat="1" ht="12" customHeight="1">
      <c r="A512" s="56"/>
      <c r="B512" s="70"/>
      <c r="C512" s="82">
        <v>4520</v>
      </c>
      <c r="D512" s="71" t="s">
        <v>282</v>
      </c>
      <c r="E512" s="135">
        <v>6900</v>
      </c>
      <c r="F512" s="52"/>
      <c r="G512" s="52">
        <v>6900</v>
      </c>
      <c r="H512" s="51">
        <f t="shared" si="88"/>
        <v>0</v>
      </c>
    </row>
    <row r="513" spans="1:8" s="25" customFormat="1" ht="12" customHeight="1">
      <c r="A513" s="56"/>
      <c r="B513" s="70"/>
      <c r="C513" s="69">
        <v>4710</v>
      </c>
      <c r="D513" s="91" t="s">
        <v>92</v>
      </c>
      <c r="E513" s="135">
        <v>4210</v>
      </c>
      <c r="F513" s="52"/>
      <c r="G513" s="52">
        <v>2000</v>
      </c>
      <c r="H513" s="51">
        <f t="shared" si="88"/>
        <v>2210</v>
      </c>
    </row>
    <row r="514" spans="1:8" s="25" customFormat="1" ht="33.75" customHeight="1">
      <c r="A514" s="56"/>
      <c r="B514" s="70"/>
      <c r="C514" s="35"/>
      <c r="D514" s="474" t="s">
        <v>309</v>
      </c>
      <c r="E514" s="452">
        <v>98024</v>
      </c>
      <c r="F514" s="467">
        <f>SUM(F515:F518)</f>
        <v>36379</v>
      </c>
      <c r="G514" s="467">
        <f>SUM(G515:G518)</f>
        <v>0</v>
      </c>
      <c r="H514" s="452">
        <f t="shared" si="88"/>
        <v>134403</v>
      </c>
    </row>
    <row r="515" spans="1:8" s="25" customFormat="1" ht="20.25" customHeight="1">
      <c r="A515" s="56"/>
      <c r="B515" s="70"/>
      <c r="C515" s="66" t="s">
        <v>145</v>
      </c>
      <c r="D515" s="108" t="s">
        <v>259</v>
      </c>
      <c r="E515" s="50">
        <v>7842</v>
      </c>
      <c r="F515" s="51">
        <v>2911</v>
      </c>
      <c r="G515" s="51"/>
      <c r="H515" s="51">
        <f t="shared" si="88"/>
        <v>10753</v>
      </c>
    </row>
    <row r="516" spans="1:8" s="25" customFormat="1" ht="12" customHeight="1">
      <c r="A516" s="56"/>
      <c r="B516" s="70"/>
      <c r="C516" s="69">
        <v>4370</v>
      </c>
      <c r="D516" s="104" t="s">
        <v>310</v>
      </c>
      <c r="E516" s="50">
        <v>12744</v>
      </c>
      <c r="F516" s="51">
        <v>4729</v>
      </c>
      <c r="G516" s="51"/>
      <c r="H516" s="51">
        <f t="shared" si="88"/>
        <v>17473</v>
      </c>
    </row>
    <row r="517" spans="1:8" s="25" customFormat="1" ht="20.45" customHeight="1">
      <c r="A517" s="56"/>
      <c r="B517" s="70"/>
      <c r="C517" s="82">
        <v>4740</v>
      </c>
      <c r="D517" s="96" t="s">
        <v>311</v>
      </c>
      <c r="E517" s="50">
        <v>63716</v>
      </c>
      <c r="F517" s="51">
        <v>23646</v>
      </c>
      <c r="G517" s="51"/>
      <c r="H517" s="51">
        <f t="shared" si="88"/>
        <v>87362</v>
      </c>
    </row>
    <row r="518" spans="1:8" s="25" customFormat="1" ht="21.6" customHeight="1">
      <c r="A518" s="56"/>
      <c r="B518" s="70"/>
      <c r="C518" s="82">
        <v>4850</v>
      </c>
      <c r="D518" s="96" t="s">
        <v>312</v>
      </c>
      <c r="E518" s="50">
        <v>13722</v>
      </c>
      <c r="F518" s="51">
        <v>5093</v>
      </c>
      <c r="G518" s="51"/>
      <c r="H518" s="51">
        <f t="shared" si="88"/>
        <v>18815</v>
      </c>
    </row>
    <row r="519" spans="1:8" s="25" customFormat="1" ht="12" customHeight="1">
      <c r="A519" s="56"/>
      <c r="B519" s="82">
        <v>85595</v>
      </c>
      <c r="C519" s="35"/>
      <c r="D519" s="113" t="s">
        <v>51</v>
      </c>
      <c r="E519" s="45">
        <v>824128</v>
      </c>
      <c r="F519" s="46">
        <f>SUM(F520,F523)</f>
        <v>24195</v>
      </c>
      <c r="G519" s="46">
        <f>SUM(G520,G523)</f>
        <v>3500</v>
      </c>
      <c r="H519" s="45">
        <f>SUM(E519+F519-G519)</f>
        <v>844823</v>
      </c>
    </row>
    <row r="520" spans="1:8" s="25" customFormat="1" ht="12" customHeight="1">
      <c r="A520" s="56"/>
      <c r="B520" s="82"/>
      <c r="C520" s="35"/>
      <c r="D520" s="468" t="s">
        <v>307</v>
      </c>
      <c r="E520" s="452">
        <v>66960</v>
      </c>
      <c r="F520" s="467">
        <f>SUM(F521:F522)</f>
        <v>3500</v>
      </c>
      <c r="G520" s="467">
        <f>SUM(G521:G522)</f>
        <v>3500</v>
      </c>
      <c r="H520" s="452">
        <f t="shared" ref="H520:H563" si="89">SUM(E520+F520-G520)</f>
        <v>66960</v>
      </c>
    </row>
    <row r="521" spans="1:8" s="25" customFormat="1" ht="12" customHeight="1">
      <c r="A521" s="56"/>
      <c r="B521" s="82"/>
      <c r="C521" s="48" t="s">
        <v>228</v>
      </c>
      <c r="D521" s="91" t="s">
        <v>229</v>
      </c>
      <c r="E521" s="50">
        <v>16500</v>
      </c>
      <c r="F521" s="51">
        <v>3500</v>
      </c>
      <c r="G521" s="51"/>
      <c r="H521" s="51">
        <f t="shared" si="89"/>
        <v>20000</v>
      </c>
    </row>
    <row r="522" spans="1:8" s="25" customFormat="1" ht="12" customHeight="1">
      <c r="A522" s="56"/>
      <c r="B522" s="82"/>
      <c r="C522" s="69">
        <v>4300</v>
      </c>
      <c r="D522" s="104" t="s">
        <v>31</v>
      </c>
      <c r="E522" s="52">
        <v>50460</v>
      </c>
      <c r="F522" s="55"/>
      <c r="G522" s="55">
        <v>3500</v>
      </c>
      <c r="H522" s="51">
        <f t="shared" si="89"/>
        <v>46960</v>
      </c>
    </row>
    <row r="523" spans="1:8" s="25" customFormat="1" ht="24" customHeight="1">
      <c r="A523" s="56"/>
      <c r="B523" s="70"/>
      <c r="C523" s="48"/>
      <c r="D523" s="456" t="s">
        <v>313</v>
      </c>
      <c r="E523" s="452">
        <v>238344</v>
      </c>
      <c r="F523" s="453">
        <f>SUM(F524:F524)</f>
        <v>20695</v>
      </c>
      <c r="G523" s="453">
        <f>SUM(G524:G524)</f>
        <v>0</v>
      </c>
      <c r="H523" s="452">
        <f t="shared" si="89"/>
        <v>259039</v>
      </c>
    </row>
    <row r="524" spans="1:8" s="25" customFormat="1" ht="22.5" customHeight="1">
      <c r="A524" s="56"/>
      <c r="B524" s="70"/>
      <c r="C524" s="82">
        <v>3290</v>
      </c>
      <c r="D524" s="96" t="s">
        <v>84</v>
      </c>
      <c r="E524" s="52">
        <v>232326</v>
      </c>
      <c r="F524" s="52">
        <v>20695</v>
      </c>
      <c r="G524" s="55"/>
      <c r="H524" s="52">
        <f t="shared" si="89"/>
        <v>253021</v>
      </c>
    </row>
    <row r="525" spans="1:8" s="25" customFormat="1" ht="12" customHeight="1" thickBot="1">
      <c r="A525" s="77">
        <v>900</v>
      </c>
      <c r="B525" s="56"/>
      <c r="C525" s="57"/>
      <c r="D525" s="58" t="s">
        <v>314</v>
      </c>
      <c r="E525" s="39">
        <v>86000144.470000014</v>
      </c>
      <c r="F525" s="42">
        <f>SUM(F526,F530)</f>
        <v>17000</v>
      </c>
      <c r="G525" s="42">
        <f>SUM(G526,G530)</f>
        <v>17000</v>
      </c>
      <c r="H525" s="39">
        <f t="shared" si="89"/>
        <v>86000144.470000014</v>
      </c>
    </row>
    <row r="526" spans="1:8" s="25" customFormat="1" ht="12" customHeight="1" thickTop="1">
      <c r="A526" s="77"/>
      <c r="B526" s="70">
        <v>90004</v>
      </c>
      <c r="C526" s="57"/>
      <c r="D526" s="44" t="s">
        <v>315</v>
      </c>
      <c r="E526" s="45">
        <v>2013780</v>
      </c>
      <c r="F526" s="45">
        <f>SUM(F527)</f>
        <v>3000</v>
      </c>
      <c r="G526" s="45">
        <f>SUM(G527)</f>
        <v>3000</v>
      </c>
      <c r="H526" s="45">
        <f t="shared" si="89"/>
        <v>2013780</v>
      </c>
    </row>
    <row r="527" spans="1:8" s="25" customFormat="1" ht="12" customHeight="1">
      <c r="A527" s="77"/>
      <c r="B527" s="70"/>
      <c r="C527" s="69"/>
      <c r="D527" s="461" t="s">
        <v>316</v>
      </c>
      <c r="E527" s="458">
        <v>366500</v>
      </c>
      <c r="F527" s="458">
        <f>SUM(F528:F529)</f>
        <v>3000</v>
      </c>
      <c r="G527" s="458">
        <f>SUM(G528:G529)</f>
        <v>3000</v>
      </c>
      <c r="H527" s="458">
        <f t="shared" si="89"/>
        <v>366500</v>
      </c>
    </row>
    <row r="528" spans="1:8" s="25" customFormat="1" ht="12" customHeight="1">
      <c r="A528" s="77"/>
      <c r="B528" s="70"/>
      <c r="C528" s="69">
        <v>4270</v>
      </c>
      <c r="D528" s="104" t="s">
        <v>56</v>
      </c>
      <c r="E528" s="145">
        <v>40000</v>
      </c>
      <c r="F528" s="50"/>
      <c r="G528" s="50">
        <v>3000</v>
      </c>
      <c r="H528" s="55">
        <f t="shared" si="89"/>
        <v>37000</v>
      </c>
    </row>
    <row r="529" spans="1:8" s="25" customFormat="1" ht="12" customHeight="1">
      <c r="A529" s="77"/>
      <c r="B529" s="70"/>
      <c r="C529" s="69">
        <v>4300</v>
      </c>
      <c r="D529" s="104" t="s">
        <v>31</v>
      </c>
      <c r="E529" s="145">
        <v>44200</v>
      </c>
      <c r="F529" s="51">
        <v>3000</v>
      </c>
      <c r="G529" s="51"/>
      <c r="H529" s="55">
        <f t="shared" si="89"/>
        <v>47200</v>
      </c>
    </row>
    <row r="530" spans="1:8" s="25" customFormat="1" ht="12" customHeight="1">
      <c r="A530" s="77"/>
      <c r="B530" s="49">
        <v>90095</v>
      </c>
      <c r="C530" s="60"/>
      <c r="D530" s="113" t="s">
        <v>51</v>
      </c>
      <c r="E530" s="45">
        <v>27726178.84</v>
      </c>
      <c r="F530" s="45">
        <f>SUM(F531,F534)</f>
        <v>14000</v>
      </c>
      <c r="G530" s="45">
        <f>SUM(G531,G534)</f>
        <v>14000</v>
      </c>
      <c r="H530" s="45">
        <f t="shared" si="89"/>
        <v>27726178.84</v>
      </c>
    </row>
    <row r="531" spans="1:8" s="25" customFormat="1" ht="12" customHeight="1">
      <c r="A531" s="77"/>
      <c r="B531" s="49"/>
      <c r="C531" s="69"/>
      <c r="D531" s="461" t="s">
        <v>316</v>
      </c>
      <c r="E531" s="458">
        <v>9554663.4000000004</v>
      </c>
      <c r="F531" s="453">
        <f>SUM(F532:F533)</f>
        <v>10000</v>
      </c>
      <c r="G531" s="453">
        <f>SUM(G532:G533)</f>
        <v>10000</v>
      </c>
      <c r="H531" s="452">
        <f t="shared" si="89"/>
        <v>9554663.4000000004</v>
      </c>
    </row>
    <row r="532" spans="1:8" s="25" customFormat="1" ht="12" customHeight="1">
      <c r="A532" s="77"/>
      <c r="B532" s="49"/>
      <c r="C532" s="69">
        <v>4260</v>
      </c>
      <c r="D532" s="104" t="s">
        <v>234</v>
      </c>
      <c r="E532" s="50">
        <v>150000</v>
      </c>
      <c r="F532" s="51"/>
      <c r="G532" s="51">
        <v>10000</v>
      </c>
      <c r="H532" s="51">
        <f t="shared" si="89"/>
        <v>140000</v>
      </c>
    </row>
    <row r="533" spans="1:8" s="25" customFormat="1" ht="12" customHeight="1">
      <c r="A533" s="77"/>
      <c r="B533" s="49"/>
      <c r="C533" s="69">
        <v>4300</v>
      </c>
      <c r="D533" s="104" t="s">
        <v>31</v>
      </c>
      <c r="E533" s="50">
        <v>398484</v>
      </c>
      <c r="F533" s="51">
        <v>10000</v>
      </c>
      <c r="G533" s="51"/>
      <c r="H533" s="51">
        <f t="shared" si="89"/>
        <v>408484</v>
      </c>
    </row>
    <row r="534" spans="1:8" s="25" customFormat="1" ht="34.5" customHeight="1">
      <c r="A534" s="77"/>
      <c r="B534" s="49"/>
      <c r="C534" s="60"/>
      <c r="D534" s="456" t="s">
        <v>317</v>
      </c>
      <c r="E534" s="458">
        <v>369239</v>
      </c>
      <c r="F534" s="458">
        <f>SUM(F535:F536)</f>
        <v>4000</v>
      </c>
      <c r="G534" s="458">
        <f>SUM(G535:G536)</f>
        <v>4000</v>
      </c>
      <c r="H534" s="458">
        <f t="shared" si="89"/>
        <v>369239</v>
      </c>
    </row>
    <row r="535" spans="1:8" s="25" customFormat="1" ht="12" customHeight="1">
      <c r="A535" s="77"/>
      <c r="B535" s="49"/>
      <c r="C535" s="69">
        <v>4260</v>
      </c>
      <c r="D535" s="104" t="s">
        <v>234</v>
      </c>
      <c r="E535" s="55">
        <v>200000</v>
      </c>
      <c r="F535" s="146"/>
      <c r="G535" s="55">
        <v>4000</v>
      </c>
      <c r="H535" s="55">
        <f t="shared" si="89"/>
        <v>196000</v>
      </c>
    </row>
    <row r="536" spans="1:8" s="25" customFormat="1" ht="12" customHeight="1">
      <c r="A536" s="101"/>
      <c r="B536" s="76"/>
      <c r="C536" s="103">
        <v>4300</v>
      </c>
      <c r="D536" s="44" t="s">
        <v>31</v>
      </c>
      <c r="E536" s="100">
        <v>126000</v>
      </c>
      <c r="F536" s="94">
        <v>4000</v>
      </c>
      <c r="G536" s="94"/>
      <c r="H536" s="46">
        <f t="shared" si="89"/>
        <v>130000</v>
      </c>
    </row>
    <row r="537" spans="1:8" s="25" customFormat="1" ht="12" customHeight="1" thickBot="1">
      <c r="A537" s="77">
        <v>921</v>
      </c>
      <c r="B537" s="56"/>
      <c r="C537" s="57"/>
      <c r="D537" s="58" t="s">
        <v>318</v>
      </c>
      <c r="E537" s="39">
        <v>20726214.829999998</v>
      </c>
      <c r="F537" s="42">
        <f>SUM(F538,F541)</f>
        <v>70000</v>
      </c>
      <c r="G537" s="42">
        <f>SUM(G538,G541)</f>
        <v>70000</v>
      </c>
      <c r="H537" s="39">
        <f t="shared" si="89"/>
        <v>20726214.829999998</v>
      </c>
    </row>
    <row r="538" spans="1:8" s="25" customFormat="1" ht="12" customHeight="1" thickTop="1">
      <c r="A538" s="77"/>
      <c r="B538" s="49">
        <v>92113</v>
      </c>
      <c r="C538" s="64"/>
      <c r="D538" s="76" t="s">
        <v>319</v>
      </c>
      <c r="E538" s="45">
        <v>9054346.3099999987</v>
      </c>
      <c r="F538" s="45">
        <f>SUM(F539)</f>
        <v>50000</v>
      </c>
      <c r="G538" s="45">
        <f>SUM(G539)</f>
        <v>0</v>
      </c>
      <c r="H538" s="45">
        <f t="shared" si="89"/>
        <v>9104346.3099999987</v>
      </c>
    </row>
    <row r="539" spans="1:8" s="25" customFormat="1" ht="12" customHeight="1">
      <c r="A539" s="77"/>
      <c r="B539" s="147"/>
      <c r="C539" s="60"/>
      <c r="D539" s="471" t="s">
        <v>320</v>
      </c>
      <c r="E539" s="452">
        <v>1939275</v>
      </c>
      <c r="F539" s="467">
        <f>SUM(F540:F540)</f>
        <v>50000</v>
      </c>
      <c r="G539" s="467">
        <f>SUM(G540:G540)</f>
        <v>0</v>
      </c>
      <c r="H539" s="458">
        <f t="shared" si="89"/>
        <v>1989275</v>
      </c>
    </row>
    <row r="540" spans="1:8" s="25" customFormat="1" ht="21.75" customHeight="1">
      <c r="A540" s="77"/>
      <c r="B540" s="147"/>
      <c r="C540" s="82">
        <v>2800</v>
      </c>
      <c r="D540" s="96" t="s">
        <v>321</v>
      </c>
      <c r="E540" s="55">
        <v>0</v>
      </c>
      <c r="F540" s="55">
        <v>50000</v>
      </c>
      <c r="G540" s="55"/>
      <c r="H540" s="55">
        <f t="shared" si="89"/>
        <v>50000</v>
      </c>
    </row>
    <row r="541" spans="1:8" s="25" customFormat="1" ht="12" customHeight="1">
      <c r="A541" s="77"/>
      <c r="B541" s="49">
        <v>92195</v>
      </c>
      <c r="C541" s="60"/>
      <c r="D541" s="113" t="s">
        <v>51</v>
      </c>
      <c r="E541" s="45">
        <v>575870</v>
      </c>
      <c r="F541" s="45">
        <f>SUM(F542)</f>
        <v>20000</v>
      </c>
      <c r="G541" s="45">
        <f>SUM(G542)</f>
        <v>70000</v>
      </c>
      <c r="H541" s="45">
        <f t="shared" si="89"/>
        <v>525870</v>
      </c>
    </row>
    <row r="542" spans="1:8" s="25" customFormat="1" ht="12" customHeight="1">
      <c r="A542" s="77"/>
      <c r="B542" s="147"/>
      <c r="C542" s="60"/>
      <c r="D542" s="471" t="s">
        <v>320</v>
      </c>
      <c r="E542" s="452">
        <v>209547.6</v>
      </c>
      <c r="F542" s="467">
        <f>SUM(F543:F545)</f>
        <v>20000</v>
      </c>
      <c r="G542" s="467">
        <f>SUM(G543:G545)</f>
        <v>70000</v>
      </c>
      <c r="H542" s="458">
        <f t="shared" si="89"/>
        <v>159547.6</v>
      </c>
    </row>
    <row r="543" spans="1:8" s="25" customFormat="1" ht="46.5" customHeight="1">
      <c r="A543" s="77"/>
      <c r="B543" s="147"/>
      <c r="C543" s="66" t="s">
        <v>63</v>
      </c>
      <c r="D543" s="108" t="s">
        <v>64</v>
      </c>
      <c r="E543" s="148">
        <v>40750</v>
      </c>
      <c r="F543" s="149"/>
      <c r="G543" s="149">
        <v>35000</v>
      </c>
      <c r="H543" s="55">
        <f t="shared" si="89"/>
        <v>5750</v>
      </c>
    </row>
    <row r="544" spans="1:8" s="25" customFormat="1" ht="12" customHeight="1">
      <c r="A544" s="77"/>
      <c r="B544" s="49"/>
      <c r="C544" s="48" t="s">
        <v>228</v>
      </c>
      <c r="D544" s="91" t="s">
        <v>229</v>
      </c>
      <c r="E544" s="50">
        <v>3710</v>
      </c>
      <c r="F544" s="51">
        <v>20000</v>
      </c>
      <c r="G544" s="51"/>
      <c r="H544" s="55">
        <f t="shared" si="89"/>
        <v>23710</v>
      </c>
    </row>
    <row r="545" spans="1:8" s="25" customFormat="1" ht="12" customHeight="1">
      <c r="A545" s="77"/>
      <c r="B545" s="49"/>
      <c r="C545" s="69">
        <v>4300</v>
      </c>
      <c r="D545" s="104" t="s">
        <v>31</v>
      </c>
      <c r="E545" s="50">
        <v>158349.6</v>
      </c>
      <c r="F545" s="51"/>
      <c r="G545" s="51">
        <v>35000</v>
      </c>
      <c r="H545" s="55">
        <f t="shared" si="89"/>
        <v>123349.6</v>
      </c>
    </row>
    <row r="546" spans="1:8" s="25" customFormat="1" ht="12" customHeight="1" thickBot="1">
      <c r="A546" s="77">
        <v>926</v>
      </c>
      <c r="B546" s="77"/>
      <c r="C546" s="57"/>
      <c r="D546" s="58" t="s">
        <v>322</v>
      </c>
      <c r="E546" s="39">
        <v>27339232.729999997</v>
      </c>
      <c r="F546" s="39">
        <f>SUM(F547,F553)</f>
        <v>287505</v>
      </c>
      <c r="G546" s="39">
        <f>SUM(G547,G553)</f>
        <v>287505</v>
      </c>
      <c r="H546" s="39">
        <f t="shared" si="89"/>
        <v>27339232.729999997</v>
      </c>
    </row>
    <row r="547" spans="1:8" s="25" customFormat="1" ht="12" customHeight="1" thickTop="1">
      <c r="A547" s="77"/>
      <c r="B547" s="69">
        <v>92604</v>
      </c>
      <c r="C547" s="43"/>
      <c r="D547" s="44" t="s">
        <v>323</v>
      </c>
      <c r="E547" s="45">
        <v>18358027.309999999</v>
      </c>
      <c r="F547" s="45">
        <f>SUM(F548)</f>
        <v>284505</v>
      </c>
      <c r="G547" s="45">
        <f>SUM(G548)</f>
        <v>284505</v>
      </c>
      <c r="H547" s="45">
        <f t="shared" si="89"/>
        <v>18358027.309999999</v>
      </c>
    </row>
    <row r="548" spans="1:8" s="25" customFormat="1" ht="12" customHeight="1">
      <c r="A548" s="77"/>
      <c r="B548" s="69"/>
      <c r="C548" s="57"/>
      <c r="D548" s="461" t="s">
        <v>232</v>
      </c>
      <c r="E548" s="458">
        <v>18358027.309999999</v>
      </c>
      <c r="F548" s="458">
        <f>SUM(F549:F552)</f>
        <v>284505</v>
      </c>
      <c r="G548" s="458">
        <f>SUM(G549:G552)</f>
        <v>284505</v>
      </c>
      <c r="H548" s="458">
        <f t="shared" si="89"/>
        <v>18358027.309999999</v>
      </c>
    </row>
    <row r="549" spans="1:8" s="25" customFormat="1" ht="12" customHeight="1">
      <c r="A549" s="77"/>
      <c r="B549" s="69"/>
      <c r="C549" s="69">
        <v>4010</v>
      </c>
      <c r="D549" s="104" t="s">
        <v>53</v>
      </c>
      <c r="E549" s="50">
        <v>5155889.76</v>
      </c>
      <c r="F549" s="50">
        <v>64505</v>
      </c>
      <c r="G549" s="50"/>
      <c r="H549" s="51">
        <f t="shared" si="89"/>
        <v>5220394.76</v>
      </c>
    </row>
    <row r="550" spans="1:8" s="25" customFormat="1" ht="12" customHeight="1">
      <c r="A550" s="77"/>
      <c r="B550" s="69"/>
      <c r="C550" s="69">
        <v>4040</v>
      </c>
      <c r="D550" s="104" t="s">
        <v>233</v>
      </c>
      <c r="E550" s="50">
        <v>490000</v>
      </c>
      <c r="F550" s="50"/>
      <c r="G550" s="50">
        <v>70000</v>
      </c>
      <c r="H550" s="51">
        <f t="shared" si="89"/>
        <v>420000</v>
      </c>
    </row>
    <row r="551" spans="1:8" s="25" customFormat="1" ht="12" customHeight="1">
      <c r="A551" s="77"/>
      <c r="B551" s="69"/>
      <c r="C551" s="48" t="s">
        <v>228</v>
      </c>
      <c r="D551" s="91" t="s">
        <v>229</v>
      </c>
      <c r="E551" s="50">
        <v>604909</v>
      </c>
      <c r="F551" s="50">
        <v>220000</v>
      </c>
      <c r="G551" s="50"/>
      <c r="H551" s="51">
        <f t="shared" si="89"/>
        <v>824909</v>
      </c>
    </row>
    <row r="552" spans="1:8" s="25" customFormat="1" ht="12" customHeight="1">
      <c r="A552" s="77"/>
      <c r="B552" s="69"/>
      <c r="C552" s="69">
        <v>4270</v>
      </c>
      <c r="D552" s="104" t="s">
        <v>56</v>
      </c>
      <c r="E552" s="50">
        <v>984170</v>
      </c>
      <c r="F552" s="50"/>
      <c r="G552" s="50">
        <f>64505+150000</f>
        <v>214505</v>
      </c>
      <c r="H552" s="51">
        <f t="shared" si="89"/>
        <v>769665</v>
      </c>
    </row>
    <row r="553" spans="1:8" s="25" customFormat="1" ht="12" customHeight="1">
      <c r="A553" s="77"/>
      <c r="B553" s="5">
        <v>92605</v>
      </c>
      <c r="C553" s="4"/>
      <c r="D553" s="1" t="s">
        <v>324</v>
      </c>
      <c r="E553" s="45">
        <v>2543145.42</v>
      </c>
      <c r="F553" s="45">
        <f>SUM(F554,F556)</f>
        <v>3000</v>
      </c>
      <c r="G553" s="45">
        <f>SUM(G554,G556)</f>
        <v>3000</v>
      </c>
      <c r="H553" s="45">
        <f t="shared" si="89"/>
        <v>2543145.42</v>
      </c>
    </row>
    <row r="554" spans="1:8" s="25" customFormat="1" ht="12" customHeight="1">
      <c r="A554" s="77"/>
      <c r="B554" s="70"/>
      <c r="C554" s="57"/>
      <c r="D554" s="475" t="s">
        <v>325</v>
      </c>
      <c r="E554" s="458">
        <v>2187475</v>
      </c>
      <c r="F554" s="458">
        <f>SUM(F555:F555)</f>
        <v>0</v>
      </c>
      <c r="G554" s="458">
        <f>SUM(G555:G555)</f>
        <v>3000</v>
      </c>
      <c r="H554" s="458">
        <f t="shared" si="89"/>
        <v>2184475</v>
      </c>
    </row>
    <row r="555" spans="1:8" s="25" customFormat="1" ht="42" customHeight="1">
      <c r="A555" s="77"/>
      <c r="B555" s="70"/>
      <c r="C555" s="66" t="s">
        <v>63</v>
      </c>
      <c r="D555" s="108" t="s">
        <v>64</v>
      </c>
      <c r="E555" s="7">
        <v>2187475</v>
      </c>
      <c r="F555" s="50"/>
      <c r="G555" s="50">
        <v>3000</v>
      </c>
      <c r="H555" s="52">
        <f t="shared" si="89"/>
        <v>2184475</v>
      </c>
    </row>
    <row r="556" spans="1:8" s="25" customFormat="1" ht="12" customHeight="1">
      <c r="A556" s="77"/>
      <c r="B556" s="49"/>
      <c r="C556" s="57"/>
      <c r="D556" s="475" t="s">
        <v>326</v>
      </c>
      <c r="E556" s="458">
        <v>248825</v>
      </c>
      <c r="F556" s="458">
        <f>SUM(F557:F557)</f>
        <v>3000</v>
      </c>
      <c r="G556" s="458">
        <f>SUM(G557:G557)</f>
        <v>0</v>
      </c>
      <c r="H556" s="458">
        <f t="shared" si="89"/>
        <v>251825</v>
      </c>
    </row>
    <row r="557" spans="1:8" s="25" customFormat="1" ht="42.75" customHeight="1">
      <c r="A557" s="77"/>
      <c r="B557" s="49"/>
      <c r="C557" s="66" t="s">
        <v>63</v>
      </c>
      <c r="D557" s="108" t="s">
        <v>64</v>
      </c>
      <c r="E557" s="7">
        <v>248825</v>
      </c>
      <c r="F557" s="50">
        <v>3000</v>
      </c>
      <c r="G557" s="50"/>
      <c r="H557" s="52">
        <f t="shared" si="89"/>
        <v>251825</v>
      </c>
    </row>
    <row r="558" spans="1:8" s="25" customFormat="1" ht="19.149999999999999" customHeight="1" thickBot="1">
      <c r="A558" s="147"/>
      <c r="B558" s="70"/>
      <c r="C558" s="69"/>
      <c r="D558" s="38" t="s">
        <v>89</v>
      </c>
      <c r="E558" s="39">
        <v>64221557.150000006</v>
      </c>
      <c r="F558" s="39">
        <f>SUM(F559,F564,F573,F582,F600)</f>
        <v>6887566.9800000004</v>
      </c>
      <c r="G558" s="39">
        <f>SUM(G559,G564,G573,G582,G600)</f>
        <v>8784.2899999999991</v>
      </c>
      <c r="H558" s="39">
        <f t="shared" si="89"/>
        <v>71100339.840000004</v>
      </c>
    </row>
    <row r="559" spans="1:8" s="25" customFormat="1" ht="19.149999999999999" customHeight="1" thickTop="1" thickBot="1">
      <c r="A559" s="150" t="s">
        <v>193</v>
      </c>
      <c r="B559" s="43"/>
      <c r="C559" s="43"/>
      <c r="D559" s="151" t="s">
        <v>194</v>
      </c>
      <c r="E559" s="39">
        <v>10526.22</v>
      </c>
      <c r="F559" s="39">
        <f>SUM(F560)</f>
        <v>5953.44</v>
      </c>
      <c r="G559" s="39">
        <f>SUM(G560)</f>
        <v>0</v>
      </c>
      <c r="H559" s="39">
        <f t="shared" si="89"/>
        <v>16479.66</v>
      </c>
    </row>
    <row r="560" spans="1:8" s="25" customFormat="1" ht="12" customHeight="1" thickTop="1">
      <c r="A560" s="152"/>
      <c r="B560" s="87" t="s">
        <v>195</v>
      </c>
      <c r="C560" s="88"/>
      <c r="D560" s="89" t="s">
        <v>196</v>
      </c>
      <c r="E560" s="100">
        <v>10526.22</v>
      </c>
      <c r="F560" s="46">
        <f t="shared" ref="F560:G560" si="90">SUM(F561)</f>
        <v>5953.44</v>
      </c>
      <c r="G560" s="46">
        <f t="shared" si="90"/>
        <v>0</v>
      </c>
      <c r="H560" s="45">
        <f t="shared" si="89"/>
        <v>16479.66</v>
      </c>
    </row>
    <row r="561" spans="1:8" s="25" customFormat="1" ht="12" customHeight="1">
      <c r="A561" s="57"/>
      <c r="B561" s="70"/>
      <c r="C561" s="35"/>
      <c r="D561" s="457" t="s">
        <v>327</v>
      </c>
      <c r="E561" s="65">
        <v>10526.22</v>
      </c>
      <c r="F561" s="467">
        <f>SUM(F562:F563)</f>
        <v>5953.44</v>
      </c>
      <c r="G561" s="467">
        <f>SUM(G562:G563)</f>
        <v>0</v>
      </c>
      <c r="H561" s="458">
        <f t="shared" si="89"/>
        <v>16479.66</v>
      </c>
    </row>
    <row r="562" spans="1:8" s="25" customFormat="1" ht="12" customHeight="1">
      <c r="A562" s="57"/>
      <c r="B562" s="70"/>
      <c r="C562" s="69">
        <v>4300</v>
      </c>
      <c r="D562" s="104" t="s">
        <v>31</v>
      </c>
      <c r="E562" s="50">
        <v>206.39</v>
      </c>
      <c r="F562" s="51">
        <v>116.73</v>
      </c>
      <c r="G562" s="51"/>
      <c r="H562" s="51">
        <f t="shared" si="89"/>
        <v>323.12</v>
      </c>
    </row>
    <row r="563" spans="1:8" s="25" customFormat="1" ht="12" customHeight="1">
      <c r="A563" s="57"/>
      <c r="B563" s="56"/>
      <c r="C563" s="69">
        <v>4430</v>
      </c>
      <c r="D563" s="104" t="s">
        <v>57</v>
      </c>
      <c r="E563" s="51">
        <v>10319.83</v>
      </c>
      <c r="F563" s="51">
        <v>5836.71</v>
      </c>
      <c r="G563" s="130"/>
      <c r="H563" s="51">
        <f t="shared" si="89"/>
        <v>16156.54</v>
      </c>
    </row>
    <row r="564" spans="1:8" s="25" customFormat="1" ht="12" customHeight="1" thickBot="1">
      <c r="A564" s="56">
        <v>750</v>
      </c>
      <c r="B564" s="56"/>
      <c r="C564" s="57"/>
      <c r="D564" s="58" t="s">
        <v>199</v>
      </c>
      <c r="E564" s="39">
        <v>2389841.11</v>
      </c>
      <c r="F564" s="39">
        <f>SUM(F565)</f>
        <v>85091.3</v>
      </c>
      <c r="G564" s="39">
        <f>SUM(G565)</f>
        <v>0</v>
      </c>
      <c r="H564" s="39">
        <f t="shared" ref="H564:H569" si="91">SUM(E564+F564-G564)</f>
        <v>2474932.4099999997</v>
      </c>
    </row>
    <row r="565" spans="1:8" s="25" customFormat="1" ht="11.45" customHeight="1" thickTop="1">
      <c r="A565" s="56"/>
      <c r="B565" s="69">
        <v>75011</v>
      </c>
      <c r="C565" s="43"/>
      <c r="D565" s="90" t="s">
        <v>200</v>
      </c>
      <c r="E565" s="100">
        <v>2389841.11</v>
      </c>
      <c r="F565" s="46">
        <f>SUM(F566,F570)</f>
        <v>85091.3</v>
      </c>
      <c r="G565" s="46">
        <f>SUM(G566,G570)</f>
        <v>0</v>
      </c>
      <c r="H565" s="45">
        <f t="shared" si="91"/>
        <v>2474932.4099999997</v>
      </c>
    </row>
    <row r="566" spans="1:8" s="25" customFormat="1" ht="12" customHeight="1">
      <c r="A566" s="56"/>
      <c r="B566" s="69"/>
      <c r="C566" s="35"/>
      <c r="D566" s="457" t="s">
        <v>168</v>
      </c>
      <c r="E566" s="65">
        <v>2388236</v>
      </c>
      <c r="F566" s="467">
        <f>SUM(F567:F569)</f>
        <v>84501</v>
      </c>
      <c r="G566" s="467">
        <f>SUM(G567:G569)</f>
        <v>0</v>
      </c>
      <c r="H566" s="458">
        <f t="shared" si="91"/>
        <v>2472737</v>
      </c>
    </row>
    <row r="567" spans="1:8" s="25" customFormat="1" ht="12" customHeight="1">
      <c r="A567" s="56"/>
      <c r="B567" s="69"/>
      <c r="C567" s="69">
        <v>4010</v>
      </c>
      <c r="D567" s="104" t="s">
        <v>53</v>
      </c>
      <c r="E567" s="51">
        <v>1856005</v>
      </c>
      <c r="F567" s="50">
        <v>72263</v>
      </c>
      <c r="G567" s="50"/>
      <c r="H567" s="55">
        <f t="shared" si="91"/>
        <v>1928268</v>
      </c>
    </row>
    <row r="568" spans="1:8" s="25" customFormat="1" ht="12" customHeight="1">
      <c r="A568" s="56"/>
      <c r="B568" s="69"/>
      <c r="C568" s="69">
        <v>4110</v>
      </c>
      <c r="D568" s="104" t="s">
        <v>239</v>
      </c>
      <c r="E568" s="51">
        <v>336781</v>
      </c>
      <c r="F568" s="50">
        <v>10691</v>
      </c>
      <c r="G568" s="50"/>
      <c r="H568" s="55">
        <f t="shared" si="91"/>
        <v>347472</v>
      </c>
    </row>
    <row r="569" spans="1:8" s="25" customFormat="1" ht="12" customHeight="1">
      <c r="A569" s="56"/>
      <c r="B569" s="69"/>
      <c r="C569" s="69">
        <v>4120</v>
      </c>
      <c r="D569" s="104" t="s">
        <v>94</v>
      </c>
      <c r="E569" s="51">
        <v>48462</v>
      </c>
      <c r="F569" s="50">
        <v>1547</v>
      </c>
      <c r="G569" s="50"/>
      <c r="H569" s="55">
        <f t="shared" si="91"/>
        <v>50009</v>
      </c>
    </row>
    <row r="570" spans="1:8" s="25" customFormat="1" ht="44.25" customHeight="1">
      <c r="A570" s="56"/>
      <c r="B570" s="69"/>
      <c r="C570" s="35"/>
      <c r="D570" s="476" t="s">
        <v>328</v>
      </c>
      <c r="E570" s="452">
        <v>1605.1100000000001</v>
      </c>
      <c r="F570" s="467">
        <f>SUM(F571:F572)</f>
        <v>590.30000000000007</v>
      </c>
      <c r="G570" s="467">
        <f>SUM(G571:G572)</f>
        <v>0</v>
      </c>
      <c r="H570" s="458">
        <f t="shared" ref="H570:H572" si="92">SUM(E570+F570-G570)</f>
        <v>2195.4100000000003</v>
      </c>
    </row>
    <row r="571" spans="1:8" s="25" customFormat="1" ht="22.5" customHeight="1">
      <c r="A571" s="56"/>
      <c r="B571" s="69"/>
      <c r="C571" s="82">
        <v>4740</v>
      </c>
      <c r="D571" s="96" t="s">
        <v>311</v>
      </c>
      <c r="E571" s="51">
        <v>1343.3700000000001</v>
      </c>
      <c r="F571" s="50">
        <v>494.47</v>
      </c>
      <c r="G571" s="50"/>
      <c r="H571" s="55">
        <f t="shared" si="92"/>
        <v>1837.8400000000001</v>
      </c>
    </row>
    <row r="572" spans="1:8" s="25" customFormat="1" ht="23.25" customHeight="1">
      <c r="A572" s="56"/>
      <c r="B572" s="69"/>
      <c r="C572" s="82">
        <v>4850</v>
      </c>
      <c r="D572" s="96" t="s">
        <v>312</v>
      </c>
      <c r="E572" s="51">
        <v>261.74</v>
      </c>
      <c r="F572" s="50">
        <v>95.83</v>
      </c>
      <c r="G572" s="50"/>
      <c r="H572" s="55">
        <f t="shared" si="92"/>
        <v>357.57</v>
      </c>
    </row>
    <row r="573" spans="1:8" s="25" customFormat="1" ht="12" customHeight="1" thickBot="1">
      <c r="A573" s="77">
        <v>801</v>
      </c>
      <c r="B573" s="56"/>
      <c r="C573" s="57"/>
      <c r="D573" s="58" t="s">
        <v>15</v>
      </c>
      <c r="E573" s="39">
        <v>904927.30999999994</v>
      </c>
      <c r="F573" s="39">
        <f>SUM(F576)</f>
        <v>35332.239999999998</v>
      </c>
      <c r="G573" s="39">
        <f>SUM(G576)</f>
        <v>8784.2899999999991</v>
      </c>
      <c r="H573" s="39">
        <f>SUM(E573+F573-G573)</f>
        <v>931475.25999999989</v>
      </c>
    </row>
    <row r="574" spans="1:8" s="25" customFormat="1" ht="12" customHeight="1" thickTop="1">
      <c r="A574" s="77"/>
      <c r="B574" s="70">
        <v>80153</v>
      </c>
      <c r="C574" s="57"/>
      <c r="D574" s="91" t="s">
        <v>203</v>
      </c>
      <c r="E574" s="68"/>
      <c r="F574" s="68"/>
      <c r="G574" s="68"/>
      <c r="H574" s="68"/>
    </row>
    <row r="575" spans="1:8" s="25" customFormat="1" ht="12" customHeight="1">
      <c r="A575" s="77"/>
      <c r="B575" s="56"/>
      <c r="C575" s="57"/>
      <c r="D575" s="91" t="s">
        <v>204</v>
      </c>
      <c r="E575" s="68"/>
      <c r="F575" s="68"/>
      <c r="G575" s="68"/>
      <c r="H575" s="68"/>
    </row>
    <row r="576" spans="1:8" s="25" customFormat="1" ht="12" customHeight="1">
      <c r="A576" s="56"/>
      <c r="B576" s="70"/>
      <c r="C576" s="35"/>
      <c r="D576" s="44" t="s">
        <v>205</v>
      </c>
      <c r="E576" s="45">
        <v>904927.30999999994</v>
      </c>
      <c r="F576" s="45">
        <f>SUM(F577,F579)</f>
        <v>35332.239999999998</v>
      </c>
      <c r="G576" s="45">
        <f>SUM(G577,G579)</f>
        <v>8784.2899999999991</v>
      </c>
      <c r="H576" s="45">
        <f t="shared" ref="H576:H581" si="93">SUM(E576+F576-G576)</f>
        <v>931475.25999999989</v>
      </c>
    </row>
    <row r="577" spans="1:8" s="25" customFormat="1" ht="12" customHeight="1">
      <c r="A577" s="83"/>
      <c r="B577" s="70"/>
      <c r="C577" s="35"/>
      <c r="D577" s="457" t="s">
        <v>37</v>
      </c>
      <c r="E577" s="452">
        <v>809698.44</v>
      </c>
      <c r="F577" s="453">
        <f>SUM(F578:F578)</f>
        <v>33173.03</v>
      </c>
      <c r="G577" s="453">
        <f>SUM(G578:G578)</f>
        <v>7876.98</v>
      </c>
      <c r="H577" s="452">
        <f t="shared" si="93"/>
        <v>834994.49</v>
      </c>
    </row>
    <row r="578" spans="1:8" s="25" customFormat="1" ht="12" customHeight="1">
      <c r="A578" s="77"/>
      <c r="B578" s="34"/>
      <c r="C578" s="69">
        <v>4240</v>
      </c>
      <c r="D578" s="104" t="s">
        <v>255</v>
      </c>
      <c r="E578" s="52">
        <v>809698.44</v>
      </c>
      <c r="F578" s="55">
        <v>33173.03</v>
      </c>
      <c r="G578" s="55">
        <v>7876.98</v>
      </c>
      <c r="H578" s="52">
        <f t="shared" si="93"/>
        <v>834994.49</v>
      </c>
    </row>
    <row r="579" spans="1:8" s="25" customFormat="1" ht="12" customHeight="1">
      <c r="A579" s="77"/>
      <c r="B579" s="34"/>
      <c r="C579" s="35"/>
      <c r="D579" s="461" t="s">
        <v>26</v>
      </c>
      <c r="E579" s="452">
        <v>95228.87</v>
      </c>
      <c r="F579" s="453">
        <f>SUM(F580:F581)</f>
        <v>2159.21</v>
      </c>
      <c r="G579" s="453">
        <f>SUM(G580:G581)</f>
        <v>907.31</v>
      </c>
      <c r="H579" s="452">
        <f t="shared" si="93"/>
        <v>96480.77</v>
      </c>
    </row>
    <row r="580" spans="1:8" s="25" customFormat="1" ht="33" customHeight="1">
      <c r="A580" s="77"/>
      <c r="B580" s="34"/>
      <c r="C580" s="82">
        <v>2830</v>
      </c>
      <c r="D580" s="71" t="s">
        <v>329</v>
      </c>
      <c r="E580" s="52">
        <v>86269.25</v>
      </c>
      <c r="F580" s="55">
        <v>1896.36</v>
      </c>
      <c r="G580" s="55">
        <v>907.31</v>
      </c>
      <c r="H580" s="52">
        <f t="shared" si="93"/>
        <v>87258.3</v>
      </c>
    </row>
    <row r="581" spans="1:8" s="25" customFormat="1" ht="12" customHeight="1">
      <c r="A581" s="101"/>
      <c r="B581" s="120"/>
      <c r="C581" s="121">
        <v>4210</v>
      </c>
      <c r="D581" s="113" t="s">
        <v>229</v>
      </c>
      <c r="E581" s="45">
        <v>8959.6200000000008</v>
      </c>
      <c r="F581" s="46">
        <v>262.85000000000002</v>
      </c>
      <c r="G581" s="153"/>
      <c r="H581" s="45">
        <f t="shared" si="93"/>
        <v>9222.4700000000012</v>
      </c>
    </row>
    <row r="582" spans="1:8" s="25" customFormat="1" ht="12" customHeight="1" thickBot="1">
      <c r="A582" s="56">
        <v>852</v>
      </c>
      <c r="B582" s="56"/>
      <c r="C582" s="57"/>
      <c r="D582" s="58" t="s">
        <v>70</v>
      </c>
      <c r="E582" s="42">
        <v>10517459.780000001</v>
      </c>
      <c r="F582" s="39">
        <f>SUM(F583,F590,F594,F597)</f>
        <v>933410</v>
      </c>
      <c r="G582" s="39">
        <f>SUM(G583,G590,G594,G597)</f>
        <v>0</v>
      </c>
      <c r="H582" s="39">
        <f t="shared" ref="H582:H600" si="94">SUM(E582+F582-G582)</f>
        <v>11450869.780000001</v>
      </c>
    </row>
    <row r="583" spans="1:8" s="25" customFormat="1" ht="12" customHeight="1" thickTop="1">
      <c r="A583" s="56"/>
      <c r="B583" s="4">
        <v>85203</v>
      </c>
      <c r="C583" s="154"/>
      <c r="D583" s="1" t="s">
        <v>206</v>
      </c>
      <c r="E583" s="100">
        <v>1385387</v>
      </c>
      <c r="F583" s="46">
        <f>SUM(F584)</f>
        <v>15831</v>
      </c>
      <c r="G583" s="46">
        <f>SUM(G584)</f>
        <v>0</v>
      </c>
      <c r="H583" s="45">
        <f t="shared" si="94"/>
        <v>1401218</v>
      </c>
    </row>
    <row r="584" spans="1:8" s="25" customFormat="1" ht="12" customHeight="1">
      <c r="A584" s="56"/>
      <c r="B584" s="4"/>
      <c r="C584" s="154"/>
      <c r="D584" s="473" t="s">
        <v>330</v>
      </c>
      <c r="E584" s="65">
        <v>1245707</v>
      </c>
      <c r="F584" s="467">
        <f>SUM(F585:F589)</f>
        <v>15831</v>
      </c>
      <c r="G584" s="467">
        <f>SUM(G585:G589)</f>
        <v>0</v>
      </c>
      <c r="H584" s="458">
        <f t="shared" si="94"/>
        <v>1261538</v>
      </c>
    </row>
    <row r="585" spans="1:8" s="25" customFormat="1" ht="12" customHeight="1">
      <c r="A585" s="56"/>
      <c r="B585" s="4"/>
      <c r="C585" s="69">
        <v>4010</v>
      </c>
      <c r="D585" s="104" t="s">
        <v>53</v>
      </c>
      <c r="E585" s="50">
        <v>859329</v>
      </c>
      <c r="F585" s="51">
        <v>5550</v>
      </c>
      <c r="G585" s="51"/>
      <c r="H585" s="55">
        <f t="shared" si="94"/>
        <v>864879</v>
      </c>
    </row>
    <row r="586" spans="1:8" s="25" customFormat="1" ht="12" customHeight="1">
      <c r="A586" s="56"/>
      <c r="B586" s="4"/>
      <c r="C586" s="69">
        <v>4110</v>
      </c>
      <c r="D586" s="104" t="s">
        <v>239</v>
      </c>
      <c r="E586" s="50">
        <v>156566</v>
      </c>
      <c r="F586" s="51">
        <v>955</v>
      </c>
      <c r="G586" s="51"/>
      <c r="H586" s="55">
        <f t="shared" si="94"/>
        <v>157521</v>
      </c>
    </row>
    <row r="587" spans="1:8" s="25" customFormat="1" ht="12" customHeight="1">
      <c r="A587" s="56"/>
      <c r="B587" s="4"/>
      <c r="C587" s="69">
        <v>4120</v>
      </c>
      <c r="D587" s="104" t="s">
        <v>91</v>
      </c>
      <c r="E587" s="50">
        <v>17367</v>
      </c>
      <c r="F587" s="51">
        <v>14</v>
      </c>
      <c r="G587" s="51"/>
      <c r="H587" s="55">
        <f t="shared" si="94"/>
        <v>17381</v>
      </c>
    </row>
    <row r="588" spans="1:8" s="25" customFormat="1" ht="12" customHeight="1">
      <c r="A588" s="56"/>
      <c r="B588" s="4"/>
      <c r="C588" s="69">
        <v>4270</v>
      </c>
      <c r="D588" s="104" t="s">
        <v>56</v>
      </c>
      <c r="E588" s="50">
        <v>21424</v>
      </c>
      <c r="F588" s="51">
        <v>6000</v>
      </c>
      <c r="G588" s="51"/>
      <c r="H588" s="55">
        <f t="shared" si="94"/>
        <v>27424</v>
      </c>
    </row>
    <row r="589" spans="1:8" s="25" customFormat="1" ht="12" customHeight="1">
      <c r="A589" s="56"/>
      <c r="B589" s="4"/>
      <c r="C589" s="69">
        <v>4300</v>
      </c>
      <c r="D589" s="104" t="s">
        <v>31</v>
      </c>
      <c r="E589" s="50">
        <v>56364</v>
      </c>
      <c r="F589" s="51">
        <v>3312</v>
      </c>
      <c r="G589" s="51"/>
      <c r="H589" s="55">
        <f t="shared" si="94"/>
        <v>59676</v>
      </c>
    </row>
    <row r="590" spans="1:8" s="25" customFormat="1" ht="12" customHeight="1">
      <c r="A590" s="56"/>
      <c r="B590" s="70">
        <v>85219</v>
      </c>
      <c r="C590" s="35"/>
      <c r="D590" s="44" t="s">
        <v>186</v>
      </c>
      <c r="E590" s="100">
        <v>73735</v>
      </c>
      <c r="F590" s="46">
        <f>SUM(F591)</f>
        <v>14779</v>
      </c>
      <c r="G590" s="46">
        <f>SUM(G591)</f>
        <v>0</v>
      </c>
      <c r="H590" s="45">
        <f t="shared" si="94"/>
        <v>88514</v>
      </c>
    </row>
    <row r="591" spans="1:8" s="25" customFormat="1" ht="12" customHeight="1">
      <c r="A591" s="56"/>
      <c r="B591" s="155"/>
      <c r="C591" s="154"/>
      <c r="D591" s="473" t="s">
        <v>111</v>
      </c>
      <c r="E591" s="65">
        <v>73735</v>
      </c>
      <c r="F591" s="467">
        <f>SUM(F592:F593)</f>
        <v>14779</v>
      </c>
      <c r="G591" s="467">
        <f>SUM(G592:G593)</f>
        <v>0</v>
      </c>
      <c r="H591" s="458">
        <f t="shared" si="94"/>
        <v>88514</v>
      </c>
    </row>
    <row r="592" spans="1:8" s="25" customFormat="1" ht="12" customHeight="1">
      <c r="A592" s="56"/>
      <c r="B592" s="70"/>
      <c r="C592" s="69">
        <v>3110</v>
      </c>
      <c r="D592" s="104" t="s">
        <v>284</v>
      </c>
      <c r="E592" s="51">
        <v>72645</v>
      </c>
      <c r="F592" s="51">
        <v>14560</v>
      </c>
      <c r="G592" s="51"/>
      <c r="H592" s="55">
        <f t="shared" si="94"/>
        <v>87205</v>
      </c>
    </row>
    <row r="593" spans="1:8" s="25" customFormat="1" ht="12" customHeight="1">
      <c r="A593" s="56"/>
      <c r="B593" s="70"/>
      <c r="C593" s="48" t="s">
        <v>228</v>
      </c>
      <c r="D593" s="91" t="s">
        <v>229</v>
      </c>
      <c r="E593" s="51">
        <v>1090</v>
      </c>
      <c r="F593" s="51">
        <v>219</v>
      </c>
      <c r="G593" s="51"/>
      <c r="H593" s="55">
        <f t="shared" si="94"/>
        <v>1309</v>
      </c>
    </row>
    <row r="594" spans="1:8" s="25" customFormat="1" ht="12" customHeight="1">
      <c r="A594" s="56"/>
      <c r="B594" s="70">
        <v>85228</v>
      </c>
      <c r="C594" s="35"/>
      <c r="D594" s="92" t="s">
        <v>506</v>
      </c>
      <c r="E594" s="100">
        <v>4309649</v>
      </c>
      <c r="F594" s="46">
        <f>SUM(F595)</f>
        <v>900000</v>
      </c>
      <c r="G594" s="46">
        <f>SUM(G595)</f>
        <v>0</v>
      </c>
      <c r="H594" s="45">
        <f t="shared" si="94"/>
        <v>5209649</v>
      </c>
    </row>
    <row r="595" spans="1:8" s="25" customFormat="1" ht="12" customHeight="1">
      <c r="A595" s="56"/>
      <c r="B595" s="70"/>
      <c r="C595" s="35"/>
      <c r="D595" s="461" t="s">
        <v>26</v>
      </c>
      <c r="E595" s="65">
        <v>1947729</v>
      </c>
      <c r="F595" s="467">
        <f>SUM(F596:F596)</f>
        <v>900000</v>
      </c>
      <c r="G595" s="467">
        <f>SUM(G596:G596)</f>
        <v>0</v>
      </c>
      <c r="H595" s="458">
        <f t="shared" si="94"/>
        <v>2847729</v>
      </c>
    </row>
    <row r="596" spans="1:8" s="25" customFormat="1" ht="47.45" customHeight="1">
      <c r="A596" s="56"/>
      <c r="B596" s="70"/>
      <c r="C596" s="66" t="s">
        <v>63</v>
      </c>
      <c r="D596" s="108" t="s">
        <v>64</v>
      </c>
      <c r="E596" s="50">
        <v>1947729</v>
      </c>
      <c r="F596" s="50">
        <v>900000</v>
      </c>
      <c r="G596" s="50"/>
      <c r="H596" s="55">
        <f t="shared" si="94"/>
        <v>2847729</v>
      </c>
    </row>
    <row r="597" spans="1:8" s="25" customFormat="1" ht="12" customHeight="1">
      <c r="A597" s="56"/>
      <c r="B597" s="70">
        <v>85231</v>
      </c>
      <c r="C597" s="35"/>
      <c r="D597" s="92" t="s">
        <v>207</v>
      </c>
      <c r="E597" s="100">
        <v>5400</v>
      </c>
      <c r="F597" s="46">
        <f t="shared" ref="F597:G597" si="95">SUM(F598)</f>
        <v>2800</v>
      </c>
      <c r="G597" s="46">
        <f t="shared" si="95"/>
        <v>0</v>
      </c>
      <c r="H597" s="45">
        <f t="shared" si="94"/>
        <v>8200</v>
      </c>
    </row>
    <row r="598" spans="1:8" s="25" customFormat="1" ht="12" customHeight="1">
      <c r="A598" s="56"/>
      <c r="B598" s="56"/>
      <c r="C598" s="35"/>
      <c r="D598" s="457" t="s">
        <v>111</v>
      </c>
      <c r="E598" s="65">
        <v>5400</v>
      </c>
      <c r="F598" s="467">
        <f>SUM(F599:F599)</f>
        <v>2800</v>
      </c>
      <c r="G598" s="467">
        <f>SUM(G599:G599)</f>
        <v>0</v>
      </c>
      <c r="H598" s="458">
        <f t="shared" si="94"/>
        <v>8200</v>
      </c>
    </row>
    <row r="599" spans="1:8" s="25" customFormat="1" ht="12" customHeight="1">
      <c r="A599" s="56"/>
      <c r="B599" s="56"/>
      <c r="C599" s="69">
        <v>3110</v>
      </c>
      <c r="D599" s="104" t="s">
        <v>284</v>
      </c>
      <c r="E599" s="51">
        <v>5400</v>
      </c>
      <c r="F599" s="51">
        <v>2800</v>
      </c>
      <c r="G599" s="130"/>
      <c r="H599" s="55">
        <f t="shared" si="94"/>
        <v>8200</v>
      </c>
    </row>
    <row r="600" spans="1:8" s="25" customFormat="1" ht="12" customHeight="1" thickBot="1">
      <c r="A600" s="56">
        <v>855</v>
      </c>
      <c r="B600" s="56"/>
      <c r="C600" s="57"/>
      <c r="D600" s="58" t="s">
        <v>85</v>
      </c>
      <c r="E600" s="42">
        <v>47053318</v>
      </c>
      <c r="F600" s="39">
        <f>SUM(F603,F616)</f>
        <v>5827780</v>
      </c>
      <c r="G600" s="39">
        <f>SUM(G603)</f>
        <v>0</v>
      </c>
      <c r="H600" s="39">
        <f t="shared" si="94"/>
        <v>52881098</v>
      </c>
    </row>
    <row r="601" spans="1:8" s="25" customFormat="1" ht="12" customHeight="1" thickTop="1">
      <c r="A601" s="56"/>
      <c r="B601" s="49">
        <v>85502</v>
      </c>
      <c r="C601" s="48"/>
      <c r="D601" s="127" t="s">
        <v>331</v>
      </c>
      <c r="E601" s="51"/>
      <c r="F601" s="51"/>
      <c r="G601" s="130"/>
      <c r="H601" s="55"/>
    </row>
    <row r="602" spans="1:8" s="25" customFormat="1" ht="12" customHeight="1">
      <c r="A602" s="56"/>
      <c r="B602" s="49"/>
      <c r="C602" s="48"/>
      <c r="D602" s="127" t="s">
        <v>332</v>
      </c>
      <c r="E602" s="51"/>
      <c r="F602" s="51"/>
      <c r="G602" s="130"/>
      <c r="H602" s="55"/>
    </row>
    <row r="603" spans="1:8" s="25" customFormat="1" ht="12" customHeight="1">
      <c r="A603" s="56"/>
      <c r="B603" s="49"/>
      <c r="C603" s="48"/>
      <c r="D603" s="74" t="s">
        <v>333</v>
      </c>
      <c r="E603" s="46">
        <v>46384916</v>
      </c>
      <c r="F603" s="46">
        <f>SUM(F604,F611)</f>
        <v>5693728</v>
      </c>
      <c r="G603" s="46">
        <f>SUM(G604)</f>
        <v>0</v>
      </c>
      <c r="H603" s="45">
        <f t="shared" ref="H603:H613" si="96">SUM(E603+F603-G603)</f>
        <v>52078644</v>
      </c>
    </row>
    <row r="604" spans="1:8" s="25" customFormat="1" ht="12" customHeight="1">
      <c r="A604" s="56"/>
      <c r="B604" s="70"/>
      <c r="C604" s="35"/>
      <c r="D604" s="473" t="s">
        <v>111</v>
      </c>
      <c r="E604" s="467">
        <v>46244277</v>
      </c>
      <c r="F604" s="467">
        <f>SUM(F605:F610)</f>
        <v>5690535</v>
      </c>
      <c r="G604" s="467">
        <f>SUM(G605:G610)</f>
        <v>0</v>
      </c>
      <c r="H604" s="458">
        <f t="shared" si="96"/>
        <v>51934812</v>
      </c>
    </row>
    <row r="605" spans="1:8" s="25" customFormat="1" ht="12" customHeight="1">
      <c r="A605" s="56"/>
      <c r="B605" s="56"/>
      <c r="C605" s="4">
        <v>3110</v>
      </c>
      <c r="D605" s="5" t="s">
        <v>284</v>
      </c>
      <c r="E605" s="51">
        <v>40278847</v>
      </c>
      <c r="F605" s="50">
        <v>4578984</v>
      </c>
      <c r="G605" s="50"/>
      <c r="H605" s="55">
        <f t="shared" si="96"/>
        <v>44857831</v>
      </c>
    </row>
    <row r="606" spans="1:8" s="25" customFormat="1" ht="12" customHeight="1">
      <c r="A606" s="56"/>
      <c r="B606" s="56"/>
      <c r="C606" s="69">
        <v>4010</v>
      </c>
      <c r="D606" s="104" t="s">
        <v>53</v>
      </c>
      <c r="E606" s="51">
        <v>1004309</v>
      </c>
      <c r="F606" s="50">
        <v>162998</v>
      </c>
      <c r="G606" s="50"/>
      <c r="H606" s="55">
        <f t="shared" si="96"/>
        <v>1167307</v>
      </c>
    </row>
    <row r="607" spans="1:8" s="25" customFormat="1" ht="12" customHeight="1">
      <c r="A607" s="56"/>
      <c r="B607" s="56"/>
      <c r="C607" s="60">
        <v>4110</v>
      </c>
      <c r="D607" s="91" t="s">
        <v>239</v>
      </c>
      <c r="E607" s="51">
        <v>4798265</v>
      </c>
      <c r="F607" s="50">
        <v>943459</v>
      </c>
      <c r="G607" s="50"/>
      <c r="H607" s="55">
        <f t="shared" si="96"/>
        <v>5741724</v>
      </c>
    </row>
    <row r="608" spans="1:8" s="25" customFormat="1" ht="12" customHeight="1">
      <c r="A608" s="56"/>
      <c r="B608" s="56"/>
      <c r="C608" s="69">
        <v>4120</v>
      </c>
      <c r="D608" s="104" t="s">
        <v>94</v>
      </c>
      <c r="E608" s="51">
        <v>20270</v>
      </c>
      <c r="F608" s="50">
        <v>3993</v>
      </c>
      <c r="G608" s="50"/>
      <c r="H608" s="55">
        <f t="shared" si="96"/>
        <v>24263</v>
      </c>
    </row>
    <row r="609" spans="1:8" s="25" customFormat="1" ht="12" customHeight="1">
      <c r="A609" s="56"/>
      <c r="B609" s="56"/>
      <c r="C609" s="69">
        <v>4300</v>
      </c>
      <c r="D609" s="104" t="s">
        <v>31</v>
      </c>
      <c r="E609" s="51">
        <v>3030</v>
      </c>
      <c r="F609" s="50">
        <v>930</v>
      </c>
      <c r="G609" s="50"/>
      <c r="H609" s="55">
        <f t="shared" si="96"/>
        <v>3960</v>
      </c>
    </row>
    <row r="610" spans="1:8" s="25" customFormat="1" ht="12" customHeight="1">
      <c r="A610" s="56"/>
      <c r="B610" s="56"/>
      <c r="C610" s="69">
        <v>4710</v>
      </c>
      <c r="D610" s="91" t="s">
        <v>92</v>
      </c>
      <c r="E610" s="51">
        <v>700</v>
      </c>
      <c r="F610" s="50">
        <v>171</v>
      </c>
      <c r="G610" s="50"/>
      <c r="H610" s="55">
        <f t="shared" si="96"/>
        <v>871</v>
      </c>
    </row>
    <row r="611" spans="1:8" s="25" customFormat="1" ht="22.15" customHeight="1">
      <c r="A611" s="56"/>
      <c r="B611" s="56"/>
      <c r="C611" s="35"/>
      <c r="D611" s="473" t="s">
        <v>334</v>
      </c>
      <c r="E611" s="467">
        <v>140639</v>
      </c>
      <c r="F611" s="467">
        <f>SUM(F612:F613)</f>
        <v>3193</v>
      </c>
      <c r="G611" s="467">
        <f>SUM(G612:G613)</f>
        <v>0</v>
      </c>
      <c r="H611" s="458">
        <f t="shared" si="96"/>
        <v>143832</v>
      </c>
    </row>
    <row r="612" spans="1:8" s="25" customFormat="1" ht="12" customHeight="1">
      <c r="A612" s="56"/>
      <c r="B612" s="56"/>
      <c r="C612" s="4">
        <v>3110</v>
      </c>
      <c r="D612" s="5" t="s">
        <v>284</v>
      </c>
      <c r="E612" s="51">
        <v>136437</v>
      </c>
      <c r="F612" s="50">
        <v>3100</v>
      </c>
      <c r="G612" s="50"/>
      <c r="H612" s="55">
        <f t="shared" si="96"/>
        <v>139537</v>
      </c>
    </row>
    <row r="613" spans="1:8" s="25" customFormat="1" ht="12" customHeight="1">
      <c r="A613" s="56"/>
      <c r="B613" s="56"/>
      <c r="C613" s="69">
        <v>4010</v>
      </c>
      <c r="D613" s="104" t="s">
        <v>53</v>
      </c>
      <c r="E613" s="51">
        <v>2202</v>
      </c>
      <c r="F613" s="50">
        <v>93</v>
      </c>
      <c r="G613" s="50"/>
      <c r="H613" s="55">
        <f t="shared" si="96"/>
        <v>2295</v>
      </c>
    </row>
    <row r="614" spans="1:8" s="25" customFormat="1" ht="12" customHeight="1">
      <c r="A614" s="56"/>
      <c r="B614" s="70">
        <v>85513</v>
      </c>
      <c r="C614" s="35"/>
      <c r="D614" s="49" t="s">
        <v>210</v>
      </c>
      <c r="E614" s="73"/>
      <c r="F614" s="68"/>
      <c r="G614" s="68"/>
      <c r="H614" s="68"/>
    </row>
    <row r="615" spans="1:8" s="25" customFormat="1" ht="12" customHeight="1">
      <c r="A615" s="56"/>
      <c r="B615" s="34"/>
      <c r="C615" s="35"/>
      <c r="D615" s="72" t="s">
        <v>211</v>
      </c>
      <c r="E615" s="73"/>
      <c r="F615" s="68"/>
      <c r="G615" s="68"/>
      <c r="H615" s="68"/>
    </row>
    <row r="616" spans="1:8" s="25" customFormat="1" ht="12" customHeight="1">
      <c r="A616" s="56"/>
      <c r="B616" s="70"/>
      <c r="C616" s="35"/>
      <c r="D616" s="44" t="s">
        <v>212</v>
      </c>
      <c r="E616" s="94">
        <v>663002</v>
      </c>
      <c r="F616" s="46">
        <f t="shared" ref="F616:G616" si="97">SUM(F617)</f>
        <v>134052</v>
      </c>
      <c r="G616" s="46">
        <f t="shared" si="97"/>
        <v>0</v>
      </c>
      <c r="H616" s="45">
        <f t="shared" ref="H616:H618" si="98">SUM(E616+F616-G616)</f>
        <v>797054</v>
      </c>
    </row>
    <row r="617" spans="1:8" s="25" customFormat="1" ht="12" customHeight="1">
      <c r="A617" s="56"/>
      <c r="B617" s="155"/>
      <c r="C617" s="35"/>
      <c r="D617" s="457" t="s">
        <v>111</v>
      </c>
      <c r="E617" s="134">
        <v>663002</v>
      </c>
      <c r="F617" s="467">
        <f>SUM(F618:F618)</f>
        <v>134052</v>
      </c>
      <c r="G617" s="467">
        <f>SUM(G618:G618)</f>
        <v>0</v>
      </c>
      <c r="H617" s="458">
        <f t="shared" si="98"/>
        <v>797054</v>
      </c>
    </row>
    <row r="618" spans="1:8" s="25" customFormat="1" ht="12" customHeight="1">
      <c r="A618" s="56"/>
      <c r="B618" s="155"/>
      <c r="C618" s="69">
        <v>4130</v>
      </c>
      <c r="D618" s="70" t="s">
        <v>335</v>
      </c>
      <c r="E618" s="51">
        <v>663002</v>
      </c>
      <c r="F618" s="50">
        <v>134052</v>
      </c>
      <c r="G618" s="50"/>
      <c r="H618" s="55">
        <f t="shared" si="98"/>
        <v>797054</v>
      </c>
    </row>
    <row r="619" spans="1:8" s="25" customFormat="1" ht="18.75" customHeight="1" thickBot="1">
      <c r="A619" s="156"/>
      <c r="B619" s="70"/>
      <c r="C619" s="69"/>
      <c r="D619" s="38" t="s">
        <v>93</v>
      </c>
      <c r="E619" s="39">
        <v>24757135.799999997</v>
      </c>
      <c r="F619" s="39">
        <f>SUM(F620,F624,F641,F645,F657)</f>
        <v>173324.00200000001</v>
      </c>
      <c r="G619" s="39">
        <f>SUM(G620,G624,G641,G645,G657)</f>
        <v>177654</v>
      </c>
      <c r="H619" s="39">
        <f>SUM(E619+F619-G619)</f>
        <v>24752805.801999997</v>
      </c>
    </row>
    <row r="620" spans="1:8" s="25" customFormat="1" ht="16.5" customHeight="1" thickTop="1" thickBot="1">
      <c r="A620" s="56">
        <v>700</v>
      </c>
      <c r="B620" s="56"/>
      <c r="C620" s="57"/>
      <c r="D620" s="58" t="s">
        <v>214</v>
      </c>
      <c r="E620" s="39">
        <v>763319</v>
      </c>
      <c r="F620" s="39">
        <f>SUM(F621)</f>
        <v>36337</v>
      </c>
      <c r="G620" s="39">
        <f>SUM(G621)</f>
        <v>0</v>
      </c>
      <c r="H620" s="39">
        <f t="shared" ref="H620:H640" si="99">SUM(E620+F620-G620)</f>
        <v>799656</v>
      </c>
    </row>
    <row r="621" spans="1:8" s="25" customFormat="1" ht="12" customHeight="1" thickTop="1">
      <c r="A621" s="56"/>
      <c r="B621" s="70">
        <v>70005</v>
      </c>
      <c r="C621" s="35"/>
      <c r="D621" s="74" t="s">
        <v>215</v>
      </c>
      <c r="E621" s="100">
        <v>763319</v>
      </c>
      <c r="F621" s="46">
        <f>SUM(F622)</f>
        <v>36337</v>
      </c>
      <c r="G621" s="46">
        <f>SUM(G622)</f>
        <v>0</v>
      </c>
      <c r="H621" s="45">
        <f t="shared" si="99"/>
        <v>799656</v>
      </c>
    </row>
    <row r="622" spans="1:8" s="25" customFormat="1" ht="12" customHeight="1">
      <c r="A622" s="29"/>
      <c r="B622" s="155"/>
      <c r="C622" s="35"/>
      <c r="D622" s="468" t="s">
        <v>336</v>
      </c>
      <c r="E622" s="65">
        <v>346020</v>
      </c>
      <c r="F622" s="467">
        <f>SUM(F623:F623)</f>
        <v>36337</v>
      </c>
      <c r="G622" s="467">
        <f>SUM(G623:G623)</f>
        <v>0</v>
      </c>
      <c r="H622" s="458">
        <f t="shared" si="99"/>
        <v>382357</v>
      </c>
    </row>
    <row r="623" spans="1:8" s="25" customFormat="1" ht="12" customHeight="1">
      <c r="A623" s="77"/>
      <c r="B623" s="155"/>
      <c r="C623" s="82">
        <v>4480</v>
      </c>
      <c r="D623" s="157" t="s">
        <v>337</v>
      </c>
      <c r="E623" s="51">
        <v>243019</v>
      </c>
      <c r="F623" s="98">
        <v>36337</v>
      </c>
      <c r="G623" s="50"/>
      <c r="H623" s="55">
        <f t="shared" si="99"/>
        <v>279356</v>
      </c>
    </row>
    <row r="624" spans="1:8" s="25" customFormat="1" ht="12" customHeight="1" thickBot="1">
      <c r="A624" s="57" t="s">
        <v>217</v>
      </c>
      <c r="B624" s="56"/>
      <c r="C624" s="57"/>
      <c r="D624" s="58" t="s">
        <v>218</v>
      </c>
      <c r="E624" s="39">
        <v>1495658</v>
      </c>
      <c r="F624" s="39">
        <f>SUM(F625,F628)</f>
        <v>12654</v>
      </c>
      <c r="G624" s="39">
        <f>SUM(G625,G628)</f>
        <v>152654</v>
      </c>
      <c r="H624" s="39">
        <f t="shared" si="99"/>
        <v>1355658</v>
      </c>
    </row>
    <row r="625" spans="1:8" s="25" customFormat="1" ht="12" customHeight="1" thickTop="1">
      <c r="A625" s="57"/>
      <c r="B625" s="70">
        <v>71012</v>
      </c>
      <c r="C625" s="69"/>
      <c r="D625" s="44" t="s">
        <v>219</v>
      </c>
      <c r="E625" s="100">
        <v>483409</v>
      </c>
      <c r="F625" s="46">
        <f>SUM(F626)</f>
        <v>0</v>
      </c>
      <c r="G625" s="46">
        <f>SUM(G626)</f>
        <v>140000</v>
      </c>
      <c r="H625" s="45">
        <f t="shared" si="99"/>
        <v>343409</v>
      </c>
    </row>
    <row r="626" spans="1:8" s="25" customFormat="1" ht="12" customHeight="1">
      <c r="A626" s="29"/>
      <c r="B626" s="56"/>
      <c r="C626" s="35"/>
      <c r="D626" s="477" t="s">
        <v>235</v>
      </c>
      <c r="E626" s="65">
        <v>140997</v>
      </c>
      <c r="F626" s="467">
        <f>SUM(F627:F627)</f>
        <v>0</v>
      </c>
      <c r="G626" s="467">
        <f>SUM(G627:G627)</f>
        <v>140000</v>
      </c>
      <c r="H626" s="458">
        <f t="shared" si="99"/>
        <v>997</v>
      </c>
    </row>
    <row r="627" spans="1:8" s="25" customFormat="1" ht="12" customHeight="1">
      <c r="A627" s="77"/>
      <c r="B627" s="70"/>
      <c r="C627" s="69">
        <v>4300</v>
      </c>
      <c r="D627" s="104" t="s">
        <v>31</v>
      </c>
      <c r="E627" s="50">
        <v>140000</v>
      </c>
      <c r="F627" s="50"/>
      <c r="G627" s="50">
        <v>140000</v>
      </c>
      <c r="H627" s="55">
        <f t="shared" si="99"/>
        <v>0</v>
      </c>
    </row>
    <row r="628" spans="1:8" s="25" customFormat="1" ht="12" customHeight="1">
      <c r="A628" s="77"/>
      <c r="B628" s="4">
        <v>71015</v>
      </c>
      <c r="C628" s="158"/>
      <c r="D628" s="1" t="s">
        <v>338</v>
      </c>
      <c r="E628" s="100">
        <v>1012249</v>
      </c>
      <c r="F628" s="46">
        <f>SUM(F629)</f>
        <v>12654</v>
      </c>
      <c r="G628" s="46">
        <f>SUM(G629)</f>
        <v>12654</v>
      </c>
      <c r="H628" s="45">
        <f t="shared" si="99"/>
        <v>1012249</v>
      </c>
    </row>
    <row r="629" spans="1:8" s="25" customFormat="1" ht="21.6" customHeight="1">
      <c r="A629" s="77"/>
      <c r="B629" s="155"/>
      <c r="C629" s="4"/>
      <c r="D629" s="478" t="s">
        <v>339</v>
      </c>
      <c r="E629" s="65">
        <v>1012249</v>
      </c>
      <c r="F629" s="467">
        <f>SUM(F630:F640)</f>
        <v>12654</v>
      </c>
      <c r="G629" s="467">
        <f>SUM(G630:G640)</f>
        <v>12654</v>
      </c>
      <c r="H629" s="458">
        <f t="shared" si="99"/>
        <v>1012249</v>
      </c>
    </row>
    <row r="630" spans="1:8" s="25" customFormat="1" ht="12" customHeight="1">
      <c r="A630" s="77"/>
      <c r="B630" s="155"/>
      <c r="C630" s="69">
        <v>4010</v>
      </c>
      <c r="D630" s="104" t="s">
        <v>53</v>
      </c>
      <c r="E630" s="51">
        <v>169184</v>
      </c>
      <c r="F630" s="55">
        <v>5000</v>
      </c>
      <c r="G630" s="55"/>
      <c r="H630" s="55">
        <f t="shared" si="99"/>
        <v>174184</v>
      </c>
    </row>
    <row r="631" spans="1:8" s="25" customFormat="1" ht="12" customHeight="1">
      <c r="A631" s="77"/>
      <c r="B631" s="69"/>
      <c r="C631" s="69">
        <v>4020</v>
      </c>
      <c r="D631" s="104" t="s">
        <v>340</v>
      </c>
      <c r="E631" s="51">
        <v>530932</v>
      </c>
      <c r="F631" s="51"/>
      <c r="G631" s="51">
        <v>5000</v>
      </c>
      <c r="H631" s="55">
        <f t="shared" si="99"/>
        <v>525932</v>
      </c>
    </row>
    <row r="632" spans="1:8" s="25" customFormat="1" ht="12" customHeight="1">
      <c r="A632" s="77"/>
      <c r="B632" s="69"/>
      <c r="C632" s="48" t="s">
        <v>228</v>
      </c>
      <c r="D632" s="91" t="s">
        <v>229</v>
      </c>
      <c r="E632" s="51">
        <v>7450</v>
      </c>
      <c r="F632" s="51">
        <v>1476</v>
      </c>
      <c r="G632" s="51"/>
      <c r="H632" s="55">
        <f t="shared" si="99"/>
        <v>8926</v>
      </c>
    </row>
    <row r="633" spans="1:8" s="25" customFormat="1" ht="12" customHeight="1">
      <c r="A633" s="77"/>
      <c r="B633" s="69"/>
      <c r="C633" s="69">
        <v>4260</v>
      </c>
      <c r="D633" s="104" t="s">
        <v>234</v>
      </c>
      <c r="E633" s="51">
        <v>38651</v>
      </c>
      <c r="F633" s="51"/>
      <c r="G633" s="51">
        <v>300</v>
      </c>
      <c r="H633" s="55">
        <f t="shared" si="99"/>
        <v>38351</v>
      </c>
    </row>
    <row r="634" spans="1:8" s="25" customFormat="1" ht="12" customHeight="1">
      <c r="A634" s="77"/>
      <c r="B634" s="69"/>
      <c r="C634" s="69">
        <v>4270</v>
      </c>
      <c r="D634" s="104" t="s">
        <v>56</v>
      </c>
      <c r="E634" s="51">
        <v>3200</v>
      </c>
      <c r="F634" s="51"/>
      <c r="G634" s="51">
        <v>2000</v>
      </c>
      <c r="H634" s="55">
        <f t="shared" si="99"/>
        <v>1200</v>
      </c>
    </row>
    <row r="635" spans="1:8" s="25" customFormat="1" ht="12" customHeight="1">
      <c r="A635" s="77"/>
      <c r="B635" s="69"/>
      <c r="C635" s="69">
        <v>4280</v>
      </c>
      <c r="D635" s="104" t="s">
        <v>61</v>
      </c>
      <c r="E635" s="51">
        <v>1200</v>
      </c>
      <c r="F635" s="51">
        <v>300</v>
      </c>
      <c r="G635" s="51"/>
      <c r="H635" s="55">
        <f t="shared" si="99"/>
        <v>1500</v>
      </c>
    </row>
    <row r="636" spans="1:8" s="25" customFormat="1" ht="12" customHeight="1">
      <c r="A636" s="101"/>
      <c r="B636" s="103"/>
      <c r="C636" s="103">
        <v>4300</v>
      </c>
      <c r="D636" s="44" t="s">
        <v>31</v>
      </c>
      <c r="E636" s="94">
        <v>38928</v>
      </c>
      <c r="F636" s="94">
        <v>4608</v>
      </c>
      <c r="G636" s="94"/>
      <c r="H636" s="46">
        <f t="shared" si="99"/>
        <v>43536</v>
      </c>
    </row>
    <row r="637" spans="1:8" s="25" customFormat="1" ht="21" customHeight="1">
      <c r="A637" s="77"/>
      <c r="B637" s="69"/>
      <c r="C637" s="82">
        <v>4390</v>
      </c>
      <c r="D637" s="96" t="s">
        <v>248</v>
      </c>
      <c r="E637" s="51">
        <v>2500</v>
      </c>
      <c r="F637" s="51"/>
      <c r="G637" s="51">
        <v>2500</v>
      </c>
      <c r="H637" s="55">
        <f t="shared" si="99"/>
        <v>0</v>
      </c>
    </row>
    <row r="638" spans="1:8" s="25" customFormat="1" ht="12" customHeight="1">
      <c r="A638" s="77"/>
      <c r="B638" s="69"/>
      <c r="C638" s="70">
        <v>4550</v>
      </c>
      <c r="D638" s="104" t="s">
        <v>341</v>
      </c>
      <c r="E638" s="51">
        <v>1000</v>
      </c>
      <c r="F638" s="51">
        <v>120</v>
      </c>
      <c r="G638" s="51"/>
      <c r="H638" s="55">
        <f t="shared" si="99"/>
        <v>1120</v>
      </c>
    </row>
    <row r="639" spans="1:8" s="25" customFormat="1" ht="21" customHeight="1">
      <c r="A639" s="77"/>
      <c r="B639" s="69"/>
      <c r="C639" s="82">
        <v>4700</v>
      </c>
      <c r="D639" s="108" t="s">
        <v>236</v>
      </c>
      <c r="E639" s="51">
        <v>0</v>
      </c>
      <c r="F639" s="51">
        <v>1150</v>
      </c>
      <c r="G639" s="51"/>
      <c r="H639" s="55">
        <f t="shared" si="99"/>
        <v>1150</v>
      </c>
    </row>
    <row r="640" spans="1:8" s="25" customFormat="1" ht="12" customHeight="1">
      <c r="A640" s="77"/>
      <c r="B640" s="69"/>
      <c r="C640" s="69">
        <v>4710</v>
      </c>
      <c r="D640" s="91" t="s">
        <v>92</v>
      </c>
      <c r="E640" s="51">
        <v>2854</v>
      </c>
      <c r="F640" s="51"/>
      <c r="G640" s="51">
        <v>2854</v>
      </c>
      <c r="H640" s="55">
        <f t="shared" si="99"/>
        <v>0</v>
      </c>
    </row>
    <row r="641" spans="1:8" s="25" customFormat="1" ht="12" customHeight="1" thickBot="1">
      <c r="A641" s="56">
        <v>754</v>
      </c>
      <c r="B641" s="56"/>
      <c r="C641" s="57"/>
      <c r="D641" s="58" t="s">
        <v>342</v>
      </c>
      <c r="E641" s="39">
        <v>20682326</v>
      </c>
      <c r="F641" s="42">
        <f t="shared" ref="F641:G642" si="100">SUM(F642)</f>
        <v>9333</v>
      </c>
      <c r="G641" s="42">
        <f t="shared" si="100"/>
        <v>0</v>
      </c>
      <c r="H641" s="39">
        <f>SUM(E641+F641-G641)</f>
        <v>20691659</v>
      </c>
    </row>
    <row r="642" spans="1:8" s="25" customFormat="1" ht="12" customHeight="1" thickTop="1">
      <c r="A642" s="147"/>
      <c r="B642" s="70">
        <v>75478</v>
      </c>
      <c r="C642" s="35"/>
      <c r="D642" s="99" t="s">
        <v>223</v>
      </c>
      <c r="E642" s="45">
        <v>0</v>
      </c>
      <c r="F642" s="46">
        <f t="shared" si="100"/>
        <v>9333</v>
      </c>
      <c r="G642" s="46">
        <f t="shared" si="100"/>
        <v>0</v>
      </c>
      <c r="H642" s="45">
        <f>SUM(E642+F642-G642)</f>
        <v>9333</v>
      </c>
    </row>
    <row r="643" spans="1:8" s="25" customFormat="1" ht="12" customHeight="1">
      <c r="A643" s="26"/>
      <c r="B643" s="43"/>
      <c r="C643" s="69"/>
      <c r="D643" s="479" t="s">
        <v>343</v>
      </c>
      <c r="E643" s="458">
        <v>0</v>
      </c>
      <c r="F643" s="458">
        <f>SUM(F644:F644)</f>
        <v>9333</v>
      </c>
      <c r="G643" s="458">
        <f>SUM(G644:G644)</f>
        <v>0</v>
      </c>
      <c r="H643" s="452">
        <f>SUM(E643+F643-G643)</f>
        <v>9333</v>
      </c>
    </row>
    <row r="644" spans="1:8" s="25" customFormat="1" ht="12" customHeight="1">
      <c r="A644" s="26"/>
      <c r="B644" s="43"/>
      <c r="C644" s="48" t="s">
        <v>228</v>
      </c>
      <c r="D644" s="91" t="s">
        <v>229</v>
      </c>
      <c r="E644" s="50">
        <v>0</v>
      </c>
      <c r="F644" s="50">
        <v>9333</v>
      </c>
      <c r="G644" s="50"/>
      <c r="H644" s="52">
        <f t="shared" ref="H644:H664" si="101">SUM(E644+F644-G644)</f>
        <v>9333</v>
      </c>
    </row>
    <row r="645" spans="1:8" s="25" customFormat="1" ht="12" customHeight="1" thickBot="1">
      <c r="A645" s="77">
        <v>852</v>
      </c>
      <c r="B645" s="56"/>
      <c r="C645" s="57"/>
      <c r="D645" s="9" t="s">
        <v>70</v>
      </c>
      <c r="E645" s="39">
        <v>684000</v>
      </c>
      <c r="F645" s="39">
        <f t="shared" ref="F645:G645" si="102">SUM(F646)</f>
        <v>25000.002</v>
      </c>
      <c r="G645" s="39">
        <f t="shared" si="102"/>
        <v>25000</v>
      </c>
      <c r="H645" s="39">
        <f t="shared" si="101"/>
        <v>684000.00199999998</v>
      </c>
    </row>
    <row r="646" spans="1:8" s="25" customFormat="1" ht="12" customHeight="1" thickTop="1">
      <c r="A646" s="77"/>
      <c r="B646" s="70">
        <v>85205</v>
      </c>
      <c r="C646" s="35"/>
      <c r="D646" s="1" t="s">
        <v>344</v>
      </c>
      <c r="E646" s="100">
        <v>684000</v>
      </c>
      <c r="F646" s="46">
        <f>SUM(F647,F651)</f>
        <v>25000.002</v>
      </c>
      <c r="G646" s="46">
        <f>SUM(G647,G651)</f>
        <v>25000</v>
      </c>
      <c r="H646" s="45">
        <f t="shared" si="101"/>
        <v>684000.00199999998</v>
      </c>
    </row>
    <row r="647" spans="1:8" s="25" customFormat="1" ht="22.15" customHeight="1">
      <c r="A647" s="156"/>
      <c r="B647" s="70"/>
      <c r="C647" s="35"/>
      <c r="D647" s="473" t="s">
        <v>345</v>
      </c>
      <c r="E647" s="452">
        <v>660000</v>
      </c>
      <c r="F647" s="453">
        <f>SUM(F648:F650)</f>
        <v>13000</v>
      </c>
      <c r="G647" s="453">
        <f>SUM(G648:G650)</f>
        <v>13000</v>
      </c>
      <c r="H647" s="452">
        <f>SUM(E647+F647-G647)</f>
        <v>660000</v>
      </c>
    </row>
    <row r="648" spans="1:8" s="25" customFormat="1" ht="12" customHeight="1">
      <c r="A648" s="156"/>
      <c r="B648" s="70"/>
      <c r="C648" s="48" t="s">
        <v>228</v>
      </c>
      <c r="D648" s="91" t="s">
        <v>229</v>
      </c>
      <c r="E648" s="50">
        <v>33864</v>
      </c>
      <c r="F648" s="51">
        <v>13000</v>
      </c>
      <c r="G648" s="51"/>
      <c r="H648" s="52">
        <f t="shared" ref="H648:H650" si="103">SUM(E648+F648-G648)</f>
        <v>46864</v>
      </c>
    </row>
    <row r="649" spans="1:8" s="25" customFormat="1" ht="12" customHeight="1">
      <c r="A649" s="156"/>
      <c r="B649" s="70"/>
      <c r="C649" s="69">
        <v>4260</v>
      </c>
      <c r="D649" s="104" t="s">
        <v>234</v>
      </c>
      <c r="E649" s="50">
        <v>21738</v>
      </c>
      <c r="F649" s="51"/>
      <c r="G649" s="51">
        <v>3000</v>
      </c>
      <c r="H649" s="52">
        <f t="shared" si="103"/>
        <v>18738</v>
      </c>
    </row>
    <row r="650" spans="1:8" s="25" customFormat="1" ht="12" customHeight="1">
      <c r="A650" s="156"/>
      <c r="B650" s="70"/>
      <c r="C650" s="69">
        <v>4300</v>
      </c>
      <c r="D650" s="104" t="s">
        <v>31</v>
      </c>
      <c r="E650" s="50">
        <v>61400</v>
      </c>
      <c r="F650" s="51"/>
      <c r="G650" s="51">
        <v>10000</v>
      </c>
      <c r="H650" s="52">
        <f t="shared" si="103"/>
        <v>51400</v>
      </c>
    </row>
    <row r="651" spans="1:8" s="25" customFormat="1" ht="24.75" customHeight="1">
      <c r="A651" s="77"/>
      <c r="B651" s="70"/>
      <c r="C651" s="35"/>
      <c r="D651" s="473" t="s">
        <v>346</v>
      </c>
      <c r="E651" s="452">
        <v>24000</v>
      </c>
      <c r="F651" s="453">
        <f>SUM(F652:F656)</f>
        <v>12000.002</v>
      </c>
      <c r="G651" s="453">
        <f>SUM(G652:G656)</f>
        <v>12000</v>
      </c>
      <c r="H651" s="452">
        <f>SUM(E651+F651-G651)</f>
        <v>24000.002</v>
      </c>
    </row>
    <row r="652" spans="1:8" s="25" customFormat="1" ht="12" customHeight="1">
      <c r="A652" s="77"/>
      <c r="B652" s="70"/>
      <c r="C652" s="60">
        <v>4110</v>
      </c>
      <c r="D652" s="91" t="s">
        <v>239</v>
      </c>
      <c r="E652" s="50">
        <v>0</v>
      </c>
      <c r="F652" s="51">
        <v>1726.41</v>
      </c>
      <c r="G652" s="51"/>
      <c r="H652" s="50">
        <f t="shared" ref="H652:H656" si="104">SUM(E652+F652-G652)</f>
        <v>1726.41</v>
      </c>
    </row>
    <row r="653" spans="1:8" s="25" customFormat="1" ht="12" customHeight="1">
      <c r="A653" s="77"/>
      <c r="B653" s="70"/>
      <c r="C653" s="69">
        <v>4120</v>
      </c>
      <c r="D653" s="104" t="s">
        <v>94</v>
      </c>
      <c r="E653" s="50">
        <v>0</v>
      </c>
      <c r="F653" s="51">
        <v>242.14</v>
      </c>
      <c r="G653" s="51"/>
      <c r="H653" s="50">
        <f t="shared" si="104"/>
        <v>242.14</v>
      </c>
    </row>
    <row r="654" spans="1:8" s="25" customFormat="1" ht="12" customHeight="1">
      <c r="A654" s="77"/>
      <c r="B654" s="70"/>
      <c r="C654" s="69">
        <v>4170</v>
      </c>
      <c r="D654" s="104" t="s">
        <v>55</v>
      </c>
      <c r="E654" s="50">
        <v>12000</v>
      </c>
      <c r="F654" s="51">
        <v>9883.2000000000007</v>
      </c>
      <c r="G654" s="51"/>
      <c r="H654" s="50">
        <f t="shared" si="104"/>
        <v>21883.200000000001</v>
      </c>
    </row>
    <row r="655" spans="1:8" s="25" customFormat="1" ht="12" customHeight="1">
      <c r="A655" s="77"/>
      <c r="B655" s="70"/>
      <c r="C655" s="69">
        <v>4300</v>
      </c>
      <c r="D655" s="104" t="s">
        <v>31</v>
      </c>
      <c r="E655" s="50">
        <v>12000</v>
      </c>
      <c r="F655" s="51"/>
      <c r="G655" s="51">
        <v>12000</v>
      </c>
      <c r="H655" s="50">
        <f t="shared" si="104"/>
        <v>0</v>
      </c>
    </row>
    <row r="656" spans="1:8" s="25" customFormat="1" ht="12" customHeight="1">
      <c r="A656" s="77"/>
      <c r="B656" s="70"/>
      <c r="C656" s="69">
        <v>4710</v>
      </c>
      <c r="D656" s="91" t="s">
        <v>92</v>
      </c>
      <c r="E656" s="50">
        <v>0</v>
      </c>
      <c r="F656" s="51">
        <v>148.25200000000001</v>
      </c>
      <c r="G656" s="51"/>
      <c r="H656" s="50">
        <f t="shared" si="104"/>
        <v>148.25200000000001</v>
      </c>
    </row>
    <row r="657" spans="1:8" s="25" customFormat="1" ht="12" customHeight="1" thickBot="1">
      <c r="A657" s="77">
        <v>853</v>
      </c>
      <c r="B657" s="56"/>
      <c r="C657" s="57"/>
      <c r="D657" s="58" t="s">
        <v>76</v>
      </c>
      <c r="E657" s="39">
        <v>577070</v>
      </c>
      <c r="F657" s="39">
        <f>SUM(F658)</f>
        <v>90000</v>
      </c>
      <c r="G657" s="39">
        <f>SUM(G658)</f>
        <v>0</v>
      </c>
      <c r="H657" s="39">
        <f t="shared" si="101"/>
        <v>667070</v>
      </c>
    </row>
    <row r="658" spans="1:8" s="25" customFormat="1" ht="12" customHeight="1" thickTop="1">
      <c r="A658" s="77"/>
      <c r="B658" s="70">
        <v>85321</v>
      </c>
      <c r="C658" s="35"/>
      <c r="D658" s="44" t="s">
        <v>224</v>
      </c>
      <c r="E658" s="100">
        <v>577070</v>
      </c>
      <c r="F658" s="46">
        <f>SUM(F659)</f>
        <v>90000</v>
      </c>
      <c r="G658" s="46">
        <f>SUM(G659)</f>
        <v>0</v>
      </c>
      <c r="H658" s="45">
        <f t="shared" si="101"/>
        <v>667070</v>
      </c>
    </row>
    <row r="659" spans="1:8" s="25" customFormat="1" ht="12" customHeight="1">
      <c r="A659" s="159"/>
      <c r="B659" s="160"/>
      <c r="C659" s="35"/>
      <c r="D659" s="461" t="s">
        <v>137</v>
      </c>
      <c r="E659" s="452">
        <v>269200</v>
      </c>
      <c r="F659" s="467">
        <f>SUM(F660:F664)</f>
        <v>90000</v>
      </c>
      <c r="G659" s="467">
        <f>SUM(G660:G664)</f>
        <v>0</v>
      </c>
      <c r="H659" s="458">
        <f t="shared" si="101"/>
        <v>359200</v>
      </c>
    </row>
    <row r="660" spans="1:8" s="25" customFormat="1" ht="12" customHeight="1">
      <c r="A660" s="159"/>
      <c r="B660" s="160"/>
      <c r="C660" s="69">
        <v>4110</v>
      </c>
      <c r="D660" s="104" t="s">
        <v>239</v>
      </c>
      <c r="E660" s="51">
        <v>15000</v>
      </c>
      <c r="F660" s="51">
        <v>5000</v>
      </c>
      <c r="G660" s="51"/>
      <c r="H660" s="55">
        <f t="shared" si="101"/>
        <v>20000</v>
      </c>
    </row>
    <row r="661" spans="1:8" s="25" customFormat="1" ht="12" customHeight="1">
      <c r="A661" s="159"/>
      <c r="B661" s="160"/>
      <c r="C661" s="69">
        <v>4120</v>
      </c>
      <c r="D661" s="104" t="s">
        <v>94</v>
      </c>
      <c r="E661" s="51">
        <v>600</v>
      </c>
      <c r="F661" s="51">
        <v>300</v>
      </c>
      <c r="G661" s="51"/>
      <c r="H661" s="55">
        <f t="shared" si="101"/>
        <v>900</v>
      </c>
    </row>
    <row r="662" spans="1:8" s="25" customFormat="1" ht="12" customHeight="1">
      <c r="A662" s="159"/>
      <c r="B662" s="160"/>
      <c r="C662" s="69">
        <v>4170</v>
      </c>
      <c r="D662" s="104" t="s">
        <v>55</v>
      </c>
      <c r="E662" s="51">
        <v>113200</v>
      </c>
      <c r="F662" s="51">
        <v>37400</v>
      </c>
      <c r="G662" s="51"/>
      <c r="H662" s="55">
        <f t="shared" si="101"/>
        <v>150600</v>
      </c>
    </row>
    <row r="663" spans="1:8" s="25" customFormat="1" ht="12" customHeight="1">
      <c r="A663" s="159"/>
      <c r="B663" s="160"/>
      <c r="C663" s="48" t="s">
        <v>228</v>
      </c>
      <c r="D663" s="91" t="s">
        <v>229</v>
      </c>
      <c r="E663" s="51">
        <v>3500</v>
      </c>
      <c r="F663" s="51">
        <v>7000</v>
      </c>
      <c r="G663" s="51"/>
      <c r="H663" s="55">
        <f t="shared" si="101"/>
        <v>10500</v>
      </c>
    </row>
    <row r="664" spans="1:8" s="25" customFormat="1" ht="12" customHeight="1">
      <c r="A664" s="159"/>
      <c r="B664" s="160"/>
      <c r="C664" s="69">
        <v>4300</v>
      </c>
      <c r="D664" s="104" t="s">
        <v>31</v>
      </c>
      <c r="E664" s="51">
        <v>136300</v>
      </c>
      <c r="F664" s="161">
        <v>40300</v>
      </c>
      <c r="G664" s="161"/>
      <c r="H664" s="55">
        <f t="shared" si="101"/>
        <v>176600</v>
      </c>
    </row>
    <row r="665" spans="1:8" s="25" customFormat="1" ht="3.75" customHeight="1">
      <c r="A665" s="162"/>
      <c r="B665" s="162"/>
      <c r="C665" s="163"/>
      <c r="D665" s="164"/>
      <c r="E665" s="45"/>
      <c r="F665" s="45"/>
      <c r="G665" s="45"/>
      <c r="H665" s="45"/>
    </row>
    <row r="666" spans="1:8" s="25" customFormat="1" ht="12.95" customHeight="1"/>
    <row r="667" spans="1:8" s="25" customFormat="1" ht="12.95" customHeight="1"/>
    <row r="668" spans="1:8" s="25" customFormat="1" ht="12.95" customHeight="1"/>
    <row r="669" spans="1:8" s="25" customFormat="1" ht="12.95" customHeight="1"/>
    <row r="670" spans="1:8" s="25" customFormat="1" ht="12.95" customHeight="1"/>
    <row r="671" spans="1:8" s="25" customFormat="1" ht="12.95" customHeight="1"/>
    <row r="672" spans="1:8" s="25" customFormat="1" ht="12.95" customHeight="1"/>
    <row r="673" s="25" customFormat="1" ht="12.95" customHeight="1"/>
    <row r="674" s="25" customFormat="1" ht="12.95" customHeight="1"/>
    <row r="675" s="25" customFormat="1" ht="12.95" customHeight="1"/>
    <row r="676" s="25" customFormat="1" ht="12.95" customHeight="1"/>
    <row r="677" s="25" customFormat="1" ht="12.95" customHeight="1"/>
    <row r="678" s="25" customFormat="1" ht="12.95" customHeight="1"/>
    <row r="679" s="25" customFormat="1" ht="12.95" customHeight="1"/>
    <row r="680" s="25" customFormat="1" ht="12.95" customHeight="1"/>
    <row r="681" s="25" customFormat="1" ht="12.95" customHeight="1"/>
    <row r="682" s="25" customFormat="1" ht="12.95" customHeight="1"/>
    <row r="683" s="25" customFormat="1" ht="12.95" customHeight="1"/>
    <row r="684" s="25" customFormat="1" ht="12.95" customHeight="1"/>
    <row r="685" s="25" customFormat="1" ht="12.95" customHeight="1"/>
    <row r="686" s="25" customFormat="1" ht="12.95" customHeight="1"/>
    <row r="687" s="25" customFormat="1" ht="12.95" customHeight="1"/>
    <row r="688" s="25" customFormat="1" ht="12.95" customHeight="1"/>
    <row r="689" s="25" customFormat="1" ht="12.95" customHeight="1"/>
    <row r="690" s="25" customFormat="1" ht="12.95" customHeight="1"/>
    <row r="691" s="25" customFormat="1" ht="12.95" customHeight="1"/>
    <row r="692" s="25" customFormat="1" ht="12.95" customHeight="1"/>
    <row r="693" s="25" customFormat="1" ht="12.95" customHeight="1"/>
    <row r="694" s="25" customFormat="1" ht="12.95" customHeight="1"/>
    <row r="695" s="25" customFormat="1" ht="12.95" customHeight="1"/>
    <row r="696" s="25" customFormat="1" ht="12.95" customHeight="1"/>
    <row r="697" s="25" customFormat="1" ht="12.95" customHeight="1"/>
    <row r="698" s="25" customFormat="1" ht="12.95" customHeight="1"/>
    <row r="699" s="25" customFormat="1" ht="12.95" customHeight="1"/>
    <row r="700" s="25" customFormat="1" ht="12.95" customHeight="1"/>
    <row r="701" s="25" customFormat="1" ht="12.95" customHeight="1"/>
    <row r="702" s="25" customFormat="1" ht="12.95" customHeight="1"/>
    <row r="703" s="25" customFormat="1" ht="12.95" customHeight="1"/>
    <row r="704" s="25" customFormat="1" ht="12.95" customHeight="1"/>
    <row r="705" s="25" customFormat="1" ht="12.95" customHeight="1"/>
    <row r="706" s="25" customFormat="1" ht="12.95" customHeight="1"/>
    <row r="707" s="25" customFormat="1" ht="12.95" customHeight="1"/>
    <row r="708" s="25" customFormat="1" ht="12.95" customHeight="1"/>
    <row r="709" s="25" customFormat="1" ht="12.95" customHeight="1"/>
    <row r="710" s="25" customFormat="1" ht="12.95" customHeight="1"/>
    <row r="711" s="25" customFormat="1" ht="12.95" customHeight="1"/>
    <row r="712" s="25" customFormat="1" ht="12.95" customHeight="1"/>
    <row r="713" s="25" customFormat="1" ht="12.95" customHeight="1"/>
    <row r="714" s="25" customFormat="1" ht="12.95" customHeight="1"/>
    <row r="715" s="25" customFormat="1" ht="12.95" customHeight="1"/>
    <row r="716" s="25" customFormat="1" ht="12.95" customHeight="1"/>
    <row r="717" s="25" customFormat="1" ht="12.95" customHeight="1"/>
    <row r="718" s="25" customFormat="1" ht="12.95" customHeight="1"/>
    <row r="719" s="25" customFormat="1" ht="12.95" customHeight="1"/>
    <row r="720" s="25" customFormat="1" ht="12.95" customHeight="1"/>
    <row r="721" s="25" customFormat="1" ht="12.95" customHeight="1"/>
    <row r="722" s="25" customFormat="1" ht="12.95" customHeight="1"/>
    <row r="723" s="25" customFormat="1" ht="12.95" customHeight="1"/>
    <row r="724" s="25" customFormat="1" ht="12.95" customHeight="1"/>
    <row r="725" s="25" customFormat="1" ht="12.95" customHeight="1"/>
    <row r="726" s="25" customFormat="1" ht="12.95" customHeight="1"/>
    <row r="727" s="25" customFormat="1" ht="12.95" customHeight="1"/>
    <row r="728" s="25" customFormat="1" ht="12.95" customHeight="1"/>
    <row r="729" s="25" customFormat="1" ht="12.95" customHeight="1"/>
    <row r="730" s="25" customFormat="1" ht="12.95" customHeight="1"/>
    <row r="731" s="25" customFormat="1" ht="12.95" customHeight="1"/>
    <row r="732" s="25" customFormat="1" ht="12.95" customHeight="1"/>
    <row r="733" s="449" customFormat="1" ht="12.95" customHeight="1"/>
    <row r="734" s="449" customFormat="1" ht="12.95" customHeight="1"/>
    <row r="735" s="449" customFormat="1" ht="12.95" customHeight="1"/>
    <row r="736" s="449" customFormat="1" ht="12.95" customHeight="1"/>
    <row r="737" s="449" customFormat="1" ht="12.95" customHeight="1"/>
    <row r="738" s="449" customFormat="1" ht="12.95" customHeight="1"/>
    <row r="739" s="449" customFormat="1" ht="12.95" customHeight="1"/>
    <row r="740" s="449" customFormat="1" ht="12.95" customHeight="1"/>
    <row r="741" s="449" customFormat="1" ht="12.95" customHeight="1"/>
    <row r="742" s="449" customFormat="1" ht="12.95" customHeight="1"/>
    <row r="743" s="449" customFormat="1" ht="12.95" customHeight="1"/>
    <row r="744" s="449" customFormat="1" ht="12.95" customHeight="1"/>
    <row r="745" s="449" customFormat="1" ht="12.75" customHeight="1"/>
    <row r="746" s="449" customFormat="1" ht="12.75" customHeight="1"/>
    <row r="747" s="449" customFormat="1" ht="12.75" customHeight="1"/>
    <row r="748" s="449" customFormat="1" ht="12.75" customHeight="1"/>
    <row r="749" s="449" customFormat="1" ht="12.75" customHeight="1"/>
    <row r="750" s="449" customFormat="1" ht="12.75" customHeight="1"/>
    <row r="751" s="449" customFormat="1" ht="12.75" customHeight="1"/>
    <row r="752" s="449" customFormat="1" ht="12.75" customHeight="1"/>
    <row r="753" s="449" customFormat="1" ht="12.75" customHeight="1"/>
    <row r="754" s="449" customFormat="1" ht="12.75" customHeight="1"/>
    <row r="755" s="449" customFormat="1" ht="12.75" customHeight="1"/>
    <row r="756" s="449" customFormat="1" ht="12.75" customHeight="1"/>
    <row r="757" s="449" customFormat="1" ht="12.75" customHeight="1"/>
    <row r="758" s="449" customFormat="1" ht="12.75" customHeight="1"/>
    <row r="759" s="449" customFormat="1" ht="12.75" customHeight="1"/>
    <row r="760" s="449" customFormat="1" ht="12.75" customHeight="1"/>
    <row r="761" s="449" customFormat="1" ht="12.75" customHeight="1"/>
    <row r="762" s="449" customFormat="1" ht="12.75" customHeight="1"/>
    <row r="763" s="449" customFormat="1" ht="12.75" customHeight="1"/>
    <row r="764" s="449" customFormat="1" ht="12.75" customHeight="1"/>
    <row r="765" s="449" customFormat="1" ht="12.75" customHeight="1"/>
    <row r="766" s="449" customFormat="1" ht="12.75" customHeight="1"/>
    <row r="767" s="449" customFormat="1" ht="12.75" customHeight="1"/>
    <row r="768" s="449" customFormat="1" ht="12.75" customHeight="1"/>
    <row r="769" s="449" customFormat="1" ht="12.75" customHeight="1"/>
    <row r="770" s="449" customFormat="1" ht="12.75" customHeight="1"/>
    <row r="771" s="449" customFormat="1" ht="12.75" customHeight="1"/>
    <row r="772" s="449" customFormat="1" ht="12.75" customHeight="1"/>
    <row r="773" s="449" customFormat="1" ht="12.75" customHeight="1"/>
    <row r="774" s="449" customFormat="1" ht="12.75" customHeight="1"/>
    <row r="775" s="449" customFormat="1" ht="12.75" customHeight="1"/>
    <row r="776" s="449" customFormat="1" ht="12.75" customHeight="1"/>
    <row r="777" s="449" customFormat="1" ht="12.75" customHeight="1"/>
    <row r="778" s="449" customFormat="1" ht="12.75" customHeight="1"/>
    <row r="779" s="449" customFormat="1" ht="12.75" customHeight="1"/>
    <row r="780" s="449" customFormat="1" ht="12.75" customHeight="1"/>
    <row r="781" s="449" customFormat="1" ht="12.75" customHeight="1"/>
    <row r="782" s="449" customFormat="1" ht="12.75" customHeight="1"/>
    <row r="783" s="449" customFormat="1" ht="12.75" customHeight="1"/>
    <row r="784" s="449" customFormat="1" ht="12.75" customHeight="1"/>
    <row r="785" s="449" customFormat="1" ht="12.75" customHeight="1"/>
    <row r="786" s="449" customFormat="1" ht="12.75" customHeight="1"/>
    <row r="787" s="449" customFormat="1" ht="12.75" customHeight="1"/>
    <row r="788" s="449" customFormat="1" ht="12.75" customHeight="1"/>
    <row r="789" s="449" customFormat="1" ht="12.75" customHeight="1"/>
    <row r="790" s="449" customFormat="1" ht="12.75" customHeight="1"/>
    <row r="791" s="449" customFormat="1" ht="12.75" customHeight="1"/>
    <row r="792" s="449" customFormat="1" ht="12.75" customHeight="1"/>
    <row r="793" s="449" customFormat="1" ht="12.75" customHeight="1"/>
    <row r="794" s="449" customFormat="1" ht="12.75" customHeight="1"/>
    <row r="795" s="449" customFormat="1" ht="12.75" customHeight="1"/>
    <row r="796" s="449" customFormat="1" ht="12.75" customHeight="1"/>
    <row r="797" s="449" customFormat="1" ht="12.75" customHeight="1"/>
    <row r="798" s="449" customFormat="1" ht="12.75" customHeight="1"/>
    <row r="799" s="449" customFormat="1" ht="12.75" customHeight="1"/>
    <row r="800" s="449" customFormat="1" ht="12.75" customHeight="1"/>
    <row r="801" s="449" customFormat="1" ht="12.75" customHeight="1"/>
    <row r="802" s="449" customFormat="1" ht="12.75" customHeight="1"/>
    <row r="803" s="449" customFormat="1" ht="12.75" customHeight="1"/>
    <row r="804" s="449" customFormat="1" ht="12.75" customHeight="1"/>
    <row r="805" s="449" customFormat="1" ht="12.75" customHeight="1"/>
    <row r="806" s="449" customFormat="1" ht="12.75" customHeight="1"/>
    <row r="807" s="449" customFormat="1" ht="12.75" customHeight="1"/>
    <row r="808" s="449" customFormat="1" ht="12.75" customHeight="1"/>
    <row r="809" s="449" customFormat="1" ht="12.75" customHeight="1"/>
    <row r="810" s="449" customFormat="1" ht="12.75" customHeight="1"/>
    <row r="811" s="449" customFormat="1" ht="12.75" customHeight="1"/>
    <row r="812" s="449" customFormat="1" ht="12.75" customHeight="1"/>
    <row r="813" s="449" customFormat="1" ht="12.75" customHeight="1"/>
    <row r="814" s="449" customFormat="1" ht="12.75" customHeight="1"/>
    <row r="815" s="449" customFormat="1" ht="12.75" customHeight="1"/>
    <row r="816" s="449" customFormat="1" ht="12.75" customHeight="1"/>
    <row r="817" s="449" customFormat="1" ht="12.75" customHeight="1"/>
    <row r="818" s="449" customFormat="1" ht="12.75" customHeight="1"/>
    <row r="819" s="449" customFormat="1" ht="12.75" customHeight="1"/>
    <row r="820" s="449" customFormat="1" ht="12.75" customHeight="1"/>
    <row r="821" s="449" customFormat="1" ht="12.75" customHeight="1"/>
    <row r="822" s="449" customFormat="1" ht="12.75" customHeight="1"/>
    <row r="823" s="449" customFormat="1" ht="12.75" customHeight="1"/>
    <row r="824" s="449" customFormat="1" ht="12.75" customHeight="1"/>
    <row r="825" s="449" customFormat="1" ht="12.75" customHeight="1"/>
    <row r="826" s="449" customFormat="1" ht="12.75" customHeight="1"/>
    <row r="827" s="449" customFormat="1" ht="12.75" customHeight="1"/>
    <row r="828" s="449" customFormat="1" ht="12.75" customHeight="1"/>
    <row r="829" s="449" customFormat="1" ht="12.75" customHeight="1"/>
    <row r="830" s="449" customFormat="1" ht="12.75" customHeight="1"/>
    <row r="831" s="449" customFormat="1" ht="12.75" customHeight="1"/>
    <row r="832" s="449" customFormat="1" ht="12.75" customHeight="1"/>
    <row r="833" s="449" customFormat="1" ht="12.75" customHeight="1"/>
    <row r="834" s="449" customFormat="1" ht="12.75" customHeight="1"/>
    <row r="835" s="449" customFormat="1" ht="12.75" customHeight="1"/>
    <row r="836" s="449" customFormat="1" ht="12.75" customHeight="1"/>
    <row r="837" s="449" customFormat="1" ht="12.75" customHeight="1"/>
    <row r="838" s="449" customFormat="1" ht="12.75" customHeight="1"/>
    <row r="839" s="449" customFormat="1" ht="12.75" customHeight="1"/>
    <row r="840" s="449" customFormat="1" ht="12.75" customHeight="1"/>
    <row r="841" s="449" customFormat="1" ht="12.75" customHeight="1"/>
    <row r="842" s="449" customFormat="1" ht="12.75" customHeight="1"/>
    <row r="843" s="449" customFormat="1" ht="12.75" customHeight="1"/>
    <row r="844" s="449" customFormat="1" ht="12.75" customHeight="1"/>
    <row r="845" s="449" customFormat="1" ht="12.75" customHeight="1"/>
    <row r="846" s="449" customFormat="1" ht="12.75" customHeight="1"/>
    <row r="847" s="449" customFormat="1" ht="12.75" customHeight="1"/>
    <row r="848" s="449" customFormat="1" ht="12.75" customHeight="1"/>
    <row r="849" s="449" customFormat="1" ht="12.75" customHeight="1"/>
    <row r="850" s="449" customFormat="1" ht="12.75" customHeight="1"/>
    <row r="851" s="449" customFormat="1" ht="12.75" customHeight="1"/>
    <row r="852" s="449" customFormat="1" ht="12.75" customHeight="1"/>
    <row r="853" s="449" customFormat="1" ht="12.75" customHeight="1"/>
    <row r="854" s="449" customFormat="1" ht="12.75" customHeight="1"/>
    <row r="855" s="449" customFormat="1" ht="12.75" customHeight="1"/>
    <row r="856" s="449" customFormat="1" ht="12.75" customHeight="1"/>
    <row r="857" s="449" customFormat="1" ht="12.75" customHeight="1"/>
    <row r="858" s="449" customFormat="1" ht="12.75" customHeight="1"/>
    <row r="859" s="449" customFormat="1" ht="12.75" customHeight="1"/>
    <row r="860" s="449" customFormat="1" ht="12.75" customHeight="1"/>
    <row r="861" s="449" customFormat="1" ht="12.75" customHeight="1"/>
    <row r="862" s="449" customFormat="1" ht="12.75" customHeight="1"/>
    <row r="863" s="449" customFormat="1" ht="12.75" customHeight="1"/>
    <row r="864" s="449" customFormat="1" ht="12.75" customHeight="1"/>
    <row r="865" s="449" customFormat="1" ht="12.75" customHeight="1"/>
    <row r="866" s="449" customFormat="1" ht="12.75" customHeight="1"/>
    <row r="867" s="449" customFormat="1" ht="12.75" customHeight="1"/>
    <row r="868" s="449" customFormat="1" ht="12.75" customHeight="1"/>
    <row r="869" s="449" customFormat="1" ht="12.75" customHeight="1"/>
    <row r="870" s="449" customFormat="1" ht="12.75" customHeight="1"/>
    <row r="871" s="449" customFormat="1" ht="12.75" customHeight="1"/>
    <row r="872" s="449" customFormat="1" ht="12.75" customHeight="1"/>
    <row r="873" s="449" customFormat="1" ht="12.75" customHeight="1"/>
    <row r="874" s="449" customFormat="1" ht="12.75" customHeight="1"/>
    <row r="875" s="449" customFormat="1" ht="12.75" customHeight="1"/>
    <row r="876" s="449" customFormat="1" ht="12.75" customHeight="1"/>
    <row r="877" s="449" customFormat="1" ht="12.75" customHeight="1"/>
    <row r="878" s="449" customFormat="1" ht="12.75" customHeight="1"/>
    <row r="879" s="449" customFormat="1" ht="12.75" customHeight="1"/>
    <row r="880" s="449" customFormat="1" ht="12.75" customHeight="1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41" max="7" man="1"/>
    <brk id="167" max="7" man="1"/>
    <brk id="317" max="7" man="1"/>
    <brk id="486" max="7" man="1"/>
    <brk id="536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F911C-8C1F-4839-8B5E-DF01713B11B9}">
  <sheetPr>
    <tabColor rgb="FF66FFFF"/>
  </sheetPr>
  <dimension ref="A1:AP21"/>
  <sheetViews>
    <sheetView zoomScale="130" zoomScaleNormal="130" workbookViewId="0"/>
  </sheetViews>
  <sheetFormatPr defaultRowHeight="12"/>
  <cols>
    <col min="1" max="1" width="4.28515625" style="165" customWidth="1"/>
    <col min="2" max="2" width="8.7109375" style="165" customWidth="1"/>
    <col min="3" max="3" width="5.5703125" style="165" customWidth="1"/>
    <col min="4" max="4" width="11.28515625" style="165" customWidth="1"/>
    <col min="5" max="5" width="11.5703125" style="165" customWidth="1"/>
    <col min="6" max="6" width="11.42578125" style="165" customWidth="1"/>
    <col min="7" max="7" width="12.5703125" style="165" customWidth="1"/>
    <col min="8" max="8" width="12.42578125" style="167" customWidth="1"/>
    <col min="9" max="9" width="11" style="167" customWidth="1"/>
    <col min="10" max="42" width="8.85546875" style="167" customWidth="1"/>
    <col min="43" max="256" width="9.140625" style="165"/>
    <col min="257" max="257" width="4.28515625" style="165" customWidth="1"/>
    <col min="258" max="258" width="8.7109375" style="165" customWidth="1"/>
    <col min="259" max="259" width="5.5703125" style="165" customWidth="1"/>
    <col min="260" max="260" width="11.28515625" style="165" customWidth="1"/>
    <col min="261" max="261" width="11.5703125" style="165" customWidth="1"/>
    <col min="262" max="262" width="11.42578125" style="165" customWidth="1"/>
    <col min="263" max="263" width="12.5703125" style="165" customWidth="1"/>
    <col min="264" max="264" width="12.42578125" style="165" customWidth="1"/>
    <col min="265" max="265" width="11" style="165" customWidth="1"/>
    <col min="266" max="298" width="8.85546875" style="165" customWidth="1"/>
    <col min="299" max="512" width="9.140625" style="165"/>
    <col min="513" max="513" width="4.28515625" style="165" customWidth="1"/>
    <col min="514" max="514" width="8.7109375" style="165" customWidth="1"/>
    <col min="515" max="515" width="5.5703125" style="165" customWidth="1"/>
    <col min="516" max="516" width="11.28515625" style="165" customWidth="1"/>
    <col min="517" max="517" width="11.5703125" style="165" customWidth="1"/>
    <col min="518" max="518" width="11.42578125" style="165" customWidth="1"/>
    <col min="519" max="519" width="12.5703125" style="165" customWidth="1"/>
    <col min="520" max="520" width="12.42578125" style="165" customWidth="1"/>
    <col min="521" max="521" width="11" style="165" customWidth="1"/>
    <col min="522" max="554" width="8.85546875" style="165" customWidth="1"/>
    <col min="555" max="768" width="9.140625" style="165"/>
    <col min="769" max="769" width="4.28515625" style="165" customWidth="1"/>
    <col min="770" max="770" width="8.7109375" style="165" customWidth="1"/>
    <col min="771" max="771" width="5.5703125" style="165" customWidth="1"/>
    <col min="772" max="772" width="11.28515625" style="165" customWidth="1"/>
    <col min="773" max="773" width="11.5703125" style="165" customWidth="1"/>
    <col min="774" max="774" width="11.42578125" style="165" customWidth="1"/>
    <col min="775" max="775" width="12.5703125" style="165" customWidth="1"/>
    <col min="776" max="776" width="12.42578125" style="165" customWidth="1"/>
    <col min="777" max="777" width="11" style="165" customWidth="1"/>
    <col min="778" max="810" width="8.85546875" style="165" customWidth="1"/>
    <col min="811" max="1024" width="9.140625" style="165"/>
    <col min="1025" max="1025" width="4.28515625" style="165" customWidth="1"/>
    <col min="1026" max="1026" width="8.7109375" style="165" customWidth="1"/>
    <col min="1027" max="1027" width="5.5703125" style="165" customWidth="1"/>
    <col min="1028" max="1028" width="11.28515625" style="165" customWidth="1"/>
    <col min="1029" max="1029" width="11.5703125" style="165" customWidth="1"/>
    <col min="1030" max="1030" width="11.42578125" style="165" customWidth="1"/>
    <col min="1031" max="1031" width="12.5703125" style="165" customWidth="1"/>
    <col min="1032" max="1032" width="12.42578125" style="165" customWidth="1"/>
    <col min="1033" max="1033" width="11" style="165" customWidth="1"/>
    <col min="1034" max="1066" width="8.85546875" style="165" customWidth="1"/>
    <col min="1067" max="1280" width="9.140625" style="165"/>
    <col min="1281" max="1281" width="4.28515625" style="165" customWidth="1"/>
    <col min="1282" max="1282" width="8.7109375" style="165" customWidth="1"/>
    <col min="1283" max="1283" width="5.5703125" style="165" customWidth="1"/>
    <col min="1284" max="1284" width="11.28515625" style="165" customWidth="1"/>
    <col min="1285" max="1285" width="11.5703125" style="165" customWidth="1"/>
    <col min="1286" max="1286" width="11.42578125" style="165" customWidth="1"/>
    <col min="1287" max="1287" width="12.5703125" style="165" customWidth="1"/>
    <col min="1288" max="1288" width="12.42578125" style="165" customWidth="1"/>
    <col min="1289" max="1289" width="11" style="165" customWidth="1"/>
    <col min="1290" max="1322" width="8.85546875" style="165" customWidth="1"/>
    <col min="1323" max="1536" width="9.140625" style="165"/>
    <col min="1537" max="1537" width="4.28515625" style="165" customWidth="1"/>
    <col min="1538" max="1538" width="8.7109375" style="165" customWidth="1"/>
    <col min="1539" max="1539" width="5.5703125" style="165" customWidth="1"/>
    <col min="1540" max="1540" width="11.28515625" style="165" customWidth="1"/>
    <col min="1541" max="1541" width="11.5703125" style="165" customWidth="1"/>
    <col min="1542" max="1542" width="11.42578125" style="165" customWidth="1"/>
    <col min="1543" max="1543" width="12.5703125" style="165" customWidth="1"/>
    <col min="1544" max="1544" width="12.42578125" style="165" customWidth="1"/>
    <col min="1545" max="1545" width="11" style="165" customWidth="1"/>
    <col min="1546" max="1578" width="8.85546875" style="165" customWidth="1"/>
    <col min="1579" max="1792" width="9.140625" style="165"/>
    <col min="1793" max="1793" width="4.28515625" style="165" customWidth="1"/>
    <col min="1794" max="1794" width="8.7109375" style="165" customWidth="1"/>
    <col min="1795" max="1795" width="5.5703125" style="165" customWidth="1"/>
    <col min="1796" max="1796" width="11.28515625" style="165" customWidth="1"/>
    <col min="1797" max="1797" width="11.5703125" style="165" customWidth="1"/>
    <col min="1798" max="1798" width="11.42578125" style="165" customWidth="1"/>
    <col min="1799" max="1799" width="12.5703125" style="165" customWidth="1"/>
    <col min="1800" max="1800" width="12.42578125" style="165" customWidth="1"/>
    <col min="1801" max="1801" width="11" style="165" customWidth="1"/>
    <col min="1802" max="1834" width="8.85546875" style="165" customWidth="1"/>
    <col min="1835" max="2048" width="9.140625" style="165"/>
    <col min="2049" max="2049" width="4.28515625" style="165" customWidth="1"/>
    <col min="2050" max="2050" width="8.7109375" style="165" customWidth="1"/>
    <col min="2051" max="2051" width="5.5703125" style="165" customWidth="1"/>
    <col min="2052" max="2052" width="11.28515625" style="165" customWidth="1"/>
    <col min="2053" max="2053" width="11.5703125" style="165" customWidth="1"/>
    <col min="2054" max="2054" width="11.42578125" style="165" customWidth="1"/>
    <col min="2055" max="2055" width="12.5703125" style="165" customWidth="1"/>
    <col min="2056" max="2056" width="12.42578125" style="165" customWidth="1"/>
    <col min="2057" max="2057" width="11" style="165" customWidth="1"/>
    <col min="2058" max="2090" width="8.85546875" style="165" customWidth="1"/>
    <col min="2091" max="2304" width="9.140625" style="165"/>
    <col min="2305" max="2305" width="4.28515625" style="165" customWidth="1"/>
    <col min="2306" max="2306" width="8.7109375" style="165" customWidth="1"/>
    <col min="2307" max="2307" width="5.5703125" style="165" customWidth="1"/>
    <col min="2308" max="2308" width="11.28515625" style="165" customWidth="1"/>
    <col min="2309" max="2309" width="11.5703125" style="165" customWidth="1"/>
    <col min="2310" max="2310" width="11.42578125" style="165" customWidth="1"/>
    <col min="2311" max="2311" width="12.5703125" style="165" customWidth="1"/>
    <col min="2312" max="2312" width="12.42578125" style="165" customWidth="1"/>
    <col min="2313" max="2313" width="11" style="165" customWidth="1"/>
    <col min="2314" max="2346" width="8.85546875" style="165" customWidth="1"/>
    <col min="2347" max="2560" width="9.140625" style="165"/>
    <col min="2561" max="2561" width="4.28515625" style="165" customWidth="1"/>
    <col min="2562" max="2562" width="8.7109375" style="165" customWidth="1"/>
    <col min="2563" max="2563" width="5.5703125" style="165" customWidth="1"/>
    <col min="2564" max="2564" width="11.28515625" style="165" customWidth="1"/>
    <col min="2565" max="2565" width="11.5703125" style="165" customWidth="1"/>
    <col min="2566" max="2566" width="11.42578125" style="165" customWidth="1"/>
    <col min="2567" max="2567" width="12.5703125" style="165" customWidth="1"/>
    <col min="2568" max="2568" width="12.42578125" style="165" customWidth="1"/>
    <col min="2569" max="2569" width="11" style="165" customWidth="1"/>
    <col min="2570" max="2602" width="8.85546875" style="165" customWidth="1"/>
    <col min="2603" max="2816" width="9.140625" style="165"/>
    <col min="2817" max="2817" width="4.28515625" style="165" customWidth="1"/>
    <col min="2818" max="2818" width="8.7109375" style="165" customWidth="1"/>
    <col min="2819" max="2819" width="5.5703125" style="165" customWidth="1"/>
    <col min="2820" max="2820" width="11.28515625" style="165" customWidth="1"/>
    <col min="2821" max="2821" width="11.5703125" style="165" customWidth="1"/>
    <col min="2822" max="2822" width="11.42578125" style="165" customWidth="1"/>
    <col min="2823" max="2823" width="12.5703125" style="165" customWidth="1"/>
    <col min="2824" max="2824" width="12.42578125" style="165" customWidth="1"/>
    <col min="2825" max="2825" width="11" style="165" customWidth="1"/>
    <col min="2826" max="2858" width="8.85546875" style="165" customWidth="1"/>
    <col min="2859" max="3072" width="9.140625" style="165"/>
    <col min="3073" max="3073" width="4.28515625" style="165" customWidth="1"/>
    <col min="3074" max="3074" width="8.7109375" style="165" customWidth="1"/>
    <col min="3075" max="3075" width="5.5703125" style="165" customWidth="1"/>
    <col min="3076" max="3076" width="11.28515625" style="165" customWidth="1"/>
    <col min="3077" max="3077" width="11.5703125" style="165" customWidth="1"/>
    <col min="3078" max="3078" width="11.42578125" style="165" customWidth="1"/>
    <col min="3079" max="3079" width="12.5703125" style="165" customWidth="1"/>
    <col min="3080" max="3080" width="12.42578125" style="165" customWidth="1"/>
    <col min="3081" max="3081" width="11" style="165" customWidth="1"/>
    <col min="3082" max="3114" width="8.85546875" style="165" customWidth="1"/>
    <col min="3115" max="3328" width="9.140625" style="165"/>
    <col min="3329" max="3329" width="4.28515625" style="165" customWidth="1"/>
    <col min="3330" max="3330" width="8.7109375" style="165" customWidth="1"/>
    <col min="3331" max="3331" width="5.5703125" style="165" customWidth="1"/>
    <col min="3332" max="3332" width="11.28515625" style="165" customWidth="1"/>
    <col min="3333" max="3333" width="11.5703125" style="165" customWidth="1"/>
    <col min="3334" max="3334" width="11.42578125" style="165" customWidth="1"/>
    <col min="3335" max="3335" width="12.5703125" style="165" customWidth="1"/>
    <col min="3336" max="3336" width="12.42578125" style="165" customWidth="1"/>
    <col min="3337" max="3337" width="11" style="165" customWidth="1"/>
    <col min="3338" max="3370" width="8.85546875" style="165" customWidth="1"/>
    <col min="3371" max="3584" width="9.140625" style="165"/>
    <col min="3585" max="3585" width="4.28515625" style="165" customWidth="1"/>
    <col min="3586" max="3586" width="8.7109375" style="165" customWidth="1"/>
    <col min="3587" max="3587" width="5.5703125" style="165" customWidth="1"/>
    <col min="3588" max="3588" width="11.28515625" style="165" customWidth="1"/>
    <col min="3589" max="3589" width="11.5703125" style="165" customWidth="1"/>
    <col min="3590" max="3590" width="11.42578125" style="165" customWidth="1"/>
    <col min="3591" max="3591" width="12.5703125" style="165" customWidth="1"/>
    <col min="3592" max="3592" width="12.42578125" style="165" customWidth="1"/>
    <col min="3593" max="3593" width="11" style="165" customWidth="1"/>
    <col min="3594" max="3626" width="8.85546875" style="165" customWidth="1"/>
    <col min="3627" max="3840" width="9.140625" style="165"/>
    <col min="3841" max="3841" width="4.28515625" style="165" customWidth="1"/>
    <col min="3842" max="3842" width="8.7109375" style="165" customWidth="1"/>
    <col min="3843" max="3843" width="5.5703125" style="165" customWidth="1"/>
    <col min="3844" max="3844" width="11.28515625" style="165" customWidth="1"/>
    <col min="3845" max="3845" width="11.5703125" style="165" customWidth="1"/>
    <col min="3846" max="3846" width="11.42578125" style="165" customWidth="1"/>
    <col min="3847" max="3847" width="12.5703125" style="165" customWidth="1"/>
    <col min="3848" max="3848" width="12.42578125" style="165" customWidth="1"/>
    <col min="3849" max="3849" width="11" style="165" customWidth="1"/>
    <col min="3850" max="3882" width="8.85546875" style="165" customWidth="1"/>
    <col min="3883" max="4096" width="9.140625" style="165"/>
    <col min="4097" max="4097" width="4.28515625" style="165" customWidth="1"/>
    <col min="4098" max="4098" width="8.7109375" style="165" customWidth="1"/>
    <col min="4099" max="4099" width="5.5703125" style="165" customWidth="1"/>
    <col min="4100" max="4100" width="11.28515625" style="165" customWidth="1"/>
    <col min="4101" max="4101" width="11.5703125" style="165" customWidth="1"/>
    <col min="4102" max="4102" width="11.42578125" style="165" customWidth="1"/>
    <col min="4103" max="4103" width="12.5703125" style="165" customWidth="1"/>
    <col min="4104" max="4104" width="12.42578125" style="165" customWidth="1"/>
    <col min="4105" max="4105" width="11" style="165" customWidth="1"/>
    <col min="4106" max="4138" width="8.85546875" style="165" customWidth="1"/>
    <col min="4139" max="4352" width="9.140625" style="165"/>
    <col min="4353" max="4353" width="4.28515625" style="165" customWidth="1"/>
    <col min="4354" max="4354" width="8.7109375" style="165" customWidth="1"/>
    <col min="4355" max="4355" width="5.5703125" style="165" customWidth="1"/>
    <col min="4356" max="4356" width="11.28515625" style="165" customWidth="1"/>
    <col min="4357" max="4357" width="11.5703125" style="165" customWidth="1"/>
    <col min="4358" max="4358" width="11.42578125" style="165" customWidth="1"/>
    <col min="4359" max="4359" width="12.5703125" style="165" customWidth="1"/>
    <col min="4360" max="4360" width="12.42578125" style="165" customWidth="1"/>
    <col min="4361" max="4361" width="11" style="165" customWidth="1"/>
    <col min="4362" max="4394" width="8.85546875" style="165" customWidth="1"/>
    <col min="4395" max="4608" width="9.140625" style="165"/>
    <col min="4609" max="4609" width="4.28515625" style="165" customWidth="1"/>
    <col min="4610" max="4610" width="8.7109375" style="165" customWidth="1"/>
    <col min="4611" max="4611" width="5.5703125" style="165" customWidth="1"/>
    <col min="4612" max="4612" width="11.28515625" style="165" customWidth="1"/>
    <col min="4613" max="4613" width="11.5703125" style="165" customWidth="1"/>
    <col min="4614" max="4614" width="11.42578125" style="165" customWidth="1"/>
    <col min="4615" max="4615" width="12.5703125" style="165" customWidth="1"/>
    <col min="4616" max="4616" width="12.42578125" style="165" customWidth="1"/>
    <col min="4617" max="4617" width="11" style="165" customWidth="1"/>
    <col min="4618" max="4650" width="8.85546875" style="165" customWidth="1"/>
    <col min="4651" max="4864" width="9.140625" style="165"/>
    <col min="4865" max="4865" width="4.28515625" style="165" customWidth="1"/>
    <col min="4866" max="4866" width="8.7109375" style="165" customWidth="1"/>
    <col min="4867" max="4867" width="5.5703125" style="165" customWidth="1"/>
    <col min="4868" max="4868" width="11.28515625" style="165" customWidth="1"/>
    <col min="4869" max="4869" width="11.5703125" style="165" customWidth="1"/>
    <col min="4870" max="4870" width="11.42578125" style="165" customWidth="1"/>
    <col min="4871" max="4871" width="12.5703125" style="165" customWidth="1"/>
    <col min="4872" max="4872" width="12.42578125" style="165" customWidth="1"/>
    <col min="4873" max="4873" width="11" style="165" customWidth="1"/>
    <col min="4874" max="4906" width="8.85546875" style="165" customWidth="1"/>
    <col min="4907" max="5120" width="9.140625" style="165"/>
    <col min="5121" max="5121" width="4.28515625" style="165" customWidth="1"/>
    <col min="5122" max="5122" width="8.7109375" style="165" customWidth="1"/>
    <col min="5123" max="5123" width="5.5703125" style="165" customWidth="1"/>
    <col min="5124" max="5124" width="11.28515625" style="165" customWidth="1"/>
    <col min="5125" max="5125" width="11.5703125" style="165" customWidth="1"/>
    <col min="5126" max="5126" width="11.42578125" style="165" customWidth="1"/>
    <col min="5127" max="5127" width="12.5703125" style="165" customWidth="1"/>
    <col min="5128" max="5128" width="12.42578125" style="165" customWidth="1"/>
    <col min="5129" max="5129" width="11" style="165" customWidth="1"/>
    <col min="5130" max="5162" width="8.85546875" style="165" customWidth="1"/>
    <col min="5163" max="5376" width="9.140625" style="165"/>
    <col min="5377" max="5377" width="4.28515625" style="165" customWidth="1"/>
    <col min="5378" max="5378" width="8.7109375" style="165" customWidth="1"/>
    <col min="5379" max="5379" width="5.5703125" style="165" customWidth="1"/>
    <col min="5380" max="5380" width="11.28515625" style="165" customWidth="1"/>
    <col min="5381" max="5381" width="11.5703125" style="165" customWidth="1"/>
    <col min="5382" max="5382" width="11.42578125" style="165" customWidth="1"/>
    <col min="5383" max="5383" width="12.5703125" style="165" customWidth="1"/>
    <col min="5384" max="5384" width="12.42578125" style="165" customWidth="1"/>
    <col min="5385" max="5385" width="11" style="165" customWidth="1"/>
    <col min="5386" max="5418" width="8.85546875" style="165" customWidth="1"/>
    <col min="5419" max="5632" width="9.140625" style="165"/>
    <col min="5633" max="5633" width="4.28515625" style="165" customWidth="1"/>
    <col min="5634" max="5634" width="8.7109375" style="165" customWidth="1"/>
    <col min="5635" max="5635" width="5.5703125" style="165" customWidth="1"/>
    <col min="5636" max="5636" width="11.28515625" style="165" customWidth="1"/>
    <col min="5637" max="5637" width="11.5703125" style="165" customWidth="1"/>
    <col min="5638" max="5638" width="11.42578125" style="165" customWidth="1"/>
    <col min="5639" max="5639" width="12.5703125" style="165" customWidth="1"/>
    <col min="5640" max="5640" width="12.42578125" style="165" customWidth="1"/>
    <col min="5641" max="5641" width="11" style="165" customWidth="1"/>
    <col min="5642" max="5674" width="8.85546875" style="165" customWidth="1"/>
    <col min="5675" max="5888" width="9.140625" style="165"/>
    <col min="5889" max="5889" width="4.28515625" style="165" customWidth="1"/>
    <col min="5890" max="5890" width="8.7109375" style="165" customWidth="1"/>
    <col min="5891" max="5891" width="5.5703125" style="165" customWidth="1"/>
    <col min="5892" max="5892" width="11.28515625" style="165" customWidth="1"/>
    <col min="5893" max="5893" width="11.5703125" style="165" customWidth="1"/>
    <col min="5894" max="5894" width="11.42578125" style="165" customWidth="1"/>
    <col min="5895" max="5895" width="12.5703125" style="165" customWidth="1"/>
    <col min="5896" max="5896" width="12.42578125" style="165" customWidth="1"/>
    <col min="5897" max="5897" width="11" style="165" customWidth="1"/>
    <col min="5898" max="5930" width="8.85546875" style="165" customWidth="1"/>
    <col min="5931" max="6144" width="9.140625" style="165"/>
    <col min="6145" max="6145" width="4.28515625" style="165" customWidth="1"/>
    <col min="6146" max="6146" width="8.7109375" style="165" customWidth="1"/>
    <col min="6147" max="6147" width="5.5703125" style="165" customWidth="1"/>
    <col min="6148" max="6148" width="11.28515625" style="165" customWidth="1"/>
    <col min="6149" max="6149" width="11.5703125" style="165" customWidth="1"/>
    <col min="6150" max="6150" width="11.42578125" style="165" customWidth="1"/>
    <col min="6151" max="6151" width="12.5703125" style="165" customWidth="1"/>
    <col min="6152" max="6152" width="12.42578125" style="165" customWidth="1"/>
    <col min="6153" max="6153" width="11" style="165" customWidth="1"/>
    <col min="6154" max="6186" width="8.85546875" style="165" customWidth="1"/>
    <col min="6187" max="6400" width="9.140625" style="165"/>
    <col min="6401" max="6401" width="4.28515625" style="165" customWidth="1"/>
    <col min="6402" max="6402" width="8.7109375" style="165" customWidth="1"/>
    <col min="6403" max="6403" width="5.5703125" style="165" customWidth="1"/>
    <col min="6404" max="6404" width="11.28515625" style="165" customWidth="1"/>
    <col min="6405" max="6405" width="11.5703125" style="165" customWidth="1"/>
    <col min="6406" max="6406" width="11.42578125" style="165" customWidth="1"/>
    <col min="6407" max="6407" width="12.5703125" style="165" customWidth="1"/>
    <col min="6408" max="6408" width="12.42578125" style="165" customWidth="1"/>
    <col min="6409" max="6409" width="11" style="165" customWidth="1"/>
    <col min="6410" max="6442" width="8.85546875" style="165" customWidth="1"/>
    <col min="6443" max="6656" width="9.140625" style="165"/>
    <col min="6657" max="6657" width="4.28515625" style="165" customWidth="1"/>
    <col min="6658" max="6658" width="8.7109375" style="165" customWidth="1"/>
    <col min="6659" max="6659" width="5.5703125" style="165" customWidth="1"/>
    <col min="6660" max="6660" width="11.28515625" style="165" customWidth="1"/>
    <col min="6661" max="6661" width="11.5703125" style="165" customWidth="1"/>
    <col min="6662" max="6662" width="11.42578125" style="165" customWidth="1"/>
    <col min="6663" max="6663" width="12.5703125" style="165" customWidth="1"/>
    <col min="6664" max="6664" width="12.42578125" style="165" customWidth="1"/>
    <col min="6665" max="6665" width="11" style="165" customWidth="1"/>
    <col min="6666" max="6698" width="8.85546875" style="165" customWidth="1"/>
    <col min="6699" max="6912" width="9.140625" style="165"/>
    <col min="6913" max="6913" width="4.28515625" style="165" customWidth="1"/>
    <col min="6914" max="6914" width="8.7109375" style="165" customWidth="1"/>
    <col min="6915" max="6915" width="5.5703125" style="165" customWidth="1"/>
    <col min="6916" max="6916" width="11.28515625" style="165" customWidth="1"/>
    <col min="6917" max="6917" width="11.5703125" style="165" customWidth="1"/>
    <col min="6918" max="6918" width="11.42578125" style="165" customWidth="1"/>
    <col min="6919" max="6919" width="12.5703125" style="165" customWidth="1"/>
    <col min="6920" max="6920" width="12.42578125" style="165" customWidth="1"/>
    <col min="6921" max="6921" width="11" style="165" customWidth="1"/>
    <col min="6922" max="6954" width="8.85546875" style="165" customWidth="1"/>
    <col min="6955" max="7168" width="9.140625" style="165"/>
    <col min="7169" max="7169" width="4.28515625" style="165" customWidth="1"/>
    <col min="7170" max="7170" width="8.7109375" style="165" customWidth="1"/>
    <col min="7171" max="7171" width="5.5703125" style="165" customWidth="1"/>
    <col min="7172" max="7172" width="11.28515625" style="165" customWidth="1"/>
    <col min="7173" max="7173" width="11.5703125" style="165" customWidth="1"/>
    <col min="7174" max="7174" width="11.42578125" style="165" customWidth="1"/>
    <col min="7175" max="7175" width="12.5703125" style="165" customWidth="1"/>
    <col min="7176" max="7176" width="12.42578125" style="165" customWidth="1"/>
    <col min="7177" max="7177" width="11" style="165" customWidth="1"/>
    <col min="7178" max="7210" width="8.85546875" style="165" customWidth="1"/>
    <col min="7211" max="7424" width="9.140625" style="165"/>
    <col min="7425" max="7425" width="4.28515625" style="165" customWidth="1"/>
    <col min="7426" max="7426" width="8.7109375" style="165" customWidth="1"/>
    <col min="7427" max="7427" width="5.5703125" style="165" customWidth="1"/>
    <col min="7428" max="7428" width="11.28515625" style="165" customWidth="1"/>
    <col min="7429" max="7429" width="11.5703125" style="165" customWidth="1"/>
    <col min="7430" max="7430" width="11.42578125" style="165" customWidth="1"/>
    <col min="7431" max="7431" width="12.5703125" style="165" customWidth="1"/>
    <col min="7432" max="7432" width="12.42578125" style="165" customWidth="1"/>
    <col min="7433" max="7433" width="11" style="165" customWidth="1"/>
    <col min="7434" max="7466" width="8.85546875" style="165" customWidth="1"/>
    <col min="7467" max="7680" width="9.140625" style="165"/>
    <col min="7681" max="7681" width="4.28515625" style="165" customWidth="1"/>
    <col min="7682" max="7682" width="8.7109375" style="165" customWidth="1"/>
    <col min="7683" max="7683" width="5.5703125" style="165" customWidth="1"/>
    <col min="7684" max="7684" width="11.28515625" style="165" customWidth="1"/>
    <col min="7685" max="7685" width="11.5703125" style="165" customWidth="1"/>
    <col min="7686" max="7686" width="11.42578125" style="165" customWidth="1"/>
    <col min="7687" max="7687" width="12.5703125" style="165" customWidth="1"/>
    <col min="7688" max="7688" width="12.42578125" style="165" customWidth="1"/>
    <col min="7689" max="7689" width="11" style="165" customWidth="1"/>
    <col min="7690" max="7722" width="8.85546875" style="165" customWidth="1"/>
    <col min="7723" max="7936" width="9.140625" style="165"/>
    <col min="7937" max="7937" width="4.28515625" style="165" customWidth="1"/>
    <col min="7938" max="7938" width="8.7109375" style="165" customWidth="1"/>
    <col min="7939" max="7939" width="5.5703125" style="165" customWidth="1"/>
    <col min="7940" max="7940" width="11.28515625" style="165" customWidth="1"/>
    <col min="7941" max="7941" width="11.5703125" style="165" customWidth="1"/>
    <col min="7942" max="7942" width="11.42578125" style="165" customWidth="1"/>
    <col min="7943" max="7943" width="12.5703125" style="165" customWidth="1"/>
    <col min="7944" max="7944" width="12.42578125" style="165" customWidth="1"/>
    <col min="7945" max="7945" width="11" style="165" customWidth="1"/>
    <col min="7946" max="7978" width="8.85546875" style="165" customWidth="1"/>
    <col min="7979" max="8192" width="9.140625" style="165"/>
    <col min="8193" max="8193" width="4.28515625" style="165" customWidth="1"/>
    <col min="8194" max="8194" width="8.7109375" style="165" customWidth="1"/>
    <col min="8195" max="8195" width="5.5703125" style="165" customWidth="1"/>
    <col min="8196" max="8196" width="11.28515625" style="165" customWidth="1"/>
    <col min="8197" max="8197" width="11.5703125" style="165" customWidth="1"/>
    <col min="8198" max="8198" width="11.42578125" style="165" customWidth="1"/>
    <col min="8199" max="8199" width="12.5703125" style="165" customWidth="1"/>
    <col min="8200" max="8200" width="12.42578125" style="165" customWidth="1"/>
    <col min="8201" max="8201" width="11" style="165" customWidth="1"/>
    <col min="8202" max="8234" width="8.85546875" style="165" customWidth="1"/>
    <col min="8235" max="8448" width="9.140625" style="165"/>
    <col min="8449" max="8449" width="4.28515625" style="165" customWidth="1"/>
    <col min="8450" max="8450" width="8.7109375" style="165" customWidth="1"/>
    <col min="8451" max="8451" width="5.5703125" style="165" customWidth="1"/>
    <col min="8452" max="8452" width="11.28515625" style="165" customWidth="1"/>
    <col min="8453" max="8453" width="11.5703125" style="165" customWidth="1"/>
    <col min="8454" max="8454" width="11.42578125" style="165" customWidth="1"/>
    <col min="8455" max="8455" width="12.5703125" style="165" customWidth="1"/>
    <col min="8456" max="8456" width="12.42578125" style="165" customWidth="1"/>
    <col min="8457" max="8457" width="11" style="165" customWidth="1"/>
    <col min="8458" max="8490" width="8.85546875" style="165" customWidth="1"/>
    <col min="8491" max="8704" width="9.140625" style="165"/>
    <col min="8705" max="8705" width="4.28515625" style="165" customWidth="1"/>
    <col min="8706" max="8706" width="8.7109375" style="165" customWidth="1"/>
    <col min="8707" max="8707" width="5.5703125" style="165" customWidth="1"/>
    <col min="8708" max="8708" width="11.28515625" style="165" customWidth="1"/>
    <col min="8709" max="8709" width="11.5703125" style="165" customWidth="1"/>
    <col min="8710" max="8710" width="11.42578125" style="165" customWidth="1"/>
    <col min="8711" max="8711" width="12.5703125" style="165" customWidth="1"/>
    <col min="8712" max="8712" width="12.42578125" style="165" customWidth="1"/>
    <col min="8713" max="8713" width="11" style="165" customWidth="1"/>
    <col min="8714" max="8746" width="8.85546875" style="165" customWidth="1"/>
    <col min="8747" max="8960" width="9.140625" style="165"/>
    <col min="8961" max="8961" width="4.28515625" style="165" customWidth="1"/>
    <col min="8962" max="8962" width="8.7109375" style="165" customWidth="1"/>
    <col min="8963" max="8963" width="5.5703125" style="165" customWidth="1"/>
    <col min="8964" max="8964" width="11.28515625" style="165" customWidth="1"/>
    <col min="8965" max="8965" width="11.5703125" style="165" customWidth="1"/>
    <col min="8966" max="8966" width="11.42578125" style="165" customWidth="1"/>
    <col min="8967" max="8967" width="12.5703125" style="165" customWidth="1"/>
    <col min="8968" max="8968" width="12.42578125" style="165" customWidth="1"/>
    <col min="8969" max="8969" width="11" style="165" customWidth="1"/>
    <col min="8970" max="9002" width="8.85546875" style="165" customWidth="1"/>
    <col min="9003" max="9216" width="9.140625" style="165"/>
    <col min="9217" max="9217" width="4.28515625" style="165" customWidth="1"/>
    <col min="9218" max="9218" width="8.7109375" style="165" customWidth="1"/>
    <col min="9219" max="9219" width="5.5703125" style="165" customWidth="1"/>
    <col min="9220" max="9220" width="11.28515625" style="165" customWidth="1"/>
    <col min="9221" max="9221" width="11.5703125" style="165" customWidth="1"/>
    <col min="9222" max="9222" width="11.42578125" style="165" customWidth="1"/>
    <col min="9223" max="9223" width="12.5703125" style="165" customWidth="1"/>
    <col min="9224" max="9224" width="12.42578125" style="165" customWidth="1"/>
    <col min="9225" max="9225" width="11" style="165" customWidth="1"/>
    <col min="9226" max="9258" width="8.85546875" style="165" customWidth="1"/>
    <col min="9259" max="9472" width="9.140625" style="165"/>
    <col min="9473" max="9473" width="4.28515625" style="165" customWidth="1"/>
    <col min="9474" max="9474" width="8.7109375" style="165" customWidth="1"/>
    <col min="9475" max="9475" width="5.5703125" style="165" customWidth="1"/>
    <col min="9476" max="9476" width="11.28515625" style="165" customWidth="1"/>
    <col min="9477" max="9477" width="11.5703125" style="165" customWidth="1"/>
    <col min="9478" max="9478" width="11.42578125" style="165" customWidth="1"/>
    <col min="9479" max="9479" width="12.5703125" style="165" customWidth="1"/>
    <col min="9480" max="9480" width="12.42578125" style="165" customWidth="1"/>
    <col min="9481" max="9481" width="11" style="165" customWidth="1"/>
    <col min="9482" max="9514" width="8.85546875" style="165" customWidth="1"/>
    <col min="9515" max="9728" width="9.140625" style="165"/>
    <col min="9729" max="9729" width="4.28515625" style="165" customWidth="1"/>
    <col min="9730" max="9730" width="8.7109375" style="165" customWidth="1"/>
    <col min="9731" max="9731" width="5.5703125" style="165" customWidth="1"/>
    <col min="9732" max="9732" width="11.28515625" style="165" customWidth="1"/>
    <col min="9733" max="9733" width="11.5703125" style="165" customWidth="1"/>
    <col min="9734" max="9734" width="11.42578125" style="165" customWidth="1"/>
    <col min="9735" max="9735" width="12.5703125" style="165" customWidth="1"/>
    <col min="9736" max="9736" width="12.42578125" style="165" customWidth="1"/>
    <col min="9737" max="9737" width="11" style="165" customWidth="1"/>
    <col min="9738" max="9770" width="8.85546875" style="165" customWidth="1"/>
    <col min="9771" max="9984" width="9.140625" style="165"/>
    <col min="9985" max="9985" width="4.28515625" style="165" customWidth="1"/>
    <col min="9986" max="9986" width="8.7109375" style="165" customWidth="1"/>
    <col min="9987" max="9987" width="5.5703125" style="165" customWidth="1"/>
    <col min="9988" max="9988" width="11.28515625" style="165" customWidth="1"/>
    <col min="9989" max="9989" width="11.5703125" style="165" customWidth="1"/>
    <col min="9990" max="9990" width="11.42578125" style="165" customWidth="1"/>
    <col min="9991" max="9991" width="12.5703125" style="165" customWidth="1"/>
    <col min="9992" max="9992" width="12.42578125" style="165" customWidth="1"/>
    <col min="9993" max="9993" width="11" style="165" customWidth="1"/>
    <col min="9994" max="10026" width="8.85546875" style="165" customWidth="1"/>
    <col min="10027" max="10240" width="9.140625" style="165"/>
    <col min="10241" max="10241" width="4.28515625" style="165" customWidth="1"/>
    <col min="10242" max="10242" width="8.7109375" style="165" customWidth="1"/>
    <col min="10243" max="10243" width="5.5703125" style="165" customWidth="1"/>
    <col min="10244" max="10244" width="11.28515625" style="165" customWidth="1"/>
    <col min="10245" max="10245" width="11.5703125" style="165" customWidth="1"/>
    <col min="10246" max="10246" width="11.42578125" style="165" customWidth="1"/>
    <col min="10247" max="10247" width="12.5703125" style="165" customWidth="1"/>
    <col min="10248" max="10248" width="12.42578125" style="165" customWidth="1"/>
    <col min="10249" max="10249" width="11" style="165" customWidth="1"/>
    <col min="10250" max="10282" width="8.85546875" style="165" customWidth="1"/>
    <col min="10283" max="10496" width="9.140625" style="165"/>
    <col min="10497" max="10497" width="4.28515625" style="165" customWidth="1"/>
    <col min="10498" max="10498" width="8.7109375" style="165" customWidth="1"/>
    <col min="10499" max="10499" width="5.5703125" style="165" customWidth="1"/>
    <col min="10500" max="10500" width="11.28515625" style="165" customWidth="1"/>
    <col min="10501" max="10501" width="11.5703125" style="165" customWidth="1"/>
    <col min="10502" max="10502" width="11.42578125" style="165" customWidth="1"/>
    <col min="10503" max="10503" width="12.5703125" style="165" customWidth="1"/>
    <col min="10504" max="10504" width="12.42578125" style="165" customWidth="1"/>
    <col min="10505" max="10505" width="11" style="165" customWidth="1"/>
    <col min="10506" max="10538" width="8.85546875" style="165" customWidth="1"/>
    <col min="10539" max="10752" width="9.140625" style="165"/>
    <col min="10753" max="10753" width="4.28515625" style="165" customWidth="1"/>
    <col min="10754" max="10754" width="8.7109375" style="165" customWidth="1"/>
    <col min="10755" max="10755" width="5.5703125" style="165" customWidth="1"/>
    <col min="10756" max="10756" width="11.28515625" style="165" customWidth="1"/>
    <col min="10757" max="10757" width="11.5703125" style="165" customWidth="1"/>
    <col min="10758" max="10758" width="11.42578125" style="165" customWidth="1"/>
    <col min="10759" max="10759" width="12.5703125" style="165" customWidth="1"/>
    <col min="10760" max="10760" width="12.42578125" style="165" customWidth="1"/>
    <col min="10761" max="10761" width="11" style="165" customWidth="1"/>
    <col min="10762" max="10794" width="8.85546875" style="165" customWidth="1"/>
    <col min="10795" max="11008" width="9.140625" style="165"/>
    <col min="11009" max="11009" width="4.28515625" style="165" customWidth="1"/>
    <col min="11010" max="11010" width="8.7109375" style="165" customWidth="1"/>
    <col min="11011" max="11011" width="5.5703125" style="165" customWidth="1"/>
    <col min="11012" max="11012" width="11.28515625" style="165" customWidth="1"/>
    <col min="11013" max="11013" width="11.5703125" style="165" customWidth="1"/>
    <col min="11014" max="11014" width="11.42578125" style="165" customWidth="1"/>
    <col min="11015" max="11015" width="12.5703125" style="165" customWidth="1"/>
    <col min="11016" max="11016" width="12.42578125" style="165" customWidth="1"/>
    <col min="11017" max="11017" width="11" style="165" customWidth="1"/>
    <col min="11018" max="11050" width="8.85546875" style="165" customWidth="1"/>
    <col min="11051" max="11264" width="9.140625" style="165"/>
    <col min="11265" max="11265" width="4.28515625" style="165" customWidth="1"/>
    <col min="11266" max="11266" width="8.7109375" style="165" customWidth="1"/>
    <col min="11267" max="11267" width="5.5703125" style="165" customWidth="1"/>
    <col min="11268" max="11268" width="11.28515625" style="165" customWidth="1"/>
    <col min="11269" max="11269" width="11.5703125" style="165" customWidth="1"/>
    <col min="11270" max="11270" width="11.42578125" style="165" customWidth="1"/>
    <col min="11271" max="11271" width="12.5703125" style="165" customWidth="1"/>
    <col min="11272" max="11272" width="12.42578125" style="165" customWidth="1"/>
    <col min="11273" max="11273" width="11" style="165" customWidth="1"/>
    <col min="11274" max="11306" width="8.85546875" style="165" customWidth="1"/>
    <col min="11307" max="11520" width="9.140625" style="165"/>
    <col min="11521" max="11521" width="4.28515625" style="165" customWidth="1"/>
    <col min="11522" max="11522" width="8.7109375" style="165" customWidth="1"/>
    <col min="11523" max="11523" width="5.5703125" style="165" customWidth="1"/>
    <col min="11524" max="11524" width="11.28515625" style="165" customWidth="1"/>
    <col min="11525" max="11525" width="11.5703125" style="165" customWidth="1"/>
    <col min="11526" max="11526" width="11.42578125" style="165" customWidth="1"/>
    <col min="11527" max="11527" width="12.5703125" style="165" customWidth="1"/>
    <col min="11528" max="11528" width="12.42578125" style="165" customWidth="1"/>
    <col min="11529" max="11529" width="11" style="165" customWidth="1"/>
    <col min="11530" max="11562" width="8.85546875" style="165" customWidth="1"/>
    <col min="11563" max="11776" width="9.140625" style="165"/>
    <col min="11777" max="11777" width="4.28515625" style="165" customWidth="1"/>
    <col min="11778" max="11778" width="8.7109375" style="165" customWidth="1"/>
    <col min="11779" max="11779" width="5.5703125" style="165" customWidth="1"/>
    <col min="11780" max="11780" width="11.28515625" style="165" customWidth="1"/>
    <col min="11781" max="11781" width="11.5703125" style="165" customWidth="1"/>
    <col min="11782" max="11782" width="11.42578125" style="165" customWidth="1"/>
    <col min="11783" max="11783" width="12.5703125" style="165" customWidth="1"/>
    <col min="11784" max="11784" width="12.42578125" style="165" customWidth="1"/>
    <col min="11785" max="11785" width="11" style="165" customWidth="1"/>
    <col min="11786" max="11818" width="8.85546875" style="165" customWidth="1"/>
    <col min="11819" max="12032" width="9.140625" style="165"/>
    <col min="12033" max="12033" width="4.28515625" style="165" customWidth="1"/>
    <col min="12034" max="12034" width="8.7109375" style="165" customWidth="1"/>
    <col min="12035" max="12035" width="5.5703125" style="165" customWidth="1"/>
    <col min="12036" max="12036" width="11.28515625" style="165" customWidth="1"/>
    <col min="12037" max="12037" width="11.5703125" style="165" customWidth="1"/>
    <col min="12038" max="12038" width="11.42578125" style="165" customWidth="1"/>
    <col min="12039" max="12039" width="12.5703125" style="165" customWidth="1"/>
    <col min="12040" max="12040" width="12.42578125" style="165" customWidth="1"/>
    <col min="12041" max="12041" width="11" style="165" customWidth="1"/>
    <col min="12042" max="12074" width="8.85546875" style="165" customWidth="1"/>
    <col min="12075" max="12288" width="9.140625" style="165"/>
    <col min="12289" max="12289" width="4.28515625" style="165" customWidth="1"/>
    <col min="12290" max="12290" width="8.7109375" style="165" customWidth="1"/>
    <col min="12291" max="12291" width="5.5703125" style="165" customWidth="1"/>
    <col min="12292" max="12292" width="11.28515625" style="165" customWidth="1"/>
    <col min="12293" max="12293" width="11.5703125" style="165" customWidth="1"/>
    <col min="12294" max="12294" width="11.42578125" style="165" customWidth="1"/>
    <col min="12295" max="12295" width="12.5703125" style="165" customWidth="1"/>
    <col min="12296" max="12296" width="12.42578125" style="165" customWidth="1"/>
    <col min="12297" max="12297" width="11" style="165" customWidth="1"/>
    <col min="12298" max="12330" width="8.85546875" style="165" customWidth="1"/>
    <col min="12331" max="12544" width="9.140625" style="165"/>
    <col min="12545" max="12545" width="4.28515625" style="165" customWidth="1"/>
    <col min="12546" max="12546" width="8.7109375" style="165" customWidth="1"/>
    <col min="12547" max="12547" width="5.5703125" style="165" customWidth="1"/>
    <col min="12548" max="12548" width="11.28515625" style="165" customWidth="1"/>
    <col min="12549" max="12549" width="11.5703125" style="165" customWidth="1"/>
    <col min="12550" max="12550" width="11.42578125" style="165" customWidth="1"/>
    <col min="12551" max="12551" width="12.5703125" style="165" customWidth="1"/>
    <col min="12552" max="12552" width="12.42578125" style="165" customWidth="1"/>
    <col min="12553" max="12553" width="11" style="165" customWidth="1"/>
    <col min="12554" max="12586" width="8.85546875" style="165" customWidth="1"/>
    <col min="12587" max="12800" width="9.140625" style="165"/>
    <col min="12801" max="12801" width="4.28515625" style="165" customWidth="1"/>
    <col min="12802" max="12802" width="8.7109375" style="165" customWidth="1"/>
    <col min="12803" max="12803" width="5.5703125" style="165" customWidth="1"/>
    <col min="12804" max="12804" width="11.28515625" style="165" customWidth="1"/>
    <col min="12805" max="12805" width="11.5703125" style="165" customWidth="1"/>
    <col min="12806" max="12806" width="11.42578125" style="165" customWidth="1"/>
    <col min="12807" max="12807" width="12.5703125" style="165" customWidth="1"/>
    <col min="12808" max="12808" width="12.42578125" style="165" customWidth="1"/>
    <col min="12809" max="12809" width="11" style="165" customWidth="1"/>
    <col min="12810" max="12842" width="8.85546875" style="165" customWidth="1"/>
    <col min="12843" max="13056" width="9.140625" style="165"/>
    <col min="13057" max="13057" width="4.28515625" style="165" customWidth="1"/>
    <col min="13058" max="13058" width="8.7109375" style="165" customWidth="1"/>
    <col min="13059" max="13059" width="5.5703125" style="165" customWidth="1"/>
    <col min="13060" max="13060" width="11.28515625" style="165" customWidth="1"/>
    <col min="13061" max="13061" width="11.5703125" style="165" customWidth="1"/>
    <col min="13062" max="13062" width="11.42578125" style="165" customWidth="1"/>
    <col min="13063" max="13063" width="12.5703125" style="165" customWidth="1"/>
    <col min="13064" max="13064" width="12.42578125" style="165" customWidth="1"/>
    <col min="13065" max="13065" width="11" style="165" customWidth="1"/>
    <col min="13066" max="13098" width="8.85546875" style="165" customWidth="1"/>
    <col min="13099" max="13312" width="9.140625" style="165"/>
    <col min="13313" max="13313" width="4.28515625" style="165" customWidth="1"/>
    <col min="13314" max="13314" width="8.7109375" style="165" customWidth="1"/>
    <col min="13315" max="13315" width="5.5703125" style="165" customWidth="1"/>
    <col min="13316" max="13316" width="11.28515625" style="165" customWidth="1"/>
    <col min="13317" max="13317" width="11.5703125" style="165" customWidth="1"/>
    <col min="13318" max="13318" width="11.42578125" style="165" customWidth="1"/>
    <col min="13319" max="13319" width="12.5703125" style="165" customWidth="1"/>
    <col min="13320" max="13320" width="12.42578125" style="165" customWidth="1"/>
    <col min="13321" max="13321" width="11" style="165" customWidth="1"/>
    <col min="13322" max="13354" width="8.85546875" style="165" customWidth="1"/>
    <col min="13355" max="13568" width="9.140625" style="165"/>
    <col min="13569" max="13569" width="4.28515625" style="165" customWidth="1"/>
    <col min="13570" max="13570" width="8.7109375" style="165" customWidth="1"/>
    <col min="13571" max="13571" width="5.5703125" style="165" customWidth="1"/>
    <col min="13572" max="13572" width="11.28515625" style="165" customWidth="1"/>
    <col min="13573" max="13573" width="11.5703125" style="165" customWidth="1"/>
    <col min="13574" max="13574" width="11.42578125" style="165" customWidth="1"/>
    <col min="13575" max="13575" width="12.5703125" style="165" customWidth="1"/>
    <col min="13576" max="13576" width="12.42578125" style="165" customWidth="1"/>
    <col min="13577" max="13577" width="11" style="165" customWidth="1"/>
    <col min="13578" max="13610" width="8.85546875" style="165" customWidth="1"/>
    <col min="13611" max="13824" width="9.140625" style="165"/>
    <col min="13825" max="13825" width="4.28515625" style="165" customWidth="1"/>
    <col min="13826" max="13826" width="8.7109375" style="165" customWidth="1"/>
    <col min="13827" max="13827" width="5.5703125" style="165" customWidth="1"/>
    <col min="13828" max="13828" width="11.28515625" style="165" customWidth="1"/>
    <col min="13829" max="13829" width="11.5703125" style="165" customWidth="1"/>
    <col min="13830" max="13830" width="11.42578125" style="165" customWidth="1"/>
    <col min="13831" max="13831" width="12.5703125" style="165" customWidth="1"/>
    <col min="13832" max="13832" width="12.42578125" style="165" customWidth="1"/>
    <col min="13833" max="13833" width="11" style="165" customWidth="1"/>
    <col min="13834" max="13866" width="8.85546875" style="165" customWidth="1"/>
    <col min="13867" max="14080" width="9.140625" style="165"/>
    <col min="14081" max="14081" width="4.28515625" style="165" customWidth="1"/>
    <col min="14082" max="14082" width="8.7109375" style="165" customWidth="1"/>
    <col min="14083" max="14083" width="5.5703125" style="165" customWidth="1"/>
    <col min="14084" max="14084" width="11.28515625" style="165" customWidth="1"/>
    <col min="14085" max="14085" width="11.5703125" style="165" customWidth="1"/>
    <col min="14086" max="14086" width="11.42578125" style="165" customWidth="1"/>
    <col min="14087" max="14087" width="12.5703125" style="165" customWidth="1"/>
    <col min="14088" max="14088" width="12.42578125" style="165" customWidth="1"/>
    <col min="14089" max="14089" width="11" style="165" customWidth="1"/>
    <col min="14090" max="14122" width="8.85546875" style="165" customWidth="1"/>
    <col min="14123" max="14336" width="9.140625" style="165"/>
    <col min="14337" max="14337" width="4.28515625" style="165" customWidth="1"/>
    <col min="14338" max="14338" width="8.7109375" style="165" customWidth="1"/>
    <col min="14339" max="14339" width="5.5703125" style="165" customWidth="1"/>
    <col min="14340" max="14340" width="11.28515625" style="165" customWidth="1"/>
    <col min="14341" max="14341" width="11.5703125" style="165" customWidth="1"/>
    <col min="14342" max="14342" width="11.42578125" style="165" customWidth="1"/>
    <col min="14343" max="14343" width="12.5703125" style="165" customWidth="1"/>
    <col min="14344" max="14344" width="12.42578125" style="165" customWidth="1"/>
    <col min="14345" max="14345" width="11" style="165" customWidth="1"/>
    <col min="14346" max="14378" width="8.85546875" style="165" customWidth="1"/>
    <col min="14379" max="14592" width="9.140625" style="165"/>
    <col min="14593" max="14593" width="4.28515625" style="165" customWidth="1"/>
    <col min="14594" max="14594" width="8.7109375" style="165" customWidth="1"/>
    <col min="14595" max="14595" width="5.5703125" style="165" customWidth="1"/>
    <col min="14596" max="14596" width="11.28515625" style="165" customWidth="1"/>
    <col min="14597" max="14597" width="11.5703125" style="165" customWidth="1"/>
    <col min="14598" max="14598" width="11.42578125" style="165" customWidth="1"/>
    <col min="14599" max="14599" width="12.5703125" style="165" customWidth="1"/>
    <col min="14600" max="14600" width="12.42578125" style="165" customWidth="1"/>
    <col min="14601" max="14601" width="11" style="165" customWidth="1"/>
    <col min="14602" max="14634" width="8.85546875" style="165" customWidth="1"/>
    <col min="14635" max="14848" width="9.140625" style="165"/>
    <col min="14849" max="14849" width="4.28515625" style="165" customWidth="1"/>
    <col min="14850" max="14850" width="8.7109375" style="165" customWidth="1"/>
    <col min="14851" max="14851" width="5.5703125" style="165" customWidth="1"/>
    <col min="14852" max="14852" width="11.28515625" style="165" customWidth="1"/>
    <col min="14853" max="14853" width="11.5703125" style="165" customWidth="1"/>
    <col min="14854" max="14854" width="11.42578125" style="165" customWidth="1"/>
    <col min="14855" max="14855" width="12.5703125" style="165" customWidth="1"/>
    <col min="14856" max="14856" width="12.42578125" style="165" customWidth="1"/>
    <col min="14857" max="14857" width="11" style="165" customWidth="1"/>
    <col min="14858" max="14890" width="8.85546875" style="165" customWidth="1"/>
    <col min="14891" max="15104" width="9.140625" style="165"/>
    <col min="15105" max="15105" width="4.28515625" style="165" customWidth="1"/>
    <col min="15106" max="15106" width="8.7109375" style="165" customWidth="1"/>
    <col min="15107" max="15107" width="5.5703125" style="165" customWidth="1"/>
    <col min="15108" max="15108" width="11.28515625" style="165" customWidth="1"/>
    <col min="15109" max="15109" width="11.5703125" style="165" customWidth="1"/>
    <col min="15110" max="15110" width="11.42578125" style="165" customWidth="1"/>
    <col min="15111" max="15111" width="12.5703125" style="165" customWidth="1"/>
    <col min="15112" max="15112" width="12.42578125" style="165" customWidth="1"/>
    <col min="15113" max="15113" width="11" style="165" customWidth="1"/>
    <col min="15114" max="15146" width="8.85546875" style="165" customWidth="1"/>
    <col min="15147" max="15360" width="9.140625" style="165"/>
    <col min="15361" max="15361" width="4.28515625" style="165" customWidth="1"/>
    <col min="15362" max="15362" width="8.7109375" style="165" customWidth="1"/>
    <col min="15363" max="15363" width="5.5703125" style="165" customWidth="1"/>
    <col min="15364" max="15364" width="11.28515625" style="165" customWidth="1"/>
    <col min="15365" max="15365" width="11.5703125" style="165" customWidth="1"/>
    <col min="15366" max="15366" width="11.42578125" style="165" customWidth="1"/>
    <col min="15367" max="15367" width="12.5703125" style="165" customWidth="1"/>
    <col min="15368" max="15368" width="12.42578125" style="165" customWidth="1"/>
    <col min="15369" max="15369" width="11" style="165" customWidth="1"/>
    <col min="15370" max="15402" width="8.85546875" style="165" customWidth="1"/>
    <col min="15403" max="15616" width="9.140625" style="165"/>
    <col min="15617" max="15617" width="4.28515625" style="165" customWidth="1"/>
    <col min="15618" max="15618" width="8.7109375" style="165" customWidth="1"/>
    <col min="15619" max="15619" width="5.5703125" style="165" customWidth="1"/>
    <col min="15620" max="15620" width="11.28515625" style="165" customWidth="1"/>
    <col min="15621" max="15621" width="11.5703125" style="165" customWidth="1"/>
    <col min="15622" max="15622" width="11.42578125" style="165" customWidth="1"/>
    <col min="15623" max="15623" width="12.5703125" style="165" customWidth="1"/>
    <col min="15624" max="15624" width="12.42578125" style="165" customWidth="1"/>
    <col min="15625" max="15625" width="11" style="165" customWidth="1"/>
    <col min="15626" max="15658" width="8.85546875" style="165" customWidth="1"/>
    <col min="15659" max="15872" width="9.140625" style="165"/>
    <col min="15873" max="15873" width="4.28515625" style="165" customWidth="1"/>
    <col min="15874" max="15874" width="8.7109375" style="165" customWidth="1"/>
    <col min="15875" max="15875" width="5.5703125" style="165" customWidth="1"/>
    <col min="15876" max="15876" width="11.28515625" style="165" customWidth="1"/>
    <col min="15877" max="15877" width="11.5703125" style="165" customWidth="1"/>
    <col min="15878" max="15878" width="11.42578125" style="165" customWidth="1"/>
    <col min="15879" max="15879" width="12.5703125" style="165" customWidth="1"/>
    <col min="15880" max="15880" width="12.42578125" style="165" customWidth="1"/>
    <col min="15881" max="15881" width="11" style="165" customWidth="1"/>
    <col min="15882" max="15914" width="8.85546875" style="165" customWidth="1"/>
    <col min="15915" max="16128" width="9.140625" style="165"/>
    <col min="16129" max="16129" width="4.28515625" style="165" customWidth="1"/>
    <col min="16130" max="16130" width="8.7109375" style="165" customWidth="1"/>
    <col min="16131" max="16131" width="5.5703125" style="165" customWidth="1"/>
    <col min="16132" max="16132" width="11.28515625" style="165" customWidth="1"/>
    <col min="16133" max="16133" width="11.5703125" style="165" customWidth="1"/>
    <col min="16134" max="16134" width="11.42578125" style="165" customWidth="1"/>
    <col min="16135" max="16135" width="12.5703125" style="165" customWidth="1"/>
    <col min="16136" max="16136" width="12.42578125" style="165" customWidth="1"/>
    <col min="16137" max="16137" width="11" style="165" customWidth="1"/>
    <col min="16138" max="16170" width="8.85546875" style="165" customWidth="1"/>
    <col min="16171" max="16384" width="9.140625" style="165"/>
  </cols>
  <sheetData>
    <row r="1" spans="1:9">
      <c r="G1" s="166" t="s">
        <v>96</v>
      </c>
      <c r="H1" s="166"/>
    </row>
    <row r="2" spans="1:9">
      <c r="G2" s="12" t="s">
        <v>347</v>
      </c>
      <c r="H2" s="168"/>
    </row>
    <row r="3" spans="1:9">
      <c r="G3" s="10" t="s">
        <v>1</v>
      </c>
      <c r="H3" s="166"/>
    </row>
    <row r="4" spans="1:9">
      <c r="G4" s="12" t="s">
        <v>348</v>
      </c>
      <c r="H4" s="168"/>
    </row>
    <row r="5" spans="1:9">
      <c r="H5" s="169"/>
    </row>
    <row r="7" spans="1:9" ht="35.25" customHeight="1">
      <c r="A7" s="170" t="s">
        <v>349</v>
      </c>
      <c r="B7" s="170"/>
      <c r="C7" s="170"/>
      <c r="D7" s="170"/>
      <c r="E7" s="170"/>
      <c r="F7" s="170"/>
      <c r="G7" s="170"/>
      <c r="H7" s="170"/>
      <c r="I7" s="170"/>
    </row>
    <row r="8" spans="1:9" ht="18" customHeight="1">
      <c r="A8" s="171"/>
      <c r="B8" s="171"/>
      <c r="C8" s="171"/>
      <c r="D8" s="171"/>
      <c r="E8" s="171"/>
      <c r="F8" s="171"/>
      <c r="G8" s="171"/>
      <c r="H8" s="171"/>
      <c r="I8" s="171"/>
    </row>
    <row r="9" spans="1:9" ht="13.5" customHeight="1">
      <c r="I9" s="172" t="s">
        <v>3</v>
      </c>
    </row>
    <row r="10" spans="1:9" ht="13.5" customHeight="1">
      <c r="A10" s="173"/>
      <c r="B10" s="173"/>
      <c r="C10" s="173"/>
      <c r="D10" s="174"/>
      <c r="E10" s="174"/>
      <c r="F10" s="175" t="s">
        <v>350</v>
      </c>
      <c r="G10" s="176"/>
      <c r="H10" s="176"/>
      <c r="I10" s="177"/>
    </row>
    <row r="11" spans="1:9" ht="33.75" customHeight="1">
      <c r="A11" s="178" t="s">
        <v>97</v>
      </c>
      <c r="B11" s="178" t="s">
        <v>104</v>
      </c>
      <c r="C11" s="178" t="s">
        <v>7</v>
      </c>
      <c r="D11" s="179" t="s">
        <v>351</v>
      </c>
      <c r="E11" s="179" t="s">
        <v>352</v>
      </c>
      <c r="F11" s="174"/>
      <c r="G11" s="175" t="s">
        <v>353</v>
      </c>
      <c r="H11" s="177"/>
      <c r="I11" s="174"/>
    </row>
    <row r="12" spans="1:9" ht="39.75" customHeight="1">
      <c r="A12" s="180"/>
      <c r="B12" s="180"/>
      <c r="C12" s="180"/>
      <c r="D12" s="180"/>
      <c r="E12" s="181"/>
      <c r="F12" s="182" t="s">
        <v>354</v>
      </c>
      <c r="G12" s="183" t="s">
        <v>355</v>
      </c>
      <c r="H12" s="183" t="s">
        <v>356</v>
      </c>
      <c r="I12" s="182" t="s">
        <v>357</v>
      </c>
    </row>
    <row r="13" spans="1:9" ht="10.5" customHeight="1">
      <c r="A13" s="184">
        <v>1</v>
      </c>
      <c r="B13" s="184">
        <v>2</v>
      </c>
      <c r="C13" s="184">
        <v>3</v>
      </c>
      <c r="D13" s="184">
        <v>4</v>
      </c>
      <c r="E13" s="184">
        <v>5</v>
      </c>
      <c r="F13" s="184">
        <v>6</v>
      </c>
      <c r="G13" s="184">
        <v>7</v>
      </c>
      <c r="H13" s="184">
        <v>8</v>
      </c>
      <c r="I13" s="184">
        <v>9</v>
      </c>
    </row>
    <row r="14" spans="1:9" ht="20.25" customHeight="1">
      <c r="A14" s="185">
        <v>710</v>
      </c>
      <c r="B14" s="185">
        <v>71035</v>
      </c>
      <c r="C14" s="185">
        <v>2020</v>
      </c>
      <c r="D14" s="186">
        <v>40000</v>
      </c>
      <c r="E14" s="186">
        <f>SUM(F14,I14)</f>
        <v>40000</v>
      </c>
      <c r="F14" s="186">
        <v>40000</v>
      </c>
      <c r="G14" s="186">
        <v>0</v>
      </c>
      <c r="H14" s="186">
        <v>0</v>
      </c>
      <c r="I14" s="186">
        <v>0</v>
      </c>
    </row>
    <row r="15" spans="1:9" ht="20.25" customHeight="1">
      <c r="A15" s="185">
        <v>752</v>
      </c>
      <c r="B15" s="185">
        <v>75224</v>
      </c>
      <c r="C15" s="187">
        <v>2120</v>
      </c>
      <c r="D15" s="188">
        <f>60300+190</f>
        <v>60490</v>
      </c>
      <c r="E15" s="186">
        <f>SUM(F15,I15)</f>
        <v>60490</v>
      </c>
      <c r="F15" s="186">
        <f>60300+190</f>
        <v>60490</v>
      </c>
      <c r="G15" s="186">
        <f>50800-600-60</f>
        <v>50140</v>
      </c>
      <c r="H15" s="186">
        <v>0</v>
      </c>
      <c r="I15" s="186">
        <v>0</v>
      </c>
    </row>
    <row r="16" spans="1:9" ht="20.25" customHeight="1">
      <c r="A16" s="185">
        <v>801</v>
      </c>
      <c r="B16" s="185">
        <v>80146</v>
      </c>
      <c r="C16" s="187">
        <v>2120</v>
      </c>
      <c r="D16" s="188">
        <f>439000+88600+14500</f>
        <v>542100</v>
      </c>
      <c r="E16" s="186">
        <f>SUM(F16,I16)</f>
        <v>542100</v>
      </c>
      <c r="F16" s="186">
        <f>439000+88600+14500</f>
        <v>542100</v>
      </c>
      <c r="G16" s="186">
        <f>419000+86600+6494</f>
        <v>512094</v>
      </c>
      <c r="H16" s="186">
        <v>0</v>
      </c>
      <c r="I16" s="186">
        <v>0</v>
      </c>
    </row>
    <row r="17" spans="1:9" ht="20.25" customHeight="1">
      <c r="A17" s="185">
        <v>801</v>
      </c>
      <c r="B17" s="185">
        <v>80195</v>
      </c>
      <c r="C17" s="187">
        <v>2120</v>
      </c>
      <c r="D17" s="188">
        <v>387860</v>
      </c>
      <c r="E17" s="186">
        <f>SUM(F17,I17)</f>
        <v>387860</v>
      </c>
      <c r="F17" s="186">
        <v>387860</v>
      </c>
      <c r="G17" s="186">
        <v>346956</v>
      </c>
      <c r="H17" s="186">
        <v>0</v>
      </c>
      <c r="I17" s="186">
        <v>0</v>
      </c>
    </row>
    <row r="18" spans="1:9" ht="23.25" customHeight="1">
      <c r="A18" s="530" t="s">
        <v>172</v>
      </c>
      <c r="B18" s="531"/>
      <c r="C18" s="532"/>
      <c r="D18" s="480">
        <f t="shared" ref="D18:I18" si="0">SUM(D14:D17)</f>
        <v>1030450</v>
      </c>
      <c r="E18" s="480">
        <f t="shared" si="0"/>
        <v>1030450</v>
      </c>
      <c r="F18" s="480">
        <f t="shared" si="0"/>
        <v>1030450</v>
      </c>
      <c r="G18" s="480">
        <f t="shared" si="0"/>
        <v>909190</v>
      </c>
      <c r="H18" s="480">
        <f t="shared" si="0"/>
        <v>0</v>
      </c>
      <c r="I18" s="480">
        <f t="shared" si="0"/>
        <v>0</v>
      </c>
    </row>
    <row r="21" spans="1:9">
      <c r="G21" s="189"/>
    </row>
  </sheetData>
  <mergeCells count="1">
    <mergeCell ref="A18:C18"/>
  </mergeCells>
  <pageMargins left="0.62992125984251968" right="0.62992125984251968" top="0.74803149606299213" bottom="0.74803149606299213" header="0.31496062992125984" footer="0.31496062992125984"/>
  <pageSetup paperSize="9" firstPageNumber="43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976F4-8004-4930-8C69-2F3E07C00764}">
  <sheetPr>
    <tabColor rgb="FF92D050"/>
    <pageSetUpPr fitToPage="1"/>
  </sheetPr>
  <dimension ref="A1:H48"/>
  <sheetViews>
    <sheetView zoomScale="130" zoomScaleNormal="130" workbookViewId="0"/>
  </sheetViews>
  <sheetFormatPr defaultRowHeight="12"/>
  <cols>
    <col min="1" max="1" width="4" style="190" customWidth="1"/>
    <col min="2" max="2" width="5.28515625" style="190" customWidth="1"/>
    <col min="3" max="3" width="8.42578125" style="190" customWidth="1"/>
    <col min="4" max="4" width="8" style="191" customWidth="1"/>
    <col min="5" max="5" width="51.28515625" style="190" customWidth="1"/>
    <col min="6" max="6" width="21" style="190" customWidth="1"/>
    <col min="7" max="7" width="13" style="190" customWidth="1"/>
    <col min="8" max="8" width="10.7109375" style="190" customWidth="1"/>
    <col min="9" max="16384" width="9.140625" style="190"/>
  </cols>
  <sheetData>
    <row r="1" spans="1:8" ht="12" customHeight="1">
      <c r="E1" s="247" t="s">
        <v>383</v>
      </c>
      <c r="F1" s="247"/>
    </row>
    <row r="2" spans="1:8" ht="12" customHeight="1">
      <c r="E2" s="245" t="s">
        <v>384</v>
      </c>
      <c r="F2" s="245"/>
    </row>
    <row r="3" spans="1:8" ht="12" customHeight="1">
      <c r="E3" s="246" t="s">
        <v>382</v>
      </c>
      <c r="F3" s="245"/>
    </row>
    <row r="4" spans="1:8" ht="12" customHeight="1">
      <c r="E4" s="245" t="s">
        <v>385</v>
      </c>
      <c r="F4" s="245"/>
    </row>
    <row r="5" spans="1:8">
      <c r="E5" s="244"/>
      <c r="F5" s="244"/>
    </row>
    <row r="6" spans="1:8" ht="15" customHeight="1">
      <c r="A6" s="533" t="s">
        <v>381</v>
      </c>
      <c r="B6" s="533"/>
      <c r="C6" s="533"/>
      <c r="D6" s="533"/>
      <c r="E6" s="533"/>
      <c r="F6" s="533"/>
    </row>
    <row r="7" spans="1:8" ht="15" customHeight="1">
      <c r="A7" s="533" t="s">
        <v>380</v>
      </c>
      <c r="B7" s="533"/>
      <c r="C7" s="533"/>
      <c r="D7" s="533"/>
      <c r="E7" s="533"/>
      <c r="F7" s="533"/>
    </row>
    <row r="8" spans="1:8" ht="13.9" customHeight="1">
      <c r="E8" s="243"/>
      <c r="F8" s="243"/>
    </row>
    <row r="9" spans="1:8" ht="12" customHeight="1">
      <c r="E9" s="242"/>
      <c r="F9" s="241" t="s">
        <v>3</v>
      </c>
    </row>
    <row r="10" spans="1:8" ht="19.5" customHeight="1">
      <c r="A10" s="240" t="s">
        <v>101</v>
      </c>
      <c r="B10" s="239" t="s">
        <v>97</v>
      </c>
      <c r="C10" s="239" t="s">
        <v>104</v>
      </c>
      <c r="D10" s="240" t="s">
        <v>379</v>
      </c>
      <c r="E10" s="239" t="s">
        <v>102</v>
      </c>
      <c r="F10" s="239" t="s">
        <v>378</v>
      </c>
    </row>
    <row r="11" spans="1:8" s="236" customFormat="1" ht="9.75" customHeight="1">
      <c r="A11" s="237">
        <v>1</v>
      </c>
      <c r="B11" s="237">
        <v>2</v>
      </c>
      <c r="C11" s="237">
        <v>3</v>
      </c>
      <c r="D11" s="238">
        <v>4</v>
      </c>
      <c r="E11" s="237">
        <v>5</v>
      </c>
      <c r="F11" s="237">
        <v>6</v>
      </c>
    </row>
    <row r="12" spans="1:8" ht="18" customHeight="1">
      <c r="A12" s="215" t="s">
        <v>377</v>
      </c>
      <c r="B12" s="213"/>
      <c r="C12" s="213"/>
      <c r="D12" s="214"/>
      <c r="E12" s="213"/>
      <c r="F12" s="212"/>
    </row>
    <row r="13" spans="1:8" ht="15" customHeight="1">
      <c r="A13" s="202">
        <v>1</v>
      </c>
      <c r="B13" s="202">
        <v>801</v>
      </c>
      <c r="C13" s="202">
        <v>80104</v>
      </c>
      <c r="D13" s="202">
        <v>2310</v>
      </c>
      <c r="E13" s="235" t="s">
        <v>29</v>
      </c>
      <c r="F13" s="199">
        <f>300000+45000</f>
        <v>345000</v>
      </c>
      <c r="H13" s="192"/>
    </row>
    <row r="14" spans="1:8" ht="16.5" customHeight="1">
      <c r="A14" s="202">
        <v>2</v>
      </c>
      <c r="B14" s="229">
        <v>851</v>
      </c>
      <c r="C14" s="229">
        <v>85149</v>
      </c>
      <c r="D14" s="234">
        <v>2780</v>
      </c>
      <c r="E14" s="235" t="s">
        <v>60</v>
      </c>
      <c r="F14" s="199">
        <f>16000+5000</f>
        <v>21000</v>
      </c>
      <c r="H14" s="192"/>
    </row>
    <row r="15" spans="1:8" ht="21.75" customHeight="1">
      <c r="A15" s="202">
        <v>3</v>
      </c>
      <c r="B15" s="201">
        <v>851</v>
      </c>
      <c r="C15" s="201">
        <v>85154</v>
      </c>
      <c r="D15" s="201">
        <v>2330</v>
      </c>
      <c r="E15" s="235" t="s">
        <v>376</v>
      </c>
      <c r="F15" s="199">
        <f>6000-1199.35</f>
        <v>4800.6499999999996</v>
      </c>
    </row>
    <row r="16" spans="1:8" ht="14.25" customHeight="1">
      <c r="A16" s="229">
        <v>4</v>
      </c>
      <c r="B16" s="234">
        <v>853</v>
      </c>
      <c r="C16" s="234">
        <v>85333</v>
      </c>
      <c r="D16" s="234">
        <v>2320</v>
      </c>
      <c r="E16" s="200" t="s">
        <v>375</v>
      </c>
      <c r="F16" s="199">
        <v>4187140</v>
      </c>
    </row>
    <row r="17" spans="1:6" ht="26.25" customHeight="1">
      <c r="A17" s="229">
        <v>5</v>
      </c>
      <c r="B17" s="233">
        <v>853</v>
      </c>
      <c r="C17" s="232">
        <v>85395</v>
      </c>
      <c r="D17" s="231">
        <v>2800</v>
      </c>
      <c r="E17" s="230" t="s">
        <v>374</v>
      </c>
      <c r="F17" s="199">
        <v>70000</v>
      </c>
    </row>
    <row r="18" spans="1:6" ht="16.899999999999999" customHeight="1">
      <c r="A18" s="229">
        <v>6</v>
      </c>
      <c r="B18" s="201">
        <v>921</v>
      </c>
      <c r="C18" s="201">
        <v>92110</v>
      </c>
      <c r="D18" s="201">
        <v>6220</v>
      </c>
      <c r="E18" s="200" t="s">
        <v>373</v>
      </c>
      <c r="F18" s="199">
        <f>F19</f>
        <v>149000</v>
      </c>
    </row>
    <row r="19" spans="1:6" s="193" customFormat="1" ht="14.45" customHeight="1">
      <c r="A19" s="228"/>
      <c r="B19" s="227"/>
      <c r="C19" s="226"/>
      <c r="D19" s="225"/>
      <c r="E19" s="224" t="s">
        <v>364</v>
      </c>
      <c r="F19" s="223">
        <f>129000+20000</f>
        <v>149000</v>
      </c>
    </row>
    <row r="20" spans="1:6" ht="24" customHeight="1">
      <c r="A20" s="202">
        <v>7</v>
      </c>
      <c r="B20" s="201">
        <v>921</v>
      </c>
      <c r="C20" s="201">
        <v>92113</v>
      </c>
      <c r="D20" s="222" t="s">
        <v>372</v>
      </c>
      <c r="E20" s="221" t="s">
        <v>319</v>
      </c>
      <c r="F20" s="220">
        <f>F21</f>
        <v>480804.39</v>
      </c>
    </row>
    <row r="21" spans="1:6" s="193" customFormat="1" ht="22.5" customHeight="1">
      <c r="A21" s="198"/>
      <c r="B21" s="203"/>
      <c r="C21" s="206"/>
      <c r="D21" s="211"/>
      <c r="E21" s="219" t="s">
        <v>371</v>
      </c>
      <c r="F21" s="218">
        <v>480804.39</v>
      </c>
    </row>
    <row r="22" spans="1:6" s="193" customFormat="1" ht="21.6" customHeight="1">
      <c r="A22" s="202">
        <v>8</v>
      </c>
      <c r="B22" s="201">
        <v>921</v>
      </c>
      <c r="C22" s="201">
        <v>92113</v>
      </c>
      <c r="D22" s="201">
        <v>2800</v>
      </c>
      <c r="E22" s="200" t="s">
        <v>319</v>
      </c>
      <c r="F22" s="199">
        <f>F23</f>
        <v>160000</v>
      </c>
    </row>
    <row r="23" spans="1:6" s="193" customFormat="1" ht="15" customHeight="1">
      <c r="A23" s="198"/>
      <c r="B23" s="203"/>
      <c r="C23" s="206"/>
      <c r="D23" s="211"/>
      <c r="E23" s="217" t="s">
        <v>363</v>
      </c>
      <c r="F23" s="216">
        <f>50000+60000+50000</f>
        <v>160000</v>
      </c>
    </row>
    <row r="24" spans="1:6" s="193" customFormat="1" ht="16.899999999999999" customHeight="1">
      <c r="A24" s="202">
        <v>9</v>
      </c>
      <c r="B24" s="201">
        <v>921</v>
      </c>
      <c r="C24" s="201">
        <v>92113</v>
      </c>
      <c r="D24" s="201">
        <v>6220</v>
      </c>
      <c r="E24" s="200" t="s">
        <v>370</v>
      </c>
      <c r="F24" s="199">
        <f>F25</f>
        <v>450000</v>
      </c>
    </row>
    <row r="25" spans="1:6" s="193" customFormat="1" ht="15" customHeight="1">
      <c r="A25" s="198"/>
      <c r="B25" s="203"/>
      <c r="C25" s="203"/>
      <c r="D25" s="196"/>
      <c r="E25" s="217" t="s">
        <v>363</v>
      </c>
      <c r="F25" s="216">
        <v>450000</v>
      </c>
    </row>
    <row r="26" spans="1:6" ht="16.899999999999999" customHeight="1">
      <c r="A26" s="202">
        <v>10</v>
      </c>
      <c r="B26" s="201">
        <v>921</v>
      </c>
      <c r="C26" s="201">
        <v>92114</v>
      </c>
      <c r="D26" s="201">
        <v>6220</v>
      </c>
      <c r="E26" s="200" t="s">
        <v>369</v>
      </c>
      <c r="F26" s="199">
        <f>F27</f>
        <v>80000</v>
      </c>
    </row>
    <row r="27" spans="1:6" s="193" customFormat="1" ht="13.9" customHeight="1">
      <c r="A27" s="198"/>
      <c r="B27" s="203"/>
      <c r="C27" s="203"/>
      <c r="D27" s="196"/>
      <c r="E27" s="195" t="s">
        <v>361</v>
      </c>
      <c r="F27" s="194">
        <v>80000</v>
      </c>
    </row>
    <row r="28" spans="1:6" ht="16.899999999999999" customHeight="1">
      <c r="A28" s="202">
        <v>11</v>
      </c>
      <c r="B28" s="201">
        <v>921</v>
      </c>
      <c r="C28" s="201">
        <v>92116</v>
      </c>
      <c r="D28" s="201">
        <v>2800</v>
      </c>
      <c r="E28" s="200" t="s">
        <v>360</v>
      </c>
      <c r="F28" s="199">
        <f>F29</f>
        <v>50000</v>
      </c>
    </row>
    <row r="29" spans="1:6" s="193" customFormat="1" ht="13.5" customHeight="1">
      <c r="A29" s="198"/>
      <c r="B29" s="203"/>
      <c r="C29" s="203"/>
      <c r="D29" s="196"/>
      <c r="E29" s="217" t="s">
        <v>359</v>
      </c>
      <c r="F29" s="216">
        <v>50000</v>
      </c>
    </row>
    <row r="30" spans="1:6" ht="16.899999999999999" customHeight="1">
      <c r="A30" s="202">
        <v>12</v>
      </c>
      <c r="B30" s="201">
        <v>921</v>
      </c>
      <c r="C30" s="201">
        <v>92116</v>
      </c>
      <c r="D30" s="201">
        <v>6220</v>
      </c>
      <c r="E30" s="200" t="s">
        <v>368</v>
      </c>
      <c r="F30" s="199">
        <f>F31</f>
        <v>200000</v>
      </c>
    </row>
    <row r="31" spans="1:6" s="193" customFormat="1" ht="12" customHeight="1">
      <c r="A31" s="198"/>
      <c r="B31" s="203"/>
      <c r="C31" s="203"/>
      <c r="D31" s="196"/>
      <c r="E31" s="217" t="s">
        <v>359</v>
      </c>
      <c r="F31" s="216">
        <v>200000</v>
      </c>
    </row>
    <row r="32" spans="1:6" ht="17.25" customHeight="1">
      <c r="A32" s="481"/>
      <c r="B32" s="482"/>
      <c r="C32" s="482"/>
      <c r="D32" s="483"/>
      <c r="E32" s="484" t="s">
        <v>358</v>
      </c>
      <c r="F32" s="485">
        <f>F30+F28+F26+F24+F22+F20+F18+F17+F16+F15+F14+F13</f>
        <v>6197745.040000001</v>
      </c>
    </row>
    <row r="33" spans="1:6" ht="15.75" customHeight="1">
      <c r="A33" s="215" t="s">
        <v>367</v>
      </c>
      <c r="B33" s="213"/>
      <c r="C33" s="213"/>
      <c r="D33" s="214"/>
      <c r="E33" s="213"/>
      <c r="F33" s="212"/>
    </row>
    <row r="34" spans="1:6" ht="16.899999999999999" customHeight="1">
      <c r="A34" s="202">
        <v>1</v>
      </c>
      <c r="B34" s="201">
        <v>853</v>
      </c>
      <c r="C34" s="201">
        <v>85395</v>
      </c>
      <c r="D34" s="201">
        <v>2510</v>
      </c>
      <c r="E34" s="200" t="s">
        <v>51</v>
      </c>
      <c r="F34" s="199">
        <f>F35</f>
        <v>877000</v>
      </c>
    </row>
    <row r="35" spans="1:6" s="193" customFormat="1" ht="12.75" customHeight="1">
      <c r="A35" s="198"/>
      <c r="B35" s="203"/>
      <c r="C35" s="206"/>
      <c r="D35" s="211"/>
      <c r="E35" s="210" t="s">
        <v>366</v>
      </c>
      <c r="F35" s="194">
        <f>800000+77000</f>
        <v>877000</v>
      </c>
    </row>
    <row r="36" spans="1:6" ht="16.899999999999999" customHeight="1">
      <c r="A36" s="202">
        <v>2</v>
      </c>
      <c r="B36" s="201">
        <v>921</v>
      </c>
      <c r="C36" s="201">
        <v>92110</v>
      </c>
      <c r="D36" s="201">
        <v>2480</v>
      </c>
      <c r="E36" s="200" t="s">
        <v>365</v>
      </c>
      <c r="F36" s="204">
        <f>F37</f>
        <v>1056968</v>
      </c>
    </row>
    <row r="37" spans="1:6" s="193" customFormat="1" ht="12.75" customHeight="1">
      <c r="A37" s="198"/>
      <c r="B37" s="203"/>
      <c r="C37" s="206"/>
      <c r="D37" s="209"/>
      <c r="E37" s="208" t="s">
        <v>364</v>
      </c>
      <c r="F37" s="194">
        <f>923778+67190+66000</f>
        <v>1056968</v>
      </c>
    </row>
    <row r="38" spans="1:6" ht="16.899999999999999" customHeight="1">
      <c r="A38" s="202">
        <v>3</v>
      </c>
      <c r="B38" s="201">
        <v>921</v>
      </c>
      <c r="C38" s="201">
        <v>92113</v>
      </c>
      <c r="D38" s="201">
        <v>2480</v>
      </c>
      <c r="E38" s="200" t="s">
        <v>319</v>
      </c>
      <c r="F38" s="204">
        <f>F39</f>
        <v>8012800</v>
      </c>
    </row>
    <row r="39" spans="1:6" s="193" customFormat="1" ht="12" customHeight="1">
      <c r="A39" s="207"/>
      <c r="B39" s="206"/>
      <c r="C39" s="206"/>
      <c r="D39" s="206"/>
      <c r="E39" s="195" t="s">
        <v>363</v>
      </c>
      <c r="F39" s="205">
        <f>7756800+256000</f>
        <v>8012800</v>
      </c>
    </row>
    <row r="40" spans="1:6" ht="16.899999999999999" customHeight="1">
      <c r="A40" s="202">
        <v>4</v>
      </c>
      <c r="B40" s="201">
        <v>921</v>
      </c>
      <c r="C40" s="201">
        <v>92114</v>
      </c>
      <c r="D40" s="201">
        <v>2480</v>
      </c>
      <c r="E40" s="200" t="s">
        <v>362</v>
      </c>
      <c r="F40" s="204">
        <f>F41</f>
        <v>1748238.64</v>
      </c>
    </row>
    <row r="41" spans="1:6" s="193" customFormat="1" ht="12.75" customHeight="1">
      <c r="A41" s="198"/>
      <c r="B41" s="203"/>
      <c r="C41" s="203"/>
      <c r="D41" s="203"/>
      <c r="E41" s="195" t="s">
        <v>361</v>
      </c>
      <c r="F41" s="194">
        <f>1686963+61275.64</f>
        <v>1748238.64</v>
      </c>
    </row>
    <row r="42" spans="1:6" ht="16.899999999999999" customHeight="1">
      <c r="A42" s="202">
        <v>5</v>
      </c>
      <c r="B42" s="201">
        <v>921</v>
      </c>
      <c r="C42" s="201">
        <v>92116</v>
      </c>
      <c r="D42" s="201">
        <v>2480</v>
      </c>
      <c r="E42" s="200" t="s">
        <v>360</v>
      </c>
      <c r="F42" s="199">
        <f>F43</f>
        <v>5457941.8799999999</v>
      </c>
    </row>
    <row r="43" spans="1:6" s="193" customFormat="1" ht="12.75" customHeight="1">
      <c r="A43" s="198"/>
      <c r="B43" s="197"/>
      <c r="C43" s="197"/>
      <c r="D43" s="196"/>
      <c r="E43" s="195" t="s">
        <v>359</v>
      </c>
      <c r="F43" s="194">
        <f>5224331+233610.88</f>
        <v>5457941.8799999999</v>
      </c>
    </row>
    <row r="44" spans="1:6" ht="18" customHeight="1">
      <c r="A44" s="481"/>
      <c r="B44" s="482"/>
      <c r="C44" s="482"/>
      <c r="D44" s="483"/>
      <c r="E44" s="484" t="s">
        <v>358</v>
      </c>
      <c r="F44" s="485">
        <f>F42+F40+F38+F36+F34</f>
        <v>17152948.52</v>
      </c>
    </row>
    <row r="45" spans="1:6" ht="16.5" customHeight="1">
      <c r="A45" s="215"/>
      <c r="B45" s="486"/>
      <c r="C45" s="486"/>
      <c r="D45" s="487"/>
      <c r="E45" s="488" t="s">
        <v>172</v>
      </c>
      <c r="F45" s="382">
        <f>F44+F32</f>
        <v>23350693.560000002</v>
      </c>
    </row>
    <row r="47" spans="1:6">
      <c r="A47" s="489"/>
      <c r="F47" s="192"/>
    </row>
    <row r="48" spans="1:6">
      <c r="F48" s="192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4" firstPageNumber="46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39B38-97DF-4B32-A508-33A53BEF4E38}">
  <sheetPr>
    <tabColor rgb="FFFFFF00"/>
  </sheetPr>
  <dimension ref="A1:H169"/>
  <sheetViews>
    <sheetView zoomScale="140" zoomScaleNormal="140" workbookViewId="0"/>
  </sheetViews>
  <sheetFormatPr defaultRowHeight="12"/>
  <cols>
    <col min="1" max="1" width="4.42578125" style="190" customWidth="1"/>
    <col min="2" max="2" width="5.7109375" style="190" customWidth="1"/>
    <col min="3" max="3" width="8.42578125" style="190" customWidth="1"/>
    <col min="4" max="4" width="6.5703125" style="248" customWidth="1"/>
    <col min="5" max="5" width="47.42578125" style="190" customWidth="1"/>
    <col min="6" max="6" width="19.28515625" style="190" customWidth="1"/>
    <col min="7" max="7" width="9.140625" style="190" customWidth="1"/>
    <col min="8" max="8" width="12.28515625" style="190" customWidth="1"/>
    <col min="9" max="256" width="9.140625" style="190"/>
    <col min="257" max="257" width="4.42578125" style="190" customWidth="1"/>
    <col min="258" max="258" width="5.7109375" style="190" customWidth="1"/>
    <col min="259" max="259" width="8.42578125" style="190" customWidth="1"/>
    <col min="260" max="260" width="6.5703125" style="190" customWidth="1"/>
    <col min="261" max="261" width="47.42578125" style="190" customWidth="1"/>
    <col min="262" max="262" width="21.42578125" style="190" customWidth="1"/>
    <col min="263" max="263" width="9.140625" style="190"/>
    <col min="264" max="264" width="12.28515625" style="190" customWidth="1"/>
    <col min="265" max="512" width="9.140625" style="190"/>
    <col min="513" max="513" width="4.42578125" style="190" customWidth="1"/>
    <col min="514" max="514" width="5.7109375" style="190" customWidth="1"/>
    <col min="515" max="515" width="8.42578125" style="190" customWidth="1"/>
    <col min="516" max="516" width="6.5703125" style="190" customWidth="1"/>
    <col min="517" max="517" width="47.42578125" style="190" customWidth="1"/>
    <col min="518" max="518" width="21.42578125" style="190" customWidth="1"/>
    <col min="519" max="519" width="9.140625" style="190"/>
    <col min="520" max="520" width="12.28515625" style="190" customWidth="1"/>
    <col min="521" max="768" width="9.140625" style="190"/>
    <col min="769" max="769" width="4.42578125" style="190" customWidth="1"/>
    <col min="770" max="770" width="5.7109375" style="190" customWidth="1"/>
    <col min="771" max="771" width="8.42578125" style="190" customWidth="1"/>
    <col min="772" max="772" width="6.5703125" style="190" customWidth="1"/>
    <col min="773" max="773" width="47.42578125" style="190" customWidth="1"/>
    <col min="774" max="774" width="21.42578125" style="190" customWidth="1"/>
    <col min="775" max="775" width="9.140625" style="190"/>
    <col min="776" max="776" width="12.28515625" style="190" customWidth="1"/>
    <col min="777" max="1024" width="9.140625" style="190"/>
    <col min="1025" max="1025" width="4.42578125" style="190" customWidth="1"/>
    <col min="1026" max="1026" width="5.7109375" style="190" customWidth="1"/>
    <col min="1027" max="1027" width="8.42578125" style="190" customWidth="1"/>
    <col min="1028" max="1028" width="6.5703125" style="190" customWidth="1"/>
    <col min="1029" max="1029" width="47.42578125" style="190" customWidth="1"/>
    <col min="1030" max="1030" width="21.42578125" style="190" customWidth="1"/>
    <col min="1031" max="1031" width="9.140625" style="190"/>
    <col min="1032" max="1032" width="12.28515625" style="190" customWidth="1"/>
    <col min="1033" max="1280" width="9.140625" style="190"/>
    <col min="1281" max="1281" width="4.42578125" style="190" customWidth="1"/>
    <col min="1282" max="1282" width="5.7109375" style="190" customWidth="1"/>
    <col min="1283" max="1283" width="8.42578125" style="190" customWidth="1"/>
    <col min="1284" max="1284" width="6.5703125" style="190" customWidth="1"/>
    <col min="1285" max="1285" width="47.42578125" style="190" customWidth="1"/>
    <col min="1286" max="1286" width="21.42578125" style="190" customWidth="1"/>
    <col min="1287" max="1287" width="9.140625" style="190"/>
    <col min="1288" max="1288" width="12.28515625" style="190" customWidth="1"/>
    <col min="1289" max="1536" width="9.140625" style="190"/>
    <col min="1537" max="1537" width="4.42578125" style="190" customWidth="1"/>
    <col min="1538" max="1538" width="5.7109375" style="190" customWidth="1"/>
    <col min="1539" max="1539" width="8.42578125" style="190" customWidth="1"/>
    <col min="1540" max="1540" width="6.5703125" style="190" customWidth="1"/>
    <col min="1541" max="1541" width="47.42578125" style="190" customWidth="1"/>
    <col min="1542" max="1542" width="21.42578125" style="190" customWidth="1"/>
    <col min="1543" max="1543" width="9.140625" style="190"/>
    <col min="1544" max="1544" width="12.28515625" style="190" customWidth="1"/>
    <col min="1545" max="1792" width="9.140625" style="190"/>
    <col min="1793" max="1793" width="4.42578125" style="190" customWidth="1"/>
    <col min="1794" max="1794" width="5.7109375" style="190" customWidth="1"/>
    <col min="1795" max="1795" width="8.42578125" style="190" customWidth="1"/>
    <col min="1796" max="1796" width="6.5703125" style="190" customWidth="1"/>
    <col min="1797" max="1797" width="47.42578125" style="190" customWidth="1"/>
    <col min="1798" max="1798" width="21.42578125" style="190" customWidth="1"/>
    <col min="1799" max="1799" width="9.140625" style="190"/>
    <col min="1800" max="1800" width="12.28515625" style="190" customWidth="1"/>
    <col min="1801" max="2048" width="9.140625" style="190"/>
    <col min="2049" max="2049" width="4.42578125" style="190" customWidth="1"/>
    <col min="2050" max="2050" width="5.7109375" style="190" customWidth="1"/>
    <col min="2051" max="2051" width="8.42578125" style="190" customWidth="1"/>
    <col min="2052" max="2052" width="6.5703125" style="190" customWidth="1"/>
    <col min="2053" max="2053" width="47.42578125" style="190" customWidth="1"/>
    <col min="2054" max="2054" width="21.42578125" style="190" customWidth="1"/>
    <col min="2055" max="2055" width="9.140625" style="190"/>
    <col min="2056" max="2056" width="12.28515625" style="190" customWidth="1"/>
    <col min="2057" max="2304" width="9.140625" style="190"/>
    <col min="2305" max="2305" width="4.42578125" style="190" customWidth="1"/>
    <col min="2306" max="2306" width="5.7109375" style="190" customWidth="1"/>
    <col min="2307" max="2307" width="8.42578125" style="190" customWidth="1"/>
    <col min="2308" max="2308" width="6.5703125" style="190" customWidth="1"/>
    <col min="2309" max="2309" width="47.42578125" style="190" customWidth="1"/>
    <col min="2310" max="2310" width="21.42578125" style="190" customWidth="1"/>
    <col min="2311" max="2311" width="9.140625" style="190"/>
    <col min="2312" max="2312" width="12.28515625" style="190" customWidth="1"/>
    <col min="2313" max="2560" width="9.140625" style="190"/>
    <col min="2561" max="2561" width="4.42578125" style="190" customWidth="1"/>
    <col min="2562" max="2562" width="5.7109375" style="190" customWidth="1"/>
    <col min="2563" max="2563" width="8.42578125" style="190" customWidth="1"/>
    <col min="2564" max="2564" width="6.5703125" style="190" customWidth="1"/>
    <col min="2565" max="2565" width="47.42578125" style="190" customWidth="1"/>
    <col min="2566" max="2566" width="21.42578125" style="190" customWidth="1"/>
    <col min="2567" max="2567" width="9.140625" style="190"/>
    <col min="2568" max="2568" width="12.28515625" style="190" customWidth="1"/>
    <col min="2569" max="2816" width="9.140625" style="190"/>
    <col min="2817" max="2817" width="4.42578125" style="190" customWidth="1"/>
    <col min="2818" max="2818" width="5.7109375" style="190" customWidth="1"/>
    <col min="2819" max="2819" width="8.42578125" style="190" customWidth="1"/>
    <col min="2820" max="2820" width="6.5703125" style="190" customWidth="1"/>
    <col min="2821" max="2821" width="47.42578125" style="190" customWidth="1"/>
    <col min="2822" max="2822" width="21.42578125" style="190" customWidth="1"/>
    <col min="2823" max="2823" width="9.140625" style="190"/>
    <col min="2824" max="2824" width="12.28515625" style="190" customWidth="1"/>
    <col min="2825" max="3072" width="9.140625" style="190"/>
    <col min="3073" max="3073" width="4.42578125" style="190" customWidth="1"/>
    <col min="3074" max="3074" width="5.7109375" style="190" customWidth="1"/>
    <col min="3075" max="3075" width="8.42578125" style="190" customWidth="1"/>
    <col min="3076" max="3076" width="6.5703125" style="190" customWidth="1"/>
    <col min="3077" max="3077" width="47.42578125" style="190" customWidth="1"/>
    <col min="3078" max="3078" width="21.42578125" style="190" customWidth="1"/>
    <col min="3079" max="3079" width="9.140625" style="190"/>
    <col min="3080" max="3080" width="12.28515625" style="190" customWidth="1"/>
    <col min="3081" max="3328" width="9.140625" style="190"/>
    <col min="3329" max="3329" width="4.42578125" style="190" customWidth="1"/>
    <col min="3330" max="3330" width="5.7109375" style="190" customWidth="1"/>
    <col min="3331" max="3331" width="8.42578125" style="190" customWidth="1"/>
    <col min="3332" max="3332" width="6.5703125" style="190" customWidth="1"/>
    <col min="3333" max="3333" width="47.42578125" style="190" customWidth="1"/>
    <col min="3334" max="3334" width="21.42578125" style="190" customWidth="1"/>
    <col min="3335" max="3335" width="9.140625" style="190"/>
    <col min="3336" max="3336" width="12.28515625" style="190" customWidth="1"/>
    <col min="3337" max="3584" width="9.140625" style="190"/>
    <col min="3585" max="3585" width="4.42578125" style="190" customWidth="1"/>
    <col min="3586" max="3586" width="5.7109375" style="190" customWidth="1"/>
    <col min="3587" max="3587" width="8.42578125" style="190" customWidth="1"/>
    <col min="3588" max="3588" width="6.5703125" style="190" customWidth="1"/>
    <col min="3589" max="3589" width="47.42578125" style="190" customWidth="1"/>
    <col min="3590" max="3590" width="21.42578125" style="190" customWidth="1"/>
    <col min="3591" max="3591" width="9.140625" style="190"/>
    <col min="3592" max="3592" width="12.28515625" style="190" customWidth="1"/>
    <col min="3593" max="3840" width="9.140625" style="190"/>
    <col min="3841" max="3841" width="4.42578125" style="190" customWidth="1"/>
    <col min="3842" max="3842" width="5.7109375" style="190" customWidth="1"/>
    <col min="3843" max="3843" width="8.42578125" style="190" customWidth="1"/>
    <col min="3844" max="3844" width="6.5703125" style="190" customWidth="1"/>
    <col min="3845" max="3845" width="47.42578125" style="190" customWidth="1"/>
    <col min="3846" max="3846" width="21.42578125" style="190" customWidth="1"/>
    <col min="3847" max="3847" width="9.140625" style="190"/>
    <col min="3848" max="3848" width="12.28515625" style="190" customWidth="1"/>
    <col min="3849" max="4096" width="9.140625" style="190"/>
    <col min="4097" max="4097" width="4.42578125" style="190" customWidth="1"/>
    <col min="4098" max="4098" width="5.7109375" style="190" customWidth="1"/>
    <col min="4099" max="4099" width="8.42578125" style="190" customWidth="1"/>
    <col min="4100" max="4100" width="6.5703125" style="190" customWidth="1"/>
    <col min="4101" max="4101" width="47.42578125" style="190" customWidth="1"/>
    <col min="4102" max="4102" width="21.42578125" style="190" customWidth="1"/>
    <col min="4103" max="4103" width="9.140625" style="190"/>
    <col min="4104" max="4104" width="12.28515625" style="190" customWidth="1"/>
    <col min="4105" max="4352" width="9.140625" style="190"/>
    <col min="4353" max="4353" width="4.42578125" style="190" customWidth="1"/>
    <col min="4354" max="4354" width="5.7109375" style="190" customWidth="1"/>
    <col min="4355" max="4355" width="8.42578125" style="190" customWidth="1"/>
    <col min="4356" max="4356" width="6.5703125" style="190" customWidth="1"/>
    <col min="4357" max="4357" width="47.42578125" style="190" customWidth="1"/>
    <col min="4358" max="4358" width="21.42578125" style="190" customWidth="1"/>
    <col min="4359" max="4359" width="9.140625" style="190"/>
    <col min="4360" max="4360" width="12.28515625" style="190" customWidth="1"/>
    <col min="4361" max="4608" width="9.140625" style="190"/>
    <col min="4609" max="4609" width="4.42578125" style="190" customWidth="1"/>
    <col min="4610" max="4610" width="5.7109375" style="190" customWidth="1"/>
    <col min="4611" max="4611" width="8.42578125" style="190" customWidth="1"/>
    <col min="4612" max="4612" width="6.5703125" style="190" customWidth="1"/>
    <col min="4613" max="4613" width="47.42578125" style="190" customWidth="1"/>
    <col min="4614" max="4614" width="21.42578125" style="190" customWidth="1"/>
    <col min="4615" max="4615" width="9.140625" style="190"/>
    <col min="4616" max="4616" width="12.28515625" style="190" customWidth="1"/>
    <col min="4617" max="4864" width="9.140625" style="190"/>
    <col min="4865" max="4865" width="4.42578125" style="190" customWidth="1"/>
    <col min="4866" max="4866" width="5.7109375" style="190" customWidth="1"/>
    <col min="4867" max="4867" width="8.42578125" style="190" customWidth="1"/>
    <col min="4868" max="4868" width="6.5703125" style="190" customWidth="1"/>
    <col min="4869" max="4869" width="47.42578125" style="190" customWidth="1"/>
    <col min="4870" max="4870" width="21.42578125" style="190" customWidth="1"/>
    <col min="4871" max="4871" width="9.140625" style="190"/>
    <col min="4872" max="4872" width="12.28515625" style="190" customWidth="1"/>
    <col min="4873" max="5120" width="9.140625" style="190"/>
    <col min="5121" max="5121" width="4.42578125" style="190" customWidth="1"/>
    <col min="5122" max="5122" width="5.7109375" style="190" customWidth="1"/>
    <col min="5123" max="5123" width="8.42578125" style="190" customWidth="1"/>
    <col min="5124" max="5124" width="6.5703125" style="190" customWidth="1"/>
    <col min="5125" max="5125" width="47.42578125" style="190" customWidth="1"/>
    <col min="5126" max="5126" width="21.42578125" style="190" customWidth="1"/>
    <col min="5127" max="5127" width="9.140625" style="190"/>
    <col min="5128" max="5128" width="12.28515625" style="190" customWidth="1"/>
    <col min="5129" max="5376" width="9.140625" style="190"/>
    <col min="5377" max="5377" width="4.42578125" style="190" customWidth="1"/>
    <col min="5378" max="5378" width="5.7109375" style="190" customWidth="1"/>
    <col min="5379" max="5379" width="8.42578125" style="190" customWidth="1"/>
    <col min="5380" max="5380" width="6.5703125" style="190" customWidth="1"/>
    <col min="5381" max="5381" width="47.42578125" style="190" customWidth="1"/>
    <col min="5382" max="5382" width="21.42578125" style="190" customWidth="1"/>
    <col min="5383" max="5383" width="9.140625" style="190"/>
    <col min="5384" max="5384" width="12.28515625" style="190" customWidth="1"/>
    <col min="5385" max="5632" width="9.140625" style="190"/>
    <col min="5633" max="5633" width="4.42578125" style="190" customWidth="1"/>
    <col min="5634" max="5634" width="5.7109375" style="190" customWidth="1"/>
    <col min="5635" max="5635" width="8.42578125" style="190" customWidth="1"/>
    <col min="5636" max="5636" width="6.5703125" style="190" customWidth="1"/>
    <col min="5637" max="5637" width="47.42578125" style="190" customWidth="1"/>
    <col min="5638" max="5638" width="21.42578125" style="190" customWidth="1"/>
    <col min="5639" max="5639" width="9.140625" style="190"/>
    <col min="5640" max="5640" width="12.28515625" style="190" customWidth="1"/>
    <col min="5641" max="5888" width="9.140625" style="190"/>
    <col min="5889" max="5889" width="4.42578125" style="190" customWidth="1"/>
    <col min="5890" max="5890" width="5.7109375" style="190" customWidth="1"/>
    <col min="5891" max="5891" width="8.42578125" style="190" customWidth="1"/>
    <col min="5892" max="5892" width="6.5703125" style="190" customWidth="1"/>
    <col min="5893" max="5893" width="47.42578125" style="190" customWidth="1"/>
    <col min="5894" max="5894" width="21.42578125" style="190" customWidth="1"/>
    <col min="5895" max="5895" width="9.140625" style="190"/>
    <col min="5896" max="5896" width="12.28515625" style="190" customWidth="1"/>
    <col min="5897" max="6144" width="9.140625" style="190"/>
    <col min="6145" max="6145" width="4.42578125" style="190" customWidth="1"/>
    <col min="6146" max="6146" width="5.7109375" style="190" customWidth="1"/>
    <col min="6147" max="6147" width="8.42578125" style="190" customWidth="1"/>
    <col min="6148" max="6148" width="6.5703125" style="190" customWidth="1"/>
    <col min="6149" max="6149" width="47.42578125" style="190" customWidth="1"/>
    <col min="6150" max="6150" width="21.42578125" style="190" customWidth="1"/>
    <col min="6151" max="6151" width="9.140625" style="190"/>
    <col min="6152" max="6152" width="12.28515625" style="190" customWidth="1"/>
    <col min="6153" max="6400" width="9.140625" style="190"/>
    <col min="6401" max="6401" width="4.42578125" style="190" customWidth="1"/>
    <col min="6402" max="6402" width="5.7109375" style="190" customWidth="1"/>
    <col min="6403" max="6403" width="8.42578125" style="190" customWidth="1"/>
    <col min="6404" max="6404" width="6.5703125" style="190" customWidth="1"/>
    <col min="6405" max="6405" width="47.42578125" style="190" customWidth="1"/>
    <col min="6406" max="6406" width="21.42578125" style="190" customWidth="1"/>
    <col min="6407" max="6407" width="9.140625" style="190"/>
    <col min="6408" max="6408" width="12.28515625" style="190" customWidth="1"/>
    <col min="6409" max="6656" width="9.140625" style="190"/>
    <col min="6657" max="6657" width="4.42578125" style="190" customWidth="1"/>
    <col min="6658" max="6658" width="5.7109375" style="190" customWidth="1"/>
    <col min="6659" max="6659" width="8.42578125" style="190" customWidth="1"/>
    <col min="6660" max="6660" width="6.5703125" style="190" customWidth="1"/>
    <col min="6661" max="6661" width="47.42578125" style="190" customWidth="1"/>
    <col min="6662" max="6662" width="21.42578125" style="190" customWidth="1"/>
    <col min="6663" max="6663" width="9.140625" style="190"/>
    <col min="6664" max="6664" width="12.28515625" style="190" customWidth="1"/>
    <col min="6665" max="6912" width="9.140625" style="190"/>
    <col min="6913" max="6913" width="4.42578125" style="190" customWidth="1"/>
    <col min="6914" max="6914" width="5.7109375" style="190" customWidth="1"/>
    <col min="6915" max="6915" width="8.42578125" style="190" customWidth="1"/>
    <col min="6916" max="6916" width="6.5703125" style="190" customWidth="1"/>
    <col min="6917" max="6917" width="47.42578125" style="190" customWidth="1"/>
    <col min="6918" max="6918" width="21.42578125" style="190" customWidth="1"/>
    <col min="6919" max="6919" width="9.140625" style="190"/>
    <col min="6920" max="6920" width="12.28515625" style="190" customWidth="1"/>
    <col min="6921" max="7168" width="9.140625" style="190"/>
    <col min="7169" max="7169" width="4.42578125" style="190" customWidth="1"/>
    <col min="7170" max="7170" width="5.7109375" style="190" customWidth="1"/>
    <col min="7171" max="7171" width="8.42578125" style="190" customWidth="1"/>
    <col min="7172" max="7172" width="6.5703125" style="190" customWidth="1"/>
    <col min="7173" max="7173" width="47.42578125" style="190" customWidth="1"/>
    <col min="7174" max="7174" width="21.42578125" style="190" customWidth="1"/>
    <col min="7175" max="7175" width="9.140625" style="190"/>
    <col min="7176" max="7176" width="12.28515625" style="190" customWidth="1"/>
    <col min="7177" max="7424" width="9.140625" style="190"/>
    <col min="7425" max="7425" width="4.42578125" style="190" customWidth="1"/>
    <col min="7426" max="7426" width="5.7109375" style="190" customWidth="1"/>
    <col min="7427" max="7427" width="8.42578125" style="190" customWidth="1"/>
    <col min="7428" max="7428" width="6.5703125" style="190" customWidth="1"/>
    <col min="7429" max="7429" width="47.42578125" style="190" customWidth="1"/>
    <col min="7430" max="7430" width="21.42578125" style="190" customWidth="1"/>
    <col min="7431" max="7431" width="9.140625" style="190"/>
    <col min="7432" max="7432" width="12.28515625" style="190" customWidth="1"/>
    <col min="7433" max="7680" width="9.140625" style="190"/>
    <col min="7681" max="7681" width="4.42578125" style="190" customWidth="1"/>
    <col min="7682" max="7682" width="5.7109375" style="190" customWidth="1"/>
    <col min="7683" max="7683" width="8.42578125" style="190" customWidth="1"/>
    <col min="7684" max="7684" width="6.5703125" style="190" customWidth="1"/>
    <col min="7685" max="7685" width="47.42578125" style="190" customWidth="1"/>
    <col min="7686" max="7686" width="21.42578125" style="190" customWidth="1"/>
    <col min="7687" max="7687" width="9.140625" style="190"/>
    <col min="7688" max="7688" width="12.28515625" style="190" customWidth="1"/>
    <col min="7689" max="7936" width="9.140625" style="190"/>
    <col min="7937" max="7937" width="4.42578125" style="190" customWidth="1"/>
    <col min="7938" max="7938" width="5.7109375" style="190" customWidth="1"/>
    <col min="7939" max="7939" width="8.42578125" style="190" customWidth="1"/>
    <col min="7940" max="7940" width="6.5703125" style="190" customWidth="1"/>
    <col min="7941" max="7941" width="47.42578125" style="190" customWidth="1"/>
    <col min="7942" max="7942" width="21.42578125" style="190" customWidth="1"/>
    <col min="7943" max="7943" width="9.140625" style="190"/>
    <col min="7944" max="7944" width="12.28515625" style="190" customWidth="1"/>
    <col min="7945" max="8192" width="9.140625" style="190"/>
    <col min="8193" max="8193" width="4.42578125" style="190" customWidth="1"/>
    <col min="8194" max="8194" width="5.7109375" style="190" customWidth="1"/>
    <col min="8195" max="8195" width="8.42578125" style="190" customWidth="1"/>
    <col min="8196" max="8196" width="6.5703125" style="190" customWidth="1"/>
    <col min="8197" max="8197" width="47.42578125" style="190" customWidth="1"/>
    <col min="8198" max="8198" width="21.42578125" style="190" customWidth="1"/>
    <col min="8199" max="8199" width="9.140625" style="190"/>
    <col min="8200" max="8200" width="12.28515625" style="190" customWidth="1"/>
    <col min="8201" max="8448" width="9.140625" style="190"/>
    <col min="8449" max="8449" width="4.42578125" style="190" customWidth="1"/>
    <col min="8450" max="8450" width="5.7109375" style="190" customWidth="1"/>
    <col min="8451" max="8451" width="8.42578125" style="190" customWidth="1"/>
    <col min="8452" max="8452" width="6.5703125" style="190" customWidth="1"/>
    <col min="8453" max="8453" width="47.42578125" style="190" customWidth="1"/>
    <col min="8454" max="8454" width="21.42578125" style="190" customWidth="1"/>
    <col min="8455" max="8455" width="9.140625" style="190"/>
    <col min="8456" max="8456" width="12.28515625" style="190" customWidth="1"/>
    <col min="8457" max="8704" width="9.140625" style="190"/>
    <col min="8705" max="8705" width="4.42578125" style="190" customWidth="1"/>
    <col min="8706" max="8706" width="5.7109375" style="190" customWidth="1"/>
    <col min="8707" max="8707" width="8.42578125" style="190" customWidth="1"/>
    <col min="8708" max="8708" width="6.5703125" style="190" customWidth="1"/>
    <col min="8709" max="8709" width="47.42578125" style="190" customWidth="1"/>
    <col min="8710" max="8710" width="21.42578125" style="190" customWidth="1"/>
    <col min="8711" max="8711" width="9.140625" style="190"/>
    <col min="8712" max="8712" width="12.28515625" style="190" customWidth="1"/>
    <col min="8713" max="8960" width="9.140625" style="190"/>
    <col min="8961" max="8961" width="4.42578125" style="190" customWidth="1"/>
    <col min="8962" max="8962" width="5.7109375" style="190" customWidth="1"/>
    <col min="8963" max="8963" width="8.42578125" style="190" customWidth="1"/>
    <col min="8964" max="8964" width="6.5703125" style="190" customWidth="1"/>
    <col min="8965" max="8965" width="47.42578125" style="190" customWidth="1"/>
    <col min="8966" max="8966" width="21.42578125" style="190" customWidth="1"/>
    <col min="8967" max="8967" width="9.140625" style="190"/>
    <col min="8968" max="8968" width="12.28515625" style="190" customWidth="1"/>
    <col min="8969" max="9216" width="9.140625" style="190"/>
    <col min="9217" max="9217" width="4.42578125" style="190" customWidth="1"/>
    <col min="9218" max="9218" width="5.7109375" style="190" customWidth="1"/>
    <col min="9219" max="9219" width="8.42578125" style="190" customWidth="1"/>
    <col min="9220" max="9220" width="6.5703125" style="190" customWidth="1"/>
    <col min="9221" max="9221" width="47.42578125" style="190" customWidth="1"/>
    <col min="9222" max="9222" width="21.42578125" style="190" customWidth="1"/>
    <col min="9223" max="9223" width="9.140625" style="190"/>
    <col min="9224" max="9224" width="12.28515625" style="190" customWidth="1"/>
    <col min="9225" max="9472" width="9.140625" style="190"/>
    <col min="9473" max="9473" width="4.42578125" style="190" customWidth="1"/>
    <col min="9474" max="9474" width="5.7109375" style="190" customWidth="1"/>
    <col min="9475" max="9475" width="8.42578125" style="190" customWidth="1"/>
    <col min="9476" max="9476" width="6.5703125" style="190" customWidth="1"/>
    <col min="9477" max="9477" width="47.42578125" style="190" customWidth="1"/>
    <col min="9478" max="9478" width="21.42578125" style="190" customWidth="1"/>
    <col min="9479" max="9479" width="9.140625" style="190"/>
    <col min="9480" max="9480" width="12.28515625" style="190" customWidth="1"/>
    <col min="9481" max="9728" width="9.140625" style="190"/>
    <col min="9729" max="9729" width="4.42578125" style="190" customWidth="1"/>
    <col min="9730" max="9730" width="5.7109375" style="190" customWidth="1"/>
    <col min="9731" max="9731" width="8.42578125" style="190" customWidth="1"/>
    <col min="9732" max="9732" width="6.5703125" style="190" customWidth="1"/>
    <col min="9733" max="9733" width="47.42578125" style="190" customWidth="1"/>
    <col min="9734" max="9734" width="21.42578125" style="190" customWidth="1"/>
    <col min="9735" max="9735" width="9.140625" style="190"/>
    <col min="9736" max="9736" width="12.28515625" style="190" customWidth="1"/>
    <col min="9737" max="9984" width="9.140625" style="190"/>
    <col min="9985" max="9985" width="4.42578125" style="190" customWidth="1"/>
    <col min="9986" max="9986" width="5.7109375" style="190" customWidth="1"/>
    <col min="9987" max="9987" width="8.42578125" style="190" customWidth="1"/>
    <col min="9988" max="9988" width="6.5703125" style="190" customWidth="1"/>
    <col min="9989" max="9989" width="47.42578125" style="190" customWidth="1"/>
    <col min="9990" max="9990" width="21.42578125" style="190" customWidth="1"/>
    <col min="9991" max="9991" width="9.140625" style="190"/>
    <col min="9992" max="9992" width="12.28515625" style="190" customWidth="1"/>
    <col min="9993" max="10240" width="9.140625" style="190"/>
    <col min="10241" max="10241" width="4.42578125" style="190" customWidth="1"/>
    <col min="10242" max="10242" width="5.7109375" style="190" customWidth="1"/>
    <col min="10243" max="10243" width="8.42578125" style="190" customWidth="1"/>
    <col min="10244" max="10244" width="6.5703125" style="190" customWidth="1"/>
    <col min="10245" max="10245" width="47.42578125" style="190" customWidth="1"/>
    <col min="10246" max="10246" width="21.42578125" style="190" customWidth="1"/>
    <col min="10247" max="10247" width="9.140625" style="190"/>
    <col min="10248" max="10248" width="12.28515625" style="190" customWidth="1"/>
    <col min="10249" max="10496" width="9.140625" style="190"/>
    <col min="10497" max="10497" width="4.42578125" style="190" customWidth="1"/>
    <col min="10498" max="10498" width="5.7109375" style="190" customWidth="1"/>
    <col min="10499" max="10499" width="8.42578125" style="190" customWidth="1"/>
    <col min="10500" max="10500" width="6.5703125" style="190" customWidth="1"/>
    <col min="10501" max="10501" width="47.42578125" style="190" customWidth="1"/>
    <col min="10502" max="10502" width="21.42578125" style="190" customWidth="1"/>
    <col min="10503" max="10503" width="9.140625" style="190"/>
    <col min="10504" max="10504" width="12.28515625" style="190" customWidth="1"/>
    <col min="10505" max="10752" width="9.140625" style="190"/>
    <col min="10753" max="10753" width="4.42578125" style="190" customWidth="1"/>
    <col min="10754" max="10754" width="5.7109375" style="190" customWidth="1"/>
    <col min="10755" max="10755" width="8.42578125" style="190" customWidth="1"/>
    <col min="10756" max="10756" width="6.5703125" style="190" customWidth="1"/>
    <col min="10757" max="10757" width="47.42578125" style="190" customWidth="1"/>
    <col min="10758" max="10758" width="21.42578125" style="190" customWidth="1"/>
    <col min="10759" max="10759" width="9.140625" style="190"/>
    <col min="10760" max="10760" width="12.28515625" style="190" customWidth="1"/>
    <col min="10761" max="11008" width="9.140625" style="190"/>
    <col min="11009" max="11009" width="4.42578125" style="190" customWidth="1"/>
    <col min="11010" max="11010" width="5.7109375" style="190" customWidth="1"/>
    <col min="11011" max="11011" width="8.42578125" style="190" customWidth="1"/>
    <col min="11012" max="11012" width="6.5703125" style="190" customWidth="1"/>
    <col min="11013" max="11013" width="47.42578125" style="190" customWidth="1"/>
    <col min="11014" max="11014" width="21.42578125" style="190" customWidth="1"/>
    <col min="11015" max="11015" width="9.140625" style="190"/>
    <col min="11016" max="11016" width="12.28515625" style="190" customWidth="1"/>
    <col min="11017" max="11264" width="9.140625" style="190"/>
    <col min="11265" max="11265" width="4.42578125" style="190" customWidth="1"/>
    <col min="11266" max="11266" width="5.7109375" style="190" customWidth="1"/>
    <col min="11267" max="11267" width="8.42578125" style="190" customWidth="1"/>
    <col min="11268" max="11268" width="6.5703125" style="190" customWidth="1"/>
    <col min="11269" max="11269" width="47.42578125" style="190" customWidth="1"/>
    <col min="11270" max="11270" width="21.42578125" style="190" customWidth="1"/>
    <col min="11271" max="11271" width="9.140625" style="190"/>
    <col min="11272" max="11272" width="12.28515625" style="190" customWidth="1"/>
    <col min="11273" max="11520" width="9.140625" style="190"/>
    <col min="11521" max="11521" width="4.42578125" style="190" customWidth="1"/>
    <col min="11522" max="11522" width="5.7109375" style="190" customWidth="1"/>
    <col min="11523" max="11523" width="8.42578125" style="190" customWidth="1"/>
    <col min="11524" max="11524" width="6.5703125" style="190" customWidth="1"/>
    <col min="11525" max="11525" width="47.42578125" style="190" customWidth="1"/>
    <col min="11526" max="11526" width="21.42578125" style="190" customWidth="1"/>
    <col min="11527" max="11527" width="9.140625" style="190"/>
    <col min="11528" max="11528" width="12.28515625" style="190" customWidth="1"/>
    <col min="11529" max="11776" width="9.140625" style="190"/>
    <col min="11777" max="11777" width="4.42578125" style="190" customWidth="1"/>
    <col min="11778" max="11778" width="5.7109375" style="190" customWidth="1"/>
    <col min="11779" max="11779" width="8.42578125" style="190" customWidth="1"/>
    <col min="11780" max="11780" width="6.5703125" style="190" customWidth="1"/>
    <col min="11781" max="11781" width="47.42578125" style="190" customWidth="1"/>
    <col min="11782" max="11782" width="21.42578125" style="190" customWidth="1"/>
    <col min="11783" max="11783" width="9.140625" style="190"/>
    <col min="11784" max="11784" width="12.28515625" style="190" customWidth="1"/>
    <col min="11785" max="12032" width="9.140625" style="190"/>
    <col min="12033" max="12033" width="4.42578125" style="190" customWidth="1"/>
    <col min="12034" max="12034" width="5.7109375" style="190" customWidth="1"/>
    <col min="12035" max="12035" width="8.42578125" style="190" customWidth="1"/>
    <col min="12036" max="12036" width="6.5703125" style="190" customWidth="1"/>
    <col min="12037" max="12037" width="47.42578125" style="190" customWidth="1"/>
    <col min="12038" max="12038" width="21.42578125" style="190" customWidth="1"/>
    <col min="12039" max="12039" width="9.140625" style="190"/>
    <col min="12040" max="12040" width="12.28515625" style="190" customWidth="1"/>
    <col min="12041" max="12288" width="9.140625" style="190"/>
    <col min="12289" max="12289" width="4.42578125" style="190" customWidth="1"/>
    <col min="12290" max="12290" width="5.7109375" style="190" customWidth="1"/>
    <col min="12291" max="12291" width="8.42578125" style="190" customWidth="1"/>
    <col min="12292" max="12292" width="6.5703125" style="190" customWidth="1"/>
    <col min="12293" max="12293" width="47.42578125" style="190" customWidth="1"/>
    <col min="12294" max="12294" width="21.42578125" style="190" customWidth="1"/>
    <col min="12295" max="12295" width="9.140625" style="190"/>
    <col min="12296" max="12296" width="12.28515625" style="190" customWidth="1"/>
    <col min="12297" max="12544" width="9.140625" style="190"/>
    <col min="12545" max="12545" width="4.42578125" style="190" customWidth="1"/>
    <col min="12546" max="12546" width="5.7109375" style="190" customWidth="1"/>
    <col min="12547" max="12547" width="8.42578125" style="190" customWidth="1"/>
    <col min="12548" max="12548" width="6.5703125" style="190" customWidth="1"/>
    <col min="12549" max="12549" width="47.42578125" style="190" customWidth="1"/>
    <col min="12550" max="12550" width="21.42578125" style="190" customWidth="1"/>
    <col min="12551" max="12551" width="9.140625" style="190"/>
    <col min="12552" max="12552" width="12.28515625" style="190" customWidth="1"/>
    <col min="12553" max="12800" width="9.140625" style="190"/>
    <col min="12801" max="12801" width="4.42578125" style="190" customWidth="1"/>
    <col min="12802" max="12802" width="5.7109375" style="190" customWidth="1"/>
    <col min="12803" max="12803" width="8.42578125" style="190" customWidth="1"/>
    <col min="12804" max="12804" width="6.5703125" style="190" customWidth="1"/>
    <col min="12805" max="12805" width="47.42578125" style="190" customWidth="1"/>
    <col min="12806" max="12806" width="21.42578125" style="190" customWidth="1"/>
    <col min="12807" max="12807" width="9.140625" style="190"/>
    <col min="12808" max="12808" width="12.28515625" style="190" customWidth="1"/>
    <col min="12809" max="13056" width="9.140625" style="190"/>
    <col min="13057" max="13057" width="4.42578125" style="190" customWidth="1"/>
    <col min="13058" max="13058" width="5.7109375" style="190" customWidth="1"/>
    <col min="13059" max="13059" width="8.42578125" style="190" customWidth="1"/>
    <col min="13060" max="13060" width="6.5703125" style="190" customWidth="1"/>
    <col min="13061" max="13061" width="47.42578125" style="190" customWidth="1"/>
    <col min="13062" max="13062" width="21.42578125" style="190" customWidth="1"/>
    <col min="13063" max="13063" width="9.140625" style="190"/>
    <col min="13064" max="13064" width="12.28515625" style="190" customWidth="1"/>
    <col min="13065" max="13312" width="9.140625" style="190"/>
    <col min="13313" max="13313" width="4.42578125" style="190" customWidth="1"/>
    <col min="13314" max="13314" width="5.7109375" style="190" customWidth="1"/>
    <col min="13315" max="13315" width="8.42578125" style="190" customWidth="1"/>
    <col min="13316" max="13316" width="6.5703125" style="190" customWidth="1"/>
    <col min="13317" max="13317" width="47.42578125" style="190" customWidth="1"/>
    <col min="13318" max="13318" width="21.42578125" style="190" customWidth="1"/>
    <col min="13319" max="13319" width="9.140625" style="190"/>
    <col min="13320" max="13320" width="12.28515625" style="190" customWidth="1"/>
    <col min="13321" max="13568" width="9.140625" style="190"/>
    <col min="13569" max="13569" width="4.42578125" style="190" customWidth="1"/>
    <col min="13570" max="13570" width="5.7109375" style="190" customWidth="1"/>
    <col min="13571" max="13571" width="8.42578125" style="190" customWidth="1"/>
    <col min="13572" max="13572" width="6.5703125" style="190" customWidth="1"/>
    <col min="13573" max="13573" width="47.42578125" style="190" customWidth="1"/>
    <col min="13574" max="13574" width="21.42578125" style="190" customWidth="1"/>
    <col min="13575" max="13575" width="9.140625" style="190"/>
    <col min="13576" max="13576" width="12.28515625" style="190" customWidth="1"/>
    <col min="13577" max="13824" width="9.140625" style="190"/>
    <col min="13825" max="13825" width="4.42578125" style="190" customWidth="1"/>
    <col min="13826" max="13826" width="5.7109375" style="190" customWidth="1"/>
    <col min="13827" max="13827" width="8.42578125" style="190" customWidth="1"/>
    <col min="13828" max="13828" width="6.5703125" style="190" customWidth="1"/>
    <col min="13829" max="13829" width="47.42578125" style="190" customWidth="1"/>
    <col min="13830" max="13830" width="21.42578125" style="190" customWidth="1"/>
    <col min="13831" max="13831" width="9.140625" style="190"/>
    <col min="13832" max="13832" width="12.28515625" style="190" customWidth="1"/>
    <col min="13833" max="14080" width="9.140625" style="190"/>
    <col min="14081" max="14081" width="4.42578125" style="190" customWidth="1"/>
    <col min="14082" max="14082" width="5.7109375" style="190" customWidth="1"/>
    <col min="14083" max="14083" width="8.42578125" style="190" customWidth="1"/>
    <col min="14084" max="14084" width="6.5703125" style="190" customWidth="1"/>
    <col min="14085" max="14085" width="47.42578125" style="190" customWidth="1"/>
    <col min="14086" max="14086" width="21.42578125" style="190" customWidth="1"/>
    <col min="14087" max="14087" width="9.140625" style="190"/>
    <col min="14088" max="14088" width="12.28515625" style="190" customWidth="1"/>
    <col min="14089" max="14336" width="9.140625" style="190"/>
    <col min="14337" max="14337" width="4.42578125" style="190" customWidth="1"/>
    <col min="14338" max="14338" width="5.7109375" style="190" customWidth="1"/>
    <col min="14339" max="14339" width="8.42578125" style="190" customWidth="1"/>
    <col min="14340" max="14340" width="6.5703125" style="190" customWidth="1"/>
    <col min="14341" max="14341" width="47.42578125" style="190" customWidth="1"/>
    <col min="14342" max="14342" width="21.42578125" style="190" customWidth="1"/>
    <col min="14343" max="14343" width="9.140625" style="190"/>
    <col min="14344" max="14344" width="12.28515625" style="190" customWidth="1"/>
    <col min="14345" max="14592" width="9.140625" style="190"/>
    <col min="14593" max="14593" width="4.42578125" style="190" customWidth="1"/>
    <col min="14594" max="14594" width="5.7109375" style="190" customWidth="1"/>
    <col min="14595" max="14595" width="8.42578125" style="190" customWidth="1"/>
    <col min="14596" max="14596" width="6.5703125" style="190" customWidth="1"/>
    <col min="14597" max="14597" width="47.42578125" style="190" customWidth="1"/>
    <col min="14598" max="14598" width="21.42578125" style="190" customWidth="1"/>
    <col min="14599" max="14599" width="9.140625" style="190"/>
    <col min="14600" max="14600" width="12.28515625" style="190" customWidth="1"/>
    <col min="14601" max="14848" width="9.140625" style="190"/>
    <col min="14849" max="14849" width="4.42578125" style="190" customWidth="1"/>
    <col min="14850" max="14850" width="5.7109375" style="190" customWidth="1"/>
    <col min="14851" max="14851" width="8.42578125" style="190" customWidth="1"/>
    <col min="14852" max="14852" width="6.5703125" style="190" customWidth="1"/>
    <col min="14853" max="14853" width="47.42578125" style="190" customWidth="1"/>
    <col min="14854" max="14854" width="21.42578125" style="190" customWidth="1"/>
    <col min="14855" max="14855" width="9.140625" style="190"/>
    <col min="14856" max="14856" width="12.28515625" style="190" customWidth="1"/>
    <col min="14857" max="15104" width="9.140625" style="190"/>
    <col min="15105" max="15105" width="4.42578125" style="190" customWidth="1"/>
    <col min="15106" max="15106" width="5.7109375" style="190" customWidth="1"/>
    <col min="15107" max="15107" width="8.42578125" style="190" customWidth="1"/>
    <col min="15108" max="15108" width="6.5703125" style="190" customWidth="1"/>
    <col min="15109" max="15109" width="47.42578125" style="190" customWidth="1"/>
    <col min="15110" max="15110" width="21.42578125" style="190" customWidth="1"/>
    <col min="15111" max="15111" width="9.140625" style="190"/>
    <col min="15112" max="15112" width="12.28515625" style="190" customWidth="1"/>
    <col min="15113" max="15360" width="9.140625" style="190"/>
    <col min="15361" max="15361" width="4.42578125" style="190" customWidth="1"/>
    <col min="15362" max="15362" width="5.7109375" style="190" customWidth="1"/>
    <col min="15363" max="15363" width="8.42578125" style="190" customWidth="1"/>
    <col min="15364" max="15364" width="6.5703125" style="190" customWidth="1"/>
    <col min="15365" max="15365" width="47.42578125" style="190" customWidth="1"/>
    <col min="15366" max="15366" width="21.42578125" style="190" customWidth="1"/>
    <col min="15367" max="15367" width="9.140625" style="190"/>
    <col min="15368" max="15368" width="12.28515625" style="190" customWidth="1"/>
    <col min="15369" max="15616" width="9.140625" style="190"/>
    <col min="15617" max="15617" width="4.42578125" style="190" customWidth="1"/>
    <col min="15618" max="15618" width="5.7109375" style="190" customWidth="1"/>
    <col min="15619" max="15619" width="8.42578125" style="190" customWidth="1"/>
    <col min="15620" max="15620" width="6.5703125" style="190" customWidth="1"/>
    <col min="15621" max="15621" width="47.42578125" style="190" customWidth="1"/>
    <col min="15622" max="15622" width="21.42578125" style="190" customWidth="1"/>
    <col min="15623" max="15623" width="9.140625" style="190"/>
    <col min="15624" max="15624" width="12.28515625" style="190" customWidth="1"/>
    <col min="15625" max="15872" width="9.140625" style="190"/>
    <col min="15873" max="15873" width="4.42578125" style="190" customWidth="1"/>
    <col min="15874" max="15874" width="5.7109375" style="190" customWidth="1"/>
    <col min="15875" max="15875" width="8.42578125" style="190" customWidth="1"/>
    <col min="15876" max="15876" width="6.5703125" style="190" customWidth="1"/>
    <col min="15877" max="15877" width="47.42578125" style="190" customWidth="1"/>
    <col min="15878" max="15878" width="21.42578125" style="190" customWidth="1"/>
    <col min="15879" max="15879" width="9.140625" style="190"/>
    <col min="15880" max="15880" width="12.28515625" style="190" customWidth="1"/>
    <col min="15881" max="16128" width="9.140625" style="190"/>
    <col min="16129" max="16129" width="4.42578125" style="190" customWidth="1"/>
    <col min="16130" max="16130" width="5.7109375" style="190" customWidth="1"/>
    <col min="16131" max="16131" width="8.42578125" style="190" customWidth="1"/>
    <col min="16132" max="16132" width="6.5703125" style="190" customWidth="1"/>
    <col min="16133" max="16133" width="47.42578125" style="190" customWidth="1"/>
    <col min="16134" max="16134" width="21.42578125" style="190" customWidth="1"/>
    <col min="16135" max="16135" width="9.140625" style="190"/>
    <col min="16136" max="16136" width="12.28515625" style="190" customWidth="1"/>
    <col min="16137" max="16384" width="9.140625" style="190"/>
  </cols>
  <sheetData>
    <row r="1" spans="1:8" ht="15.75" customHeight="1">
      <c r="E1" s="247" t="s">
        <v>386</v>
      </c>
      <c r="F1" s="247"/>
    </row>
    <row r="2" spans="1:8">
      <c r="E2" s="247" t="s">
        <v>384</v>
      </c>
      <c r="F2" s="247"/>
    </row>
    <row r="3" spans="1:8">
      <c r="E3" s="249" t="s">
        <v>382</v>
      </c>
      <c r="F3" s="247"/>
    </row>
    <row r="4" spans="1:8">
      <c r="E4" s="247" t="s">
        <v>385</v>
      </c>
      <c r="F4" s="247"/>
    </row>
    <row r="5" spans="1:8">
      <c r="E5" s="244"/>
    </row>
    <row r="6" spans="1:8" ht="18" customHeight="1">
      <c r="A6" s="250" t="s">
        <v>381</v>
      </c>
      <c r="B6" s="250"/>
      <c r="C6" s="250"/>
      <c r="D6" s="251"/>
      <c r="E6" s="250"/>
      <c r="F6" s="250"/>
    </row>
    <row r="7" spans="1:8" ht="15.75" customHeight="1">
      <c r="A7" s="250" t="s">
        <v>387</v>
      </c>
      <c r="B7" s="250"/>
      <c r="C7" s="250"/>
      <c r="D7" s="251"/>
      <c r="E7" s="250"/>
      <c r="F7" s="250"/>
    </row>
    <row r="8" spans="1:8" ht="3.75" customHeight="1">
      <c r="F8" s="243"/>
    </row>
    <row r="9" spans="1:8" ht="15" customHeight="1">
      <c r="F9" s="241" t="s">
        <v>3</v>
      </c>
    </row>
    <row r="10" spans="1:8" ht="20.25" customHeight="1">
      <c r="A10" s="240" t="s">
        <v>101</v>
      </c>
      <c r="B10" s="240" t="s">
        <v>97</v>
      </c>
      <c r="C10" s="240" t="s">
        <v>104</v>
      </c>
      <c r="D10" s="252" t="s">
        <v>379</v>
      </c>
      <c r="E10" s="253" t="s">
        <v>102</v>
      </c>
      <c r="F10" s="240" t="s">
        <v>378</v>
      </c>
    </row>
    <row r="11" spans="1:8" s="236" customFormat="1" ht="10.5" customHeight="1">
      <c r="A11" s="237">
        <v>1</v>
      </c>
      <c r="B11" s="237">
        <v>2</v>
      </c>
      <c r="C11" s="237">
        <v>3</v>
      </c>
      <c r="D11" s="254">
        <v>4</v>
      </c>
      <c r="E11" s="255">
        <v>5</v>
      </c>
      <c r="F11" s="237">
        <v>6</v>
      </c>
    </row>
    <row r="12" spans="1:8" ht="17.25" customHeight="1">
      <c r="A12" s="215" t="s">
        <v>377</v>
      </c>
      <c r="B12" s="213"/>
      <c r="C12" s="213"/>
      <c r="D12" s="256"/>
      <c r="E12" s="213"/>
      <c r="F12" s="212"/>
    </row>
    <row r="13" spans="1:8" ht="24.75" customHeight="1">
      <c r="A13" s="200">
        <v>1</v>
      </c>
      <c r="B13" s="200">
        <v>600</v>
      </c>
      <c r="C13" s="200">
        <v>60095</v>
      </c>
      <c r="D13" s="257">
        <v>6230</v>
      </c>
      <c r="E13" s="258" t="s">
        <v>388</v>
      </c>
      <c r="F13" s="259">
        <v>200000</v>
      </c>
    </row>
    <row r="14" spans="1:8" ht="27" customHeight="1">
      <c r="A14" s="260">
        <v>2</v>
      </c>
      <c r="B14" s="260">
        <v>700</v>
      </c>
      <c r="C14" s="260">
        <v>70095</v>
      </c>
      <c r="D14" s="261">
        <v>6230</v>
      </c>
      <c r="E14" s="258" t="s">
        <v>389</v>
      </c>
      <c r="F14" s="199">
        <v>1500000</v>
      </c>
      <c r="G14" s="262"/>
    </row>
    <row r="15" spans="1:8" ht="26.25" customHeight="1">
      <c r="A15" s="260">
        <v>3</v>
      </c>
      <c r="B15" s="260">
        <v>750</v>
      </c>
      <c r="C15" s="260">
        <v>75095</v>
      </c>
      <c r="D15" s="263">
        <v>2360</v>
      </c>
      <c r="E15" s="264" t="s">
        <v>390</v>
      </c>
      <c r="F15" s="199">
        <f>120000-120000+160000</f>
        <v>160000</v>
      </c>
      <c r="H15" s="192"/>
    </row>
    <row r="16" spans="1:8" ht="15.75" customHeight="1">
      <c r="A16" s="260">
        <v>4</v>
      </c>
      <c r="B16" s="260">
        <v>755</v>
      </c>
      <c r="C16" s="260">
        <v>75515</v>
      </c>
      <c r="D16" s="263">
        <v>2360</v>
      </c>
      <c r="E16" s="264" t="s">
        <v>391</v>
      </c>
      <c r="F16" s="259">
        <v>136490.64000000001</v>
      </c>
      <c r="H16" s="192"/>
    </row>
    <row r="17" spans="1:8" ht="15.75" customHeight="1">
      <c r="A17" s="200">
        <v>5</v>
      </c>
      <c r="B17" s="200">
        <v>801</v>
      </c>
      <c r="C17" s="200">
        <v>80101</v>
      </c>
      <c r="D17" s="265">
        <v>2340</v>
      </c>
      <c r="E17" s="266" t="s">
        <v>22</v>
      </c>
      <c r="F17" s="199">
        <f>1285+2839+2649+2831+2740+2832+2740+2831+2831+831</f>
        <v>24409</v>
      </c>
      <c r="H17" s="192"/>
    </row>
    <row r="18" spans="1:8" ht="15.75" customHeight="1">
      <c r="A18" s="267"/>
      <c r="B18" s="268"/>
      <c r="C18" s="269"/>
      <c r="D18" s="270"/>
      <c r="E18" s="271" t="s">
        <v>392</v>
      </c>
      <c r="F18" s="259"/>
      <c r="H18" s="192"/>
    </row>
    <row r="19" spans="1:8" ht="15.75" customHeight="1">
      <c r="A19" s="200">
        <v>6</v>
      </c>
      <c r="B19" s="200">
        <v>801</v>
      </c>
      <c r="C19" s="266">
        <v>80104</v>
      </c>
      <c r="D19" s="265">
        <v>2340</v>
      </c>
      <c r="E19" s="266" t="s">
        <v>29</v>
      </c>
      <c r="F19" s="199">
        <f>6130+6488+6427+6871+6648+6871+5903+5331+5331+3726</f>
        <v>59726</v>
      </c>
      <c r="H19" s="192"/>
    </row>
    <row r="20" spans="1:8" ht="15.75" customHeight="1">
      <c r="A20" s="272"/>
      <c r="B20" s="273"/>
      <c r="C20" s="273"/>
      <c r="D20" s="274"/>
      <c r="E20" s="275" t="s">
        <v>393</v>
      </c>
      <c r="F20" s="276"/>
      <c r="H20" s="192"/>
    </row>
    <row r="21" spans="1:8" ht="15.75" customHeight="1">
      <c r="A21" s="267"/>
      <c r="B21" s="268"/>
      <c r="C21" s="268"/>
      <c r="D21" s="277"/>
      <c r="E21" s="278" t="s">
        <v>394</v>
      </c>
      <c r="F21" s="279"/>
      <c r="H21" s="192"/>
    </row>
    <row r="22" spans="1:8" ht="15.75" customHeight="1">
      <c r="A22" s="267"/>
      <c r="B22" s="268"/>
      <c r="C22" s="268"/>
      <c r="D22" s="277"/>
      <c r="E22" s="280" t="s">
        <v>395</v>
      </c>
      <c r="F22" s="279"/>
      <c r="H22" s="192"/>
    </row>
    <row r="23" spans="1:8" ht="15.75" customHeight="1">
      <c r="A23" s="267"/>
      <c r="B23" s="268"/>
      <c r="C23" s="268"/>
      <c r="D23" s="277"/>
      <c r="E23" s="281" t="s">
        <v>396</v>
      </c>
      <c r="F23" s="279"/>
      <c r="H23" s="192"/>
    </row>
    <row r="24" spans="1:8" ht="15.75" customHeight="1">
      <c r="A24" s="267"/>
      <c r="B24" s="268"/>
      <c r="C24" s="268"/>
      <c r="D24" s="277"/>
      <c r="E24" s="282" t="s">
        <v>397</v>
      </c>
      <c r="F24" s="279"/>
      <c r="H24" s="192"/>
    </row>
    <row r="25" spans="1:8" ht="15.75" customHeight="1">
      <c r="A25" s="283"/>
      <c r="B25" s="284"/>
      <c r="C25" s="284"/>
      <c r="D25" s="285"/>
      <c r="E25" s="283" t="s">
        <v>398</v>
      </c>
      <c r="F25" s="286"/>
      <c r="H25" s="192"/>
    </row>
    <row r="26" spans="1:8" ht="15.75" customHeight="1">
      <c r="A26" s="200">
        <v>7</v>
      </c>
      <c r="B26" s="200">
        <v>801</v>
      </c>
      <c r="C26" s="266">
        <v>80115</v>
      </c>
      <c r="D26" s="265">
        <v>2340</v>
      </c>
      <c r="E26" s="266" t="s">
        <v>32</v>
      </c>
      <c r="F26" s="199">
        <f>924+1215+1135+1214+1177+1218+1180+1221+1223+1170</f>
        <v>11677</v>
      </c>
      <c r="H26" s="192"/>
    </row>
    <row r="27" spans="1:8" ht="24" customHeight="1">
      <c r="A27" s="287"/>
      <c r="B27" s="288"/>
      <c r="C27" s="289"/>
      <c r="D27" s="257"/>
      <c r="E27" s="271" t="s">
        <v>399</v>
      </c>
      <c r="F27" s="259"/>
      <c r="H27" s="192"/>
    </row>
    <row r="28" spans="1:8" ht="15.75" customHeight="1">
      <c r="A28" s="200">
        <v>8</v>
      </c>
      <c r="B28" s="200">
        <v>801</v>
      </c>
      <c r="C28" s="266">
        <v>80117</v>
      </c>
      <c r="D28" s="265">
        <v>2340</v>
      </c>
      <c r="E28" s="266" t="s">
        <v>34</v>
      </c>
      <c r="F28" s="199">
        <f>2470+3297+3078+3295+3195+3306+3204+3315+3321+4233</f>
        <v>32714</v>
      </c>
      <c r="H28" s="192"/>
    </row>
    <row r="29" spans="1:8" ht="15" customHeight="1">
      <c r="A29" s="272"/>
      <c r="B29" s="273"/>
      <c r="C29" s="273"/>
      <c r="D29" s="261"/>
      <c r="E29" s="290" t="s">
        <v>400</v>
      </c>
      <c r="F29" s="276"/>
      <c r="H29" s="192"/>
    </row>
    <row r="30" spans="1:8" ht="15.75" customHeight="1">
      <c r="A30" s="200">
        <v>9</v>
      </c>
      <c r="B30" s="200">
        <v>801</v>
      </c>
      <c r="C30" s="266">
        <v>80120</v>
      </c>
      <c r="D30" s="265">
        <v>2340</v>
      </c>
      <c r="E30" s="266" t="s">
        <v>35</v>
      </c>
      <c r="F30" s="199">
        <f>4326+5679+5301+5672+5499+5688+5510+5699+5708+7220</f>
        <v>56302</v>
      </c>
      <c r="H30" s="192"/>
    </row>
    <row r="31" spans="1:8" ht="28.5" customHeight="1">
      <c r="A31" s="267"/>
      <c r="B31" s="268"/>
      <c r="C31" s="273"/>
      <c r="D31" s="274"/>
      <c r="E31" s="291" t="s">
        <v>401</v>
      </c>
      <c r="F31" s="279"/>
      <c r="H31" s="192"/>
    </row>
    <row r="32" spans="1:8" ht="33" customHeight="1">
      <c r="A32" s="283"/>
      <c r="B32" s="284"/>
      <c r="C32" s="284"/>
      <c r="D32" s="285"/>
      <c r="E32" s="292" t="s">
        <v>402</v>
      </c>
      <c r="F32" s="286"/>
      <c r="H32" s="192"/>
    </row>
    <row r="33" spans="1:8" ht="35.25" customHeight="1">
      <c r="A33" s="293">
        <v>10</v>
      </c>
      <c r="B33" s="293">
        <v>801</v>
      </c>
      <c r="C33" s="294">
        <v>80153</v>
      </c>
      <c r="D33" s="295">
        <v>2830</v>
      </c>
      <c r="E33" s="296" t="s">
        <v>403</v>
      </c>
      <c r="F33" s="297">
        <f>86269.25+1896.36-907.31</f>
        <v>87258.3</v>
      </c>
      <c r="H33" s="192"/>
    </row>
    <row r="34" spans="1:8" ht="15" customHeight="1">
      <c r="A34" s="298"/>
      <c r="B34" s="299"/>
      <c r="C34" s="299"/>
      <c r="D34" s="274"/>
      <c r="E34" s="300" t="s">
        <v>404</v>
      </c>
      <c r="F34" s="301"/>
      <c r="H34" s="192"/>
    </row>
    <row r="35" spans="1:8" ht="24" customHeight="1">
      <c r="A35" s="302"/>
      <c r="B35" s="303"/>
      <c r="C35" s="303"/>
      <c r="D35" s="277"/>
      <c r="E35" s="304" t="s">
        <v>405</v>
      </c>
      <c r="F35" s="305"/>
      <c r="H35" s="192"/>
    </row>
    <row r="36" spans="1:8" ht="15" customHeight="1">
      <c r="A36" s="306"/>
      <c r="B36" s="307"/>
      <c r="C36" s="307"/>
      <c r="D36" s="285"/>
      <c r="E36" s="308" t="s">
        <v>406</v>
      </c>
      <c r="F36" s="309"/>
      <c r="H36" s="192"/>
    </row>
    <row r="37" spans="1:8" ht="15" customHeight="1">
      <c r="A37" s="310">
        <v>11</v>
      </c>
      <c r="B37" s="310">
        <v>851</v>
      </c>
      <c r="C37" s="310">
        <v>85153</v>
      </c>
      <c r="D37" s="311">
        <v>2360</v>
      </c>
      <c r="E37" s="312" t="s">
        <v>62</v>
      </c>
      <c r="F37" s="313">
        <v>70000</v>
      </c>
      <c r="H37" s="192"/>
    </row>
    <row r="38" spans="1:8" ht="36" customHeight="1">
      <c r="A38" s="260">
        <v>12</v>
      </c>
      <c r="B38" s="260">
        <v>851</v>
      </c>
      <c r="C38" s="260">
        <v>85154</v>
      </c>
      <c r="D38" s="263">
        <v>2360</v>
      </c>
      <c r="E38" s="264" t="s">
        <v>407</v>
      </c>
      <c r="F38" s="199">
        <f>540000+287000</f>
        <v>827000</v>
      </c>
    </row>
    <row r="39" spans="1:8" ht="24.75" customHeight="1">
      <c r="A39" s="314">
        <v>13</v>
      </c>
      <c r="B39" s="314">
        <v>851</v>
      </c>
      <c r="C39" s="315">
        <v>85195</v>
      </c>
      <c r="D39" s="316">
        <v>2360</v>
      </c>
      <c r="E39" s="264" t="s">
        <v>408</v>
      </c>
      <c r="F39" s="199">
        <f>67500+15000</f>
        <v>82500</v>
      </c>
    </row>
    <row r="40" spans="1:8" ht="24.75" customHeight="1">
      <c r="A40" s="260">
        <v>14</v>
      </c>
      <c r="B40" s="260">
        <v>852</v>
      </c>
      <c r="C40" s="260">
        <v>85219</v>
      </c>
      <c r="D40" s="263">
        <v>2830</v>
      </c>
      <c r="E40" s="264" t="s">
        <v>409</v>
      </c>
      <c r="F40" s="199">
        <v>171908</v>
      </c>
    </row>
    <row r="41" spans="1:8" ht="24.75" customHeight="1">
      <c r="A41" s="314">
        <v>15</v>
      </c>
      <c r="B41" s="317">
        <v>852</v>
      </c>
      <c r="C41" s="318">
        <v>85228</v>
      </c>
      <c r="D41" s="316">
        <v>2360</v>
      </c>
      <c r="E41" s="319" t="s">
        <v>410</v>
      </c>
      <c r="F41" s="199">
        <f>F42+F43</f>
        <v>13551839.1</v>
      </c>
    </row>
    <row r="42" spans="1:8" s="193" customFormat="1" ht="13.5" customHeight="1">
      <c r="A42" s="320" t="s">
        <v>411</v>
      </c>
      <c r="B42" s="321"/>
      <c r="C42" s="322"/>
      <c r="D42" s="323"/>
      <c r="E42" s="324" t="s">
        <v>412</v>
      </c>
      <c r="F42" s="223">
        <f>8147880+194310.1</f>
        <v>8342190.0999999996</v>
      </c>
    </row>
    <row r="43" spans="1:8" s="193" customFormat="1" ht="13.5" customHeight="1">
      <c r="A43" s="320" t="s">
        <v>413</v>
      </c>
      <c r="B43" s="321"/>
      <c r="C43" s="322"/>
      <c r="D43" s="323"/>
      <c r="E43" s="324" t="s">
        <v>414</v>
      </c>
      <c r="F43" s="223">
        <f>2432000+209360+532760+362720+772809+900000</f>
        <v>5209649</v>
      </c>
    </row>
    <row r="44" spans="1:8" ht="25.5" customHeight="1">
      <c r="A44" s="260">
        <v>16</v>
      </c>
      <c r="B44" s="260">
        <v>852</v>
      </c>
      <c r="C44" s="260">
        <v>85295</v>
      </c>
      <c r="D44" s="263">
        <v>2360</v>
      </c>
      <c r="E44" s="264" t="s">
        <v>409</v>
      </c>
      <c r="F44" s="199">
        <f>2609549-357.09</f>
        <v>2609191.91</v>
      </c>
    </row>
    <row r="45" spans="1:8" ht="26.25" customHeight="1">
      <c r="A45" s="260">
        <v>17</v>
      </c>
      <c r="B45" s="260">
        <v>853</v>
      </c>
      <c r="C45" s="260">
        <v>85395</v>
      </c>
      <c r="D45" s="263">
        <v>2360</v>
      </c>
      <c r="E45" s="264" t="s">
        <v>415</v>
      </c>
      <c r="F45" s="199">
        <v>20000</v>
      </c>
    </row>
    <row r="46" spans="1:8" ht="36.75" customHeight="1">
      <c r="A46" s="260">
        <v>18</v>
      </c>
      <c r="B46" s="260">
        <v>853</v>
      </c>
      <c r="C46" s="260">
        <v>85395</v>
      </c>
      <c r="D46" s="325" t="s">
        <v>416</v>
      </c>
      <c r="E46" s="264" t="s">
        <v>417</v>
      </c>
      <c r="F46" s="199">
        <f>90607.26+3763.63+21327.18</f>
        <v>115698.07</v>
      </c>
    </row>
    <row r="47" spans="1:8" ht="24" customHeight="1">
      <c r="A47" s="260">
        <v>19</v>
      </c>
      <c r="B47" s="260">
        <v>855</v>
      </c>
      <c r="C47" s="260">
        <v>85510</v>
      </c>
      <c r="D47" s="326" t="s">
        <v>418</v>
      </c>
      <c r="E47" s="264" t="s">
        <v>88</v>
      </c>
      <c r="F47" s="199">
        <f>3168000-122.15+176755.17</f>
        <v>3344633.02</v>
      </c>
    </row>
    <row r="48" spans="1:8" ht="24.75" customHeight="1">
      <c r="A48" s="260">
        <v>20</v>
      </c>
      <c r="B48" s="260">
        <v>900</v>
      </c>
      <c r="C48" s="260">
        <v>90001</v>
      </c>
      <c r="D48" s="263">
        <v>6230</v>
      </c>
      <c r="E48" s="319" t="s">
        <v>419</v>
      </c>
      <c r="F48" s="199">
        <v>250000</v>
      </c>
    </row>
    <row r="49" spans="1:8" ht="22.5" customHeight="1">
      <c r="A49" s="260">
        <v>21</v>
      </c>
      <c r="B49" s="260">
        <v>900</v>
      </c>
      <c r="C49" s="260">
        <v>90005</v>
      </c>
      <c r="D49" s="263">
        <v>6230</v>
      </c>
      <c r="E49" s="264" t="s">
        <v>420</v>
      </c>
      <c r="F49" s="259">
        <f>F50+F51</f>
        <v>394215.39</v>
      </c>
    </row>
    <row r="50" spans="1:8" s="193" customFormat="1" ht="15" customHeight="1">
      <c r="A50" s="327" t="s">
        <v>421</v>
      </c>
      <c r="B50" s="328"/>
      <c r="C50" s="328"/>
      <c r="D50" s="329"/>
      <c r="E50" s="330" t="s">
        <v>422</v>
      </c>
      <c r="F50" s="331">
        <f>200000+24215.39+4000</f>
        <v>228215.39</v>
      </c>
    </row>
    <row r="51" spans="1:8" s="193" customFormat="1" ht="13.5" customHeight="1">
      <c r="A51" s="327" t="s">
        <v>423</v>
      </c>
      <c r="B51" s="328"/>
      <c r="C51" s="328"/>
      <c r="D51" s="329"/>
      <c r="E51" s="330" t="s">
        <v>424</v>
      </c>
      <c r="F51" s="331">
        <f>100000+70000-4000</f>
        <v>166000</v>
      </c>
    </row>
    <row r="52" spans="1:8" s="193" customFormat="1" ht="23.25" customHeight="1">
      <c r="A52" s="332">
        <v>22</v>
      </c>
      <c r="B52" s="260">
        <v>900</v>
      </c>
      <c r="C52" s="260">
        <v>90005</v>
      </c>
      <c r="D52" s="263">
        <v>6230</v>
      </c>
      <c r="E52" s="333" t="s">
        <v>425</v>
      </c>
      <c r="F52" s="220">
        <f>1571700-671635-457230</f>
        <v>442835</v>
      </c>
    </row>
    <row r="53" spans="1:8" s="193" customFormat="1" ht="25.5" customHeight="1">
      <c r="A53" s="260">
        <v>23</v>
      </c>
      <c r="B53" s="260">
        <v>900</v>
      </c>
      <c r="C53" s="260">
        <v>90026</v>
      </c>
      <c r="D53" s="263">
        <v>6230</v>
      </c>
      <c r="E53" s="319" t="s">
        <v>426</v>
      </c>
      <c r="F53" s="199">
        <f>50000+12600</f>
        <v>62600</v>
      </c>
    </row>
    <row r="54" spans="1:8" ht="15.75" customHeight="1">
      <c r="A54" s="334">
        <v>24</v>
      </c>
      <c r="B54" s="334">
        <v>921</v>
      </c>
      <c r="C54" s="334">
        <v>92120</v>
      </c>
      <c r="D54" s="335">
        <v>2720</v>
      </c>
      <c r="E54" s="287" t="s">
        <v>427</v>
      </c>
      <c r="F54" s="259">
        <v>1000000</v>
      </c>
    </row>
    <row r="55" spans="1:8" ht="36" customHeight="1">
      <c r="A55" s="260">
        <v>25</v>
      </c>
      <c r="B55" s="260">
        <v>921</v>
      </c>
      <c r="C55" s="260">
        <v>92195</v>
      </c>
      <c r="D55" s="325">
        <v>2360</v>
      </c>
      <c r="E55" s="264" t="s">
        <v>428</v>
      </c>
      <c r="F55" s="220">
        <f>320000-20000-250-66000-22000-35000</f>
        <v>176750</v>
      </c>
    </row>
    <row r="56" spans="1:8" ht="15.6" customHeight="1">
      <c r="A56" s="260">
        <v>26</v>
      </c>
      <c r="B56" s="260">
        <v>926</v>
      </c>
      <c r="C56" s="260">
        <v>92605</v>
      </c>
      <c r="D56" s="325">
        <v>2360</v>
      </c>
      <c r="E56" s="336" t="s">
        <v>429</v>
      </c>
      <c r="F56" s="199">
        <f>2436300-3000+3000</f>
        <v>2436300</v>
      </c>
    </row>
    <row r="57" spans="1:8" ht="47.45" customHeight="1">
      <c r="A57" s="337">
        <v>27</v>
      </c>
      <c r="B57" s="260">
        <v>926</v>
      </c>
      <c r="C57" s="260">
        <v>92605</v>
      </c>
      <c r="D57" s="325" t="s">
        <v>430</v>
      </c>
      <c r="E57" s="336" t="s">
        <v>431</v>
      </c>
      <c r="F57" s="199">
        <v>106845.42</v>
      </c>
    </row>
    <row r="58" spans="1:8" s="242" customFormat="1" ht="18" customHeight="1">
      <c r="A58" s="490"/>
      <c r="B58" s="491"/>
      <c r="C58" s="491"/>
      <c r="D58" s="338"/>
      <c r="E58" s="491" t="s">
        <v>432</v>
      </c>
      <c r="F58" s="492">
        <f>F57+F56+F55+F54+F52+F53+F49+F48+F47+F46+F45+F44+F41+F40+F39+F38+F37+F33+F30+F28+F26+F19+F17+F16+F15+F14+F13</f>
        <v>27930892.850000001</v>
      </c>
      <c r="H58" s="339"/>
    </row>
    <row r="59" spans="1:8" ht="17.25" customHeight="1">
      <c r="A59" s="215" t="s">
        <v>367</v>
      </c>
      <c r="B59" s="213"/>
      <c r="C59" s="213"/>
      <c r="D59" s="256"/>
      <c r="E59" s="213"/>
      <c r="F59" s="212"/>
    </row>
    <row r="60" spans="1:8" ht="17.25" customHeight="1">
      <c r="A60" s="240" t="s">
        <v>101</v>
      </c>
      <c r="B60" s="240" t="s">
        <v>97</v>
      </c>
      <c r="C60" s="240" t="s">
        <v>104</v>
      </c>
      <c r="D60" s="263"/>
      <c r="E60" s="253" t="s">
        <v>433</v>
      </c>
      <c r="F60" s="240" t="s">
        <v>378</v>
      </c>
    </row>
    <row r="61" spans="1:8" ht="24" customHeight="1">
      <c r="A61" s="260">
        <v>1</v>
      </c>
      <c r="B61" s="260">
        <v>801</v>
      </c>
      <c r="C61" s="260">
        <v>80101</v>
      </c>
      <c r="D61" s="340" t="s">
        <v>434</v>
      </c>
      <c r="E61" s="337" t="s">
        <v>22</v>
      </c>
      <c r="F61" s="199">
        <f>9621098.76+50000+100000+1400000+1100000</f>
        <v>12271098.76</v>
      </c>
    </row>
    <row r="62" spans="1:8" ht="16.5" customHeight="1">
      <c r="A62" s="272"/>
      <c r="B62" s="273"/>
      <c r="C62" s="341"/>
      <c r="D62" s="316"/>
      <c r="E62" s="342" t="s">
        <v>435</v>
      </c>
      <c r="F62" s="276"/>
    </row>
    <row r="63" spans="1:8" ht="15" customHeight="1">
      <c r="A63" s="267"/>
      <c r="B63" s="268"/>
      <c r="C63" s="343"/>
      <c r="D63" s="344"/>
      <c r="E63" s="345" t="s">
        <v>436</v>
      </c>
      <c r="F63" s="279"/>
      <c r="G63" s="346"/>
    </row>
    <row r="64" spans="1:8" ht="26.25" customHeight="1">
      <c r="A64" s="267"/>
      <c r="B64" s="268"/>
      <c r="C64" s="343"/>
      <c r="D64" s="347"/>
      <c r="E64" s="291" t="s">
        <v>437</v>
      </c>
      <c r="F64" s="348"/>
    </row>
    <row r="65" spans="1:6" ht="27" customHeight="1">
      <c r="A65" s="267"/>
      <c r="B65" s="268"/>
      <c r="C65" s="343"/>
      <c r="D65" s="347"/>
      <c r="E65" s="349" t="s">
        <v>438</v>
      </c>
      <c r="F65" s="279"/>
    </row>
    <row r="66" spans="1:6" ht="14.25" customHeight="1">
      <c r="A66" s="267"/>
      <c r="B66" s="268"/>
      <c r="C66" s="343"/>
      <c r="D66" s="347"/>
      <c r="E66" s="281" t="s">
        <v>439</v>
      </c>
      <c r="F66" s="279"/>
    </row>
    <row r="67" spans="1:6" ht="24" customHeight="1">
      <c r="A67" s="283"/>
      <c r="B67" s="284"/>
      <c r="C67" s="350"/>
      <c r="D67" s="351"/>
      <c r="E67" s="352" t="s">
        <v>405</v>
      </c>
      <c r="F67" s="313"/>
    </row>
    <row r="68" spans="1:6" ht="13.9" customHeight="1">
      <c r="A68" s="334">
        <v>2</v>
      </c>
      <c r="B68" s="334">
        <v>801</v>
      </c>
      <c r="C68" s="334">
        <v>80103</v>
      </c>
      <c r="D68" s="335">
        <v>2540</v>
      </c>
      <c r="E68" s="287" t="s">
        <v>28</v>
      </c>
      <c r="F68" s="259">
        <v>200474</v>
      </c>
    </row>
    <row r="69" spans="1:6" ht="27" customHeight="1">
      <c r="A69" s="267"/>
      <c r="B69" s="268"/>
      <c r="C69" s="343"/>
      <c r="D69" s="347"/>
      <c r="E69" s="353" t="s">
        <v>437</v>
      </c>
      <c r="F69" s="276"/>
    </row>
    <row r="70" spans="1:6" ht="15" customHeight="1">
      <c r="A70" s="283"/>
      <c r="B70" s="284"/>
      <c r="C70" s="350"/>
      <c r="D70" s="285"/>
      <c r="E70" s="284" t="s">
        <v>439</v>
      </c>
      <c r="F70" s="313"/>
    </row>
    <row r="71" spans="1:6" ht="23.25" customHeight="1">
      <c r="A71" s="260">
        <v>3</v>
      </c>
      <c r="B71" s="260">
        <v>801</v>
      </c>
      <c r="C71" s="260">
        <v>80104</v>
      </c>
      <c r="D71" s="325" t="s">
        <v>434</v>
      </c>
      <c r="E71" s="337" t="s">
        <v>29</v>
      </c>
      <c r="F71" s="199">
        <f>9998488.4-50000+250000+1100000+2200000</f>
        <v>13498488.4</v>
      </c>
    </row>
    <row r="72" spans="1:6" ht="15.2" customHeight="1">
      <c r="A72" s="272"/>
      <c r="B72" s="273"/>
      <c r="C72" s="341"/>
      <c r="D72" s="316"/>
      <c r="E72" s="342" t="s">
        <v>395</v>
      </c>
      <c r="F72" s="276"/>
    </row>
    <row r="73" spans="1:6" ht="15.2" customHeight="1">
      <c r="A73" s="267"/>
      <c r="B73" s="268"/>
      <c r="C73" s="343"/>
      <c r="D73" s="347"/>
      <c r="E73" s="275" t="s">
        <v>393</v>
      </c>
      <c r="F73" s="279"/>
    </row>
    <row r="74" spans="1:6" ht="15.2" customHeight="1">
      <c r="A74" s="267"/>
      <c r="B74" s="268"/>
      <c r="C74" s="343"/>
      <c r="D74" s="347"/>
      <c r="E74" s="275" t="s">
        <v>394</v>
      </c>
      <c r="F74" s="279"/>
    </row>
    <row r="75" spans="1:6" ht="15.2" customHeight="1">
      <c r="A75" s="267"/>
      <c r="B75" s="268"/>
      <c r="C75" s="343"/>
      <c r="D75" s="347"/>
      <c r="E75" s="275" t="s">
        <v>396</v>
      </c>
      <c r="F75" s="279"/>
    </row>
    <row r="76" spans="1:6" ht="15.2" customHeight="1">
      <c r="A76" s="283"/>
      <c r="B76" s="284"/>
      <c r="C76" s="350"/>
      <c r="D76" s="351"/>
      <c r="E76" s="292" t="s">
        <v>440</v>
      </c>
      <c r="F76" s="286"/>
    </row>
    <row r="77" spans="1:6" ht="15.2" customHeight="1">
      <c r="A77" s="267"/>
      <c r="B77" s="268"/>
      <c r="C77" s="343"/>
      <c r="D77" s="347"/>
      <c r="E77" s="291" t="s">
        <v>441</v>
      </c>
      <c r="F77" s="348"/>
    </row>
    <row r="78" spans="1:6" ht="15.2" customHeight="1">
      <c r="A78" s="267"/>
      <c r="B78" s="268"/>
      <c r="C78" s="343"/>
      <c r="D78" s="347"/>
      <c r="E78" s="275" t="s">
        <v>397</v>
      </c>
      <c r="F78" s="279"/>
    </row>
    <row r="79" spans="1:6" ht="24" customHeight="1">
      <c r="A79" s="267"/>
      <c r="B79" s="268"/>
      <c r="C79" s="343"/>
      <c r="D79" s="347"/>
      <c r="E79" s="275" t="s">
        <v>442</v>
      </c>
      <c r="F79" s="279"/>
    </row>
    <row r="80" spans="1:6" ht="15.2" customHeight="1">
      <c r="A80" s="267"/>
      <c r="B80" s="268"/>
      <c r="C80" s="343"/>
      <c r="D80" s="347"/>
      <c r="E80" s="291" t="s">
        <v>443</v>
      </c>
      <c r="F80" s="348"/>
    </row>
    <row r="81" spans="1:6" ht="15.2" customHeight="1">
      <c r="A81" s="267"/>
      <c r="B81" s="268"/>
      <c r="C81" s="343"/>
      <c r="D81" s="347"/>
      <c r="E81" s="281" t="s">
        <v>444</v>
      </c>
      <c r="F81" s="279"/>
    </row>
    <row r="82" spans="1:6" ht="15.2" customHeight="1">
      <c r="A82" s="267"/>
      <c r="B82" s="268"/>
      <c r="C82" s="343"/>
      <c r="D82" s="347"/>
      <c r="E82" s="281" t="s">
        <v>398</v>
      </c>
      <c r="F82" s="279"/>
    </row>
    <row r="83" spans="1:6" ht="15.2" customHeight="1">
      <c r="A83" s="267"/>
      <c r="B83" s="268"/>
      <c r="C83" s="343"/>
      <c r="D83" s="347"/>
      <c r="E83" s="354" t="s">
        <v>445</v>
      </c>
      <c r="F83" s="348"/>
    </row>
    <row r="84" spans="1:6" ht="15.2" customHeight="1">
      <c r="A84" s="267"/>
      <c r="B84" s="268"/>
      <c r="C84" s="343"/>
      <c r="D84" s="347"/>
      <c r="E84" s="281" t="s">
        <v>446</v>
      </c>
      <c r="F84" s="279"/>
    </row>
    <row r="85" spans="1:6" ht="15.2" customHeight="1">
      <c r="A85" s="267"/>
      <c r="B85" s="268"/>
      <c r="C85" s="343"/>
      <c r="D85" s="347"/>
      <c r="E85" s="281" t="s">
        <v>447</v>
      </c>
      <c r="F85" s="279"/>
    </row>
    <row r="86" spans="1:6" ht="15.2" customHeight="1">
      <c r="A86" s="283"/>
      <c r="B86" s="284"/>
      <c r="C86" s="350"/>
      <c r="D86" s="351"/>
      <c r="E86" s="355" t="s">
        <v>448</v>
      </c>
      <c r="F86" s="313"/>
    </row>
    <row r="87" spans="1:6" ht="17.25" customHeight="1">
      <c r="A87" s="260">
        <v>4</v>
      </c>
      <c r="B87" s="260">
        <v>801</v>
      </c>
      <c r="C87" s="260">
        <v>80106</v>
      </c>
      <c r="D87" s="263">
        <v>2540</v>
      </c>
      <c r="E87" s="264" t="s">
        <v>449</v>
      </c>
      <c r="F87" s="199">
        <f>106966+130971-74217</f>
        <v>163720</v>
      </c>
    </row>
    <row r="88" spans="1:6" ht="16.5" customHeight="1">
      <c r="A88" s="267"/>
      <c r="B88" s="268"/>
      <c r="C88" s="343"/>
      <c r="D88" s="274"/>
      <c r="E88" s="356" t="s">
        <v>450</v>
      </c>
      <c r="F88" s="357"/>
    </row>
    <row r="89" spans="1:6" ht="13.5" customHeight="1">
      <c r="A89" s="334">
        <v>5</v>
      </c>
      <c r="B89" s="334">
        <v>801</v>
      </c>
      <c r="C89" s="334">
        <v>80115</v>
      </c>
      <c r="D89" s="358">
        <v>2540</v>
      </c>
      <c r="E89" s="288" t="s">
        <v>32</v>
      </c>
      <c r="F89" s="259">
        <f>3080790+50000+120000+450000+200000</f>
        <v>3900790</v>
      </c>
    </row>
    <row r="90" spans="1:6" ht="28.5" customHeight="1">
      <c r="A90" s="287"/>
      <c r="B90" s="288"/>
      <c r="C90" s="359"/>
      <c r="D90" s="261"/>
      <c r="E90" s="360" t="s">
        <v>451</v>
      </c>
      <c r="F90" s="259"/>
    </row>
    <row r="91" spans="1:6" ht="13.5" customHeight="1">
      <c r="A91" s="334">
        <v>6</v>
      </c>
      <c r="B91" s="334">
        <v>801</v>
      </c>
      <c r="C91" s="334">
        <v>80116</v>
      </c>
      <c r="D91" s="358">
        <v>2540</v>
      </c>
      <c r="E91" s="288" t="s">
        <v>33</v>
      </c>
      <c r="F91" s="259">
        <f>5554772.25+500000+800000+1200000+1000000</f>
        <v>9054772.25</v>
      </c>
    </row>
    <row r="92" spans="1:6" ht="15" customHeight="1">
      <c r="A92" s="272"/>
      <c r="B92" s="273"/>
      <c r="C92" s="341"/>
      <c r="D92" s="316"/>
      <c r="E92" s="361" t="s">
        <v>452</v>
      </c>
      <c r="F92" s="276"/>
    </row>
    <row r="93" spans="1:6" ht="25.5" customHeight="1">
      <c r="A93" s="267"/>
      <c r="B93" s="268"/>
      <c r="C93" s="343"/>
      <c r="D93" s="347"/>
      <c r="E93" s="345" t="s">
        <v>453</v>
      </c>
      <c r="F93" s="279"/>
    </row>
    <row r="94" spans="1:6" ht="13.5" customHeight="1">
      <c r="A94" s="267"/>
      <c r="B94" s="268"/>
      <c r="C94" s="343"/>
      <c r="D94" s="347"/>
      <c r="E94" s="281" t="s">
        <v>454</v>
      </c>
      <c r="F94" s="279"/>
    </row>
    <row r="95" spans="1:6" ht="25.5" customHeight="1">
      <c r="A95" s="267"/>
      <c r="B95" s="268"/>
      <c r="C95" s="343"/>
      <c r="D95" s="347"/>
      <c r="E95" s="345" t="s">
        <v>455</v>
      </c>
      <c r="F95" s="279"/>
    </row>
    <row r="96" spans="1:6" ht="27.75" customHeight="1">
      <c r="A96" s="267"/>
      <c r="B96" s="268"/>
      <c r="C96" s="343"/>
      <c r="D96" s="347"/>
      <c r="E96" s="290" t="s">
        <v>456</v>
      </c>
      <c r="F96" s="348"/>
    </row>
    <row r="97" spans="1:6" ht="13.9" customHeight="1">
      <c r="A97" s="267"/>
      <c r="B97" s="268"/>
      <c r="C97" s="343"/>
      <c r="D97" s="347"/>
      <c r="E97" s="281" t="s">
        <v>457</v>
      </c>
      <c r="F97" s="279"/>
    </row>
    <row r="98" spans="1:6" ht="15.75" customHeight="1">
      <c r="A98" s="267"/>
      <c r="B98" s="268"/>
      <c r="C98" s="343"/>
      <c r="D98" s="347"/>
      <c r="E98" s="281" t="s">
        <v>458</v>
      </c>
      <c r="F98" s="279"/>
    </row>
    <row r="99" spans="1:6" ht="15" customHeight="1">
      <c r="A99" s="267"/>
      <c r="B99" s="268"/>
      <c r="C99" s="343"/>
      <c r="D99" s="362"/>
      <c r="E99" s="363" t="s">
        <v>459</v>
      </c>
      <c r="F99" s="348"/>
    </row>
    <row r="100" spans="1:6" ht="15" customHeight="1">
      <c r="A100" s="267"/>
      <c r="B100" s="268"/>
      <c r="C100" s="343"/>
      <c r="D100" s="362"/>
      <c r="E100" s="364" t="s">
        <v>460</v>
      </c>
      <c r="F100" s="279"/>
    </row>
    <row r="101" spans="1:6" ht="15.75" customHeight="1">
      <c r="A101" s="267"/>
      <c r="B101" s="268"/>
      <c r="C101" s="343"/>
      <c r="D101" s="365"/>
      <c r="E101" s="354" t="s">
        <v>461</v>
      </c>
      <c r="F101" s="348"/>
    </row>
    <row r="102" spans="1:6" ht="27" customHeight="1">
      <c r="A102" s="283"/>
      <c r="B102" s="284"/>
      <c r="C102" s="350"/>
      <c r="D102" s="351"/>
      <c r="E102" s="352" t="s">
        <v>462</v>
      </c>
      <c r="F102" s="313"/>
    </row>
    <row r="103" spans="1:6" ht="24.75" customHeight="1">
      <c r="A103" s="260">
        <v>7</v>
      </c>
      <c r="B103" s="260">
        <v>801</v>
      </c>
      <c r="C103" s="260">
        <v>80117</v>
      </c>
      <c r="D103" s="325" t="s">
        <v>434</v>
      </c>
      <c r="E103" s="337" t="s">
        <v>34</v>
      </c>
      <c r="F103" s="199">
        <f>2829208+300000+250000</f>
        <v>3379208</v>
      </c>
    </row>
    <row r="104" spans="1:6" ht="15.6" customHeight="1">
      <c r="A104" s="267"/>
      <c r="B104" s="268"/>
      <c r="C104" s="343"/>
      <c r="D104" s="347"/>
      <c r="E104" s="290" t="s">
        <v>400</v>
      </c>
      <c r="F104" s="348"/>
    </row>
    <row r="105" spans="1:6" ht="25.5" customHeight="1">
      <c r="A105" s="267"/>
      <c r="B105" s="268"/>
      <c r="C105" s="343"/>
      <c r="D105" s="347"/>
      <c r="E105" s="352" t="s">
        <v>463</v>
      </c>
      <c r="F105" s="357"/>
    </row>
    <row r="106" spans="1:6" ht="24" customHeight="1">
      <c r="A106" s="260">
        <v>8</v>
      </c>
      <c r="B106" s="260">
        <v>801</v>
      </c>
      <c r="C106" s="260">
        <v>80120</v>
      </c>
      <c r="D106" s="325" t="s">
        <v>434</v>
      </c>
      <c r="E106" s="337" t="s">
        <v>35</v>
      </c>
      <c r="F106" s="199">
        <f>7217788.78-500000+200000+300000+950000+250000</f>
        <v>8417788.7800000012</v>
      </c>
    </row>
    <row r="107" spans="1:6" ht="12.75" customHeight="1">
      <c r="A107" s="267"/>
      <c r="B107" s="268"/>
      <c r="C107" s="343"/>
      <c r="D107" s="347"/>
      <c r="E107" s="345" t="s">
        <v>464</v>
      </c>
      <c r="F107" s="279"/>
    </row>
    <row r="108" spans="1:6" ht="24.75" customHeight="1">
      <c r="A108" s="267"/>
      <c r="B108" s="268"/>
      <c r="C108" s="343"/>
      <c r="D108" s="362"/>
      <c r="E108" s="345" t="s">
        <v>465</v>
      </c>
      <c r="F108" s="279"/>
    </row>
    <row r="109" spans="1:6" ht="24" customHeight="1">
      <c r="A109" s="267"/>
      <c r="B109" s="268"/>
      <c r="C109" s="343"/>
      <c r="D109" s="362"/>
      <c r="E109" s="366" t="s">
        <v>466</v>
      </c>
      <c r="F109" s="279"/>
    </row>
    <row r="110" spans="1:6" ht="21.75" customHeight="1">
      <c r="A110" s="267"/>
      <c r="B110" s="268"/>
      <c r="C110" s="343"/>
      <c r="D110" s="347"/>
      <c r="E110" s="345" t="s">
        <v>467</v>
      </c>
      <c r="F110" s="279"/>
    </row>
    <row r="111" spans="1:6" ht="14.25" customHeight="1">
      <c r="A111" s="267"/>
      <c r="B111" s="268"/>
      <c r="C111" s="343"/>
      <c r="D111" s="347"/>
      <c r="E111" s="275" t="s">
        <v>468</v>
      </c>
      <c r="F111" s="279"/>
    </row>
    <row r="112" spans="1:6" ht="25.5" customHeight="1">
      <c r="A112" s="267"/>
      <c r="B112" s="268"/>
      <c r="C112" s="343"/>
      <c r="D112" s="347"/>
      <c r="E112" s="349" t="s">
        <v>469</v>
      </c>
      <c r="F112" s="279"/>
    </row>
    <row r="113" spans="1:6" ht="26.25" customHeight="1">
      <c r="A113" s="267"/>
      <c r="B113" s="268"/>
      <c r="C113" s="343"/>
      <c r="D113" s="347"/>
      <c r="E113" s="349" t="s">
        <v>470</v>
      </c>
      <c r="F113" s="279"/>
    </row>
    <row r="114" spans="1:6" ht="12.75" customHeight="1">
      <c r="A114" s="267"/>
      <c r="B114" s="268"/>
      <c r="C114" s="343"/>
      <c r="D114" s="347"/>
      <c r="E114" s="281" t="s">
        <v>471</v>
      </c>
      <c r="F114" s="279"/>
    </row>
    <row r="115" spans="1:6" ht="14.25" customHeight="1">
      <c r="A115" s="267"/>
      <c r="B115" s="268"/>
      <c r="C115" s="343"/>
      <c r="D115" s="347"/>
      <c r="E115" s="281" t="s">
        <v>472</v>
      </c>
      <c r="F115" s="279"/>
    </row>
    <row r="116" spans="1:6" ht="15" customHeight="1">
      <c r="A116" s="283"/>
      <c r="B116" s="284"/>
      <c r="C116" s="350"/>
      <c r="D116" s="351"/>
      <c r="E116" s="355" t="s">
        <v>473</v>
      </c>
      <c r="F116" s="313"/>
    </row>
    <row r="117" spans="1:6" ht="48" customHeight="1">
      <c r="A117" s="260">
        <v>9</v>
      </c>
      <c r="B117" s="260">
        <v>801</v>
      </c>
      <c r="C117" s="260">
        <v>80149</v>
      </c>
      <c r="D117" s="325" t="s">
        <v>434</v>
      </c>
      <c r="E117" s="264" t="s">
        <v>474</v>
      </c>
      <c r="F117" s="199">
        <f>2979637.56+250000+450000+500000+100000</f>
        <v>4279637.5600000005</v>
      </c>
    </row>
    <row r="118" spans="1:6" ht="15.2" customHeight="1">
      <c r="A118" s="267"/>
      <c r="B118" s="268"/>
      <c r="C118" s="343"/>
      <c r="D118" s="347"/>
      <c r="E118" s="349" t="s">
        <v>444</v>
      </c>
      <c r="F118" s="279"/>
    </row>
    <row r="119" spans="1:6" ht="15.2" customHeight="1">
      <c r="A119" s="267"/>
      <c r="B119" s="268"/>
      <c r="C119" s="343"/>
      <c r="D119" s="347"/>
      <c r="E119" s="349" t="s">
        <v>475</v>
      </c>
      <c r="F119" s="279"/>
    </row>
    <row r="120" spans="1:6" ht="15.2" customHeight="1">
      <c r="A120" s="267"/>
      <c r="B120" s="268"/>
      <c r="C120" s="343"/>
      <c r="D120" s="347"/>
      <c r="E120" s="367" t="s">
        <v>395</v>
      </c>
      <c r="F120" s="348"/>
    </row>
    <row r="121" spans="1:6" ht="15.2" customHeight="1">
      <c r="A121" s="267"/>
      <c r="B121" s="268"/>
      <c r="C121" s="343"/>
      <c r="D121" s="347"/>
      <c r="E121" s="275" t="s">
        <v>394</v>
      </c>
      <c r="F121" s="279"/>
    </row>
    <row r="122" spans="1:6" ht="15.2" customHeight="1">
      <c r="A122" s="267"/>
      <c r="B122" s="268"/>
      <c r="C122" s="343"/>
      <c r="D122" s="347"/>
      <c r="E122" s="349" t="s">
        <v>476</v>
      </c>
      <c r="F122" s="279"/>
    </row>
    <row r="123" spans="1:6" ht="15.2" customHeight="1">
      <c r="A123" s="267"/>
      <c r="B123" s="268"/>
      <c r="C123" s="343"/>
      <c r="D123" s="347"/>
      <c r="E123" s="349" t="s">
        <v>477</v>
      </c>
      <c r="F123" s="279"/>
    </row>
    <row r="124" spans="1:6" ht="15.2" customHeight="1">
      <c r="A124" s="267"/>
      <c r="B124" s="268"/>
      <c r="C124" s="343"/>
      <c r="D124" s="347"/>
      <c r="E124" s="349" t="s">
        <v>441</v>
      </c>
      <c r="F124" s="279"/>
    </row>
    <row r="125" spans="1:6" ht="15.2" customHeight="1">
      <c r="A125" s="267"/>
      <c r="B125" s="268"/>
      <c r="C125" s="343"/>
      <c r="D125" s="368"/>
      <c r="E125" s="275" t="s">
        <v>397</v>
      </c>
      <c r="F125" s="279"/>
    </row>
    <row r="126" spans="1:6" ht="15.2" customHeight="1">
      <c r="A126" s="267"/>
      <c r="B126" s="268"/>
      <c r="C126" s="343"/>
      <c r="D126" s="344"/>
      <c r="E126" s="275" t="s">
        <v>393</v>
      </c>
      <c r="F126" s="279"/>
    </row>
    <row r="127" spans="1:6" ht="15.2" customHeight="1">
      <c r="A127" s="267"/>
      <c r="B127" s="268"/>
      <c r="C127" s="343"/>
      <c r="D127" s="347"/>
      <c r="E127" s="275" t="s">
        <v>478</v>
      </c>
      <c r="F127" s="279"/>
    </row>
    <row r="128" spans="1:6" ht="15.2" customHeight="1">
      <c r="A128" s="267"/>
      <c r="B128" s="268"/>
      <c r="C128" s="343"/>
      <c r="D128" s="347"/>
      <c r="E128" s="291" t="s">
        <v>448</v>
      </c>
      <c r="F128" s="348"/>
    </row>
    <row r="129" spans="1:7" ht="15.2" customHeight="1">
      <c r="A129" s="283"/>
      <c r="B129" s="284"/>
      <c r="C129" s="350"/>
      <c r="D129" s="351"/>
      <c r="E129" s="369" t="s">
        <v>445</v>
      </c>
      <c r="F129" s="313"/>
    </row>
    <row r="130" spans="1:7" ht="36" customHeight="1">
      <c r="A130" s="260">
        <v>10</v>
      </c>
      <c r="B130" s="260">
        <v>801</v>
      </c>
      <c r="C130" s="260">
        <v>80150</v>
      </c>
      <c r="D130" s="325" t="s">
        <v>434</v>
      </c>
      <c r="E130" s="264" t="s">
        <v>479</v>
      </c>
      <c r="F130" s="199">
        <v>901145.68</v>
      </c>
    </row>
    <row r="131" spans="1:7" ht="25.5" customHeight="1">
      <c r="A131" s="267"/>
      <c r="B131" s="268"/>
      <c r="C131" s="343"/>
      <c r="D131" s="347"/>
      <c r="E131" s="345" t="s">
        <v>480</v>
      </c>
      <c r="F131" s="279"/>
    </row>
    <row r="132" spans="1:7" ht="14.25" customHeight="1">
      <c r="A132" s="267"/>
      <c r="B132" s="268"/>
      <c r="C132" s="343"/>
      <c r="D132" s="370"/>
      <c r="E132" s="349" t="s">
        <v>439</v>
      </c>
      <c r="F132" s="279"/>
    </row>
    <row r="133" spans="1:7" ht="25.9" customHeight="1">
      <c r="A133" s="267"/>
      <c r="B133" s="268"/>
      <c r="C133" s="343"/>
      <c r="D133" s="370"/>
      <c r="E133" s="291" t="s">
        <v>438</v>
      </c>
      <c r="F133" s="348"/>
    </row>
    <row r="134" spans="1:7" ht="15" customHeight="1">
      <c r="A134" s="267"/>
      <c r="B134" s="268"/>
      <c r="C134" s="343"/>
      <c r="D134" s="347"/>
      <c r="E134" s="349" t="s">
        <v>435</v>
      </c>
      <c r="F134" s="279"/>
    </row>
    <row r="135" spans="1:7" ht="13.9" customHeight="1">
      <c r="A135" s="283"/>
      <c r="B135" s="284"/>
      <c r="C135" s="350"/>
      <c r="D135" s="351"/>
      <c r="E135" s="352" t="s">
        <v>436</v>
      </c>
      <c r="F135" s="313"/>
      <c r="G135" s="346"/>
    </row>
    <row r="136" spans="1:7" ht="13.5" customHeight="1">
      <c r="A136" s="334">
        <v>11</v>
      </c>
      <c r="B136" s="334">
        <v>801</v>
      </c>
      <c r="C136" s="334">
        <v>80151</v>
      </c>
      <c r="D136" s="256">
        <v>2540</v>
      </c>
      <c r="E136" s="288" t="s">
        <v>44</v>
      </c>
      <c r="F136" s="259">
        <v>50409.599999999999</v>
      </c>
    </row>
    <row r="137" spans="1:7" ht="15.2" customHeight="1">
      <c r="A137" s="272"/>
      <c r="B137" s="273"/>
      <c r="C137" s="341"/>
      <c r="D137" s="371"/>
      <c r="E137" s="361" t="s">
        <v>481</v>
      </c>
      <c r="F137" s="276"/>
    </row>
    <row r="138" spans="1:7" ht="15.2" customHeight="1">
      <c r="A138" s="283"/>
      <c r="B138" s="284"/>
      <c r="C138" s="350"/>
      <c r="D138" s="372"/>
      <c r="E138" s="355" t="s">
        <v>458</v>
      </c>
      <c r="F138" s="313"/>
    </row>
    <row r="139" spans="1:7" ht="102" customHeight="1">
      <c r="A139" s="260">
        <v>12</v>
      </c>
      <c r="B139" s="260">
        <v>801</v>
      </c>
      <c r="C139" s="260">
        <v>80152</v>
      </c>
      <c r="D139" s="325" t="s">
        <v>434</v>
      </c>
      <c r="E139" s="264" t="s">
        <v>482</v>
      </c>
      <c r="F139" s="199">
        <f>1017020.64+150000-150000+20000+50000+90000+20000</f>
        <v>1197020.6400000001</v>
      </c>
    </row>
    <row r="140" spans="1:7" ht="14.45" customHeight="1">
      <c r="A140" s="267"/>
      <c r="B140" s="268"/>
      <c r="C140" s="343"/>
      <c r="D140" s="347"/>
      <c r="E140" s="290" t="s">
        <v>400</v>
      </c>
      <c r="F140" s="348"/>
    </row>
    <row r="141" spans="1:7" ht="15" customHeight="1">
      <c r="A141" s="267"/>
      <c r="B141" s="268"/>
      <c r="C141" s="343"/>
      <c r="D141" s="347"/>
      <c r="E141" s="275" t="s">
        <v>473</v>
      </c>
      <c r="F141" s="279"/>
    </row>
    <row r="142" spans="1:7" ht="22.9" customHeight="1">
      <c r="A142" s="267"/>
      <c r="B142" s="268"/>
      <c r="C142" s="343"/>
      <c r="D142" s="344"/>
      <c r="E142" s="373" t="s">
        <v>451</v>
      </c>
      <c r="F142" s="279"/>
    </row>
    <row r="143" spans="1:7" ht="24.75" customHeight="1">
      <c r="A143" s="267"/>
      <c r="B143" s="268"/>
      <c r="C143" s="343"/>
      <c r="D143" s="347"/>
      <c r="E143" s="349" t="s">
        <v>470</v>
      </c>
      <c r="F143" s="279"/>
    </row>
    <row r="144" spans="1:7" ht="16.149999999999999" customHeight="1">
      <c r="A144" s="267"/>
      <c r="B144" s="268"/>
      <c r="C144" s="343"/>
      <c r="D144" s="347"/>
      <c r="E144" s="275" t="s">
        <v>472</v>
      </c>
      <c r="F144" s="279"/>
    </row>
    <row r="145" spans="1:6" ht="24" customHeight="1">
      <c r="A145" s="283"/>
      <c r="B145" s="284"/>
      <c r="C145" s="350"/>
      <c r="D145" s="351"/>
      <c r="E145" s="352" t="s">
        <v>463</v>
      </c>
      <c r="F145" s="313"/>
    </row>
    <row r="146" spans="1:6" ht="15.75" customHeight="1">
      <c r="A146" s="374">
        <v>13</v>
      </c>
      <c r="B146" s="374">
        <v>853</v>
      </c>
      <c r="C146" s="374">
        <v>85311</v>
      </c>
      <c r="D146" s="358">
        <v>2580</v>
      </c>
      <c r="E146" s="284" t="s">
        <v>77</v>
      </c>
      <c r="F146" s="313">
        <f>260801+20000</f>
        <v>280801</v>
      </c>
    </row>
    <row r="147" spans="1:6" ht="18" customHeight="1">
      <c r="A147" s="287"/>
      <c r="B147" s="288"/>
      <c r="C147" s="350"/>
      <c r="D147" s="285"/>
      <c r="E147" s="284" t="s">
        <v>483</v>
      </c>
      <c r="F147" s="313"/>
    </row>
    <row r="148" spans="1:6" ht="15.75" customHeight="1">
      <c r="A148" s="334">
        <v>14</v>
      </c>
      <c r="B148" s="334">
        <v>854</v>
      </c>
      <c r="C148" s="334">
        <v>85402</v>
      </c>
      <c r="D148" s="358">
        <v>2540</v>
      </c>
      <c r="E148" s="288" t="s">
        <v>79</v>
      </c>
      <c r="F148" s="259">
        <f>1127337+100000</f>
        <v>1227337</v>
      </c>
    </row>
    <row r="149" spans="1:6" ht="22.5" customHeight="1">
      <c r="A149" s="287"/>
      <c r="B149" s="288"/>
      <c r="C149" s="359"/>
      <c r="D149" s="261"/>
      <c r="E149" s="375" t="s">
        <v>484</v>
      </c>
      <c r="F149" s="259"/>
    </row>
    <row r="150" spans="1:6" ht="15.75" customHeight="1">
      <c r="A150" s="334">
        <v>15</v>
      </c>
      <c r="B150" s="334">
        <v>854</v>
      </c>
      <c r="C150" s="334">
        <v>85404</v>
      </c>
      <c r="D150" s="257">
        <v>2540</v>
      </c>
      <c r="E150" s="288" t="s">
        <v>80</v>
      </c>
      <c r="F150" s="259">
        <f>657304.32+10000+190000+50000</f>
        <v>907304.32</v>
      </c>
    </row>
    <row r="151" spans="1:6" ht="15" customHeight="1">
      <c r="A151" s="267"/>
      <c r="B151" s="268"/>
      <c r="C151" s="343"/>
      <c r="D151" s="347"/>
      <c r="E151" s="281" t="s">
        <v>445</v>
      </c>
      <c r="F151" s="348"/>
    </row>
    <row r="152" spans="1:6" ht="13.5" customHeight="1">
      <c r="A152" s="283"/>
      <c r="B152" s="284"/>
      <c r="C152" s="350"/>
      <c r="D152" s="351"/>
      <c r="E152" s="376" t="s">
        <v>394</v>
      </c>
      <c r="F152" s="286"/>
    </row>
    <row r="153" spans="1:6" ht="13.5" customHeight="1">
      <c r="A153" s="267"/>
      <c r="B153" s="268"/>
      <c r="C153" s="343"/>
      <c r="D153" s="347"/>
      <c r="E153" s="291" t="s">
        <v>475</v>
      </c>
      <c r="F153" s="348"/>
    </row>
    <row r="154" spans="1:6" ht="13.5" customHeight="1">
      <c r="A154" s="267"/>
      <c r="B154" s="268"/>
      <c r="C154" s="343"/>
      <c r="D154" s="347"/>
      <c r="E154" s="275" t="s">
        <v>397</v>
      </c>
      <c r="F154" s="279"/>
    </row>
    <row r="155" spans="1:6" ht="13.5" customHeight="1">
      <c r="A155" s="267"/>
      <c r="B155" s="268"/>
      <c r="C155" s="343"/>
      <c r="D155" s="347"/>
      <c r="E155" s="349" t="s">
        <v>476</v>
      </c>
      <c r="F155" s="279"/>
    </row>
    <row r="156" spans="1:6" ht="13.5" customHeight="1">
      <c r="A156" s="267"/>
      <c r="B156" s="268"/>
      <c r="C156" s="343"/>
      <c r="D156" s="347"/>
      <c r="E156" s="349" t="s">
        <v>441</v>
      </c>
      <c r="F156" s="279"/>
    </row>
    <row r="157" spans="1:6" ht="13.5" customHeight="1">
      <c r="A157" s="267"/>
      <c r="B157" s="268"/>
      <c r="C157" s="343"/>
      <c r="D157" s="347"/>
      <c r="E157" s="275" t="s">
        <v>395</v>
      </c>
      <c r="F157" s="279"/>
    </row>
    <row r="158" spans="1:6" ht="14.25" customHeight="1">
      <c r="A158" s="267"/>
      <c r="B158" s="268"/>
      <c r="C158" s="343"/>
      <c r="D158" s="347"/>
      <c r="E158" s="291" t="s">
        <v>477</v>
      </c>
      <c r="F158" s="348"/>
    </row>
    <row r="159" spans="1:6" ht="14.25" customHeight="1">
      <c r="A159" s="283"/>
      <c r="B159" s="284"/>
      <c r="C159" s="350"/>
      <c r="D159" s="277"/>
      <c r="E159" s="377" t="s">
        <v>393</v>
      </c>
      <c r="F159" s="313"/>
    </row>
    <row r="160" spans="1:6" ht="25.5" customHeight="1">
      <c r="A160" s="310">
        <v>16</v>
      </c>
      <c r="B160" s="310">
        <v>854</v>
      </c>
      <c r="C160" s="310">
        <v>85406</v>
      </c>
      <c r="D160" s="261">
        <v>2540</v>
      </c>
      <c r="E160" s="378" t="s">
        <v>485</v>
      </c>
      <c r="F160" s="199">
        <f>98579.6+15000</f>
        <v>113579.6</v>
      </c>
    </row>
    <row r="161" spans="1:6" ht="15.75" customHeight="1">
      <c r="A161" s="272"/>
      <c r="B161" s="273"/>
      <c r="C161" s="341"/>
      <c r="D161" s="274"/>
      <c r="E161" s="379" t="s">
        <v>486</v>
      </c>
      <c r="F161" s="276"/>
    </row>
    <row r="162" spans="1:6" ht="16.5" customHeight="1">
      <c r="A162" s="334">
        <v>17</v>
      </c>
      <c r="B162" s="334">
        <v>854</v>
      </c>
      <c r="C162" s="334">
        <v>85410</v>
      </c>
      <c r="D162" s="358">
        <v>2590</v>
      </c>
      <c r="E162" s="288" t="s">
        <v>81</v>
      </c>
      <c r="F162" s="259">
        <f>1201326+50000</f>
        <v>1251326</v>
      </c>
    </row>
    <row r="163" spans="1:6" ht="13.5" customHeight="1">
      <c r="A163" s="287"/>
      <c r="B163" s="288"/>
      <c r="C163" s="359"/>
      <c r="D163" s="285"/>
      <c r="E163" s="284" t="s">
        <v>487</v>
      </c>
      <c r="F163" s="259"/>
    </row>
    <row r="164" spans="1:6" ht="14.25" customHeight="1">
      <c r="A164" s="493"/>
      <c r="B164" s="484"/>
      <c r="C164" s="484"/>
      <c r="D164" s="256"/>
      <c r="E164" s="484" t="s">
        <v>432</v>
      </c>
      <c r="F164" s="485">
        <f>SUM(F61:F163)</f>
        <v>61094901.590000004</v>
      </c>
    </row>
    <row r="165" spans="1:6" ht="15.75" customHeight="1">
      <c r="A165" s="380"/>
      <c r="B165" s="381"/>
      <c r="C165" s="381"/>
      <c r="D165" s="256"/>
      <c r="E165" s="381" t="s">
        <v>172</v>
      </c>
      <c r="F165" s="382">
        <f>F164+F58</f>
        <v>89025794.439999998</v>
      </c>
    </row>
    <row r="167" spans="1:6" ht="12.6" customHeight="1">
      <c r="A167" s="489"/>
      <c r="F167" s="383"/>
    </row>
    <row r="169" spans="1:6">
      <c r="F169" s="383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079C0-6AAE-4309-84D2-61FB4032780F}">
  <sheetPr>
    <tabColor rgb="FFFF0000"/>
  </sheetPr>
  <dimension ref="A1:G35"/>
  <sheetViews>
    <sheetView zoomScale="120" zoomScaleNormal="120" workbookViewId="0"/>
  </sheetViews>
  <sheetFormatPr defaultRowHeight="15"/>
  <cols>
    <col min="1" max="1" width="4.42578125" style="449" customWidth="1"/>
    <col min="2" max="2" width="7.5703125" style="449" customWidth="1"/>
    <col min="3" max="3" width="47.42578125" style="449" customWidth="1"/>
    <col min="4" max="4" width="14.85546875" style="449" customWidth="1"/>
    <col min="5" max="5" width="14" style="449" customWidth="1"/>
    <col min="6" max="6" width="14.140625" style="449" customWidth="1"/>
    <col min="7" max="7" width="14.7109375" style="449" customWidth="1"/>
    <col min="8" max="256" width="9.140625" style="449"/>
    <col min="257" max="257" width="4.42578125" style="449" customWidth="1"/>
    <col min="258" max="258" width="7.5703125" style="449" customWidth="1"/>
    <col min="259" max="259" width="47.42578125" style="449" customWidth="1"/>
    <col min="260" max="260" width="14.85546875" style="449" customWidth="1"/>
    <col min="261" max="261" width="14" style="449" customWidth="1"/>
    <col min="262" max="262" width="14.140625" style="449" customWidth="1"/>
    <col min="263" max="263" width="14.7109375" style="449" customWidth="1"/>
    <col min="264" max="512" width="9.140625" style="449"/>
    <col min="513" max="513" width="4.42578125" style="449" customWidth="1"/>
    <col min="514" max="514" width="7.5703125" style="449" customWidth="1"/>
    <col min="515" max="515" width="47.42578125" style="449" customWidth="1"/>
    <col min="516" max="516" width="14.85546875" style="449" customWidth="1"/>
    <col min="517" max="517" width="14" style="449" customWidth="1"/>
    <col min="518" max="518" width="14.140625" style="449" customWidth="1"/>
    <col min="519" max="519" width="14.7109375" style="449" customWidth="1"/>
    <col min="520" max="768" width="9.140625" style="449"/>
    <col min="769" max="769" width="4.42578125" style="449" customWidth="1"/>
    <col min="770" max="770" width="7.5703125" style="449" customWidth="1"/>
    <col min="771" max="771" width="47.42578125" style="449" customWidth="1"/>
    <col min="772" max="772" width="14.85546875" style="449" customWidth="1"/>
    <col min="773" max="773" width="14" style="449" customWidth="1"/>
    <col min="774" max="774" width="14.140625" style="449" customWidth="1"/>
    <col min="775" max="775" width="14.7109375" style="449" customWidth="1"/>
    <col min="776" max="1024" width="9.140625" style="449"/>
    <col min="1025" max="1025" width="4.42578125" style="449" customWidth="1"/>
    <col min="1026" max="1026" width="7.5703125" style="449" customWidth="1"/>
    <col min="1027" max="1027" width="47.42578125" style="449" customWidth="1"/>
    <col min="1028" max="1028" width="14.85546875" style="449" customWidth="1"/>
    <col min="1029" max="1029" width="14" style="449" customWidth="1"/>
    <col min="1030" max="1030" width="14.140625" style="449" customWidth="1"/>
    <col min="1031" max="1031" width="14.7109375" style="449" customWidth="1"/>
    <col min="1032" max="1280" width="9.140625" style="449"/>
    <col min="1281" max="1281" width="4.42578125" style="449" customWidth="1"/>
    <col min="1282" max="1282" width="7.5703125" style="449" customWidth="1"/>
    <col min="1283" max="1283" width="47.42578125" style="449" customWidth="1"/>
    <col min="1284" max="1284" width="14.85546875" style="449" customWidth="1"/>
    <col min="1285" max="1285" width="14" style="449" customWidth="1"/>
    <col min="1286" max="1286" width="14.140625" style="449" customWidth="1"/>
    <col min="1287" max="1287" width="14.7109375" style="449" customWidth="1"/>
    <col min="1288" max="1536" width="9.140625" style="449"/>
    <col min="1537" max="1537" width="4.42578125" style="449" customWidth="1"/>
    <col min="1538" max="1538" width="7.5703125" style="449" customWidth="1"/>
    <col min="1539" max="1539" width="47.42578125" style="449" customWidth="1"/>
    <col min="1540" max="1540" width="14.85546875" style="449" customWidth="1"/>
    <col min="1541" max="1541" width="14" style="449" customWidth="1"/>
    <col min="1542" max="1542" width="14.140625" style="449" customWidth="1"/>
    <col min="1543" max="1543" width="14.7109375" style="449" customWidth="1"/>
    <col min="1544" max="1792" width="9.140625" style="449"/>
    <col min="1793" max="1793" width="4.42578125" style="449" customWidth="1"/>
    <col min="1794" max="1794" width="7.5703125" style="449" customWidth="1"/>
    <col min="1795" max="1795" width="47.42578125" style="449" customWidth="1"/>
    <col min="1796" max="1796" width="14.85546875" style="449" customWidth="1"/>
    <col min="1797" max="1797" width="14" style="449" customWidth="1"/>
    <col min="1798" max="1798" width="14.140625" style="449" customWidth="1"/>
    <col min="1799" max="1799" width="14.7109375" style="449" customWidth="1"/>
    <col min="1800" max="2048" width="9.140625" style="449"/>
    <col min="2049" max="2049" width="4.42578125" style="449" customWidth="1"/>
    <col min="2050" max="2050" width="7.5703125" style="449" customWidth="1"/>
    <col min="2051" max="2051" width="47.42578125" style="449" customWidth="1"/>
    <col min="2052" max="2052" width="14.85546875" style="449" customWidth="1"/>
    <col min="2053" max="2053" width="14" style="449" customWidth="1"/>
    <col min="2054" max="2054" width="14.140625" style="449" customWidth="1"/>
    <col min="2055" max="2055" width="14.7109375" style="449" customWidth="1"/>
    <col min="2056" max="2304" width="9.140625" style="449"/>
    <col min="2305" max="2305" width="4.42578125" style="449" customWidth="1"/>
    <col min="2306" max="2306" width="7.5703125" style="449" customWidth="1"/>
    <col min="2307" max="2307" width="47.42578125" style="449" customWidth="1"/>
    <col min="2308" max="2308" width="14.85546875" style="449" customWidth="1"/>
    <col min="2309" max="2309" width="14" style="449" customWidth="1"/>
    <col min="2310" max="2310" width="14.140625" style="449" customWidth="1"/>
    <col min="2311" max="2311" width="14.7109375" style="449" customWidth="1"/>
    <col min="2312" max="2560" width="9.140625" style="449"/>
    <col min="2561" max="2561" width="4.42578125" style="449" customWidth="1"/>
    <col min="2562" max="2562" width="7.5703125" style="449" customWidth="1"/>
    <col min="2563" max="2563" width="47.42578125" style="449" customWidth="1"/>
    <col min="2564" max="2564" width="14.85546875" style="449" customWidth="1"/>
    <col min="2565" max="2565" width="14" style="449" customWidth="1"/>
    <col min="2566" max="2566" width="14.140625" style="449" customWidth="1"/>
    <col min="2567" max="2567" width="14.7109375" style="449" customWidth="1"/>
    <col min="2568" max="2816" width="9.140625" style="449"/>
    <col min="2817" max="2817" width="4.42578125" style="449" customWidth="1"/>
    <col min="2818" max="2818" width="7.5703125" style="449" customWidth="1"/>
    <col min="2819" max="2819" width="47.42578125" style="449" customWidth="1"/>
    <col min="2820" max="2820" width="14.85546875" style="449" customWidth="1"/>
    <col min="2821" max="2821" width="14" style="449" customWidth="1"/>
    <col min="2822" max="2822" width="14.140625" style="449" customWidth="1"/>
    <col min="2823" max="2823" width="14.7109375" style="449" customWidth="1"/>
    <col min="2824" max="3072" width="9.140625" style="449"/>
    <col min="3073" max="3073" width="4.42578125" style="449" customWidth="1"/>
    <col min="3074" max="3074" width="7.5703125" style="449" customWidth="1"/>
    <col min="3075" max="3075" width="47.42578125" style="449" customWidth="1"/>
    <col min="3076" max="3076" width="14.85546875" style="449" customWidth="1"/>
    <col min="3077" max="3077" width="14" style="449" customWidth="1"/>
    <col min="3078" max="3078" width="14.140625" style="449" customWidth="1"/>
    <col min="3079" max="3079" width="14.7109375" style="449" customWidth="1"/>
    <col min="3080" max="3328" width="9.140625" style="449"/>
    <col min="3329" max="3329" width="4.42578125" style="449" customWidth="1"/>
    <col min="3330" max="3330" width="7.5703125" style="449" customWidth="1"/>
    <col min="3331" max="3331" width="47.42578125" style="449" customWidth="1"/>
    <col min="3332" max="3332" width="14.85546875" style="449" customWidth="1"/>
    <col min="3333" max="3333" width="14" style="449" customWidth="1"/>
    <col min="3334" max="3334" width="14.140625" style="449" customWidth="1"/>
    <col min="3335" max="3335" width="14.7109375" style="449" customWidth="1"/>
    <col min="3336" max="3584" width="9.140625" style="449"/>
    <col min="3585" max="3585" width="4.42578125" style="449" customWidth="1"/>
    <col min="3586" max="3586" width="7.5703125" style="449" customWidth="1"/>
    <col min="3587" max="3587" width="47.42578125" style="449" customWidth="1"/>
    <col min="3588" max="3588" width="14.85546875" style="449" customWidth="1"/>
    <col min="3589" max="3589" width="14" style="449" customWidth="1"/>
    <col min="3590" max="3590" width="14.140625" style="449" customWidth="1"/>
    <col min="3591" max="3591" width="14.7109375" style="449" customWidth="1"/>
    <col min="3592" max="3840" width="9.140625" style="449"/>
    <col min="3841" max="3841" width="4.42578125" style="449" customWidth="1"/>
    <col min="3842" max="3842" width="7.5703125" style="449" customWidth="1"/>
    <col min="3843" max="3843" width="47.42578125" style="449" customWidth="1"/>
    <col min="3844" max="3844" width="14.85546875" style="449" customWidth="1"/>
    <col min="3845" max="3845" width="14" style="449" customWidth="1"/>
    <col min="3846" max="3846" width="14.140625" style="449" customWidth="1"/>
    <col min="3847" max="3847" width="14.7109375" style="449" customWidth="1"/>
    <col min="3848" max="4096" width="9.140625" style="449"/>
    <col min="4097" max="4097" width="4.42578125" style="449" customWidth="1"/>
    <col min="4098" max="4098" width="7.5703125" style="449" customWidth="1"/>
    <col min="4099" max="4099" width="47.42578125" style="449" customWidth="1"/>
    <col min="4100" max="4100" width="14.85546875" style="449" customWidth="1"/>
    <col min="4101" max="4101" width="14" style="449" customWidth="1"/>
    <col min="4102" max="4102" width="14.140625" style="449" customWidth="1"/>
    <col min="4103" max="4103" width="14.7109375" style="449" customWidth="1"/>
    <col min="4104" max="4352" width="9.140625" style="449"/>
    <col min="4353" max="4353" width="4.42578125" style="449" customWidth="1"/>
    <col min="4354" max="4354" width="7.5703125" style="449" customWidth="1"/>
    <col min="4355" max="4355" width="47.42578125" style="449" customWidth="1"/>
    <col min="4356" max="4356" width="14.85546875" style="449" customWidth="1"/>
    <col min="4357" max="4357" width="14" style="449" customWidth="1"/>
    <col min="4358" max="4358" width="14.140625" style="449" customWidth="1"/>
    <col min="4359" max="4359" width="14.7109375" style="449" customWidth="1"/>
    <col min="4360" max="4608" width="9.140625" style="449"/>
    <col min="4609" max="4609" width="4.42578125" style="449" customWidth="1"/>
    <col min="4610" max="4610" width="7.5703125" style="449" customWidth="1"/>
    <col min="4611" max="4611" width="47.42578125" style="449" customWidth="1"/>
    <col min="4612" max="4612" width="14.85546875" style="449" customWidth="1"/>
    <col min="4613" max="4613" width="14" style="449" customWidth="1"/>
    <col min="4614" max="4614" width="14.140625" style="449" customWidth="1"/>
    <col min="4615" max="4615" width="14.7109375" style="449" customWidth="1"/>
    <col min="4616" max="4864" width="9.140625" style="449"/>
    <col min="4865" max="4865" width="4.42578125" style="449" customWidth="1"/>
    <col min="4866" max="4866" width="7.5703125" style="449" customWidth="1"/>
    <col min="4867" max="4867" width="47.42578125" style="449" customWidth="1"/>
    <col min="4868" max="4868" width="14.85546875" style="449" customWidth="1"/>
    <col min="4869" max="4869" width="14" style="449" customWidth="1"/>
    <col min="4870" max="4870" width="14.140625" style="449" customWidth="1"/>
    <col min="4871" max="4871" width="14.7109375" style="449" customWidth="1"/>
    <col min="4872" max="5120" width="9.140625" style="449"/>
    <col min="5121" max="5121" width="4.42578125" style="449" customWidth="1"/>
    <col min="5122" max="5122" width="7.5703125" style="449" customWidth="1"/>
    <col min="5123" max="5123" width="47.42578125" style="449" customWidth="1"/>
    <col min="5124" max="5124" width="14.85546875" style="449" customWidth="1"/>
    <col min="5125" max="5125" width="14" style="449" customWidth="1"/>
    <col min="5126" max="5126" width="14.140625" style="449" customWidth="1"/>
    <col min="5127" max="5127" width="14.7109375" style="449" customWidth="1"/>
    <col min="5128" max="5376" width="9.140625" style="449"/>
    <col min="5377" max="5377" width="4.42578125" style="449" customWidth="1"/>
    <col min="5378" max="5378" width="7.5703125" style="449" customWidth="1"/>
    <col min="5379" max="5379" width="47.42578125" style="449" customWidth="1"/>
    <col min="5380" max="5380" width="14.85546875" style="449" customWidth="1"/>
    <col min="5381" max="5381" width="14" style="449" customWidth="1"/>
    <col min="5382" max="5382" width="14.140625" style="449" customWidth="1"/>
    <col min="5383" max="5383" width="14.7109375" style="449" customWidth="1"/>
    <col min="5384" max="5632" width="9.140625" style="449"/>
    <col min="5633" max="5633" width="4.42578125" style="449" customWidth="1"/>
    <col min="5634" max="5634" width="7.5703125" style="449" customWidth="1"/>
    <col min="5635" max="5635" width="47.42578125" style="449" customWidth="1"/>
    <col min="5636" max="5636" width="14.85546875" style="449" customWidth="1"/>
    <col min="5637" max="5637" width="14" style="449" customWidth="1"/>
    <col min="5638" max="5638" width="14.140625" style="449" customWidth="1"/>
    <col min="5639" max="5639" width="14.7109375" style="449" customWidth="1"/>
    <col min="5640" max="5888" width="9.140625" style="449"/>
    <col min="5889" max="5889" width="4.42578125" style="449" customWidth="1"/>
    <col min="5890" max="5890" width="7.5703125" style="449" customWidth="1"/>
    <col min="5891" max="5891" width="47.42578125" style="449" customWidth="1"/>
    <col min="5892" max="5892" width="14.85546875" style="449" customWidth="1"/>
    <col min="5893" max="5893" width="14" style="449" customWidth="1"/>
    <col min="5894" max="5894" width="14.140625" style="449" customWidth="1"/>
    <col min="5895" max="5895" width="14.7109375" style="449" customWidth="1"/>
    <col min="5896" max="6144" width="9.140625" style="449"/>
    <col min="6145" max="6145" width="4.42578125" style="449" customWidth="1"/>
    <col min="6146" max="6146" width="7.5703125" style="449" customWidth="1"/>
    <col min="6147" max="6147" width="47.42578125" style="449" customWidth="1"/>
    <col min="6148" max="6148" width="14.85546875" style="449" customWidth="1"/>
    <col min="6149" max="6149" width="14" style="449" customWidth="1"/>
    <col min="6150" max="6150" width="14.140625" style="449" customWidth="1"/>
    <col min="6151" max="6151" width="14.7109375" style="449" customWidth="1"/>
    <col min="6152" max="6400" width="9.140625" style="449"/>
    <col min="6401" max="6401" width="4.42578125" style="449" customWidth="1"/>
    <col min="6402" max="6402" width="7.5703125" style="449" customWidth="1"/>
    <col min="6403" max="6403" width="47.42578125" style="449" customWidth="1"/>
    <col min="6404" max="6404" width="14.85546875" style="449" customWidth="1"/>
    <col min="6405" max="6405" width="14" style="449" customWidth="1"/>
    <col min="6406" max="6406" width="14.140625" style="449" customWidth="1"/>
    <col min="6407" max="6407" width="14.7109375" style="449" customWidth="1"/>
    <col min="6408" max="6656" width="9.140625" style="449"/>
    <col min="6657" max="6657" width="4.42578125" style="449" customWidth="1"/>
    <col min="6658" max="6658" width="7.5703125" style="449" customWidth="1"/>
    <col min="6659" max="6659" width="47.42578125" style="449" customWidth="1"/>
    <col min="6660" max="6660" width="14.85546875" style="449" customWidth="1"/>
    <col min="6661" max="6661" width="14" style="449" customWidth="1"/>
    <col min="6662" max="6662" width="14.140625" style="449" customWidth="1"/>
    <col min="6663" max="6663" width="14.7109375" style="449" customWidth="1"/>
    <col min="6664" max="6912" width="9.140625" style="449"/>
    <col min="6913" max="6913" width="4.42578125" style="449" customWidth="1"/>
    <col min="6914" max="6914" width="7.5703125" style="449" customWidth="1"/>
    <col min="6915" max="6915" width="47.42578125" style="449" customWidth="1"/>
    <col min="6916" max="6916" width="14.85546875" style="449" customWidth="1"/>
    <col min="6917" max="6917" width="14" style="449" customWidth="1"/>
    <col min="6918" max="6918" width="14.140625" style="449" customWidth="1"/>
    <col min="6919" max="6919" width="14.7109375" style="449" customWidth="1"/>
    <col min="6920" max="7168" width="9.140625" style="449"/>
    <col min="7169" max="7169" width="4.42578125" style="449" customWidth="1"/>
    <col min="7170" max="7170" width="7.5703125" style="449" customWidth="1"/>
    <col min="7171" max="7171" width="47.42578125" style="449" customWidth="1"/>
    <col min="7172" max="7172" width="14.85546875" style="449" customWidth="1"/>
    <col min="7173" max="7173" width="14" style="449" customWidth="1"/>
    <col min="7174" max="7174" width="14.140625" style="449" customWidth="1"/>
    <col min="7175" max="7175" width="14.7109375" style="449" customWidth="1"/>
    <col min="7176" max="7424" width="9.140625" style="449"/>
    <col min="7425" max="7425" width="4.42578125" style="449" customWidth="1"/>
    <col min="7426" max="7426" width="7.5703125" style="449" customWidth="1"/>
    <col min="7427" max="7427" width="47.42578125" style="449" customWidth="1"/>
    <col min="7428" max="7428" width="14.85546875" style="449" customWidth="1"/>
    <col min="7429" max="7429" width="14" style="449" customWidth="1"/>
    <col min="7430" max="7430" width="14.140625" style="449" customWidth="1"/>
    <col min="7431" max="7431" width="14.7109375" style="449" customWidth="1"/>
    <col min="7432" max="7680" width="9.140625" style="449"/>
    <col min="7681" max="7681" width="4.42578125" style="449" customWidth="1"/>
    <col min="7682" max="7682" width="7.5703125" style="449" customWidth="1"/>
    <col min="7683" max="7683" width="47.42578125" style="449" customWidth="1"/>
    <col min="7684" max="7684" width="14.85546875" style="449" customWidth="1"/>
    <col min="7685" max="7685" width="14" style="449" customWidth="1"/>
    <col min="7686" max="7686" width="14.140625" style="449" customWidth="1"/>
    <col min="7687" max="7687" width="14.7109375" style="449" customWidth="1"/>
    <col min="7688" max="7936" width="9.140625" style="449"/>
    <col min="7937" max="7937" width="4.42578125" style="449" customWidth="1"/>
    <col min="7938" max="7938" width="7.5703125" style="449" customWidth="1"/>
    <col min="7939" max="7939" width="47.42578125" style="449" customWidth="1"/>
    <col min="7940" max="7940" width="14.85546875" style="449" customWidth="1"/>
    <col min="7941" max="7941" width="14" style="449" customWidth="1"/>
    <col min="7942" max="7942" width="14.140625" style="449" customWidth="1"/>
    <col min="7943" max="7943" width="14.7109375" style="449" customWidth="1"/>
    <col min="7944" max="8192" width="9.140625" style="449"/>
    <col min="8193" max="8193" width="4.42578125" style="449" customWidth="1"/>
    <col min="8194" max="8194" width="7.5703125" style="449" customWidth="1"/>
    <col min="8195" max="8195" width="47.42578125" style="449" customWidth="1"/>
    <col min="8196" max="8196" width="14.85546875" style="449" customWidth="1"/>
    <col min="8197" max="8197" width="14" style="449" customWidth="1"/>
    <col min="8198" max="8198" width="14.140625" style="449" customWidth="1"/>
    <col min="8199" max="8199" width="14.7109375" style="449" customWidth="1"/>
    <col min="8200" max="8448" width="9.140625" style="449"/>
    <col min="8449" max="8449" width="4.42578125" style="449" customWidth="1"/>
    <col min="8450" max="8450" width="7.5703125" style="449" customWidth="1"/>
    <col min="8451" max="8451" width="47.42578125" style="449" customWidth="1"/>
    <col min="8452" max="8452" width="14.85546875" style="449" customWidth="1"/>
    <col min="8453" max="8453" width="14" style="449" customWidth="1"/>
    <col min="8454" max="8454" width="14.140625" style="449" customWidth="1"/>
    <col min="8455" max="8455" width="14.7109375" style="449" customWidth="1"/>
    <col min="8456" max="8704" width="9.140625" style="449"/>
    <col min="8705" max="8705" width="4.42578125" style="449" customWidth="1"/>
    <col min="8706" max="8706" width="7.5703125" style="449" customWidth="1"/>
    <col min="8707" max="8707" width="47.42578125" style="449" customWidth="1"/>
    <col min="8708" max="8708" width="14.85546875" style="449" customWidth="1"/>
    <col min="8709" max="8709" width="14" style="449" customWidth="1"/>
    <col min="8710" max="8710" width="14.140625" style="449" customWidth="1"/>
    <col min="8711" max="8711" width="14.7109375" style="449" customWidth="1"/>
    <col min="8712" max="8960" width="9.140625" style="449"/>
    <col min="8961" max="8961" width="4.42578125" style="449" customWidth="1"/>
    <col min="8962" max="8962" width="7.5703125" style="449" customWidth="1"/>
    <col min="8963" max="8963" width="47.42578125" style="449" customWidth="1"/>
    <col min="8964" max="8964" width="14.85546875" style="449" customWidth="1"/>
    <col min="8965" max="8965" width="14" style="449" customWidth="1"/>
    <col min="8966" max="8966" width="14.140625" style="449" customWidth="1"/>
    <col min="8967" max="8967" width="14.7109375" style="449" customWidth="1"/>
    <col min="8968" max="9216" width="9.140625" style="449"/>
    <col min="9217" max="9217" width="4.42578125" style="449" customWidth="1"/>
    <col min="9218" max="9218" width="7.5703125" style="449" customWidth="1"/>
    <col min="9219" max="9219" width="47.42578125" style="449" customWidth="1"/>
    <col min="9220" max="9220" width="14.85546875" style="449" customWidth="1"/>
    <col min="9221" max="9221" width="14" style="449" customWidth="1"/>
    <col min="9222" max="9222" width="14.140625" style="449" customWidth="1"/>
    <col min="9223" max="9223" width="14.7109375" style="449" customWidth="1"/>
    <col min="9224" max="9472" width="9.140625" style="449"/>
    <col min="9473" max="9473" width="4.42578125" style="449" customWidth="1"/>
    <col min="9474" max="9474" width="7.5703125" style="449" customWidth="1"/>
    <col min="9475" max="9475" width="47.42578125" style="449" customWidth="1"/>
    <col min="9476" max="9476" width="14.85546875" style="449" customWidth="1"/>
    <col min="9477" max="9477" width="14" style="449" customWidth="1"/>
    <col min="9478" max="9478" width="14.140625" style="449" customWidth="1"/>
    <col min="9479" max="9479" width="14.7109375" style="449" customWidth="1"/>
    <col min="9480" max="9728" width="9.140625" style="449"/>
    <col min="9729" max="9729" width="4.42578125" style="449" customWidth="1"/>
    <col min="9730" max="9730" width="7.5703125" style="449" customWidth="1"/>
    <col min="9731" max="9731" width="47.42578125" style="449" customWidth="1"/>
    <col min="9732" max="9732" width="14.85546875" style="449" customWidth="1"/>
    <col min="9733" max="9733" width="14" style="449" customWidth="1"/>
    <col min="9734" max="9734" width="14.140625" style="449" customWidth="1"/>
    <col min="9735" max="9735" width="14.7109375" style="449" customWidth="1"/>
    <col min="9736" max="9984" width="9.140625" style="449"/>
    <col min="9985" max="9985" width="4.42578125" style="449" customWidth="1"/>
    <col min="9986" max="9986" width="7.5703125" style="449" customWidth="1"/>
    <col min="9987" max="9987" width="47.42578125" style="449" customWidth="1"/>
    <col min="9988" max="9988" width="14.85546875" style="449" customWidth="1"/>
    <col min="9989" max="9989" width="14" style="449" customWidth="1"/>
    <col min="9990" max="9990" width="14.140625" style="449" customWidth="1"/>
    <col min="9991" max="9991" width="14.7109375" style="449" customWidth="1"/>
    <col min="9992" max="10240" width="9.140625" style="449"/>
    <col min="10241" max="10241" width="4.42578125" style="449" customWidth="1"/>
    <col min="10242" max="10242" width="7.5703125" style="449" customWidth="1"/>
    <col min="10243" max="10243" width="47.42578125" style="449" customWidth="1"/>
    <col min="10244" max="10244" width="14.85546875" style="449" customWidth="1"/>
    <col min="10245" max="10245" width="14" style="449" customWidth="1"/>
    <col min="10246" max="10246" width="14.140625" style="449" customWidth="1"/>
    <col min="10247" max="10247" width="14.7109375" style="449" customWidth="1"/>
    <col min="10248" max="10496" width="9.140625" style="449"/>
    <col min="10497" max="10497" width="4.42578125" style="449" customWidth="1"/>
    <col min="10498" max="10498" width="7.5703125" style="449" customWidth="1"/>
    <col min="10499" max="10499" width="47.42578125" style="449" customWidth="1"/>
    <col min="10500" max="10500" width="14.85546875" style="449" customWidth="1"/>
    <col min="10501" max="10501" width="14" style="449" customWidth="1"/>
    <col min="10502" max="10502" width="14.140625" style="449" customWidth="1"/>
    <col min="10503" max="10503" width="14.7109375" style="449" customWidth="1"/>
    <col min="10504" max="10752" width="9.140625" style="449"/>
    <col min="10753" max="10753" width="4.42578125" style="449" customWidth="1"/>
    <col min="10754" max="10754" width="7.5703125" style="449" customWidth="1"/>
    <col min="10755" max="10755" width="47.42578125" style="449" customWidth="1"/>
    <col min="10756" max="10756" width="14.85546875" style="449" customWidth="1"/>
    <col min="10757" max="10757" width="14" style="449" customWidth="1"/>
    <col min="10758" max="10758" width="14.140625" style="449" customWidth="1"/>
    <col min="10759" max="10759" width="14.7109375" style="449" customWidth="1"/>
    <col min="10760" max="11008" width="9.140625" style="449"/>
    <col min="11009" max="11009" width="4.42578125" style="449" customWidth="1"/>
    <col min="11010" max="11010" width="7.5703125" style="449" customWidth="1"/>
    <col min="11011" max="11011" width="47.42578125" style="449" customWidth="1"/>
    <col min="11012" max="11012" width="14.85546875" style="449" customWidth="1"/>
    <col min="11013" max="11013" width="14" style="449" customWidth="1"/>
    <col min="11014" max="11014" width="14.140625" style="449" customWidth="1"/>
    <col min="11015" max="11015" width="14.7109375" style="449" customWidth="1"/>
    <col min="11016" max="11264" width="9.140625" style="449"/>
    <col min="11265" max="11265" width="4.42578125" style="449" customWidth="1"/>
    <col min="11266" max="11266" width="7.5703125" style="449" customWidth="1"/>
    <col min="11267" max="11267" width="47.42578125" style="449" customWidth="1"/>
    <col min="11268" max="11268" width="14.85546875" style="449" customWidth="1"/>
    <col min="11269" max="11269" width="14" style="449" customWidth="1"/>
    <col min="11270" max="11270" width="14.140625" style="449" customWidth="1"/>
    <col min="11271" max="11271" width="14.7109375" style="449" customWidth="1"/>
    <col min="11272" max="11520" width="9.140625" style="449"/>
    <col min="11521" max="11521" width="4.42578125" style="449" customWidth="1"/>
    <col min="11522" max="11522" width="7.5703125" style="449" customWidth="1"/>
    <col min="11523" max="11523" width="47.42578125" style="449" customWidth="1"/>
    <col min="11524" max="11524" width="14.85546875" style="449" customWidth="1"/>
    <col min="11525" max="11525" width="14" style="449" customWidth="1"/>
    <col min="11526" max="11526" width="14.140625" style="449" customWidth="1"/>
    <col min="11527" max="11527" width="14.7109375" style="449" customWidth="1"/>
    <col min="11528" max="11776" width="9.140625" style="449"/>
    <col min="11777" max="11777" width="4.42578125" style="449" customWidth="1"/>
    <col min="11778" max="11778" width="7.5703125" style="449" customWidth="1"/>
    <col min="11779" max="11779" width="47.42578125" style="449" customWidth="1"/>
    <col min="11780" max="11780" width="14.85546875" style="449" customWidth="1"/>
    <col min="11781" max="11781" width="14" style="449" customWidth="1"/>
    <col min="11782" max="11782" width="14.140625" style="449" customWidth="1"/>
    <col min="11783" max="11783" width="14.7109375" style="449" customWidth="1"/>
    <col min="11784" max="12032" width="9.140625" style="449"/>
    <col min="12033" max="12033" width="4.42578125" style="449" customWidth="1"/>
    <col min="12034" max="12034" width="7.5703125" style="449" customWidth="1"/>
    <col min="12035" max="12035" width="47.42578125" style="449" customWidth="1"/>
    <col min="12036" max="12036" width="14.85546875" style="449" customWidth="1"/>
    <col min="12037" max="12037" width="14" style="449" customWidth="1"/>
    <col min="12038" max="12038" width="14.140625" style="449" customWidth="1"/>
    <col min="12039" max="12039" width="14.7109375" style="449" customWidth="1"/>
    <col min="12040" max="12288" width="9.140625" style="449"/>
    <col min="12289" max="12289" width="4.42578125" style="449" customWidth="1"/>
    <col min="12290" max="12290" width="7.5703125" style="449" customWidth="1"/>
    <col min="12291" max="12291" width="47.42578125" style="449" customWidth="1"/>
    <col min="12292" max="12292" width="14.85546875" style="449" customWidth="1"/>
    <col min="12293" max="12293" width="14" style="449" customWidth="1"/>
    <col min="12294" max="12294" width="14.140625" style="449" customWidth="1"/>
    <col min="12295" max="12295" width="14.7109375" style="449" customWidth="1"/>
    <col min="12296" max="12544" width="9.140625" style="449"/>
    <col min="12545" max="12545" width="4.42578125" style="449" customWidth="1"/>
    <col min="12546" max="12546" width="7.5703125" style="449" customWidth="1"/>
    <col min="12547" max="12547" width="47.42578125" style="449" customWidth="1"/>
    <col min="12548" max="12548" width="14.85546875" style="449" customWidth="1"/>
    <col min="12549" max="12549" width="14" style="449" customWidth="1"/>
    <col min="12550" max="12550" width="14.140625" style="449" customWidth="1"/>
    <col min="12551" max="12551" width="14.7109375" style="449" customWidth="1"/>
    <col min="12552" max="12800" width="9.140625" style="449"/>
    <col min="12801" max="12801" width="4.42578125" style="449" customWidth="1"/>
    <col min="12802" max="12802" width="7.5703125" style="449" customWidth="1"/>
    <col min="12803" max="12803" width="47.42578125" style="449" customWidth="1"/>
    <col min="12804" max="12804" width="14.85546875" style="449" customWidth="1"/>
    <col min="12805" max="12805" width="14" style="449" customWidth="1"/>
    <col min="12806" max="12806" width="14.140625" style="449" customWidth="1"/>
    <col min="12807" max="12807" width="14.7109375" style="449" customWidth="1"/>
    <col min="12808" max="13056" width="9.140625" style="449"/>
    <col min="13057" max="13057" width="4.42578125" style="449" customWidth="1"/>
    <col min="13058" max="13058" width="7.5703125" style="449" customWidth="1"/>
    <col min="13059" max="13059" width="47.42578125" style="449" customWidth="1"/>
    <col min="13060" max="13060" width="14.85546875" style="449" customWidth="1"/>
    <col min="13061" max="13061" width="14" style="449" customWidth="1"/>
    <col min="13062" max="13062" width="14.140625" style="449" customWidth="1"/>
    <col min="13063" max="13063" width="14.7109375" style="449" customWidth="1"/>
    <col min="13064" max="13312" width="9.140625" style="449"/>
    <col min="13313" max="13313" width="4.42578125" style="449" customWidth="1"/>
    <col min="13314" max="13314" width="7.5703125" style="449" customWidth="1"/>
    <col min="13315" max="13315" width="47.42578125" style="449" customWidth="1"/>
    <col min="13316" max="13316" width="14.85546875" style="449" customWidth="1"/>
    <col min="13317" max="13317" width="14" style="449" customWidth="1"/>
    <col min="13318" max="13318" width="14.140625" style="449" customWidth="1"/>
    <col min="13319" max="13319" width="14.7109375" style="449" customWidth="1"/>
    <col min="13320" max="13568" width="9.140625" style="449"/>
    <col min="13569" max="13569" width="4.42578125" style="449" customWidth="1"/>
    <col min="13570" max="13570" width="7.5703125" style="449" customWidth="1"/>
    <col min="13571" max="13571" width="47.42578125" style="449" customWidth="1"/>
    <col min="13572" max="13572" width="14.85546875" style="449" customWidth="1"/>
    <col min="13573" max="13573" width="14" style="449" customWidth="1"/>
    <col min="13574" max="13574" width="14.140625" style="449" customWidth="1"/>
    <col min="13575" max="13575" width="14.7109375" style="449" customWidth="1"/>
    <col min="13576" max="13824" width="9.140625" style="449"/>
    <col min="13825" max="13825" width="4.42578125" style="449" customWidth="1"/>
    <col min="13826" max="13826" width="7.5703125" style="449" customWidth="1"/>
    <col min="13827" max="13827" width="47.42578125" style="449" customWidth="1"/>
    <col min="13828" max="13828" width="14.85546875" style="449" customWidth="1"/>
    <col min="13829" max="13829" width="14" style="449" customWidth="1"/>
    <col min="13830" max="13830" width="14.140625" style="449" customWidth="1"/>
    <col min="13831" max="13831" width="14.7109375" style="449" customWidth="1"/>
    <col min="13832" max="14080" width="9.140625" style="449"/>
    <col min="14081" max="14081" width="4.42578125" style="449" customWidth="1"/>
    <col min="14082" max="14082" width="7.5703125" style="449" customWidth="1"/>
    <col min="14083" max="14083" width="47.42578125" style="449" customWidth="1"/>
    <col min="14084" max="14084" width="14.85546875" style="449" customWidth="1"/>
    <col min="14085" max="14085" width="14" style="449" customWidth="1"/>
    <col min="14086" max="14086" width="14.140625" style="449" customWidth="1"/>
    <col min="14087" max="14087" width="14.7109375" style="449" customWidth="1"/>
    <col min="14088" max="14336" width="9.140625" style="449"/>
    <col min="14337" max="14337" width="4.42578125" style="449" customWidth="1"/>
    <col min="14338" max="14338" width="7.5703125" style="449" customWidth="1"/>
    <col min="14339" max="14339" width="47.42578125" style="449" customWidth="1"/>
    <col min="14340" max="14340" width="14.85546875" style="449" customWidth="1"/>
    <col min="14341" max="14341" width="14" style="449" customWidth="1"/>
    <col min="14342" max="14342" width="14.140625" style="449" customWidth="1"/>
    <col min="14343" max="14343" width="14.7109375" style="449" customWidth="1"/>
    <col min="14344" max="14592" width="9.140625" style="449"/>
    <col min="14593" max="14593" width="4.42578125" style="449" customWidth="1"/>
    <col min="14594" max="14594" width="7.5703125" style="449" customWidth="1"/>
    <col min="14595" max="14595" width="47.42578125" style="449" customWidth="1"/>
    <col min="14596" max="14596" width="14.85546875" style="449" customWidth="1"/>
    <col min="14597" max="14597" width="14" style="449" customWidth="1"/>
    <col min="14598" max="14598" width="14.140625" style="449" customWidth="1"/>
    <col min="14599" max="14599" width="14.7109375" style="449" customWidth="1"/>
    <col min="14600" max="14848" width="9.140625" style="449"/>
    <col min="14849" max="14849" width="4.42578125" style="449" customWidth="1"/>
    <col min="14850" max="14850" width="7.5703125" style="449" customWidth="1"/>
    <col min="14851" max="14851" width="47.42578125" style="449" customWidth="1"/>
    <col min="14852" max="14852" width="14.85546875" style="449" customWidth="1"/>
    <col min="14853" max="14853" width="14" style="449" customWidth="1"/>
    <col min="14854" max="14854" width="14.140625" style="449" customWidth="1"/>
    <col min="14855" max="14855" width="14.7109375" style="449" customWidth="1"/>
    <col min="14856" max="15104" width="9.140625" style="449"/>
    <col min="15105" max="15105" width="4.42578125" style="449" customWidth="1"/>
    <col min="15106" max="15106" width="7.5703125" style="449" customWidth="1"/>
    <col min="15107" max="15107" width="47.42578125" style="449" customWidth="1"/>
    <col min="15108" max="15108" width="14.85546875" style="449" customWidth="1"/>
    <col min="15109" max="15109" width="14" style="449" customWidth="1"/>
    <col min="15110" max="15110" width="14.140625" style="449" customWidth="1"/>
    <col min="15111" max="15111" width="14.7109375" style="449" customWidth="1"/>
    <col min="15112" max="15360" width="9.140625" style="449"/>
    <col min="15361" max="15361" width="4.42578125" style="449" customWidth="1"/>
    <col min="15362" max="15362" width="7.5703125" style="449" customWidth="1"/>
    <col min="15363" max="15363" width="47.42578125" style="449" customWidth="1"/>
    <col min="15364" max="15364" width="14.85546875" style="449" customWidth="1"/>
    <col min="15365" max="15365" width="14" style="449" customWidth="1"/>
    <col min="15366" max="15366" width="14.140625" style="449" customWidth="1"/>
    <col min="15367" max="15367" width="14.7109375" style="449" customWidth="1"/>
    <col min="15368" max="15616" width="9.140625" style="449"/>
    <col min="15617" max="15617" width="4.42578125" style="449" customWidth="1"/>
    <col min="15618" max="15618" width="7.5703125" style="449" customWidth="1"/>
    <col min="15619" max="15619" width="47.42578125" style="449" customWidth="1"/>
    <col min="15620" max="15620" width="14.85546875" style="449" customWidth="1"/>
    <col min="15621" max="15621" width="14" style="449" customWidth="1"/>
    <col min="15622" max="15622" width="14.140625" style="449" customWidth="1"/>
    <col min="15623" max="15623" width="14.7109375" style="449" customWidth="1"/>
    <col min="15624" max="15872" width="9.140625" style="449"/>
    <col min="15873" max="15873" width="4.42578125" style="449" customWidth="1"/>
    <col min="15874" max="15874" width="7.5703125" style="449" customWidth="1"/>
    <col min="15875" max="15875" width="47.42578125" style="449" customWidth="1"/>
    <col min="15876" max="15876" width="14.85546875" style="449" customWidth="1"/>
    <col min="15877" max="15877" width="14" style="449" customWidth="1"/>
    <col min="15878" max="15878" width="14.140625" style="449" customWidth="1"/>
    <col min="15879" max="15879" width="14.7109375" style="449" customWidth="1"/>
    <col min="15880" max="16128" width="9.140625" style="449"/>
    <col min="16129" max="16129" width="4.42578125" style="449" customWidth="1"/>
    <col min="16130" max="16130" width="7.5703125" style="449" customWidth="1"/>
    <col min="16131" max="16131" width="47.42578125" style="449" customWidth="1"/>
    <col min="16132" max="16132" width="14.85546875" style="449" customWidth="1"/>
    <col min="16133" max="16133" width="14" style="449" customWidth="1"/>
    <col min="16134" max="16134" width="14.140625" style="449" customWidth="1"/>
    <col min="16135" max="16135" width="14.7109375" style="449" customWidth="1"/>
    <col min="16136" max="16384" width="9.140625" style="449"/>
  </cols>
  <sheetData>
    <row r="1" spans="1:7">
      <c r="F1" s="12" t="s">
        <v>490</v>
      </c>
    </row>
    <row r="2" spans="1:7">
      <c r="F2" s="12" t="s">
        <v>347</v>
      </c>
    </row>
    <row r="3" spans="1:7">
      <c r="F3" s="10" t="s">
        <v>1</v>
      </c>
    </row>
    <row r="4" spans="1:7">
      <c r="F4" s="12" t="s">
        <v>348</v>
      </c>
    </row>
    <row r="6" spans="1:7" s="427" customFormat="1" ht="12.75">
      <c r="A6" s="534" t="s">
        <v>491</v>
      </c>
      <c r="B6" s="534"/>
      <c r="C6" s="534"/>
      <c r="D6" s="534"/>
      <c r="E6" s="534"/>
      <c r="F6" s="534"/>
      <c r="G6" s="534"/>
    </row>
    <row r="7" spans="1:7" s="427" customFormat="1" ht="12.75">
      <c r="A7" s="385" t="s">
        <v>492</v>
      </c>
      <c r="B7" s="385"/>
      <c r="C7" s="385"/>
      <c r="D7" s="385"/>
      <c r="E7" s="385"/>
      <c r="F7" s="385"/>
      <c r="G7" s="385"/>
    </row>
    <row r="8" spans="1:7">
      <c r="A8" s="535" t="s">
        <v>493</v>
      </c>
      <c r="B8" s="535"/>
      <c r="C8" s="535"/>
      <c r="D8" s="535"/>
      <c r="E8" s="535"/>
      <c r="F8" s="535"/>
      <c r="G8" s="535"/>
    </row>
    <row r="9" spans="1:7">
      <c r="A9" s="494"/>
      <c r="B9" s="494"/>
      <c r="C9" s="494"/>
      <c r="D9" s="494"/>
      <c r="E9" s="494"/>
      <c r="F9" s="494"/>
      <c r="G9" s="428" t="s">
        <v>3</v>
      </c>
    </row>
    <row r="10" spans="1:7">
      <c r="A10" s="536" t="s">
        <v>101</v>
      </c>
      <c r="B10" s="429"/>
      <c r="C10" s="536" t="s">
        <v>494</v>
      </c>
      <c r="D10" s="539" t="s">
        <v>495</v>
      </c>
      <c r="E10" s="430"/>
      <c r="F10" s="431"/>
      <c r="G10" s="539" t="s">
        <v>496</v>
      </c>
    </row>
    <row r="11" spans="1:7">
      <c r="A11" s="537"/>
      <c r="B11" s="432" t="s">
        <v>5</v>
      </c>
      <c r="C11" s="537"/>
      <c r="D11" s="540"/>
      <c r="E11" s="540" t="s">
        <v>497</v>
      </c>
      <c r="F11" s="540" t="s">
        <v>498</v>
      </c>
      <c r="G11" s="540"/>
    </row>
    <row r="12" spans="1:7">
      <c r="A12" s="537"/>
      <c r="B12" s="433"/>
      <c r="C12" s="537"/>
      <c r="D12" s="540"/>
      <c r="E12" s="540"/>
      <c r="F12" s="540"/>
      <c r="G12" s="540"/>
    </row>
    <row r="13" spans="1:7">
      <c r="A13" s="538"/>
      <c r="B13" s="433" t="s">
        <v>6</v>
      </c>
      <c r="C13" s="538"/>
      <c r="D13" s="541"/>
      <c r="E13" s="541"/>
      <c r="F13" s="541"/>
      <c r="G13" s="541"/>
    </row>
    <row r="14" spans="1:7">
      <c r="A14" s="434">
        <v>1</v>
      </c>
      <c r="B14" s="434">
        <v>2</v>
      </c>
      <c r="C14" s="434">
        <v>3</v>
      </c>
      <c r="D14" s="434">
        <v>4</v>
      </c>
      <c r="E14" s="434">
        <v>5</v>
      </c>
      <c r="F14" s="434">
        <v>6</v>
      </c>
      <c r="G14" s="434">
        <v>7</v>
      </c>
    </row>
    <row r="15" spans="1:7" s="494" customFormat="1">
      <c r="A15" s="435"/>
      <c r="B15" s="436">
        <v>801</v>
      </c>
      <c r="C15" s="495"/>
      <c r="D15" s="496"/>
      <c r="E15" s="496"/>
      <c r="F15" s="496"/>
      <c r="G15" s="496"/>
    </row>
    <row r="16" spans="1:7">
      <c r="A16" s="437" t="s">
        <v>108</v>
      </c>
      <c r="B16" s="497">
        <v>80101</v>
      </c>
      <c r="C16" s="438" t="s">
        <v>22</v>
      </c>
      <c r="D16" s="498">
        <v>543.20000000000005</v>
      </c>
      <c r="E16" s="498">
        <v>984665.81</v>
      </c>
      <c r="F16" s="498">
        <v>985209.01</v>
      </c>
      <c r="G16" s="498">
        <v>0</v>
      </c>
    </row>
    <row r="17" spans="1:7">
      <c r="A17" s="437" t="s">
        <v>113</v>
      </c>
      <c r="B17" s="497">
        <v>80102</v>
      </c>
      <c r="C17" s="439" t="s">
        <v>260</v>
      </c>
      <c r="D17" s="499">
        <v>0</v>
      </c>
      <c r="E17" s="499">
        <v>89067</v>
      </c>
      <c r="F17" s="499">
        <v>89067</v>
      </c>
      <c r="G17" s="499">
        <v>0</v>
      </c>
    </row>
    <row r="18" spans="1:7">
      <c r="A18" s="437" t="s">
        <v>120</v>
      </c>
      <c r="B18" s="497">
        <v>80104</v>
      </c>
      <c r="C18" s="439" t="s">
        <v>29</v>
      </c>
      <c r="D18" s="499">
        <v>16377.27</v>
      </c>
      <c r="E18" s="499">
        <v>5750965</v>
      </c>
      <c r="F18" s="499">
        <v>5767342.2699999996</v>
      </c>
      <c r="G18" s="499">
        <v>0</v>
      </c>
    </row>
    <row r="19" spans="1:7">
      <c r="A19" s="437" t="s">
        <v>124</v>
      </c>
      <c r="B19" s="497">
        <v>80115</v>
      </c>
      <c r="C19" s="439" t="s">
        <v>32</v>
      </c>
      <c r="D19" s="499">
        <v>492.97</v>
      </c>
      <c r="E19" s="499">
        <v>1185840.8</v>
      </c>
      <c r="F19" s="499">
        <v>1186333.77</v>
      </c>
      <c r="G19" s="499">
        <v>0</v>
      </c>
    </row>
    <row r="20" spans="1:7">
      <c r="A20" s="437" t="s">
        <v>129</v>
      </c>
      <c r="B20" s="497">
        <v>80120</v>
      </c>
      <c r="C20" s="439" t="s">
        <v>35</v>
      </c>
      <c r="D20" s="500">
        <v>227.01</v>
      </c>
      <c r="E20" s="499">
        <v>323050</v>
      </c>
      <c r="F20" s="499">
        <v>323277.01</v>
      </c>
      <c r="G20" s="499">
        <v>0</v>
      </c>
    </row>
    <row r="21" spans="1:7">
      <c r="A21" s="437" t="s">
        <v>134</v>
      </c>
      <c r="B21" s="497">
        <v>80132</v>
      </c>
      <c r="C21" s="439" t="s">
        <v>499</v>
      </c>
      <c r="D21" s="499">
        <v>1.71</v>
      </c>
      <c r="E21" s="499">
        <v>145099</v>
      </c>
      <c r="F21" s="499">
        <v>145100.71</v>
      </c>
      <c r="G21" s="501">
        <v>0</v>
      </c>
    </row>
    <row r="22" spans="1:7" ht="25.5">
      <c r="A22" s="440" t="s">
        <v>138</v>
      </c>
      <c r="B22" s="502">
        <v>80140</v>
      </c>
      <c r="C22" s="441" t="s">
        <v>500</v>
      </c>
      <c r="D22" s="503">
        <v>0</v>
      </c>
      <c r="E22" s="503">
        <v>159270</v>
      </c>
      <c r="F22" s="503">
        <v>159270</v>
      </c>
      <c r="G22" s="503">
        <v>0</v>
      </c>
    </row>
    <row r="23" spans="1:7" ht="14.25" customHeight="1">
      <c r="A23" s="437" t="s">
        <v>141</v>
      </c>
      <c r="B23" s="497">
        <v>80142</v>
      </c>
      <c r="C23" s="442" t="s">
        <v>501</v>
      </c>
      <c r="D23" s="501">
        <v>0</v>
      </c>
      <c r="E23" s="501">
        <v>369147</v>
      </c>
      <c r="F23" s="501">
        <v>369147</v>
      </c>
      <c r="G23" s="501">
        <v>0</v>
      </c>
    </row>
    <row r="24" spans="1:7" ht="14.25" customHeight="1">
      <c r="A24" s="437" t="s">
        <v>148</v>
      </c>
      <c r="B24" s="502">
        <v>80144</v>
      </c>
      <c r="C24" s="441" t="s">
        <v>502</v>
      </c>
      <c r="D24" s="499">
        <v>0</v>
      </c>
      <c r="E24" s="499">
        <v>105800</v>
      </c>
      <c r="F24" s="499">
        <v>105800</v>
      </c>
      <c r="G24" s="499">
        <v>0</v>
      </c>
    </row>
    <row r="25" spans="1:7">
      <c r="A25" s="437" t="s">
        <v>164</v>
      </c>
      <c r="B25" s="502">
        <v>80148</v>
      </c>
      <c r="C25" s="439" t="s">
        <v>16</v>
      </c>
      <c r="D25" s="500">
        <v>522.36</v>
      </c>
      <c r="E25" s="500">
        <v>3517309</v>
      </c>
      <c r="F25" s="500">
        <v>3517831.36</v>
      </c>
      <c r="G25" s="500">
        <v>0</v>
      </c>
    </row>
    <row r="26" spans="1:7">
      <c r="A26" s="504"/>
      <c r="B26" s="443">
        <v>854</v>
      </c>
      <c r="C26" s="444"/>
      <c r="D26" s="505"/>
      <c r="E26" s="505"/>
      <c r="F26" s="505"/>
      <c r="G26" s="505"/>
    </row>
    <row r="27" spans="1:7">
      <c r="A27" s="437" t="s">
        <v>108</v>
      </c>
      <c r="B27" s="497">
        <v>85410</v>
      </c>
      <c r="C27" s="439" t="s">
        <v>81</v>
      </c>
      <c r="D27" s="499">
        <v>715.53</v>
      </c>
      <c r="E27" s="499">
        <v>601700</v>
      </c>
      <c r="F27" s="499">
        <v>602415.53</v>
      </c>
      <c r="G27" s="499">
        <v>0</v>
      </c>
    </row>
    <row r="28" spans="1:7" ht="25.5">
      <c r="A28" s="437" t="s">
        <v>113</v>
      </c>
      <c r="B28" s="502">
        <v>85412</v>
      </c>
      <c r="C28" s="445" t="s">
        <v>503</v>
      </c>
      <c r="D28" s="503">
        <v>0</v>
      </c>
      <c r="E28" s="503">
        <v>20600</v>
      </c>
      <c r="F28" s="503">
        <v>20600</v>
      </c>
      <c r="G28" s="503">
        <v>0</v>
      </c>
    </row>
    <row r="29" spans="1:7">
      <c r="A29" s="437" t="s">
        <v>120</v>
      </c>
      <c r="B29" s="497">
        <v>85417</v>
      </c>
      <c r="C29" s="445" t="s">
        <v>504</v>
      </c>
      <c r="D29" s="499">
        <v>0</v>
      </c>
      <c r="E29" s="499">
        <v>80400</v>
      </c>
      <c r="F29" s="499">
        <v>80400</v>
      </c>
      <c r="G29" s="499">
        <v>0</v>
      </c>
    </row>
    <row r="30" spans="1:7">
      <c r="A30" s="446" t="s">
        <v>124</v>
      </c>
      <c r="B30" s="506">
        <v>85420</v>
      </c>
      <c r="C30" s="447" t="s">
        <v>300</v>
      </c>
      <c r="D30" s="507">
        <v>0</v>
      </c>
      <c r="E30" s="507">
        <v>26900</v>
      </c>
      <c r="F30" s="507">
        <v>26900</v>
      </c>
      <c r="G30" s="508">
        <v>0</v>
      </c>
    </row>
    <row r="31" spans="1:7" s="512" customFormat="1" ht="21" customHeight="1">
      <c r="A31" s="509"/>
      <c r="B31" s="509"/>
      <c r="C31" s="510" t="s">
        <v>505</v>
      </c>
      <c r="D31" s="511">
        <f>SUM(D16:D30)</f>
        <v>18880.05</v>
      </c>
      <c r="E31" s="511">
        <f>SUM(E16:E30)</f>
        <v>13359813.609999999</v>
      </c>
      <c r="F31" s="511">
        <f>SUM(F16:F30)</f>
        <v>13378693.659999998</v>
      </c>
      <c r="G31" s="511">
        <f>SUM(G16:G30)</f>
        <v>0</v>
      </c>
    </row>
    <row r="33" spans="1:3">
      <c r="A33" s="513"/>
      <c r="B33" s="513"/>
      <c r="C33" s="448"/>
    </row>
    <row r="34" spans="1:3">
      <c r="A34" s="513"/>
      <c r="B34" s="513"/>
      <c r="C34" s="448"/>
    </row>
    <row r="35" spans="1:3">
      <c r="A35" s="513"/>
      <c r="B35" s="513"/>
      <c r="C35" s="448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25899-7CFE-448D-A184-759CE5DA54A5}">
  <sheetPr>
    <tabColor rgb="FFFFC000"/>
  </sheetPr>
  <dimension ref="A1:WVO241"/>
  <sheetViews>
    <sheetView zoomScale="140" zoomScaleNormal="140" workbookViewId="0"/>
  </sheetViews>
  <sheetFormatPr defaultRowHeight="15"/>
  <cols>
    <col min="1" max="1" width="4.85546875" style="494" customWidth="1"/>
    <col min="2" max="2" width="33.42578125" style="494" customWidth="1"/>
    <col min="3" max="3" width="8.5703125" style="494" customWidth="1"/>
    <col min="4" max="4" width="10.28515625" style="494" customWidth="1"/>
    <col min="5" max="5" width="8.140625" style="494" customWidth="1"/>
    <col min="6" max="7" width="13" style="449" customWidth="1"/>
    <col min="8" max="8" width="9.140625" style="449"/>
    <col min="9" max="9" width="12.42578125" style="449" customWidth="1"/>
    <col min="10" max="76" width="9.140625" style="449"/>
    <col min="77" max="253" width="9.140625" style="494"/>
    <col min="254" max="254" width="5.28515625" style="494" customWidth="1"/>
    <col min="255" max="255" width="8" style="494" customWidth="1"/>
    <col min="256" max="256" width="5.85546875" style="494" customWidth="1"/>
    <col min="257" max="257" width="9.42578125" style="494" customWidth="1"/>
    <col min="258" max="258" width="11.28515625" style="494" customWidth="1"/>
    <col min="259" max="259" width="11" style="494" customWidth="1"/>
    <col min="260" max="260" width="13.140625" style="494" customWidth="1"/>
    <col min="261" max="261" width="11.7109375" style="494" customWidth="1"/>
    <col min="262" max="262" width="11.140625" style="494" customWidth="1"/>
    <col min="263" max="263" width="11.7109375" style="494" customWidth="1"/>
    <col min="264" max="509" width="9.140625" style="494"/>
    <col min="510" max="510" width="5.28515625" style="494" customWidth="1"/>
    <col min="511" max="511" width="8" style="494" customWidth="1"/>
    <col min="512" max="512" width="5.85546875" style="494" customWidth="1"/>
    <col min="513" max="513" width="9.42578125" style="494" customWidth="1"/>
    <col min="514" max="514" width="11.28515625" style="494" customWidth="1"/>
    <col min="515" max="515" width="11" style="494" customWidth="1"/>
    <col min="516" max="516" width="13.140625" style="494" customWidth="1"/>
    <col min="517" max="517" width="11.7109375" style="494" customWidth="1"/>
    <col min="518" max="518" width="11.140625" style="494" customWidth="1"/>
    <col min="519" max="519" width="11.7109375" style="494" customWidth="1"/>
    <col min="520" max="765" width="9.140625" style="494"/>
    <col min="766" max="766" width="5.28515625" style="494" customWidth="1"/>
    <col min="767" max="767" width="8" style="494" customWidth="1"/>
    <col min="768" max="768" width="5.85546875" style="494" customWidth="1"/>
    <col min="769" max="769" width="9.42578125" style="494" customWidth="1"/>
    <col min="770" max="770" width="11.28515625" style="494" customWidth="1"/>
    <col min="771" max="771" width="11" style="494" customWidth="1"/>
    <col min="772" max="772" width="13.140625" style="494" customWidth="1"/>
    <col min="773" max="773" width="11.7109375" style="494" customWidth="1"/>
    <col min="774" max="774" width="11.140625" style="494" customWidth="1"/>
    <col min="775" max="775" width="11.7109375" style="494" customWidth="1"/>
    <col min="776" max="1021" width="9.140625" style="494"/>
    <col min="1022" max="1022" width="5.28515625" style="494" customWidth="1"/>
    <col min="1023" max="1023" width="8" style="494" customWidth="1"/>
    <col min="1024" max="1024" width="5.85546875" style="494" customWidth="1"/>
    <col min="1025" max="1025" width="9.42578125" style="494" customWidth="1"/>
    <col min="1026" max="1026" width="11.28515625" style="494" customWidth="1"/>
    <col min="1027" max="1027" width="11" style="494" customWidth="1"/>
    <col min="1028" max="1028" width="13.140625" style="494" customWidth="1"/>
    <col min="1029" max="1029" width="11.7109375" style="494" customWidth="1"/>
    <col min="1030" max="1030" width="11.140625" style="494" customWidth="1"/>
    <col min="1031" max="1031" width="11.7109375" style="494" customWidth="1"/>
    <col min="1032" max="1277" width="9.140625" style="494"/>
    <col min="1278" max="1278" width="5.28515625" style="494" customWidth="1"/>
    <col min="1279" max="1279" width="8" style="494" customWidth="1"/>
    <col min="1280" max="1280" width="5.85546875" style="494" customWidth="1"/>
    <col min="1281" max="1281" width="9.42578125" style="494" customWidth="1"/>
    <col min="1282" max="1282" width="11.28515625" style="494" customWidth="1"/>
    <col min="1283" max="1283" width="11" style="494" customWidth="1"/>
    <col min="1284" max="1284" width="13.140625" style="494" customWidth="1"/>
    <col min="1285" max="1285" width="11.7109375" style="494" customWidth="1"/>
    <col min="1286" max="1286" width="11.140625" style="494" customWidth="1"/>
    <col min="1287" max="1287" width="11.7109375" style="494" customWidth="1"/>
    <col min="1288" max="1533" width="9.140625" style="494"/>
    <col min="1534" max="1534" width="5.28515625" style="494" customWidth="1"/>
    <col min="1535" max="1535" width="8" style="494" customWidth="1"/>
    <col min="1536" max="1536" width="5.85546875" style="494" customWidth="1"/>
    <col min="1537" max="1537" width="9.42578125" style="494" customWidth="1"/>
    <col min="1538" max="1538" width="11.28515625" style="494" customWidth="1"/>
    <col min="1539" max="1539" width="11" style="494" customWidth="1"/>
    <col min="1540" max="1540" width="13.140625" style="494" customWidth="1"/>
    <col min="1541" max="1541" width="11.7109375" style="494" customWidth="1"/>
    <col min="1542" max="1542" width="11.140625" style="494" customWidth="1"/>
    <col min="1543" max="1543" width="11.7109375" style="494" customWidth="1"/>
    <col min="1544" max="1789" width="9.140625" style="494"/>
    <col min="1790" max="1790" width="5.28515625" style="494" customWidth="1"/>
    <col min="1791" max="1791" width="8" style="494" customWidth="1"/>
    <col min="1792" max="1792" width="5.85546875" style="494" customWidth="1"/>
    <col min="1793" max="1793" width="9.42578125" style="494" customWidth="1"/>
    <col min="1794" max="1794" width="11.28515625" style="494" customWidth="1"/>
    <col min="1795" max="1795" width="11" style="494" customWidth="1"/>
    <col min="1796" max="1796" width="13.140625" style="494" customWidth="1"/>
    <col min="1797" max="1797" width="11.7109375" style="494" customWidth="1"/>
    <col min="1798" max="1798" width="11.140625" style="494" customWidth="1"/>
    <col min="1799" max="1799" width="11.7109375" style="494" customWidth="1"/>
    <col min="1800" max="2045" width="9.140625" style="494"/>
    <col min="2046" max="2046" width="5.28515625" style="494" customWidth="1"/>
    <col min="2047" max="2047" width="8" style="494" customWidth="1"/>
    <col min="2048" max="2048" width="5.85546875" style="494" customWidth="1"/>
    <col min="2049" max="2049" width="9.42578125" style="494" customWidth="1"/>
    <col min="2050" max="2050" width="11.28515625" style="494" customWidth="1"/>
    <col min="2051" max="2051" width="11" style="494" customWidth="1"/>
    <col min="2052" max="2052" width="13.140625" style="494" customWidth="1"/>
    <col min="2053" max="2053" width="11.7109375" style="494" customWidth="1"/>
    <col min="2054" max="2054" width="11.140625" style="494" customWidth="1"/>
    <col min="2055" max="2055" width="11.7109375" style="494" customWidth="1"/>
    <col min="2056" max="2301" width="9.140625" style="494"/>
    <col min="2302" max="2302" width="5.28515625" style="494" customWidth="1"/>
    <col min="2303" max="2303" width="8" style="494" customWidth="1"/>
    <col min="2304" max="2304" width="5.85546875" style="494" customWidth="1"/>
    <col min="2305" max="2305" width="9.42578125" style="494" customWidth="1"/>
    <col min="2306" max="2306" width="11.28515625" style="494" customWidth="1"/>
    <col min="2307" max="2307" width="11" style="494" customWidth="1"/>
    <col min="2308" max="2308" width="13.140625" style="494" customWidth="1"/>
    <col min="2309" max="2309" width="11.7109375" style="494" customWidth="1"/>
    <col min="2310" max="2310" width="11.140625" style="494" customWidth="1"/>
    <col min="2311" max="2311" width="11.7109375" style="494" customWidth="1"/>
    <col min="2312" max="2557" width="9.140625" style="494"/>
    <col min="2558" max="2558" width="5.28515625" style="494" customWidth="1"/>
    <col min="2559" max="2559" width="8" style="494" customWidth="1"/>
    <col min="2560" max="2560" width="5.85546875" style="494" customWidth="1"/>
    <col min="2561" max="2561" width="9.42578125" style="494" customWidth="1"/>
    <col min="2562" max="2562" width="11.28515625" style="494" customWidth="1"/>
    <col min="2563" max="2563" width="11" style="494" customWidth="1"/>
    <col min="2564" max="2564" width="13.140625" style="494" customWidth="1"/>
    <col min="2565" max="2565" width="11.7109375" style="494" customWidth="1"/>
    <col min="2566" max="2566" width="11.140625" style="494" customWidth="1"/>
    <col min="2567" max="2567" width="11.7109375" style="494" customWidth="1"/>
    <col min="2568" max="2813" width="9.140625" style="494"/>
    <col min="2814" max="2814" width="5.28515625" style="494" customWidth="1"/>
    <col min="2815" max="2815" width="8" style="494" customWidth="1"/>
    <col min="2816" max="2816" width="5.85546875" style="494" customWidth="1"/>
    <col min="2817" max="2817" width="9.42578125" style="494" customWidth="1"/>
    <col min="2818" max="2818" width="11.28515625" style="494" customWidth="1"/>
    <col min="2819" max="2819" width="11" style="494" customWidth="1"/>
    <col min="2820" max="2820" width="13.140625" style="494" customWidth="1"/>
    <col min="2821" max="2821" width="11.7109375" style="494" customWidth="1"/>
    <col min="2822" max="2822" width="11.140625" style="494" customWidth="1"/>
    <col min="2823" max="2823" width="11.7109375" style="494" customWidth="1"/>
    <col min="2824" max="3069" width="9.140625" style="494"/>
    <col min="3070" max="3070" width="5.28515625" style="494" customWidth="1"/>
    <col min="3071" max="3071" width="8" style="494" customWidth="1"/>
    <col min="3072" max="3072" width="5.85546875" style="494" customWidth="1"/>
    <col min="3073" max="3073" width="9.42578125" style="494" customWidth="1"/>
    <col min="3074" max="3074" width="11.28515625" style="494" customWidth="1"/>
    <col min="3075" max="3075" width="11" style="494" customWidth="1"/>
    <col min="3076" max="3076" width="13.140625" style="494" customWidth="1"/>
    <col min="3077" max="3077" width="11.7109375" style="494" customWidth="1"/>
    <col min="3078" max="3078" width="11.140625" style="494" customWidth="1"/>
    <col min="3079" max="3079" width="11.7109375" style="494" customWidth="1"/>
    <col min="3080" max="3325" width="9.140625" style="494"/>
    <col min="3326" max="3326" width="5.28515625" style="494" customWidth="1"/>
    <col min="3327" max="3327" width="8" style="494" customWidth="1"/>
    <col min="3328" max="3328" width="5.85546875" style="494" customWidth="1"/>
    <col min="3329" max="3329" width="9.42578125" style="494" customWidth="1"/>
    <col min="3330" max="3330" width="11.28515625" style="494" customWidth="1"/>
    <col min="3331" max="3331" width="11" style="494" customWidth="1"/>
    <col min="3332" max="3332" width="13.140625" style="494" customWidth="1"/>
    <col min="3333" max="3333" width="11.7109375" style="494" customWidth="1"/>
    <col min="3334" max="3334" width="11.140625" style="494" customWidth="1"/>
    <col min="3335" max="3335" width="11.7109375" style="494" customWidth="1"/>
    <col min="3336" max="3581" width="9.140625" style="494"/>
    <col min="3582" max="3582" width="5.28515625" style="494" customWidth="1"/>
    <col min="3583" max="3583" width="8" style="494" customWidth="1"/>
    <col min="3584" max="3584" width="5.85546875" style="494" customWidth="1"/>
    <col min="3585" max="3585" width="9.42578125" style="494" customWidth="1"/>
    <col min="3586" max="3586" width="11.28515625" style="494" customWidth="1"/>
    <col min="3587" max="3587" width="11" style="494" customWidth="1"/>
    <col min="3588" max="3588" width="13.140625" style="494" customWidth="1"/>
    <col min="3589" max="3589" width="11.7109375" style="494" customWidth="1"/>
    <col min="3590" max="3590" width="11.140625" style="494" customWidth="1"/>
    <col min="3591" max="3591" width="11.7109375" style="494" customWidth="1"/>
    <col min="3592" max="3837" width="9.140625" style="494"/>
    <col min="3838" max="3838" width="5.28515625" style="494" customWidth="1"/>
    <col min="3839" max="3839" width="8" style="494" customWidth="1"/>
    <col min="3840" max="3840" width="5.85546875" style="494" customWidth="1"/>
    <col min="3841" max="3841" width="9.42578125" style="494" customWidth="1"/>
    <col min="3842" max="3842" width="11.28515625" style="494" customWidth="1"/>
    <col min="3843" max="3843" width="11" style="494" customWidth="1"/>
    <col min="3844" max="3844" width="13.140625" style="494" customWidth="1"/>
    <col min="3845" max="3845" width="11.7109375" style="494" customWidth="1"/>
    <col min="3846" max="3846" width="11.140625" style="494" customWidth="1"/>
    <col min="3847" max="3847" width="11.7109375" style="494" customWidth="1"/>
    <col min="3848" max="4093" width="9.140625" style="494"/>
    <col min="4094" max="4094" width="5.28515625" style="494" customWidth="1"/>
    <col min="4095" max="4095" width="8" style="494" customWidth="1"/>
    <col min="4096" max="4096" width="5.85546875" style="494" customWidth="1"/>
    <col min="4097" max="4097" width="9.42578125" style="494" customWidth="1"/>
    <col min="4098" max="4098" width="11.28515625" style="494" customWidth="1"/>
    <col min="4099" max="4099" width="11" style="494" customWidth="1"/>
    <col min="4100" max="4100" width="13.140625" style="494" customWidth="1"/>
    <col min="4101" max="4101" width="11.7109375" style="494" customWidth="1"/>
    <col min="4102" max="4102" width="11.140625" style="494" customWidth="1"/>
    <col min="4103" max="4103" width="11.7109375" style="494" customWidth="1"/>
    <col min="4104" max="4349" width="9.140625" style="494"/>
    <col min="4350" max="4350" width="5.28515625" style="494" customWidth="1"/>
    <col min="4351" max="4351" width="8" style="494" customWidth="1"/>
    <col min="4352" max="4352" width="5.85546875" style="494" customWidth="1"/>
    <col min="4353" max="4353" width="9.42578125" style="494" customWidth="1"/>
    <col min="4354" max="4354" width="11.28515625" style="494" customWidth="1"/>
    <col min="4355" max="4355" width="11" style="494" customWidth="1"/>
    <col min="4356" max="4356" width="13.140625" style="494" customWidth="1"/>
    <col min="4357" max="4357" width="11.7109375" style="494" customWidth="1"/>
    <col min="4358" max="4358" width="11.140625" style="494" customWidth="1"/>
    <col min="4359" max="4359" width="11.7109375" style="494" customWidth="1"/>
    <col min="4360" max="4605" width="9.140625" style="494"/>
    <col min="4606" max="4606" width="5.28515625" style="494" customWidth="1"/>
    <col min="4607" max="4607" width="8" style="494" customWidth="1"/>
    <col min="4608" max="4608" width="5.85546875" style="494" customWidth="1"/>
    <col min="4609" max="4609" width="9.42578125" style="494" customWidth="1"/>
    <col min="4610" max="4610" width="11.28515625" style="494" customWidth="1"/>
    <col min="4611" max="4611" width="11" style="494" customWidth="1"/>
    <col min="4612" max="4612" width="13.140625" style="494" customWidth="1"/>
    <col min="4613" max="4613" width="11.7109375" style="494" customWidth="1"/>
    <col min="4614" max="4614" width="11.140625" style="494" customWidth="1"/>
    <col min="4615" max="4615" width="11.7109375" style="494" customWidth="1"/>
    <col min="4616" max="4861" width="9.140625" style="494"/>
    <col min="4862" max="4862" width="5.28515625" style="494" customWidth="1"/>
    <col min="4863" max="4863" width="8" style="494" customWidth="1"/>
    <col min="4864" max="4864" width="5.85546875" style="494" customWidth="1"/>
    <col min="4865" max="4865" width="9.42578125" style="494" customWidth="1"/>
    <col min="4866" max="4866" width="11.28515625" style="494" customWidth="1"/>
    <col min="4867" max="4867" width="11" style="494" customWidth="1"/>
    <col min="4868" max="4868" width="13.140625" style="494" customWidth="1"/>
    <col min="4869" max="4869" width="11.7109375" style="494" customWidth="1"/>
    <col min="4870" max="4870" width="11.140625" style="494" customWidth="1"/>
    <col min="4871" max="4871" width="11.7109375" style="494" customWidth="1"/>
    <col min="4872" max="5117" width="9.140625" style="494"/>
    <col min="5118" max="5118" width="5.28515625" style="494" customWidth="1"/>
    <col min="5119" max="5119" width="8" style="494" customWidth="1"/>
    <col min="5120" max="5120" width="5.85546875" style="494" customWidth="1"/>
    <col min="5121" max="5121" width="9.42578125" style="494" customWidth="1"/>
    <col min="5122" max="5122" width="11.28515625" style="494" customWidth="1"/>
    <col min="5123" max="5123" width="11" style="494" customWidth="1"/>
    <col min="5124" max="5124" width="13.140625" style="494" customWidth="1"/>
    <col min="5125" max="5125" width="11.7109375" style="494" customWidth="1"/>
    <col min="5126" max="5126" width="11.140625" style="494" customWidth="1"/>
    <col min="5127" max="5127" width="11.7109375" style="494" customWidth="1"/>
    <col min="5128" max="5373" width="9.140625" style="494"/>
    <col min="5374" max="5374" width="5.28515625" style="494" customWidth="1"/>
    <col min="5375" max="5375" width="8" style="494" customWidth="1"/>
    <col min="5376" max="5376" width="5.85546875" style="494" customWidth="1"/>
    <col min="5377" max="5377" width="9.42578125" style="494" customWidth="1"/>
    <col min="5378" max="5378" width="11.28515625" style="494" customWidth="1"/>
    <col min="5379" max="5379" width="11" style="494" customWidth="1"/>
    <col min="5380" max="5380" width="13.140625" style="494" customWidth="1"/>
    <col min="5381" max="5381" width="11.7109375" style="494" customWidth="1"/>
    <col min="5382" max="5382" width="11.140625" style="494" customWidth="1"/>
    <col min="5383" max="5383" width="11.7109375" style="494" customWidth="1"/>
    <col min="5384" max="5629" width="9.140625" style="494"/>
    <col min="5630" max="5630" width="5.28515625" style="494" customWidth="1"/>
    <col min="5631" max="5631" width="8" style="494" customWidth="1"/>
    <col min="5632" max="5632" width="5.85546875" style="494" customWidth="1"/>
    <col min="5633" max="5633" width="9.42578125" style="494" customWidth="1"/>
    <col min="5634" max="5634" width="11.28515625" style="494" customWidth="1"/>
    <col min="5635" max="5635" width="11" style="494" customWidth="1"/>
    <col min="5636" max="5636" width="13.140625" style="494" customWidth="1"/>
    <col min="5637" max="5637" width="11.7109375" style="494" customWidth="1"/>
    <col min="5638" max="5638" width="11.140625" style="494" customWidth="1"/>
    <col min="5639" max="5639" width="11.7109375" style="494" customWidth="1"/>
    <col min="5640" max="5885" width="9.140625" style="494"/>
    <col min="5886" max="5886" width="5.28515625" style="494" customWidth="1"/>
    <col min="5887" max="5887" width="8" style="494" customWidth="1"/>
    <col min="5888" max="5888" width="5.85546875" style="494" customWidth="1"/>
    <col min="5889" max="5889" width="9.42578125" style="494" customWidth="1"/>
    <col min="5890" max="5890" width="11.28515625" style="494" customWidth="1"/>
    <col min="5891" max="5891" width="11" style="494" customWidth="1"/>
    <col min="5892" max="5892" width="13.140625" style="494" customWidth="1"/>
    <col min="5893" max="5893" width="11.7109375" style="494" customWidth="1"/>
    <col min="5894" max="5894" width="11.140625" style="494" customWidth="1"/>
    <col min="5895" max="5895" width="11.7109375" style="494" customWidth="1"/>
    <col min="5896" max="6141" width="9.140625" style="494"/>
    <col min="6142" max="6142" width="5.28515625" style="494" customWidth="1"/>
    <col min="6143" max="6143" width="8" style="494" customWidth="1"/>
    <col min="6144" max="6144" width="5.85546875" style="494" customWidth="1"/>
    <col min="6145" max="6145" width="9.42578125" style="494" customWidth="1"/>
    <col min="6146" max="6146" width="11.28515625" style="494" customWidth="1"/>
    <col min="6147" max="6147" width="11" style="494" customWidth="1"/>
    <col min="6148" max="6148" width="13.140625" style="494" customWidth="1"/>
    <col min="6149" max="6149" width="11.7109375" style="494" customWidth="1"/>
    <col min="6150" max="6150" width="11.140625" style="494" customWidth="1"/>
    <col min="6151" max="6151" width="11.7109375" style="494" customWidth="1"/>
    <col min="6152" max="6397" width="9.140625" style="494"/>
    <col min="6398" max="6398" width="5.28515625" style="494" customWidth="1"/>
    <col min="6399" max="6399" width="8" style="494" customWidth="1"/>
    <col min="6400" max="6400" width="5.85546875" style="494" customWidth="1"/>
    <col min="6401" max="6401" width="9.42578125" style="494" customWidth="1"/>
    <col min="6402" max="6402" width="11.28515625" style="494" customWidth="1"/>
    <col min="6403" max="6403" width="11" style="494" customWidth="1"/>
    <col min="6404" max="6404" width="13.140625" style="494" customWidth="1"/>
    <col min="6405" max="6405" width="11.7109375" style="494" customWidth="1"/>
    <col min="6406" max="6406" width="11.140625" style="494" customWidth="1"/>
    <col min="6407" max="6407" width="11.7109375" style="494" customWidth="1"/>
    <col min="6408" max="6653" width="9.140625" style="494"/>
    <col min="6654" max="6654" width="5.28515625" style="494" customWidth="1"/>
    <col min="6655" max="6655" width="8" style="494" customWidth="1"/>
    <col min="6656" max="6656" width="5.85546875" style="494" customWidth="1"/>
    <col min="6657" max="6657" width="9.42578125" style="494" customWidth="1"/>
    <col min="6658" max="6658" width="11.28515625" style="494" customWidth="1"/>
    <col min="6659" max="6659" width="11" style="494" customWidth="1"/>
    <col min="6660" max="6660" width="13.140625" style="494" customWidth="1"/>
    <col min="6661" max="6661" width="11.7109375" style="494" customWidth="1"/>
    <col min="6662" max="6662" width="11.140625" style="494" customWidth="1"/>
    <col min="6663" max="6663" width="11.7109375" style="494" customWidth="1"/>
    <col min="6664" max="6909" width="9.140625" style="494"/>
    <col min="6910" max="6910" width="5.28515625" style="494" customWidth="1"/>
    <col min="6911" max="6911" width="8" style="494" customWidth="1"/>
    <col min="6912" max="6912" width="5.85546875" style="494" customWidth="1"/>
    <col min="6913" max="6913" width="9.42578125" style="494" customWidth="1"/>
    <col min="6914" max="6914" width="11.28515625" style="494" customWidth="1"/>
    <col min="6915" max="6915" width="11" style="494" customWidth="1"/>
    <col min="6916" max="6916" width="13.140625" style="494" customWidth="1"/>
    <col min="6917" max="6917" width="11.7109375" style="494" customWidth="1"/>
    <col min="6918" max="6918" width="11.140625" style="494" customWidth="1"/>
    <col min="6919" max="6919" width="11.7109375" style="494" customWidth="1"/>
    <col min="6920" max="7165" width="9.140625" style="494"/>
    <col min="7166" max="7166" width="5.28515625" style="494" customWidth="1"/>
    <col min="7167" max="7167" width="8" style="494" customWidth="1"/>
    <col min="7168" max="7168" width="5.85546875" style="494" customWidth="1"/>
    <col min="7169" max="7169" width="9.42578125" style="494" customWidth="1"/>
    <col min="7170" max="7170" width="11.28515625" style="494" customWidth="1"/>
    <col min="7171" max="7171" width="11" style="494" customWidth="1"/>
    <col min="7172" max="7172" width="13.140625" style="494" customWidth="1"/>
    <col min="7173" max="7173" width="11.7109375" style="494" customWidth="1"/>
    <col min="7174" max="7174" width="11.140625" style="494" customWidth="1"/>
    <col min="7175" max="7175" width="11.7109375" style="494" customWidth="1"/>
    <col min="7176" max="7421" width="9.140625" style="494"/>
    <col min="7422" max="7422" width="5.28515625" style="494" customWidth="1"/>
    <col min="7423" max="7423" width="8" style="494" customWidth="1"/>
    <col min="7424" max="7424" width="5.85546875" style="494" customWidth="1"/>
    <col min="7425" max="7425" width="9.42578125" style="494" customWidth="1"/>
    <col min="7426" max="7426" width="11.28515625" style="494" customWidth="1"/>
    <col min="7427" max="7427" width="11" style="494" customWidth="1"/>
    <col min="7428" max="7428" width="13.140625" style="494" customWidth="1"/>
    <col min="7429" max="7429" width="11.7109375" style="494" customWidth="1"/>
    <col min="7430" max="7430" width="11.140625" style="494" customWidth="1"/>
    <col min="7431" max="7431" width="11.7109375" style="494" customWidth="1"/>
    <col min="7432" max="7677" width="9.140625" style="494"/>
    <col min="7678" max="7678" width="5.28515625" style="494" customWidth="1"/>
    <col min="7679" max="7679" width="8" style="494" customWidth="1"/>
    <col min="7680" max="7680" width="5.85546875" style="494" customWidth="1"/>
    <col min="7681" max="7681" width="9.42578125" style="494" customWidth="1"/>
    <col min="7682" max="7682" width="11.28515625" style="494" customWidth="1"/>
    <col min="7683" max="7683" width="11" style="494" customWidth="1"/>
    <col min="7684" max="7684" width="13.140625" style="494" customWidth="1"/>
    <col min="7685" max="7685" width="11.7109375" style="494" customWidth="1"/>
    <col min="7686" max="7686" width="11.140625" style="494" customWidth="1"/>
    <col min="7687" max="7687" width="11.7109375" style="494" customWidth="1"/>
    <col min="7688" max="7933" width="9.140625" style="494"/>
    <col min="7934" max="7934" width="5.28515625" style="494" customWidth="1"/>
    <col min="7935" max="7935" width="8" style="494" customWidth="1"/>
    <col min="7936" max="7936" width="5.85546875" style="494" customWidth="1"/>
    <col min="7937" max="7937" width="9.42578125" style="494" customWidth="1"/>
    <col min="7938" max="7938" width="11.28515625" style="494" customWidth="1"/>
    <col min="7939" max="7939" width="11" style="494" customWidth="1"/>
    <col min="7940" max="7940" width="13.140625" style="494" customWidth="1"/>
    <col min="7941" max="7941" width="11.7109375" style="494" customWidth="1"/>
    <col min="7942" max="7942" width="11.140625" style="494" customWidth="1"/>
    <col min="7943" max="7943" width="11.7109375" style="494" customWidth="1"/>
    <col min="7944" max="8189" width="9.140625" style="494"/>
    <col min="8190" max="8190" width="5.28515625" style="494" customWidth="1"/>
    <col min="8191" max="8191" width="8" style="494" customWidth="1"/>
    <col min="8192" max="8192" width="5.85546875" style="494" customWidth="1"/>
    <col min="8193" max="8193" width="9.42578125" style="494" customWidth="1"/>
    <col min="8194" max="8194" width="11.28515625" style="494" customWidth="1"/>
    <col min="8195" max="8195" width="11" style="494" customWidth="1"/>
    <col min="8196" max="8196" width="13.140625" style="494" customWidth="1"/>
    <col min="8197" max="8197" width="11.7109375" style="494" customWidth="1"/>
    <col min="8198" max="8198" width="11.140625" style="494" customWidth="1"/>
    <col min="8199" max="8199" width="11.7109375" style="494" customWidth="1"/>
    <col min="8200" max="8445" width="9.140625" style="494"/>
    <col min="8446" max="8446" width="5.28515625" style="494" customWidth="1"/>
    <col min="8447" max="8447" width="8" style="494" customWidth="1"/>
    <col min="8448" max="8448" width="5.85546875" style="494" customWidth="1"/>
    <col min="8449" max="8449" width="9.42578125" style="494" customWidth="1"/>
    <col min="8450" max="8450" width="11.28515625" style="494" customWidth="1"/>
    <col min="8451" max="8451" width="11" style="494" customWidth="1"/>
    <col min="8452" max="8452" width="13.140625" style="494" customWidth="1"/>
    <col min="8453" max="8453" width="11.7109375" style="494" customWidth="1"/>
    <col min="8454" max="8454" width="11.140625" style="494" customWidth="1"/>
    <col min="8455" max="8455" width="11.7109375" style="494" customWidth="1"/>
    <col min="8456" max="8701" width="9.140625" style="494"/>
    <col min="8702" max="8702" width="5.28515625" style="494" customWidth="1"/>
    <col min="8703" max="8703" width="8" style="494" customWidth="1"/>
    <col min="8704" max="8704" width="5.85546875" style="494" customWidth="1"/>
    <col min="8705" max="8705" width="9.42578125" style="494" customWidth="1"/>
    <col min="8706" max="8706" width="11.28515625" style="494" customWidth="1"/>
    <col min="8707" max="8707" width="11" style="494" customWidth="1"/>
    <col min="8708" max="8708" width="13.140625" style="494" customWidth="1"/>
    <col min="8709" max="8709" width="11.7109375" style="494" customWidth="1"/>
    <col min="8710" max="8710" width="11.140625" style="494" customWidth="1"/>
    <col min="8711" max="8711" width="11.7109375" style="494" customWidth="1"/>
    <col min="8712" max="8957" width="9.140625" style="494"/>
    <col min="8958" max="8958" width="5.28515625" style="494" customWidth="1"/>
    <col min="8959" max="8959" width="8" style="494" customWidth="1"/>
    <col min="8960" max="8960" width="5.85546875" style="494" customWidth="1"/>
    <col min="8961" max="8961" width="9.42578125" style="494" customWidth="1"/>
    <col min="8962" max="8962" width="11.28515625" style="494" customWidth="1"/>
    <col min="8963" max="8963" width="11" style="494" customWidth="1"/>
    <col min="8964" max="8964" width="13.140625" style="494" customWidth="1"/>
    <col min="8965" max="8965" width="11.7109375" style="494" customWidth="1"/>
    <col min="8966" max="8966" width="11.140625" style="494" customWidth="1"/>
    <col min="8967" max="8967" width="11.7109375" style="494" customWidth="1"/>
    <col min="8968" max="9213" width="9.140625" style="494"/>
    <col min="9214" max="9214" width="5.28515625" style="494" customWidth="1"/>
    <col min="9215" max="9215" width="8" style="494" customWidth="1"/>
    <col min="9216" max="9216" width="5.85546875" style="494" customWidth="1"/>
    <col min="9217" max="9217" width="9.42578125" style="494" customWidth="1"/>
    <col min="9218" max="9218" width="11.28515625" style="494" customWidth="1"/>
    <col min="9219" max="9219" width="11" style="494" customWidth="1"/>
    <col min="9220" max="9220" width="13.140625" style="494" customWidth="1"/>
    <col min="9221" max="9221" width="11.7109375" style="494" customWidth="1"/>
    <col min="9222" max="9222" width="11.140625" style="494" customWidth="1"/>
    <col min="9223" max="9223" width="11.7109375" style="494" customWidth="1"/>
    <col min="9224" max="9469" width="9.140625" style="494"/>
    <col min="9470" max="9470" width="5.28515625" style="494" customWidth="1"/>
    <col min="9471" max="9471" width="8" style="494" customWidth="1"/>
    <col min="9472" max="9472" width="5.85546875" style="494" customWidth="1"/>
    <col min="9473" max="9473" width="9.42578125" style="494" customWidth="1"/>
    <col min="9474" max="9474" width="11.28515625" style="494" customWidth="1"/>
    <col min="9475" max="9475" width="11" style="494" customWidth="1"/>
    <col min="9476" max="9476" width="13.140625" style="494" customWidth="1"/>
    <col min="9477" max="9477" width="11.7109375" style="494" customWidth="1"/>
    <col min="9478" max="9478" width="11.140625" style="494" customWidth="1"/>
    <col min="9479" max="9479" width="11.7109375" style="494" customWidth="1"/>
    <col min="9480" max="9725" width="9.140625" style="494"/>
    <col min="9726" max="9726" width="5.28515625" style="494" customWidth="1"/>
    <col min="9727" max="9727" width="8" style="494" customWidth="1"/>
    <col min="9728" max="9728" width="5.85546875" style="494" customWidth="1"/>
    <col min="9729" max="9729" width="9.42578125" style="494" customWidth="1"/>
    <col min="9730" max="9730" width="11.28515625" style="494" customWidth="1"/>
    <col min="9731" max="9731" width="11" style="494" customWidth="1"/>
    <col min="9732" max="9732" width="13.140625" style="494" customWidth="1"/>
    <col min="9733" max="9733" width="11.7109375" style="494" customWidth="1"/>
    <col min="9734" max="9734" width="11.140625" style="494" customWidth="1"/>
    <col min="9735" max="9735" width="11.7109375" style="494" customWidth="1"/>
    <col min="9736" max="9981" width="9.140625" style="494"/>
    <col min="9982" max="9982" width="5.28515625" style="494" customWidth="1"/>
    <col min="9983" max="9983" width="8" style="494" customWidth="1"/>
    <col min="9984" max="9984" width="5.85546875" style="494" customWidth="1"/>
    <col min="9985" max="9985" width="9.42578125" style="494" customWidth="1"/>
    <col min="9986" max="9986" width="11.28515625" style="494" customWidth="1"/>
    <col min="9987" max="9987" width="11" style="494" customWidth="1"/>
    <col min="9988" max="9988" width="13.140625" style="494" customWidth="1"/>
    <col min="9989" max="9989" width="11.7109375" style="494" customWidth="1"/>
    <col min="9990" max="9990" width="11.140625" style="494" customWidth="1"/>
    <col min="9991" max="9991" width="11.7109375" style="494" customWidth="1"/>
    <col min="9992" max="10237" width="9.140625" style="494"/>
    <col min="10238" max="10238" width="5.28515625" style="494" customWidth="1"/>
    <col min="10239" max="10239" width="8" style="494" customWidth="1"/>
    <col min="10240" max="10240" width="5.85546875" style="494" customWidth="1"/>
    <col min="10241" max="10241" width="9.42578125" style="494" customWidth="1"/>
    <col min="10242" max="10242" width="11.28515625" style="494" customWidth="1"/>
    <col min="10243" max="10243" width="11" style="494" customWidth="1"/>
    <col min="10244" max="10244" width="13.140625" style="494" customWidth="1"/>
    <col min="10245" max="10245" width="11.7109375" style="494" customWidth="1"/>
    <col min="10246" max="10246" width="11.140625" style="494" customWidth="1"/>
    <col min="10247" max="10247" width="11.7109375" style="494" customWidth="1"/>
    <col min="10248" max="10493" width="9.140625" style="494"/>
    <col min="10494" max="10494" width="5.28515625" style="494" customWidth="1"/>
    <col min="10495" max="10495" width="8" style="494" customWidth="1"/>
    <col min="10496" max="10496" width="5.85546875" style="494" customWidth="1"/>
    <col min="10497" max="10497" width="9.42578125" style="494" customWidth="1"/>
    <col min="10498" max="10498" width="11.28515625" style="494" customWidth="1"/>
    <col min="10499" max="10499" width="11" style="494" customWidth="1"/>
    <col min="10500" max="10500" width="13.140625" style="494" customWidth="1"/>
    <col min="10501" max="10501" width="11.7109375" style="494" customWidth="1"/>
    <col min="10502" max="10502" width="11.140625" style="494" customWidth="1"/>
    <col min="10503" max="10503" width="11.7109375" style="494" customWidth="1"/>
    <col min="10504" max="10749" width="9.140625" style="494"/>
    <col min="10750" max="10750" width="5.28515625" style="494" customWidth="1"/>
    <col min="10751" max="10751" width="8" style="494" customWidth="1"/>
    <col min="10752" max="10752" width="5.85546875" style="494" customWidth="1"/>
    <col min="10753" max="10753" width="9.42578125" style="494" customWidth="1"/>
    <col min="10754" max="10754" width="11.28515625" style="494" customWidth="1"/>
    <col min="10755" max="10755" width="11" style="494" customWidth="1"/>
    <col min="10756" max="10756" width="13.140625" style="494" customWidth="1"/>
    <col min="10757" max="10757" width="11.7109375" style="494" customWidth="1"/>
    <col min="10758" max="10758" width="11.140625" style="494" customWidth="1"/>
    <col min="10759" max="10759" width="11.7109375" style="494" customWidth="1"/>
    <col min="10760" max="11005" width="9.140625" style="494"/>
    <col min="11006" max="11006" width="5.28515625" style="494" customWidth="1"/>
    <col min="11007" max="11007" width="8" style="494" customWidth="1"/>
    <col min="11008" max="11008" width="5.85546875" style="494" customWidth="1"/>
    <col min="11009" max="11009" width="9.42578125" style="494" customWidth="1"/>
    <col min="11010" max="11010" width="11.28515625" style="494" customWidth="1"/>
    <col min="11011" max="11011" width="11" style="494" customWidth="1"/>
    <col min="11012" max="11012" width="13.140625" style="494" customWidth="1"/>
    <col min="11013" max="11013" width="11.7109375" style="494" customWidth="1"/>
    <col min="11014" max="11014" width="11.140625" style="494" customWidth="1"/>
    <col min="11015" max="11015" width="11.7109375" style="494" customWidth="1"/>
    <col min="11016" max="11261" width="9.140625" style="494"/>
    <col min="11262" max="11262" width="5.28515625" style="494" customWidth="1"/>
    <col min="11263" max="11263" width="8" style="494" customWidth="1"/>
    <col min="11264" max="11264" width="5.85546875" style="494" customWidth="1"/>
    <col min="11265" max="11265" width="9.42578125" style="494" customWidth="1"/>
    <col min="11266" max="11266" width="11.28515625" style="494" customWidth="1"/>
    <col min="11267" max="11267" width="11" style="494" customWidth="1"/>
    <col min="11268" max="11268" width="13.140625" style="494" customWidth="1"/>
    <col min="11269" max="11269" width="11.7109375" style="494" customWidth="1"/>
    <col min="11270" max="11270" width="11.140625" style="494" customWidth="1"/>
    <col min="11271" max="11271" width="11.7109375" style="494" customWidth="1"/>
    <col min="11272" max="11517" width="9.140625" style="494"/>
    <col min="11518" max="11518" width="5.28515625" style="494" customWidth="1"/>
    <col min="11519" max="11519" width="8" style="494" customWidth="1"/>
    <col min="11520" max="11520" width="5.85546875" style="494" customWidth="1"/>
    <col min="11521" max="11521" width="9.42578125" style="494" customWidth="1"/>
    <col min="11522" max="11522" width="11.28515625" style="494" customWidth="1"/>
    <col min="11523" max="11523" width="11" style="494" customWidth="1"/>
    <col min="11524" max="11524" width="13.140625" style="494" customWidth="1"/>
    <col min="11525" max="11525" width="11.7109375" style="494" customWidth="1"/>
    <col min="11526" max="11526" width="11.140625" style="494" customWidth="1"/>
    <col min="11527" max="11527" width="11.7109375" style="494" customWidth="1"/>
    <col min="11528" max="11773" width="9.140625" style="494"/>
    <col min="11774" max="11774" width="5.28515625" style="494" customWidth="1"/>
    <col min="11775" max="11775" width="8" style="494" customWidth="1"/>
    <col min="11776" max="11776" width="5.85546875" style="494" customWidth="1"/>
    <col min="11777" max="11777" width="9.42578125" style="494" customWidth="1"/>
    <col min="11778" max="11778" width="11.28515625" style="494" customWidth="1"/>
    <col min="11779" max="11779" width="11" style="494" customWidth="1"/>
    <col min="11780" max="11780" width="13.140625" style="494" customWidth="1"/>
    <col min="11781" max="11781" width="11.7109375" style="494" customWidth="1"/>
    <col min="11782" max="11782" width="11.140625" style="494" customWidth="1"/>
    <col min="11783" max="11783" width="11.7109375" style="494" customWidth="1"/>
    <col min="11784" max="12029" width="9.140625" style="494"/>
    <col min="12030" max="12030" width="5.28515625" style="494" customWidth="1"/>
    <col min="12031" max="12031" width="8" style="494" customWidth="1"/>
    <col min="12032" max="12032" width="5.85546875" style="494" customWidth="1"/>
    <col min="12033" max="12033" width="9.42578125" style="494" customWidth="1"/>
    <col min="12034" max="12034" width="11.28515625" style="494" customWidth="1"/>
    <col min="12035" max="12035" width="11" style="494" customWidth="1"/>
    <col min="12036" max="12036" width="13.140625" style="494" customWidth="1"/>
    <col min="12037" max="12037" width="11.7109375" style="494" customWidth="1"/>
    <col min="12038" max="12038" width="11.140625" style="494" customWidth="1"/>
    <col min="12039" max="12039" width="11.7109375" style="494" customWidth="1"/>
    <col min="12040" max="12285" width="9.140625" style="494"/>
    <col min="12286" max="12286" width="5.28515625" style="494" customWidth="1"/>
    <col min="12287" max="12287" width="8" style="494" customWidth="1"/>
    <col min="12288" max="12288" width="5.85546875" style="494" customWidth="1"/>
    <col min="12289" max="12289" width="9.42578125" style="494" customWidth="1"/>
    <col min="12290" max="12290" width="11.28515625" style="494" customWidth="1"/>
    <col min="12291" max="12291" width="11" style="494" customWidth="1"/>
    <col min="12292" max="12292" width="13.140625" style="494" customWidth="1"/>
    <col min="12293" max="12293" width="11.7109375" style="494" customWidth="1"/>
    <col min="12294" max="12294" width="11.140625" style="494" customWidth="1"/>
    <col min="12295" max="12295" width="11.7109375" style="494" customWidth="1"/>
    <col min="12296" max="12541" width="9.140625" style="494"/>
    <col min="12542" max="12542" width="5.28515625" style="494" customWidth="1"/>
    <col min="12543" max="12543" width="8" style="494" customWidth="1"/>
    <col min="12544" max="12544" width="5.85546875" style="494" customWidth="1"/>
    <col min="12545" max="12545" width="9.42578125" style="494" customWidth="1"/>
    <col min="12546" max="12546" width="11.28515625" style="494" customWidth="1"/>
    <col min="12547" max="12547" width="11" style="494" customWidth="1"/>
    <col min="12548" max="12548" width="13.140625" style="494" customWidth="1"/>
    <col min="12549" max="12549" width="11.7109375" style="494" customWidth="1"/>
    <col min="12550" max="12550" width="11.140625" style="494" customWidth="1"/>
    <col min="12551" max="12551" width="11.7109375" style="494" customWidth="1"/>
    <col min="12552" max="12797" width="9.140625" style="494"/>
    <col min="12798" max="12798" width="5.28515625" style="494" customWidth="1"/>
    <col min="12799" max="12799" width="8" style="494" customWidth="1"/>
    <col min="12800" max="12800" width="5.85546875" style="494" customWidth="1"/>
    <col min="12801" max="12801" width="9.42578125" style="494" customWidth="1"/>
    <col min="12802" max="12802" width="11.28515625" style="494" customWidth="1"/>
    <col min="12803" max="12803" width="11" style="494" customWidth="1"/>
    <col min="12804" max="12804" width="13.140625" style="494" customWidth="1"/>
    <col min="12805" max="12805" width="11.7109375" style="494" customWidth="1"/>
    <col min="12806" max="12806" width="11.140625" style="494" customWidth="1"/>
    <col min="12807" max="12807" width="11.7109375" style="494" customWidth="1"/>
    <col min="12808" max="13053" width="9.140625" style="494"/>
    <col min="13054" max="13054" width="5.28515625" style="494" customWidth="1"/>
    <col min="13055" max="13055" width="8" style="494" customWidth="1"/>
    <col min="13056" max="13056" width="5.85546875" style="494" customWidth="1"/>
    <col min="13057" max="13057" width="9.42578125" style="494" customWidth="1"/>
    <col min="13058" max="13058" width="11.28515625" style="494" customWidth="1"/>
    <col min="13059" max="13059" width="11" style="494" customWidth="1"/>
    <col min="13060" max="13060" width="13.140625" style="494" customWidth="1"/>
    <col min="13061" max="13061" width="11.7109375" style="494" customWidth="1"/>
    <col min="13062" max="13062" width="11.140625" style="494" customWidth="1"/>
    <col min="13063" max="13063" width="11.7109375" style="494" customWidth="1"/>
    <col min="13064" max="13309" width="9.140625" style="494"/>
    <col min="13310" max="13310" width="5.28515625" style="494" customWidth="1"/>
    <col min="13311" max="13311" width="8" style="494" customWidth="1"/>
    <col min="13312" max="13312" width="5.85546875" style="494" customWidth="1"/>
    <col min="13313" max="13313" width="9.42578125" style="494" customWidth="1"/>
    <col min="13314" max="13314" width="11.28515625" style="494" customWidth="1"/>
    <col min="13315" max="13315" width="11" style="494" customWidth="1"/>
    <col min="13316" max="13316" width="13.140625" style="494" customWidth="1"/>
    <col min="13317" max="13317" width="11.7109375" style="494" customWidth="1"/>
    <col min="13318" max="13318" width="11.140625" style="494" customWidth="1"/>
    <col min="13319" max="13319" width="11.7109375" style="494" customWidth="1"/>
    <col min="13320" max="13565" width="9.140625" style="494"/>
    <col min="13566" max="13566" width="5.28515625" style="494" customWidth="1"/>
    <col min="13567" max="13567" width="8" style="494" customWidth="1"/>
    <col min="13568" max="13568" width="5.85546875" style="494" customWidth="1"/>
    <col min="13569" max="13569" width="9.42578125" style="494" customWidth="1"/>
    <col min="13570" max="13570" width="11.28515625" style="494" customWidth="1"/>
    <col min="13571" max="13571" width="11" style="494" customWidth="1"/>
    <col min="13572" max="13572" width="13.140625" style="494" customWidth="1"/>
    <col min="13573" max="13573" width="11.7109375" style="494" customWidth="1"/>
    <col min="13574" max="13574" width="11.140625" style="494" customWidth="1"/>
    <col min="13575" max="13575" width="11.7109375" style="494" customWidth="1"/>
    <col min="13576" max="13821" width="9.140625" style="494"/>
    <col min="13822" max="13822" width="5.28515625" style="494" customWidth="1"/>
    <col min="13823" max="13823" width="8" style="494" customWidth="1"/>
    <col min="13824" max="13824" width="5.85546875" style="494" customWidth="1"/>
    <col min="13825" max="13825" width="9.42578125" style="494" customWidth="1"/>
    <col min="13826" max="13826" width="11.28515625" style="494" customWidth="1"/>
    <col min="13827" max="13827" width="11" style="494" customWidth="1"/>
    <col min="13828" max="13828" width="13.140625" style="494" customWidth="1"/>
    <col min="13829" max="13829" width="11.7109375" style="494" customWidth="1"/>
    <col min="13830" max="13830" width="11.140625" style="494" customWidth="1"/>
    <col min="13831" max="13831" width="11.7109375" style="494" customWidth="1"/>
    <col min="13832" max="14077" width="9.140625" style="494"/>
    <col min="14078" max="14078" width="5.28515625" style="494" customWidth="1"/>
    <col min="14079" max="14079" width="8" style="494" customWidth="1"/>
    <col min="14080" max="14080" width="5.85546875" style="494" customWidth="1"/>
    <col min="14081" max="14081" width="9.42578125" style="494" customWidth="1"/>
    <col min="14082" max="14082" width="11.28515625" style="494" customWidth="1"/>
    <col min="14083" max="14083" width="11" style="494" customWidth="1"/>
    <col min="14084" max="14084" width="13.140625" style="494" customWidth="1"/>
    <col min="14085" max="14085" width="11.7109375" style="494" customWidth="1"/>
    <col min="14086" max="14086" width="11.140625" style="494" customWidth="1"/>
    <col min="14087" max="14087" width="11.7109375" style="494" customWidth="1"/>
    <col min="14088" max="14333" width="9.140625" style="494"/>
    <col min="14334" max="14334" width="5.28515625" style="494" customWidth="1"/>
    <col min="14335" max="14335" width="8" style="494" customWidth="1"/>
    <col min="14336" max="14336" width="5.85546875" style="494" customWidth="1"/>
    <col min="14337" max="14337" width="9.42578125" style="494" customWidth="1"/>
    <col min="14338" max="14338" width="11.28515625" style="494" customWidth="1"/>
    <col min="14339" max="14339" width="11" style="494" customWidth="1"/>
    <col min="14340" max="14340" width="13.140625" style="494" customWidth="1"/>
    <col min="14341" max="14341" width="11.7109375" style="494" customWidth="1"/>
    <col min="14342" max="14342" width="11.140625" style="494" customWidth="1"/>
    <col min="14343" max="14343" width="11.7109375" style="494" customWidth="1"/>
    <col min="14344" max="14589" width="9.140625" style="494"/>
    <col min="14590" max="14590" width="5.28515625" style="494" customWidth="1"/>
    <col min="14591" max="14591" width="8" style="494" customWidth="1"/>
    <col min="14592" max="14592" width="5.85546875" style="494" customWidth="1"/>
    <col min="14593" max="14593" width="9.42578125" style="494" customWidth="1"/>
    <col min="14594" max="14594" width="11.28515625" style="494" customWidth="1"/>
    <col min="14595" max="14595" width="11" style="494" customWidth="1"/>
    <col min="14596" max="14596" width="13.140625" style="494" customWidth="1"/>
    <col min="14597" max="14597" width="11.7109375" style="494" customWidth="1"/>
    <col min="14598" max="14598" width="11.140625" style="494" customWidth="1"/>
    <col min="14599" max="14599" width="11.7109375" style="494" customWidth="1"/>
    <col min="14600" max="14845" width="9.140625" style="494"/>
    <col min="14846" max="14846" width="5.28515625" style="494" customWidth="1"/>
    <col min="14847" max="14847" width="8" style="494" customWidth="1"/>
    <col min="14848" max="14848" width="5.85546875" style="494" customWidth="1"/>
    <col min="14849" max="14849" width="9.42578125" style="494" customWidth="1"/>
    <col min="14850" max="14850" width="11.28515625" style="494" customWidth="1"/>
    <col min="14851" max="14851" width="11" style="494" customWidth="1"/>
    <col min="14852" max="14852" width="13.140625" style="494" customWidth="1"/>
    <col min="14853" max="14853" width="11.7109375" style="494" customWidth="1"/>
    <col min="14854" max="14854" width="11.140625" style="494" customWidth="1"/>
    <col min="14855" max="14855" width="11.7109375" style="494" customWidth="1"/>
    <col min="14856" max="15101" width="9.140625" style="494"/>
    <col min="15102" max="15102" width="5.28515625" style="494" customWidth="1"/>
    <col min="15103" max="15103" width="8" style="494" customWidth="1"/>
    <col min="15104" max="15104" width="5.85546875" style="494" customWidth="1"/>
    <col min="15105" max="15105" width="9.42578125" style="494" customWidth="1"/>
    <col min="15106" max="15106" width="11.28515625" style="494" customWidth="1"/>
    <col min="15107" max="15107" width="11" style="494" customWidth="1"/>
    <col min="15108" max="15108" width="13.140625" style="494" customWidth="1"/>
    <col min="15109" max="15109" width="11.7109375" style="494" customWidth="1"/>
    <col min="15110" max="15110" width="11.140625" style="494" customWidth="1"/>
    <col min="15111" max="15111" width="11.7109375" style="494" customWidth="1"/>
    <col min="15112" max="15357" width="9.140625" style="494"/>
    <col min="15358" max="15358" width="5.28515625" style="494" customWidth="1"/>
    <col min="15359" max="15359" width="8" style="494" customWidth="1"/>
    <col min="15360" max="15360" width="5.85546875" style="494" customWidth="1"/>
    <col min="15361" max="15361" width="9.42578125" style="494" customWidth="1"/>
    <col min="15362" max="15362" width="11.28515625" style="494" customWidth="1"/>
    <col min="15363" max="15363" width="11" style="494" customWidth="1"/>
    <col min="15364" max="15364" width="13.140625" style="494" customWidth="1"/>
    <col min="15365" max="15365" width="11.7109375" style="494" customWidth="1"/>
    <col min="15366" max="15366" width="11.140625" style="494" customWidth="1"/>
    <col min="15367" max="15367" width="11.7109375" style="494" customWidth="1"/>
    <col min="15368" max="15613" width="9.140625" style="494"/>
    <col min="15614" max="15614" width="5.28515625" style="494" customWidth="1"/>
    <col min="15615" max="15615" width="8" style="494" customWidth="1"/>
    <col min="15616" max="15616" width="5.85546875" style="494" customWidth="1"/>
    <col min="15617" max="15617" width="9.42578125" style="494" customWidth="1"/>
    <col min="15618" max="15618" width="11.28515625" style="494" customWidth="1"/>
    <col min="15619" max="15619" width="11" style="494" customWidth="1"/>
    <col min="15620" max="15620" width="13.140625" style="494" customWidth="1"/>
    <col min="15621" max="15621" width="11.7109375" style="494" customWidth="1"/>
    <col min="15622" max="15622" width="11.140625" style="494" customWidth="1"/>
    <col min="15623" max="15623" width="11.7109375" style="494" customWidth="1"/>
    <col min="15624" max="15869" width="9.140625" style="494"/>
    <col min="15870" max="15870" width="5.28515625" style="494" customWidth="1"/>
    <col min="15871" max="15871" width="8" style="494" customWidth="1"/>
    <col min="15872" max="15872" width="5.85546875" style="494" customWidth="1"/>
    <col min="15873" max="15873" width="9.42578125" style="494" customWidth="1"/>
    <col min="15874" max="15874" width="11.28515625" style="494" customWidth="1"/>
    <col min="15875" max="15875" width="11" style="494" customWidth="1"/>
    <col min="15876" max="15876" width="13.140625" style="494" customWidth="1"/>
    <col min="15877" max="15877" width="11.7109375" style="494" customWidth="1"/>
    <col min="15878" max="15878" width="11.140625" style="494" customWidth="1"/>
    <col min="15879" max="15879" width="11.7109375" style="494" customWidth="1"/>
    <col min="15880" max="16125" width="9.140625" style="494"/>
    <col min="16126" max="16126" width="5.28515625" style="494" customWidth="1"/>
    <col min="16127" max="16127" width="8" style="494" customWidth="1"/>
    <col min="16128" max="16128" width="5.85546875" style="494" customWidth="1"/>
    <col min="16129" max="16129" width="9.42578125" style="494" customWidth="1"/>
    <col min="16130" max="16130" width="11.28515625" style="494" customWidth="1"/>
    <col min="16131" max="16131" width="11" style="494" customWidth="1"/>
    <col min="16132" max="16132" width="13.140625" style="494" customWidth="1"/>
    <col min="16133" max="16133" width="11.7109375" style="494" customWidth="1"/>
    <col min="16134" max="16134" width="11.140625" style="494" customWidth="1"/>
    <col min="16135" max="16135" width="11.7109375" style="494" customWidth="1"/>
    <col min="16136" max="16384" width="9.140625" style="494"/>
  </cols>
  <sheetData>
    <row r="1" spans="1:72" ht="12.75" customHeight="1">
      <c r="A1" s="384"/>
      <c r="F1" s="12" t="s">
        <v>488</v>
      </c>
    </row>
    <row r="2" spans="1:72" ht="12.75" customHeight="1">
      <c r="F2" s="12" t="s">
        <v>347</v>
      </c>
    </row>
    <row r="3" spans="1:72" ht="12.75" customHeight="1">
      <c r="F3" s="10" t="s">
        <v>1</v>
      </c>
    </row>
    <row r="4" spans="1:72" ht="12.75" customHeight="1">
      <c r="F4" s="12" t="s">
        <v>348</v>
      </c>
    </row>
    <row r="5" spans="1:72" ht="12.75" customHeight="1"/>
    <row r="6" spans="1:72" ht="13.5" customHeight="1">
      <c r="A6" s="385" t="s">
        <v>99</v>
      </c>
      <c r="B6" s="385"/>
      <c r="C6" s="385"/>
      <c r="D6" s="385"/>
      <c r="E6" s="385"/>
      <c r="F6" s="385"/>
      <c r="G6" s="385"/>
      <c r="J6" s="10"/>
    </row>
    <row r="7" spans="1:72" ht="12.75" customHeight="1">
      <c r="A7" s="385" t="s">
        <v>100</v>
      </c>
      <c r="B7" s="386"/>
      <c r="C7" s="386"/>
      <c r="D7" s="386"/>
      <c r="E7" s="386"/>
      <c r="F7" s="386"/>
      <c r="G7" s="386"/>
      <c r="J7" s="10"/>
    </row>
    <row r="8" spans="1:72" ht="9" customHeight="1">
      <c r="A8" s="387"/>
      <c r="B8" s="388"/>
      <c r="C8" s="388"/>
      <c r="D8" s="388"/>
      <c r="E8" s="388"/>
      <c r="F8" s="388"/>
      <c r="G8" s="388"/>
      <c r="J8" s="10"/>
    </row>
    <row r="9" spans="1:72" ht="11.25" customHeight="1">
      <c r="G9" s="389" t="s">
        <v>3</v>
      </c>
    </row>
    <row r="10" spans="1:72" s="393" customFormat="1" ht="36.75" customHeight="1">
      <c r="A10" s="390" t="s">
        <v>101</v>
      </c>
      <c r="B10" s="390" t="s">
        <v>102</v>
      </c>
      <c r="C10" s="390" t="s">
        <v>103</v>
      </c>
      <c r="D10" s="390" t="s">
        <v>104</v>
      </c>
      <c r="E10" s="391" t="s">
        <v>7</v>
      </c>
      <c r="F10" s="391" t="s">
        <v>105</v>
      </c>
      <c r="G10" s="391" t="s">
        <v>106</v>
      </c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2"/>
      <c r="V10" s="392"/>
      <c r="W10" s="392"/>
      <c r="X10" s="392"/>
      <c r="Y10" s="392"/>
      <c r="Z10" s="392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392"/>
    </row>
    <row r="11" spans="1:72" s="396" customFormat="1" ht="10.5" customHeight="1">
      <c r="A11" s="394">
        <v>1</v>
      </c>
      <c r="B11" s="394">
        <v>2</v>
      </c>
      <c r="C11" s="394">
        <v>3</v>
      </c>
      <c r="D11" s="394">
        <v>4</v>
      </c>
      <c r="E11" s="394">
        <v>5</v>
      </c>
      <c r="F11" s="394">
        <v>6</v>
      </c>
      <c r="G11" s="394">
        <v>7</v>
      </c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/>
      <c r="Y11" s="395"/>
      <c r="Z11" s="395"/>
      <c r="AA11" s="395"/>
      <c r="AB11" s="395"/>
      <c r="AC11" s="395"/>
      <c r="AD11" s="395"/>
      <c r="AE11" s="395"/>
      <c r="AF11" s="395"/>
      <c r="AG11" s="395"/>
      <c r="AH11" s="395"/>
      <c r="AI11" s="395"/>
      <c r="AJ11" s="395"/>
      <c r="AK11" s="395"/>
      <c r="AL11" s="395"/>
      <c r="AM11" s="395"/>
      <c r="AN11" s="395"/>
      <c r="AO11" s="395"/>
      <c r="AP11" s="395"/>
      <c r="AQ11" s="395"/>
      <c r="AR11" s="395"/>
      <c r="AS11" s="395"/>
      <c r="AT11" s="395"/>
      <c r="AU11" s="395"/>
      <c r="AV11" s="395"/>
      <c r="AW11" s="395"/>
      <c r="AX11" s="395"/>
      <c r="AY11" s="395"/>
      <c r="AZ11" s="395"/>
      <c r="BA11" s="395"/>
      <c r="BB11" s="395"/>
      <c r="BC11" s="395"/>
      <c r="BD11" s="395"/>
      <c r="BE11" s="395"/>
      <c r="BF11" s="395"/>
      <c r="BG11" s="395"/>
      <c r="BH11" s="395"/>
      <c r="BI11" s="395"/>
      <c r="BJ11" s="395"/>
      <c r="BK11" s="395"/>
      <c r="BL11" s="395"/>
      <c r="BM11" s="395"/>
      <c r="BN11" s="395"/>
      <c r="BO11" s="395"/>
      <c r="BP11" s="395"/>
      <c r="BQ11" s="395"/>
      <c r="BR11" s="395"/>
      <c r="BS11" s="395"/>
      <c r="BT11" s="395"/>
    </row>
    <row r="12" spans="1:72" s="514" customFormat="1" ht="15.75" customHeight="1">
      <c r="A12" s="397"/>
      <c r="B12" s="398"/>
      <c r="C12" s="399"/>
      <c r="D12" s="399"/>
      <c r="E12" s="400" t="s">
        <v>107</v>
      </c>
      <c r="F12" s="401">
        <f>2500+686+633+456+683+287+197+300+600+700+2312</f>
        <v>9354</v>
      </c>
      <c r="G12" s="402" t="s">
        <v>98</v>
      </c>
      <c r="H12" s="448"/>
      <c r="I12" s="448"/>
      <c r="J12" s="448"/>
      <c r="K12" s="448"/>
      <c r="L12" s="448"/>
      <c r="M12" s="448"/>
      <c r="N12" s="448"/>
      <c r="O12" s="448"/>
      <c r="P12" s="448"/>
      <c r="Q12" s="448"/>
      <c r="R12" s="448"/>
      <c r="S12" s="448"/>
      <c r="T12" s="448"/>
      <c r="U12" s="448"/>
      <c r="V12" s="448"/>
      <c r="W12" s="448"/>
      <c r="X12" s="448"/>
      <c r="Y12" s="448"/>
      <c r="Z12" s="448"/>
      <c r="AA12" s="448"/>
      <c r="AB12" s="448"/>
      <c r="AC12" s="448"/>
      <c r="AD12" s="448"/>
      <c r="AE12" s="448"/>
      <c r="AF12" s="448"/>
      <c r="AG12" s="448"/>
      <c r="AH12" s="448"/>
      <c r="AI12" s="448"/>
      <c r="AJ12" s="448"/>
      <c r="AK12" s="448"/>
      <c r="AL12" s="448"/>
      <c r="AM12" s="448"/>
      <c r="AN12" s="448"/>
      <c r="AO12" s="448"/>
      <c r="AP12" s="448"/>
      <c r="AQ12" s="448"/>
      <c r="AR12" s="448"/>
      <c r="AS12" s="448"/>
      <c r="AT12" s="448"/>
      <c r="AU12" s="448"/>
      <c r="AV12" s="448"/>
      <c r="AW12" s="448"/>
      <c r="AX12" s="448"/>
      <c r="AY12" s="448"/>
      <c r="AZ12" s="448"/>
      <c r="BA12" s="448"/>
      <c r="BB12" s="448"/>
      <c r="BC12" s="448"/>
      <c r="BD12" s="448"/>
      <c r="BE12" s="448"/>
      <c r="BF12" s="448"/>
      <c r="BG12" s="448"/>
      <c r="BH12" s="448"/>
      <c r="BI12" s="448"/>
      <c r="BJ12" s="448"/>
      <c r="BK12" s="448"/>
      <c r="BL12" s="448"/>
      <c r="BM12" s="448"/>
      <c r="BN12" s="448"/>
      <c r="BO12" s="448"/>
      <c r="BP12" s="448"/>
      <c r="BQ12" s="448"/>
      <c r="BR12" s="448"/>
      <c r="BS12" s="448"/>
      <c r="BT12" s="448"/>
    </row>
    <row r="13" spans="1:72" s="514" customFormat="1" ht="24">
      <c r="A13" s="403" t="s">
        <v>108</v>
      </c>
      <c r="B13" s="404" t="s">
        <v>109</v>
      </c>
      <c r="C13" s="399" t="s">
        <v>69</v>
      </c>
      <c r="D13" s="399" t="s">
        <v>110</v>
      </c>
      <c r="E13" s="405" t="s">
        <v>98</v>
      </c>
      <c r="F13" s="406" t="s">
        <v>98</v>
      </c>
      <c r="G13" s="407">
        <f>SUM(G15)</f>
        <v>9354</v>
      </c>
      <c r="H13" s="448"/>
      <c r="I13" s="448"/>
      <c r="J13" s="448"/>
      <c r="K13" s="448"/>
      <c r="L13" s="448"/>
      <c r="M13" s="448"/>
      <c r="N13" s="448"/>
      <c r="O13" s="448"/>
      <c r="P13" s="448"/>
      <c r="Q13" s="448"/>
      <c r="R13" s="448"/>
      <c r="S13" s="448"/>
      <c r="T13" s="448"/>
      <c r="U13" s="448"/>
      <c r="V13" s="448"/>
      <c r="W13" s="448"/>
      <c r="X13" s="448"/>
      <c r="Y13" s="448"/>
      <c r="Z13" s="448"/>
      <c r="AA13" s="448"/>
      <c r="AB13" s="448"/>
      <c r="AC13" s="448"/>
      <c r="AD13" s="448"/>
      <c r="AE13" s="448"/>
      <c r="AF13" s="448"/>
      <c r="AG13" s="448"/>
      <c r="AH13" s="448"/>
      <c r="AI13" s="448"/>
      <c r="AJ13" s="448"/>
      <c r="AK13" s="448"/>
      <c r="AL13" s="448"/>
      <c r="AM13" s="448"/>
      <c r="AN13" s="448"/>
      <c r="AO13" s="448"/>
      <c r="AP13" s="448"/>
      <c r="AQ13" s="448"/>
      <c r="AR13" s="448"/>
      <c r="AS13" s="448"/>
      <c r="AT13" s="448"/>
      <c r="AU13" s="448"/>
      <c r="AV13" s="448"/>
      <c r="AW13" s="448"/>
      <c r="AX13" s="448"/>
      <c r="AY13" s="448"/>
      <c r="AZ13" s="448"/>
      <c r="BA13" s="448"/>
      <c r="BB13" s="448"/>
      <c r="BC13" s="448"/>
      <c r="BD13" s="448"/>
      <c r="BE13" s="448"/>
      <c r="BF13" s="448"/>
      <c r="BG13" s="448"/>
      <c r="BH13" s="448"/>
      <c r="BI13" s="448"/>
      <c r="BJ13" s="448"/>
      <c r="BK13" s="448"/>
      <c r="BL13" s="448"/>
      <c r="BM13" s="448"/>
      <c r="BN13" s="448"/>
      <c r="BO13" s="448"/>
      <c r="BP13" s="448"/>
      <c r="BQ13" s="448"/>
      <c r="BR13" s="448"/>
      <c r="BS13" s="448"/>
      <c r="BT13" s="448"/>
    </row>
    <row r="14" spans="1:72" s="514" customFormat="1" ht="9" customHeight="1">
      <c r="A14" s="397"/>
      <c r="B14" s="408"/>
      <c r="C14" s="399"/>
      <c r="D14" s="399"/>
      <c r="E14" s="399"/>
      <c r="F14" s="409"/>
      <c r="G14" s="515"/>
      <c r="H14" s="448"/>
      <c r="I14" s="448"/>
      <c r="J14" s="448"/>
      <c r="K14" s="448"/>
      <c r="L14" s="448"/>
      <c r="M14" s="448"/>
      <c r="N14" s="448"/>
      <c r="O14" s="448"/>
      <c r="P14" s="448"/>
      <c r="Q14" s="448"/>
      <c r="R14" s="448"/>
      <c r="S14" s="448"/>
      <c r="T14" s="448"/>
      <c r="U14" s="448"/>
      <c r="V14" s="448"/>
      <c r="W14" s="448"/>
      <c r="X14" s="448"/>
      <c r="Y14" s="448"/>
      <c r="Z14" s="448"/>
      <c r="AA14" s="448"/>
      <c r="AB14" s="448"/>
      <c r="AC14" s="448"/>
      <c r="AD14" s="448"/>
      <c r="AE14" s="448"/>
      <c r="AF14" s="448"/>
      <c r="AG14" s="448"/>
      <c r="AH14" s="448"/>
      <c r="AI14" s="448"/>
      <c r="AJ14" s="448"/>
      <c r="AK14" s="448"/>
      <c r="AL14" s="448"/>
      <c r="AM14" s="448"/>
      <c r="AN14" s="448"/>
      <c r="AO14" s="448"/>
      <c r="AP14" s="448"/>
      <c r="AQ14" s="448"/>
      <c r="AR14" s="448"/>
      <c r="AS14" s="448"/>
      <c r="AT14" s="448"/>
      <c r="AU14" s="448"/>
      <c r="AV14" s="448"/>
      <c r="AW14" s="448"/>
      <c r="AX14" s="448"/>
      <c r="AY14" s="448"/>
      <c r="AZ14" s="448"/>
      <c r="BA14" s="448"/>
      <c r="BB14" s="448"/>
      <c r="BC14" s="448"/>
      <c r="BD14" s="448"/>
      <c r="BE14" s="448"/>
      <c r="BF14" s="448"/>
      <c r="BG14" s="448"/>
      <c r="BH14" s="448"/>
      <c r="BI14" s="448"/>
      <c r="BJ14" s="448"/>
      <c r="BK14" s="448"/>
      <c r="BL14" s="448"/>
      <c r="BM14" s="448"/>
      <c r="BN14" s="448"/>
      <c r="BO14" s="448"/>
      <c r="BP14" s="448"/>
      <c r="BQ14" s="448"/>
      <c r="BR14" s="448"/>
      <c r="BS14" s="448"/>
      <c r="BT14" s="448"/>
    </row>
    <row r="15" spans="1:72" s="514" customFormat="1" ht="15.75" customHeight="1">
      <c r="A15" s="397"/>
      <c r="B15" s="516" t="s">
        <v>111</v>
      </c>
      <c r="C15" s="399"/>
      <c r="D15" s="399"/>
      <c r="E15" s="399"/>
      <c r="F15" s="409"/>
      <c r="G15" s="515">
        <f>SUM(G16:G16)</f>
        <v>9354</v>
      </c>
      <c r="H15" s="448"/>
      <c r="I15" s="448"/>
      <c r="J15" s="448"/>
      <c r="K15" s="448"/>
      <c r="L15" s="448"/>
      <c r="M15" s="448"/>
      <c r="N15" s="448"/>
      <c r="O15" s="448"/>
      <c r="P15" s="448"/>
      <c r="Q15" s="448"/>
      <c r="R15" s="448"/>
      <c r="S15" s="448"/>
      <c r="T15" s="448"/>
      <c r="U15" s="448"/>
      <c r="V15" s="448"/>
      <c r="W15" s="448"/>
      <c r="X15" s="448"/>
      <c r="Y15" s="448"/>
      <c r="Z15" s="448"/>
      <c r="AA15" s="448"/>
      <c r="AB15" s="448"/>
      <c r="AC15" s="448"/>
      <c r="AD15" s="448"/>
      <c r="AE15" s="448"/>
      <c r="AF15" s="448"/>
      <c r="AG15" s="448"/>
      <c r="AH15" s="448"/>
      <c r="AI15" s="448"/>
      <c r="AJ15" s="448"/>
      <c r="AK15" s="448"/>
      <c r="AL15" s="448"/>
      <c r="AM15" s="448"/>
      <c r="AN15" s="448"/>
      <c r="AO15" s="448"/>
      <c r="AP15" s="448"/>
      <c r="AQ15" s="448"/>
      <c r="AR15" s="448"/>
      <c r="AS15" s="448"/>
      <c r="AT15" s="448"/>
      <c r="AU15" s="448"/>
      <c r="AV15" s="448"/>
      <c r="AW15" s="448"/>
      <c r="AX15" s="448"/>
      <c r="AY15" s="448"/>
      <c r="AZ15" s="448"/>
      <c r="BA15" s="448"/>
      <c r="BB15" s="448"/>
      <c r="BC15" s="448"/>
      <c r="BD15" s="448"/>
      <c r="BE15" s="448"/>
      <c r="BF15" s="448"/>
      <c r="BG15" s="448"/>
      <c r="BH15" s="448"/>
      <c r="BI15" s="448"/>
      <c r="BJ15" s="448"/>
      <c r="BK15" s="448"/>
      <c r="BL15" s="448"/>
      <c r="BM15" s="448"/>
      <c r="BN15" s="448"/>
      <c r="BO15" s="448"/>
      <c r="BP15" s="448"/>
      <c r="BQ15" s="448"/>
      <c r="BR15" s="448"/>
      <c r="BS15" s="448"/>
      <c r="BT15" s="448"/>
    </row>
    <row r="16" spans="1:72" s="514" customFormat="1" ht="15.75" customHeight="1">
      <c r="A16" s="397"/>
      <c r="B16" s="516"/>
      <c r="C16" s="399"/>
      <c r="D16" s="399"/>
      <c r="E16" s="399" t="s">
        <v>112</v>
      </c>
      <c r="F16" s="409" t="s">
        <v>98</v>
      </c>
      <c r="G16" s="410">
        <f>2500+686+633+456+683+287+197+300+600+700+2312</f>
        <v>9354</v>
      </c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448"/>
      <c r="U16" s="448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  <c r="AL16" s="448"/>
      <c r="AM16" s="448"/>
      <c r="AN16" s="448"/>
      <c r="AO16" s="448"/>
      <c r="AP16" s="448"/>
      <c r="AQ16" s="448"/>
      <c r="AR16" s="448"/>
      <c r="AS16" s="448"/>
      <c r="AT16" s="448"/>
      <c r="AU16" s="448"/>
      <c r="AV16" s="448"/>
      <c r="AW16" s="448"/>
      <c r="AX16" s="448"/>
      <c r="AY16" s="448"/>
      <c r="AZ16" s="448"/>
      <c r="BA16" s="448"/>
      <c r="BB16" s="448"/>
      <c r="BC16" s="448"/>
      <c r="BD16" s="448"/>
      <c r="BE16" s="448"/>
      <c r="BF16" s="448"/>
      <c r="BG16" s="448"/>
      <c r="BH16" s="448"/>
      <c r="BI16" s="448"/>
      <c r="BJ16" s="448"/>
      <c r="BK16" s="448"/>
      <c r="BL16" s="448"/>
      <c r="BM16" s="448"/>
      <c r="BN16" s="448"/>
      <c r="BO16" s="448"/>
      <c r="BP16" s="448"/>
      <c r="BQ16" s="448"/>
      <c r="BR16" s="448"/>
      <c r="BS16" s="448"/>
      <c r="BT16" s="448"/>
    </row>
    <row r="17" spans="1:72" s="514" customFormat="1" ht="11.25" customHeight="1">
      <c r="A17" s="411"/>
      <c r="B17" s="412"/>
      <c r="C17" s="413"/>
      <c r="D17" s="400"/>
      <c r="E17" s="400"/>
      <c r="F17" s="402"/>
      <c r="G17" s="414"/>
      <c r="H17" s="448"/>
      <c r="I17" s="448"/>
      <c r="J17" s="448"/>
      <c r="K17" s="448"/>
      <c r="L17" s="448"/>
      <c r="M17" s="448"/>
      <c r="N17" s="448"/>
      <c r="O17" s="448"/>
      <c r="P17" s="448"/>
      <c r="Q17" s="448"/>
      <c r="R17" s="448"/>
      <c r="S17" s="448"/>
      <c r="T17" s="448"/>
      <c r="U17" s="448"/>
      <c r="V17" s="448"/>
      <c r="W17" s="448"/>
      <c r="X17" s="448"/>
      <c r="Y17" s="448"/>
      <c r="Z17" s="448"/>
      <c r="AA17" s="448"/>
      <c r="AB17" s="448"/>
      <c r="AC17" s="448"/>
      <c r="AD17" s="448"/>
      <c r="AE17" s="448"/>
      <c r="AF17" s="448"/>
      <c r="AG17" s="448"/>
      <c r="AH17" s="448"/>
      <c r="AI17" s="448"/>
      <c r="AJ17" s="448"/>
      <c r="AK17" s="448"/>
      <c r="AL17" s="448"/>
      <c r="AM17" s="448"/>
      <c r="AN17" s="448"/>
      <c r="AO17" s="448"/>
      <c r="AP17" s="448"/>
      <c r="AQ17" s="448"/>
      <c r="AR17" s="448"/>
      <c r="AS17" s="448"/>
      <c r="AT17" s="448"/>
      <c r="AU17" s="448"/>
      <c r="AV17" s="448"/>
      <c r="AW17" s="448"/>
      <c r="AX17" s="448"/>
      <c r="AY17" s="448"/>
      <c r="AZ17" s="448"/>
      <c r="BA17" s="448"/>
      <c r="BB17" s="448"/>
      <c r="BC17" s="448"/>
      <c r="BD17" s="448"/>
      <c r="BE17" s="448"/>
      <c r="BF17" s="448"/>
      <c r="BG17" s="448"/>
      <c r="BH17" s="448"/>
      <c r="BI17" s="448"/>
      <c r="BJ17" s="448"/>
      <c r="BK17" s="448"/>
      <c r="BL17" s="448"/>
      <c r="BM17" s="448"/>
      <c r="BN17" s="448"/>
      <c r="BO17" s="448"/>
      <c r="BP17" s="448"/>
      <c r="BQ17" s="448"/>
      <c r="BR17" s="448"/>
      <c r="BS17" s="448"/>
      <c r="BT17" s="448"/>
    </row>
    <row r="18" spans="1:72" s="514" customFormat="1" ht="15.75" customHeight="1">
      <c r="A18" s="397"/>
      <c r="B18" s="398"/>
      <c r="C18" s="399"/>
      <c r="D18" s="399"/>
      <c r="E18" s="400" t="s">
        <v>107</v>
      </c>
      <c r="F18" s="401">
        <f>34505+32469+20821+30285+27074+23541+27401+20751+21497+20695</f>
        <v>259039</v>
      </c>
      <c r="G18" s="402" t="s">
        <v>98</v>
      </c>
      <c r="H18" s="448"/>
      <c r="I18" s="448"/>
      <c r="J18" s="448"/>
      <c r="K18" s="448"/>
      <c r="L18" s="448"/>
      <c r="M18" s="448"/>
      <c r="N18" s="448"/>
      <c r="O18" s="448"/>
      <c r="P18" s="448"/>
      <c r="Q18" s="448"/>
      <c r="R18" s="448"/>
      <c r="S18" s="448"/>
      <c r="T18" s="448"/>
      <c r="U18" s="448"/>
      <c r="V18" s="448"/>
      <c r="W18" s="448"/>
      <c r="X18" s="448"/>
      <c r="Y18" s="448"/>
      <c r="Z18" s="448"/>
      <c r="AA18" s="448"/>
      <c r="AB18" s="448"/>
      <c r="AC18" s="448"/>
      <c r="AD18" s="448"/>
      <c r="AE18" s="448"/>
      <c r="AF18" s="448"/>
      <c r="AG18" s="448"/>
      <c r="AH18" s="448"/>
      <c r="AI18" s="448"/>
      <c r="AJ18" s="448"/>
      <c r="AK18" s="448"/>
      <c r="AL18" s="448"/>
      <c r="AM18" s="448"/>
      <c r="AN18" s="448"/>
      <c r="AO18" s="448"/>
      <c r="AP18" s="448"/>
      <c r="AQ18" s="448"/>
      <c r="AR18" s="448"/>
      <c r="AS18" s="448"/>
      <c r="AT18" s="448"/>
      <c r="AU18" s="448"/>
      <c r="AV18" s="448"/>
      <c r="AW18" s="448"/>
      <c r="AX18" s="448"/>
      <c r="AY18" s="448"/>
      <c r="AZ18" s="448"/>
      <c r="BA18" s="448"/>
      <c r="BB18" s="448"/>
      <c r="BC18" s="448"/>
      <c r="BD18" s="448"/>
      <c r="BE18" s="448"/>
      <c r="BF18" s="448"/>
      <c r="BG18" s="448"/>
      <c r="BH18" s="448"/>
      <c r="BI18" s="448"/>
      <c r="BJ18" s="448"/>
      <c r="BK18" s="448"/>
      <c r="BL18" s="448"/>
      <c r="BM18" s="448"/>
      <c r="BN18" s="448"/>
      <c r="BO18" s="448"/>
      <c r="BP18" s="448"/>
      <c r="BQ18" s="448"/>
      <c r="BR18" s="448"/>
      <c r="BS18" s="448"/>
      <c r="BT18" s="448"/>
    </row>
    <row r="19" spans="1:72" s="514" customFormat="1" ht="20.25" customHeight="1">
      <c r="A19" s="403" t="s">
        <v>113</v>
      </c>
      <c r="B19" s="415" t="s">
        <v>114</v>
      </c>
      <c r="C19" s="399" t="s">
        <v>115</v>
      </c>
      <c r="D19" s="399" t="s">
        <v>116</v>
      </c>
      <c r="E19" s="405" t="s">
        <v>98</v>
      </c>
      <c r="F19" s="406" t="s">
        <v>98</v>
      </c>
      <c r="G19" s="407">
        <f>SUM(G21)</f>
        <v>259039</v>
      </c>
      <c r="H19" s="448"/>
      <c r="I19" s="448"/>
      <c r="J19" s="448"/>
      <c r="K19" s="448"/>
      <c r="L19" s="448"/>
      <c r="M19" s="448"/>
      <c r="N19" s="448"/>
      <c r="O19" s="448"/>
      <c r="P19" s="448"/>
      <c r="Q19" s="448"/>
      <c r="R19" s="448"/>
      <c r="S19" s="448"/>
      <c r="T19" s="448"/>
      <c r="U19" s="448"/>
      <c r="V19" s="448"/>
      <c r="W19" s="448"/>
      <c r="X19" s="448"/>
      <c r="Y19" s="448"/>
      <c r="Z19" s="448"/>
      <c r="AA19" s="448"/>
      <c r="AB19" s="448"/>
      <c r="AC19" s="448"/>
      <c r="AD19" s="448"/>
      <c r="AE19" s="448"/>
      <c r="AF19" s="448"/>
      <c r="AG19" s="448"/>
      <c r="AH19" s="448"/>
      <c r="AI19" s="448"/>
      <c r="AJ19" s="448"/>
      <c r="AK19" s="448"/>
      <c r="AL19" s="448"/>
      <c r="AM19" s="448"/>
      <c r="AN19" s="448"/>
      <c r="AO19" s="448"/>
      <c r="AP19" s="448"/>
      <c r="AQ19" s="448"/>
      <c r="AR19" s="448"/>
      <c r="AS19" s="448"/>
      <c r="AT19" s="448"/>
      <c r="AU19" s="448"/>
      <c r="AV19" s="448"/>
      <c r="AW19" s="448"/>
      <c r="AX19" s="448"/>
      <c r="AY19" s="448"/>
      <c r="AZ19" s="448"/>
      <c r="BA19" s="448"/>
      <c r="BB19" s="448"/>
      <c r="BC19" s="448"/>
      <c r="BD19" s="448"/>
      <c r="BE19" s="448"/>
      <c r="BF19" s="448"/>
      <c r="BG19" s="448"/>
      <c r="BH19" s="448"/>
      <c r="BI19" s="448"/>
      <c r="BJ19" s="448"/>
      <c r="BK19" s="448"/>
      <c r="BL19" s="448"/>
      <c r="BM19" s="448"/>
      <c r="BN19" s="448"/>
      <c r="BO19" s="448"/>
      <c r="BP19" s="448"/>
      <c r="BQ19" s="448"/>
      <c r="BR19" s="448"/>
      <c r="BS19" s="448"/>
      <c r="BT19" s="448"/>
    </row>
    <row r="20" spans="1:72" s="514" customFormat="1" ht="10.5" customHeight="1">
      <c r="A20" s="397"/>
      <c r="B20" s="408"/>
      <c r="C20" s="399"/>
      <c r="D20" s="399"/>
      <c r="E20" s="399"/>
      <c r="F20" s="409"/>
      <c r="G20" s="515"/>
      <c r="H20" s="448"/>
      <c r="I20" s="448"/>
      <c r="J20" s="448"/>
      <c r="K20" s="448"/>
      <c r="L20" s="448"/>
      <c r="M20" s="448"/>
      <c r="N20" s="448"/>
      <c r="O20" s="448"/>
      <c r="P20" s="448"/>
      <c r="Q20" s="448"/>
      <c r="R20" s="448"/>
      <c r="S20" s="448"/>
      <c r="T20" s="448"/>
      <c r="U20" s="448"/>
      <c r="V20" s="448"/>
      <c r="W20" s="448"/>
      <c r="X20" s="448"/>
      <c r="Y20" s="448"/>
      <c r="Z20" s="448"/>
      <c r="AA20" s="448"/>
      <c r="AB20" s="448"/>
      <c r="AC20" s="448"/>
      <c r="AD20" s="448"/>
      <c r="AE20" s="448"/>
      <c r="AF20" s="448"/>
      <c r="AG20" s="448"/>
      <c r="AH20" s="448"/>
      <c r="AI20" s="448"/>
      <c r="AJ20" s="448"/>
      <c r="AK20" s="448"/>
      <c r="AL20" s="448"/>
      <c r="AM20" s="448"/>
      <c r="AN20" s="448"/>
      <c r="AO20" s="448"/>
      <c r="AP20" s="448"/>
      <c r="AQ20" s="448"/>
      <c r="AR20" s="448"/>
      <c r="AS20" s="448"/>
      <c r="AT20" s="448"/>
      <c r="AU20" s="448"/>
      <c r="AV20" s="448"/>
      <c r="AW20" s="448"/>
      <c r="AX20" s="448"/>
      <c r="AY20" s="448"/>
      <c r="AZ20" s="448"/>
      <c r="BA20" s="448"/>
      <c r="BB20" s="448"/>
      <c r="BC20" s="448"/>
      <c r="BD20" s="448"/>
      <c r="BE20" s="448"/>
      <c r="BF20" s="448"/>
      <c r="BG20" s="448"/>
      <c r="BH20" s="448"/>
      <c r="BI20" s="448"/>
      <c r="BJ20" s="448"/>
      <c r="BK20" s="448"/>
      <c r="BL20" s="448"/>
      <c r="BM20" s="448"/>
      <c r="BN20" s="448"/>
      <c r="BO20" s="448"/>
      <c r="BP20" s="448"/>
      <c r="BQ20" s="448"/>
      <c r="BR20" s="448"/>
      <c r="BS20" s="448"/>
      <c r="BT20" s="448"/>
    </row>
    <row r="21" spans="1:72" s="514" customFormat="1" ht="15.75" customHeight="1">
      <c r="A21" s="397"/>
      <c r="B21" s="516" t="s">
        <v>111</v>
      </c>
      <c r="C21" s="399"/>
      <c r="D21" s="399"/>
      <c r="E21" s="399"/>
      <c r="F21" s="409"/>
      <c r="G21" s="515">
        <f>SUM(G22:G25)</f>
        <v>259039</v>
      </c>
      <c r="H21" s="448"/>
      <c r="I21" s="448"/>
      <c r="J21" s="448"/>
      <c r="K21" s="448"/>
      <c r="L21" s="448"/>
      <c r="M21" s="448"/>
      <c r="N21" s="448"/>
      <c r="O21" s="448"/>
      <c r="P21" s="448"/>
      <c r="Q21" s="448"/>
      <c r="R21" s="448"/>
      <c r="S21" s="448"/>
      <c r="T21" s="448"/>
      <c r="U21" s="448"/>
      <c r="V21" s="448"/>
      <c r="W21" s="448"/>
      <c r="X21" s="448"/>
      <c r="Y21" s="448"/>
      <c r="Z21" s="448"/>
      <c r="AA21" s="448"/>
      <c r="AB21" s="448"/>
      <c r="AC21" s="448"/>
      <c r="AD21" s="448"/>
      <c r="AE21" s="448"/>
      <c r="AF21" s="448"/>
      <c r="AG21" s="448"/>
      <c r="AH21" s="448"/>
      <c r="AI21" s="448"/>
      <c r="AJ21" s="448"/>
      <c r="AK21" s="448"/>
      <c r="AL21" s="448"/>
      <c r="AM21" s="448"/>
      <c r="AN21" s="448"/>
      <c r="AO21" s="448"/>
      <c r="AP21" s="448"/>
      <c r="AQ21" s="448"/>
      <c r="AR21" s="448"/>
      <c r="AS21" s="448"/>
      <c r="AT21" s="448"/>
      <c r="AU21" s="448"/>
      <c r="AV21" s="448"/>
      <c r="AW21" s="448"/>
      <c r="AX21" s="448"/>
      <c r="AY21" s="448"/>
      <c r="AZ21" s="448"/>
      <c r="BA21" s="448"/>
      <c r="BB21" s="448"/>
      <c r="BC21" s="448"/>
      <c r="BD21" s="448"/>
      <c r="BE21" s="448"/>
      <c r="BF21" s="448"/>
      <c r="BG21" s="448"/>
      <c r="BH21" s="448"/>
      <c r="BI21" s="448"/>
      <c r="BJ21" s="448"/>
      <c r="BK21" s="448"/>
      <c r="BL21" s="448"/>
      <c r="BM21" s="448"/>
      <c r="BN21" s="448"/>
      <c r="BO21" s="448"/>
      <c r="BP21" s="448"/>
      <c r="BQ21" s="448"/>
      <c r="BR21" s="448"/>
      <c r="BS21" s="448"/>
      <c r="BT21" s="448"/>
    </row>
    <row r="22" spans="1:72" s="514" customFormat="1" ht="15.75" customHeight="1">
      <c r="A22" s="397"/>
      <c r="B22" s="398"/>
      <c r="C22" s="399"/>
      <c r="D22" s="399"/>
      <c r="E22" s="399" t="s">
        <v>112</v>
      </c>
      <c r="F22" s="409" t="s">
        <v>98</v>
      </c>
      <c r="G22" s="410">
        <f>33500+32257+20821+28754+26901+23022+26623+19851+20597+20695</f>
        <v>253021</v>
      </c>
      <c r="H22" s="448"/>
      <c r="I22" s="448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48"/>
      <c r="X22" s="448"/>
      <c r="Y22" s="448"/>
      <c r="Z22" s="448"/>
      <c r="AA22" s="448"/>
      <c r="AB22" s="448"/>
      <c r="AC22" s="448"/>
      <c r="AD22" s="448"/>
      <c r="AE22" s="448"/>
      <c r="AF22" s="448"/>
      <c r="AG22" s="448"/>
      <c r="AH22" s="448"/>
      <c r="AI22" s="448"/>
      <c r="AJ22" s="448"/>
      <c r="AK22" s="448"/>
      <c r="AL22" s="448"/>
      <c r="AM22" s="448"/>
      <c r="AN22" s="448"/>
      <c r="AO22" s="448"/>
      <c r="AP22" s="448"/>
      <c r="AQ22" s="448"/>
      <c r="AR22" s="448"/>
      <c r="AS22" s="448"/>
      <c r="AT22" s="448"/>
      <c r="AU22" s="448"/>
      <c r="AV22" s="448"/>
      <c r="AW22" s="448"/>
      <c r="AX22" s="448"/>
      <c r="AY22" s="448"/>
      <c r="AZ22" s="448"/>
      <c r="BA22" s="448"/>
      <c r="BB22" s="448"/>
      <c r="BC22" s="448"/>
      <c r="BD22" s="448"/>
      <c r="BE22" s="448"/>
      <c r="BF22" s="448"/>
      <c r="BG22" s="448"/>
      <c r="BH22" s="448"/>
      <c r="BI22" s="448"/>
      <c r="BJ22" s="448"/>
      <c r="BK22" s="448"/>
      <c r="BL22" s="448"/>
      <c r="BM22" s="448"/>
      <c r="BN22" s="448"/>
      <c r="BO22" s="448"/>
      <c r="BP22" s="448"/>
      <c r="BQ22" s="448"/>
      <c r="BR22" s="448"/>
      <c r="BS22" s="448"/>
      <c r="BT22" s="448"/>
    </row>
    <row r="23" spans="1:72" s="514" customFormat="1" ht="15.75" customHeight="1">
      <c r="A23" s="397"/>
      <c r="B23" s="398"/>
      <c r="C23" s="399"/>
      <c r="D23" s="399"/>
      <c r="E23" s="399" t="s">
        <v>117</v>
      </c>
      <c r="F23" s="409" t="s">
        <v>98</v>
      </c>
      <c r="G23" s="410">
        <f>838+177+1027+144+433+648+601+750</f>
        <v>4618</v>
      </c>
      <c r="H23" s="448"/>
      <c r="I23" s="448"/>
      <c r="J23" s="448"/>
      <c r="K23" s="448"/>
      <c r="L23" s="448"/>
      <c r="M23" s="448"/>
      <c r="N23" s="448"/>
      <c r="O23" s="448"/>
      <c r="P23" s="448"/>
      <c r="Q23" s="448"/>
      <c r="R23" s="448"/>
      <c r="S23" s="448"/>
      <c r="T23" s="448"/>
      <c r="U23" s="448"/>
      <c r="V23" s="448"/>
      <c r="W23" s="448"/>
      <c r="X23" s="448"/>
      <c r="Y23" s="448"/>
      <c r="Z23" s="448"/>
      <c r="AA23" s="448"/>
      <c r="AB23" s="448"/>
      <c r="AC23" s="448"/>
      <c r="AD23" s="448"/>
      <c r="AE23" s="448"/>
      <c r="AF23" s="448"/>
      <c r="AG23" s="448"/>
      <c r="AH23" s="448"/>
      <c r="AI23" s="448"/>
      <c r="AJ23" s="448"/>
      <c r="AK23" s="448"/>
      <c r="AL23" s="448"/>
      <c r="AM23" s="448"/>
      <c r="AN23" s="448"/>
      <c r="AO23" s="448"/>
      <c r="AP23" s="448"/>
      <c r="AQ23" s="448"/>
      <c r="AR23" s="448"/>
      <c r="AS23" s="448"/>
      <c r="AT23" s="448"/>
      <c r="AU23" s="448"/>
      <c r="AV23" s="448"/>
      <c r="AW23" s="448"/>
      <c r="AX23" s="448"/>
      <c r="AY23" s="448"/>
      <c r="AZ23" s="448"/>
      <c r="BA23" s="448"/>
      <c r="BB23" s="448"/>
      <c r="BC23" s="448"/>
      <c r="BD23" s="448"/>
      <c r="BE23" s="448"/>
      <c r="BF23" s="448"/>
      <c r="BG23" s="448"/>
      <c r="BH23" s="448"/>
      <c r="BI23" s="448"/>
      <c r="BJ23" s="448"/>
      <c r="BK23" s="448"/>
      <c r="BL23" s="448"/>
      <c r="BM23" s="448"/>
      <c r="BN23" s="448"/>
      <c r="BO23" s="448"/>
      <c r="BP23" s="448"/>
      <c r="BQ23" s="448"/>
      <c r="BR23" s="448"/>
      <c r="BS23" s="448"/>
      <c r="BT23" s="448"/>
    </row>
    <row r="24" spans="1:72" s="514" customFormat="1" ht="15.75" customHeight="1">
      <c r="A24" s="397"/>
      <c r="B24" s="398"/>
      <c r="C24" s="416"/>
      <c r="D24" s="399"/>
      <c r="E24" s="399" t="s">
        <v>118</v>
      </c>
      <c r="F24" s="409" t="s">
        <v>98</v>
      </c>
      <c r="G24" s="410">
        <f>167+35+204+29+86+130+119+150</f>
        <v>920</v>
      </c>
      <c r="H24" s="448"/>
      <c r="I24" s="448"/>
      <c r="J24" s="448"/>
      <c r="K24" s="448"/>
      <c r="L24" s="448"/>
      <c r="M24" s="448"/>
      <c r="N24" s="448"/>
      <c r="O24" s="448"/>
      <c r="P24" s="448"/>
      <c r="Q24" s="448"/>
      <c r="R24" s="448"/>
      <c r="S24" s="448"/>
      <c r="T24" s="448"/>
      <c r="U24" s="448"/>
      <c r="V24" s="448"/>
      <c r="W24" s="448"/>
      <c r="X24" s="448"/>
      <c r="Y24" s="448"/>
      <c r="Z24" s="448"/>
      <c r="AA24" s="448"/>
      <c r="AB24" s="448"/>
      <c r="AC24" s="448"/>
      <c r="AD24" s="448"/>
      <c r="AE24" s="448"/>
      <c r="AF24" s="448"/>
      <c r="AG24" s="448"/>
      <c r="AH24" s="448"/>
      <c r="AI24" s="448"/>
      <c r="AJ24" s="448"/>
      <c r="AK24" s="448"/>
      <c r="AL24" s="448"/>
      <c r="AM24" s="448"/>
      <c r="AN24" s="448"/>
      <c r="AO24" s="448"/>
      <c r="AP24" s="448"/>
      <c r="AQ24" s="448"/>
      <c r="AR24" s="448"/>
      <c r="AS24" s="448"/>
      <c r="AT24" s="448"/>
      <c r="AU24" s="448"/>
      <c r="AV24" s="448"/>
      <c r="AW24" s="448"/>
      <c r="AX24" s="448"/>
      <c r="AY24" s="448"/>
      <c r="AZ24" s="448"/>
      <c r="BA24" s="448"/>
      <c r="BB24" s="448"/>
      <c r="BC24" s="448"/>
      <c r="BD24" s="448"/>
      <c r="BE24" s="448"/>
      <c r="BF24" s="448"/>
      <c r="BG24" s="448"/>
      <c r="BH24" s="448"/>
      <c r="BI24" s="448"/>
      <c r="BJ24" s="448"/>
      <c r="BK24" s="448"/>
      <c r="BL24" s="448"/>
      <c r="BM24" s="448"/>
      <c r="BN24" s="448"/>
      <c r="BO24" s="448"/>
      <c r="BP24" s="448"/>
      <c r="BQ24" s="448"/>
      <c r="BR24" s="448"/>
      <c r="BS24" s="448"/>
      <c r="BT24" s="448"/>
    </row>
    <row r="25" spans="1:72" s="514" customFormat="1" ht="15.75" customHeight="1">
      <c r="A25" s="397"/>
      <c r="B25" s="398"/>
      <c r="C25" s="416"/>
      <c r="D25" s="399"/>
      <c r="E25" s="399" t="s">
        <v>119</v>
      </c>
      <c r="F25" s="409" t="s">
        <v>98</v>
      </c>
      <c r="G25" s="410">
        <f>300+180</f>
        <v>480</v>
      </c>
      <c r="H25" s="448"/>
      <c r="I25" s="448"/>
      <c r="J25" s="448"/>
      <c r="K25" s="448"/>
      <c r="L25" s="448"/>
      <c r="M25" s="448"/>
      <c r="N25" s="448"/>
      <c r="O25" s="448"/>
      <c r="P25" s="448"/>
      <c r="Q25" s="448"/>
      <c r="R25" s="448"/>
      <c r="S25" s="448"/>
      <c r="T25" s="448"/>
      <c r="U25" s="448"/>
      <c r="V25" s="448"/>
      <c r="W25" s="448"/>
      <c r="X25" s="448"/>
      <c r="Y25" s="448"/>
      <c r="Z25" s="448"/>
      <c r="AA25" s="448"/>
      <c r="AB25" s="448"/>
      <c r="AC25" s="448"/>
      <c r="AD25" s="448"/>
      <c r="AE25" s="448"/>
      <c r="AF25" s="448"/>
      <c r="AG25" s="448"/>
      <c r="AH25" s="448"/>
      <c r="AI25" s="448"/>
      <c r="AJ25" s="448"/>
      <c r="AK25" s="448"/>
      <c r="AL25" s="448"/>
      <c r="AM25" s="448"/>
      <c r="AN25" s="448"/>
      <c r="AO25" s="448"/>
      <c r="AP25" s="448"/>
      <c r="AQ25" s="448"/>
      <c r="AR25" s="448"/>
      <c r="AS25" s="448"/>
      <c r="AT25" s="448"/>
      <c r="AU25" s="448"/>
      <c r="AV25" s="448"/>
      <c r="AW25" s="448"/>
      <c r="AX25" s="448"/>
      <c r="AY25" s="448"/>
      <c r="AZ25" s="448"/>
      <c r="BA25" s="448"/>
      <c r="BB25" s="448"/>
      <c r="BC25" s="448"/>
      <c r="BD25" s="448"/>
      <c r="BE25" s="448"/>
      <c r="BF25" s="448"/>
      <c r="BG25" s="448"/>
      <c r="BH25" s="448"/>
      <c r="BI25" s="448"/>
      <c r="BJ25" s="448"/>
      <c r="BK25" s="448"/>
      <c r="BL25" s="448"/>
      <c r="BM25" s="448"/>
      <c r="BN25" s="448"/>
      <c r="BO25" s="448"/>
      <c r="BP25" s="448"/>
      <c r="BQ25" s="448"/>
      <c r="BR25" s="448"/>
      <c r="BS25" s="448"/>
      <c r="BT25" s="448"/>
    </row>
    <row r="26" spans="1:72" s="514" customFormat="1" ht="11.25" customHeight="1">
      <c r="A26" s="411"/>
      <c r="B26" s="412"/>
      <c r="C26" s="413"/>
      <c r="D26" s="400"/>
      <c r="E26" s="400"/>
      <c r="F26" s="402"/>
      <c r="G26" s="414"/>
      <c r="H26" s="448"/>
      <c r="I26" s="448"/>
      <c r="J26" s="448"/>
      <c r="K26" s="448"/>
      <c r="L26" s="448"/>
      <c r="M26" s="448"/>
      <c r="N26" s="448"/>
      <c r="O26" s="448"/>
      <c r="P26" s="448"/>
      <c r="Q26" s="448"/>
      <c r="R26" s="448"/>
      <c r="S26" s="448"/>
      <c r="T26" s="448"/>
      <c r="U26" s="448"/>
      <c r="V26" s="448"/>
      <c r="W26" s="448"/>
      <c r="X26" s="448"/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  <c r="AQ26" s="448"/>
      <c r="AR26" s="448"/>
      <c r="AS26" s="448"/>
      <c r="AT26" s="448"/>
      <c r="AU26" s="448"/>
      <c r="AV26" s="448"/>
      <c r="AW26" s="448"/>
      <c r="AX26" s="448"/>
      <c r="AY26" s="448"/>
      <c r="AZ26" s="448"/>
      <c r="BA26" s="448"/>
      <c r="BB26" s="448"/>
      <c r="BC26" s="448"/>
      <c r="BD26" s="448"/>
      <c r="BE26" s="448"/>
      <c r="BF26" s="448"/>
      <c r="BG26" s="448"/>
      <c r="BH26" s="448"/>
      <c r="BI26" s="448"/>
      <c r="BJ26" s="448"/>
      <c r="BK26" s="448"/>
      <c r="BL26" s="448"/>
      <c r="BM26" s="448"/>
      <c r="BN26" s="448"/>
      <c r="BO26" s="448"/>
      <c r="BP26" s="448"/>
      <c r="BQ26" s="448"/>
      <c r="BR26" s="448"/>
      <c r="BS26" s="448"/>
      <c r="BT26" s="448"/>
    </row>
    <row r="27" spans="1:72" s="514" customFormat="1" ht="15.75" customHeight="1">
      <c r="A27" s="397"/>
      <c r="B27" s="398"/>
      <c r="C27" s="399"/>
      <c r="D27" s="399"/>
      <c r="E27" s="400" t="s">
        <v>107</v>
      </c>
      <c r="F27" s="401">
        <f>3060+1500+840</f>
        <v>5400</v>
      </c>
      <c r="G27" s="402" t="s">
        <v>98</v>
      </c>
      <c r="H27" s="448"/>
      <c r="I27" s="448"/>
      <c r="J27" s="448"/>
      <c r="K27" s="448"/>
      <c r="L27" s="448"/>
      <c r="M27" s="448"/>
      <c r="N27" s="448"/>
      <c r="O27" s="448"/>
      <c r="P27" s="448"/>
      <c r="Q27" s="448"/>
      <c r="R27" s="448"/>
      <c r="S27" s="448"/>
      <c r="T27" s="448"/>
      <c r="U27" s="448"/>
      <c r="V27" s="448"/>
      <c r="W27" s="448"/>
      <c r="X27" s="448"/>
      <c r="Y27" s="448"/>
      <c r="Z27" s="448"/>
      <c r="AA27" s="448"/>
      <c r="AB27" s="448"/>
      <c r="AC27" s="448"/>
      <c r="AD27" s="448"/>
      <c r="AE27" s="448"/>
      <c r="AF27" s="448"/>
      <c r="AG27" s="448"/>
      <c r="AH27" s="448"/>
      <c r="AI27" s="448"/>
      <c r="AJ27" s="448"/>
      <c r="AK27" s="448"/>
      <c r="AL27" s="448"/>
      <c r="AM27" s="448"/>
      <c r="AN27" s="448"/>
      <c r="AO27" s="448"/>
      <c r="AP27" s="448"/>
      <c r="AQ27" s="448"/>
      <c r="AR27" s="448"/>
      <c r="AS27" s="448"/>
      <c r="AT27" s="448"/>
      <c r="AU27" s="448"/>
      <c r="AV27" s="448"/>
      <c r="AW27" s="448"/>
      <c r="AX27" s="448"/>
      <c r="AY27" s="448"/>
      <c r="AZ27" s="448"/>
      <c r="BA27" s="448"/>
      <c r="BB27" s="448"/>
      <c r="BC27" s="448"/>
      <c r="BD27" s="448"/>
      <c r="BE27" s="448"/>
      <c r="BF27" s="448"/>
      <c r="BG27" s="448"/>
      <c r="BH27" s="448"/>
      <c r="BI27" s="448"/>
      <c r="BJ27" s="448"/>
      <c r="BK27" s="448"/>
      <c r="BL27" s="448"/>
      <c r="BM27" s="448"/>
      <c r="BN27" s="448"/>
      <c r="BO27" s="448"/>
      <c r="BP27" s="448"/>
      <c r="BQ27" s="448"/>
      <c r="BR27" s="448"/>
      <c r="BS27" s="448"/>
      <c r="BT27" s="448"/>
    </row>
    <row r="28" spans="1:72" s="514" customFormat="1" ht="24">
      <c r="A28" s="403" t="s">
        <v>120</v>
      </c>
      <c r="B28" s="404" t="s">
        <v>121</v>
      </c>
      <c r="C28" s="399" t="s">
        <v>122</v>
      </c>
      <c r="D28" s="399" t="s">
        <v>123</v>
      </c>
      <c r="E28" s="405" t="s">
        <v>98</v>
      </c>
      <c r="F28" s="406" t="s">
        <v>98</v>
      </c>
      <c r="G28" s="407">
        <f>SUM(G30)</f>
        <v>5400</v>
      </c>
      <c r="H28" s="448"/>
      <c r="I28" s="448"/>
      <c r="J28" s="448"/>
      <c r="K28" s="448"/>
      <c r="L28" s="448"/>
      <c r="M28" s="448"/>
      <c r="N28" s="448"/>
      <c r="O28" s="448"/>
      <c r="P28" s="448"/>
      <c r="Q28" s="448"/>
      <c r="R28" s="448"/>
      <c r="S28" s="448"/>
      <c r="T28" s="448"/>
      <c r="U28" s="448"/>
      <c r="V28" s="448"/>
      <c r="W28" s="448"/>
      <c r="X28" s="448"/>
      <c r="Y28" s="448"/>
      <c r="Z28" s="448"/>
      <c r="AA28" s="448"/>
      <c r="AB28" s="448"/>
      <c r="AC28" s="448"/>
      <c r="AD28" s="448"/>
      <c r="AE28" s="448"/>
      <c r="AF28" s="448"/>
      <c r="AG28" s="448"/>
      <c r="AH28" s="448"/>
      <c r="AI28" s="448"/>
      <c r="AJ28" s="448"/>
      <c r="AK28" s="448"/>
      <c r="AL28" s="448"/>
      <c r="AM28" s="448"/>
      <c r="AN28" s="448"/>
      <c r="AO28" s="448"/>
      <c r="AP28" s="448"/>
      <c r="AQ28" s="448"/>
      <c r="AR28" s="448"/>
      <c r="AS28" s="448"/>
      <c r="AT28" s="448"/>
      <c r="AU28" s="448"/>
      <c r="AV28" s="448"/>
      <c r="AW28" s="448"/>
      <c r="AX28" s="448"/>
      <c r="AY28" s="448"/>
      <c r="AZ28" s="448"/>
      <c r="BA28" s="448"/>
      <c r="BB28" s="448"/>
      <c r="BC28" s="448"/>
      <c r="BD28" s="448"/>
      <c r="BE28" s="448"/>
      <c r="BF28" s="448"/>
      <c r="BG28" s="448"/>
      <c r="BH28" s="448"/>
      <c r="BI28" s="448"/>
      <c r="BJ28" s="448"/>
      <c r="BK28" s="448"/>
      <c r="BL28" s="448"/>
      <c r="BM28" s="448"/>
      <c r="BN28" s="448"/>
      <c r="BO28" s="448"/>
      <c r="BP28" s="448"/>
      <c r="BQ28" s="448"/>
      <c r="BR28" s="448"/>
      <c r="BS28" s="448"/>
      <c r="BT28" s="448"/>
    </row>
    <row r="29" spans="1:72" s="514" customFormat="1" ht="10.5" customHeight="1">
      <c r="A29" s="397"/>
      <c r="B29" s="408"/>
      <c r="C29" s="399"/>
      <c r="D29" s="399"/>
      <c r="E29" s="399"/>
      <c r="F29" s="409"/>
      <c r="G29" s="515"/>
      <c r="H29" s="448"/>
      <c r="I29" s="448"/>
      <c r="J29" s="448"/>
      <c r="K29" s="448"/>
      <c r="L29" s="448"/>
      <c r="M29" s="448"/>
      <c r="N29" s="448"/>
      <c r="O29" s="448"/>
      <c r="P29" s="448"/>
      <c r="Q29" s="448"/>
      <c r="R29" s="448"/>
      <c r="S29" s="448"/>
      <c r="T29" s="448"/>
      <c r="U29" s="448"/>
      <c r="V29" s="448"/>
      <c r="W29" s="448"/>
      <c r="X29" s="448"/>
      <c r="Y29" s="448"/>
      <c r="Z29" s="448"/>
      <c r="AA29" s="448"/>
      <c r="AB29" s="448"/>
      <c r="AC29" s="448"/>
      <c r="AD29" s="448"/>
      <c r="AE29" s="448"/>
      <c r="AF29" s="448"/>
      <c r="AG29" s="448"/>
      <c r="AH29" s="448"/>
      <c r="AI29" s="448"/>
      <c r="AJ29" s="448"/>
      <c r="AK29" s="448"/>
      <c r="AL29" s="448"/>
      <c r="AM29" s="448"/>
      <c r="AN29" s="448"/>
      <c r="AO29" s="448"/>
      <c r="AP29" s="448"/>
      <c r="AQ29" s="448"/>
      <c r="AR29" s="448"/>
      <c r="AS29" s="448"/>
      <c r="AT29" s="448"/>
      <c r="AU29" s="448"/>
      <c r="AV29" s="448"/>
      <c r="AW29" s="448"/>
      <c r="AX29" s="448"/>
      <c r="AY29" s="448"/>
      <c r="AZ29" s="448"/>
      <c r="BA29" s="448"/>
      <c r="BB29" s="448"/>
      <c r="BC29" s="448"/>
      <c r="BD29" s="448"/>
      <c r="BE29" s="448"/>
      <c r="BF29" s="448"/>
      <c r="BG29" s="448"/>
      <c r="BH29" s="448"/>
      <c r="BI29" s="448"/>
      <c r="BJ29" s="448"/>
      <c r="BK29" s="448"/>
      <c r="BL29" s="448"/>
      <c r="BM29" s="448"/>
      <c r="BN29" s="448"/>
      <c r="BO29" s="448"/>
      <c r="BP29" s="448"/>
      <c r="BQ29" s="448"/>
      <c r="BR29" s="448"/>
      <c r="BS29" s="448"/>
      <c r="BT29" s="448"/>
    </row>
    <row r="30" spans="1:72" s="514" customFormat="1" ht="15.75" customHeight="1">
      <c r="A30" s="397"/>
      <c r="B30" s="516" t="s">
        <v>111</v>
      </c>
      <c r="C30" s="399"/>
      <c r="D30" s="399"/>
      <c r="E30" s="399"/>
      <c r="F30" s="409"/>
      <c r="G30" s="515">
        <f>SUM(G31:G33)</f>
        <v>5400</v>
      </c>
      <c r="H30" s="448"/>
      <c r="I30" s="448"/>
      <c r="J30" s="448"/>
      <c r="K30" s="448"/>
      <c r="L30" s="448"/>
      <c r="M30" s="448"/>
      <c r="N30" s="448"/>
      <c r="O30" s="448"/>
      <c r="P30" s="448"/>
      <c r="Q30" s="448"/>
      <c r="R30" s="448"/>
      <c r="S30" s="448"/>
      <c r="T30" s="448"/>
      <c r="U30" s="448"/>
      <c r="V30" s="448"/>
      <c r="W30" s="448"/>
      <c r="X30" s="448"/>
      <c r="Y30" s="448"/>
      <c r="Z30" s="448"/>
      <c r="AA30" s="448"/>
      <c r="AB30" s="448"/>
      <c r="AC30" s="448"/>
      <c r="AD30" s="448"/>
      <c r="AE30" s="448"/>
      <c r="AF30" s="448"/>
      <c r="AG30" s="448"/>
      <c r="AH30" s="448"/>
      <c r="AI30" s="448"/>
      <c r="AJ30" s="448"/>
      <c r="AK30" s="448"/>
      <c r="AL30" s="448"/>
      <c r="AM30" s="448"/>
      <c r="AN30" s="448"/>
      <c r="AO30" s="448"/>
      <c r="AP30" s="448"/>
      <c r="AQ30" s="448"/>
      <c r="AR30" s="448"/>
      <c r="AS30" s="448"/>
      <c r="AT30" s="448"/>
      <c r="AU30" s="448"/>
      <c r="AV30" s="448"/>
      <c r="AW30" s="448"/>
      <c r="AX30" s="448"/>
      <c r="AY30" s="448"/>
      <c r="AZ30" s="448"/>
      <c r="BA30" s="448"/>
      <c r="BB30" s="448"/>
      <c r="BC30" s="448"/>
      <c r="BD30" s="448"/>
      <c r="BE30" s="448"/>
      <c r="BF30" s="448"/>
      <c r="BG30" s="448"/>
      <c r="BH30" s="448"/>
      <c r="BI30" s="448"/>
      <c r="BJ30" s="448"/>
      <c r="BK30" s="448"/>
      <c r="BL30" s="448"/>
      <c r="BM30" s="448"/>
      <c r="BN30" s="448"/>
      <c r="BO30" s="448"/>
      <c r="BP30" s="448"/>
      <c r="BQ30" s="448"/>
      <c r="BR30" s="448"/>
      <c r="BS30" s="448"/>
      <c r="BT30" s="448"/>
    </row>
    <row r="31" spans="1:72" s="514" customFormat="1" ht="15.75" customHeight="1">
      <c r="A31" s="397"/>
      <c r="B31" s="398"/>
      <c r="C31" s="399"/>
      <c r="D31" s="399"/>
      <c r="E31" s="399" t="s">
        <v>112</v>
      </c>
      <c r="F31" s="409" t="s">
        <v>98</v>
      </c>
      <c r="G31" s="410">
        <f>3000+1500+834-6</f>
        <v>5328</v>
      </c>
      <c r="H31" s="448"/>
      <c r="I31" s="448"/>
      <c r="J31" s="448"/>
      <c r="K31" s="448"/>
      <c r="L31" s="448"/>
      <c r="M31" s="448"/>
      <c r="N31" s="448"/>
      <c r="O31" s="448"/>
      <c r="P31" s="448"/>
      <c r="Q31" s="448"/>
      <c r="R31" s="448"/>
      <c r="S31" s="448"/>
      <c r="T31" s="448"/>
      <c r="U31" s="448"/>
      <c r="V31" s="448"/>
      <c r="W31" s="448"/>
      <c r="X31" s="448"/>
      <c r="Y31" s="448"/>
      <c r="Z31" s="448"/>
      <c r="AA31" s="448"/>
      <c r="AB31" s="448"/>
      <c r="AC31" s="448"/>
      <c r="AD31" s="448"/>
      <c r="AE31" s="448"/>
      <c r="AF31" s="448"/>
      <c r="AG31" s="448"/>
      <c r="AH31" s="448"/>
      <c r="AI31" s="448"/>
      <c r="AJ31" s="448"/>
      <c r="AK31" s="448"/>
      <c r="AL31" s="448"/>
      <c r="AM31" s="448"/>
      <c r="AN31" s="448"/>
      <c r="AO31" s="448"/>
      <c r="AP31" s="448"/>
      <c r="AQ31" s="448"/>
      <c r="AR31" s="448"/>
      <c r="AS31" s="448"/>
      <c r="AT31" s="448"/>
      <c r="AU31" s="448"/>
      <c r="AV31" s="448"/>
      <c r="AW31" s="448"/>
      <c r="AX31" s="448"/>
      <c r="AY31" s="448"/>
      <c r="AZ31" s="448"/>
      <c r="BA31" s="448"/>
      <c r="BB31" s="448"/>
      <c r="BC31" s="448"/>
      <c r="BD31" s="448"/>
      <c r="BE31" s="448"/>
      <c r="BF31" s="448"/>
      <c r="BG31" s="448"/>
      <c r="BH31" s="448"/>
      <c r="BI31" s="448"/>
      <c r="BJ31" s="448"/>
      <c r="BK31" s="448"/>
      <c r="BL31" s="448"/>
      <c r="BM31" s="448"/>
      <c r="BN31" s="448"/>
      <c r="BO31" s="448"/>
      <c r="BP31" s="448"/>
      <c r="BQ31" s="448"/>
      <c r="BR31" s="448"/>
      <c r="BS31" s="448"/>
      <c r="BT31" s="448"/>
    </row>
    <row r="32" spans="1:72" s="514" customFormat="1" ht="15.75" customHeight="1">
      <c r="A32" s="397"/>
      <c r="B32" s="398"/>
      <c r="C32" s="399"/>
      <c r="D32" s="399"/>
      <c r="E32" s="399" t="s">
        <v>117</v>
      </c>
      <c r="F32" s="409" t="s">
        <v>98</v>
      </c>
      <c r="G32" s="410">
        <f>50+6+4</f>
        <v>60</v>
      </c>
      <c r="H32" s="448"/>
      <c r="I32" s="448"/>
      <c r="J32" s="448"/>
      <c r="K32" s="448"/>
      <c r="L32" s="448"/>
      <c r="M32" s="448"/>
      <c r="N32" s="448"/>
      <c r="O32" s="448"/>
      <c r="P32" s="448"/>
      <c r="Q32" s="448"/>
      <c r="R32" s="448"/>
      <c r="S32" s="448"/>
      <c r="T32" s="448"/>
      <c r="U32" s="448"/>
      <c r="V32" s="448"/>
      <c r="W32" s="448"/>
      <c r="X32" s="448"/>
      <c r="Y32" s="448"/>
      <c r="Z32" s="448"/>
      <c r="AA32" s="448"/>
      <c r="AB32" s="448"/>
      <c r="AC32" s="448"/>
      <c r="AD32" s="448"/>
      <c r="AE32" s="448"/>
      <c r="AF32" s="448"/>
      <c r="AG32" s="448"/>
      <c r="AH32" s="448"/>
      <c r="AI32" s="448"/>
      <c r="AJ32" s="448"/>
      <c r="AK32" s="448"/>
      <c r="AL32" s="448"/>
      <c r="AM32" s="448"/>
      <c r="AN32" s="448"/>
      <c r="AO32" s="448"/>
      <c r="AP32" s="448"/>
      <c r="AQ32" s="448"/>
      <c r="AR32" s="448"/>
      <c r="AS32" s="448"/>
      <c r="AT32" s="448"/>
      <c r="AU32" s="448"/>
      <c r="AV32" s="448"/>
      <c r="AW32" s="448"/>
      <c r="AX32" s="448"/>
      <c r="AY32" s="448"/>
      <c r="AZ32" s="448"/>
      <c r="BA32" s="448"/>
      <c r="BB32" s="448"/>
      <c r="BC32" s="448"/>
      <c r="BD32" s="448"/>
      <c r="BE32" s="448"/>
      <c r="BF32" s="448"/>
      <c r="BG32" s="448"/>
      <c r="BH32" s="448"/>
      <c r="BI32" s="448"/>
      <c r="BJ32" s="448"/>
      <c r="BK32" s="448"/>
      <c r="BL32" s="448"/>
      <c r="BM32" s="448"/>
      <c r="BN32" s="448"/>
      <c r="BO32" s="448"/>
      <c r="BP32" s="448"/>
      <c r="BQ32" s="448"/>
      <c r="BR32" s="448"/>
      <c r="BS32" s="448"/>
      <c r="BT32" s="448"/>
    </row>
    <row r="33" spans="1:72" s="514" customFormat="1" ht="15.75" customHeight="1">
      <c r="A33" s="397"/>
      <c r="B33" s="398"/>
      <c r="C33" s="399"/>
      <c r="D33" s="399"/>
      <c r="E33" s="399" t="s">
        <v>118</v>
      </c>
      <c r="F33" s="409" t="s">
        <v>98</v>
      </c>
      <c r="G33" s="410">
        <f>10+2</f>
        <v>12</v>
      </c>
      <c r="H33" s="448"/>
      <c r="I33" s="448"/>
      <c r="J33" s="448"/>
      <c r="K33" s="448"/>
      <c r="L33" s="448"/>
      <c r="M33" s="448"/>
      <c r="N33" s="448"/>
      <c r="O33" s="448"/>
      <c r="P33" s="448"/>
      <c r="Q33" s="448"/>
      <c r="R33" s="448"/>
      <c r="S33" s="448"/>
      <c r="T33" s="448"/>
      <c r="U33" s="448"/>
      <c r="V33" s="448"/>
      <c r="W33" s="448"/>
      <c r="X33" s="448"/>
      <c r="Y33" s="448"/>
      <c r="Z33" s="448"/>
      <c r="AA33" s="448"/>
      <c r="AB33" s="448"/>
      <c r="AC33" s="448"/>
      <c r="AD33" s="448"/>
      <c r="AE33" s="448"/>
      <c r="AF33" s="448"/>
      <c r="AG33" s="448"/>
      <c r="AH33" s="448"/>
      <c r="AI33" s="448"/>
      <c r="AJ33" s="448"/>
      <c r="AK33" s="448"/>
      <c r="AL33" s="448"/>
      <c r="AM33" s="448"/>
      <c r="AN33" s="448"/>
      <c r="AO33" s="448"/>
      <c r="AP33" s="448"/>
      <c r="AQ33" s="448"/>
      <c r="AR33" s="448"/>
      <c r="AS33" s="448"/>
      <c r="AT33" s="448"/>
      <c r="AU33" s="448"/>
      <c r="AV33" s="448"/>
      <c r="AW33" s="448"/>
      <c r="AX33" s="448"/>
      <c r="AY33" s="448"/>
      <c r="AZ33" s="448"/>
      <c r="BA33" s="448"/>
      <c r="BB33" s="448"/>
      <c r="BC33" s="448"/>
      <c r="BD33" s="448"/>
      <c r="BE33" s="448"/>
      <c r="BF33" s="448"/>
      <c r="BG33" s="448"/>
      <c r="BH33" s="448"/>
      <c r="BI33" s="448"/>
      <c r="BJ33" s="448"/>
      <c r="BK33" s="448"/>
      <c r="BL33" s="448"/>
      <c r="BM33" s="448"/>
      <c r="BN33" s="448"/>
      <c r="BO33" s="448"/>
      <c r="BP33" s="448"/>
      <c r="BQ33" s="448"/>
      <c r="BR33" s="448"/>
      <c r="BS33" s="448"/>
      <c r="BT33" s="448"/>
    </row>
    <row r="34" spans="1:72" s="514" customFormat="1" ht="15.75" customHeight="1">
      <c r="A34" s="411"/>
      <c r="B34" s="412"/>
      <c r="C34" s="413"/>
      <c r="D34" s="400"/>
      <c r="E34" s="400"/>
      <c r="F34" s="402"/>
      <c r="G34" s="414"/>
      <c r="H34" s="448"/>
      <c r="I34" s="448"/>
      <c r="J34" s="448"/>
      <c r="K34" s="448"/>
      <c r="L34" s="448"/>
      <c r="M34" s="448"/>
      <c r="N34" s="448"/>
      <c r="O34" s="448"/>
      <c r="P34" s="448"/>
      <c r="Q34" s="448"/>
      <c r="R34" s="448"/>
      <c r="S34" s="448"/>
      <c r="T34" s="448"/>
      <c r="U34" s="448"/>
      <c r="V34" s="448"/>
      <c r="W34" s="448"/>
      <c r="X34" s="448"/>
      <c r="Y34" s="448"/>
      <c r="Z34" s="448"/>
      <c r="AA34" s="448"/>
      <c r="AB34" s="448"/>
      <c r="AC34" s="448"/>
      <c r="AD34" s="448"/>
      <c r="AE34" s="448"/>
      <c r="AF34" s="448"/>
      <c r="AG34" s="448"/>
      <c r="AH34" s="448"/>
      <c r="AI34" s="448"/>
      <c r="AJ34" s="448"/>
      <c r="AK34" s="448"/>
      <c r="AL34" s="448"/>
      <c r="AM34" s="448"/>
      <c r="AN34" s="448"/>
      <c r="AO34" s="448"/>
      <c r="AP34" s="448"/>
      <c r="AQ34" s="448"/>
      <c r="AR34" s="448"/>
      <c r="AS34" s="448"/>
      <c r="AT34" s="448"/>
      <c r="AU34" s="448"/>
      <c r="AV34" s="448"/>
      <c r="AW34" s="448"/>
      <c r="AX34" s="448"/>
      <c r="AY34" s="448"/>
      <c r="AZ34" s="448"/>
      <c r="BA34" s="448"/>
      <c r="BB34" s="448"/>
      <c r="BC34" s="448"/>
      <c r="BD34" s="448"/>
      <c r="BE34" s="448"/>
      <c r="BF34" s="448"/>
      <c r="BG34" s="448"/>
      <c r="BH34" s="448"/>
      <c r="BI34" s="448"/>
      <c r="BJ34" s="448"/>
      <c r="BK34" s="448"/>
      <c r="BL34" s="448"/>
      <c r="BM34" s="448"/>
      <c r="BN34" s="448"/>
      <c r="BO34" s="448"/>
      <c r="BP34" s="448"/>
      <c r="BQ34" s="448"/>
      <c r="BR34" s="448"/>
      <c r="BS34" s="448"/>
      <c r="BT34" s="448"/>
    </row>
    <row r="35" spans="1:72" s="514" customFormat="1" ht="15.75" customHeight="1">
      <c r="A35" s="397"/>
      <c r="B35" s="398"/>
      <c r="C35" s="399"/>
      <c r="D35" s="399"/>
      <c r="E35" s="400" t="s">
        <v>107</v>
      </c>
      <c r="F35" s="401">
        <f>18256+224+17560+16800+11120+16640+4200+16080+5040+128+112+10640+128+96</f>
        <v>117024</v>
      </c>
      <c r="G35" s="402" t="s">
        <v>98</v>
      </c>
      <c r="H35" s="448"/>
      <c r="I35" s="448"/>
      <c r="J35" s="448"/>
      <c r="K35" s="448"/>
      <c r="L35" s="448"/>
      <c r="M35" s="448"/>
      <c r="N35" s="448"/>
      <c r="O35" s="448"/>
      <c r="P35" s="448"/>
      <c r="Q35" s="448"/>
      <c r="R35" s="448"/>
      <c r="S35" s="448"/>
      <c r="T35" s="448"/>
      <c r="U35" s="448"/>
      <c r="V35" s="448"/>
      <c r="W35" s="448"/>
      <c r="X35" s="448"/>
      <c r="Y35" s="448"/>
      <c r="Z35" s="448"/>
      <c r="AA35" s="448"/>
      <c r="AB35" s="448"/>
      <c r="AC35" s="448"/>
      <c r="AD35" s="448"/>
      <c r="AE35" s="448"/>
      <c r="AF35" s="448"/>
      <c r="AG35" s="448"/>
      <c r="AH35" s="448"/>
      <c r="AI35" s="448"/>
      <c r="AJ35" s="448"/>
      <c r="AK35" s="448"/>
      <c r="AL35" s="448"/>
      <c r="AM35" s="448"/>
      <c r="AN35" s="448"/>
      <c r="AO35" s="448"/>
      <c r="AP35" s="448"/>
      <c r="AQ35" s="448"/>
      <c r="AR35" s="448"/>
      <c r="AS35" s="448"/>
      <c r="AT35" s="448"/>
      <c r="AU35" s="448"/>
      <c r="AV35" s="448"/>
      <c r="AW35" s="448"/>
      <c r="AX35" s="448"/>
      <c r="AY35" s="448"/>
      <c r="AZ35" s="448"/>
      <c r="BA35" s="448"/>
      <c r="BB35" s="448"/>
      <c r="BC35" s="448"/>
      <c r="BD35" s="448"/>
      <c r="BE35" s="448"/>
      <c r="BF35" s="448"/>
      <c r="BG35" s="448"/>
      <c r="BH35" s="448"/>
      <c r="BI35" s="448"/>
      <c r="BJ35" s="448"/>
      <c r="BK35" s="448"/>
      <c r="BL35" s="448"/>
      <c r="BM35" s="448"/>
      <c r="BN35" s="448"/>
      <c r="BO35" s="448"/>
      <c r="BP35" s="448"/>
      <c r="BQ35" s="448"/>
      <c r="BR35" s="448"/>
      <c r="BS35" s="448"/>
      <c r="BT35" s="448"/>
    </row>
    <row r="36" spans="1:72" s="514" customFormat="1" ht="25.5" customHeight="1">
      <c r="A36" s="403" t="s">
        <v>124</v>
      </c>
      <c r="B36" s="404" t="s">
        <v>125</v>
      </c>
      <c r="C36" s="399" t="s">
        <v>126</v>
      </c>
      <c r="D36" s="399" t="s">
        <v>127</v>
      </c>
      <c r="E36" s="405" t="s">
        <v>98</v>
      </c>
      <c r="F36" s="406" t="s">
        <v>98</v>
      </c>
      <c r="G36" s="407">
        <f>SUM(G38)</f>
        <v>117024</v>
      </c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448"/>
      <c r="Y36" s="448"/>
      <c r="Z36" s="448"/>
      <c r="AA36" s="448"/>
      <c r="AB36" s="448"/>
      <c r="AC36" s="448"/>
      <c r="AD36" s="448"/>
      <c r="AE36" s="448"/>
      <c r="AF36" s="448"/>
      <c r="AG36" s="448"/>
      <c r="AH36" s="448"/>
      <c r="AI36" s="448"/>
      <c r="AJ36" s="448"/>
      <c r="AK36" s="448"/>
      <c r="AL36" s="448"/>
      <c r="AM36" s="448"/>
      <c r="AN36" s="448"/>
      <c r="AO36" s="448"/>
      <c r="AP36" s="448"/>
      <c r="AQ36" s="448"/>
      <c r="AR36" s="448"/>
      <c r="AS36" s="448"/>
      <c r="AT36" s="448"/>
      <c r="AU36" s="448"/>
      <c r="AV36" s="448"/>
      <c r="AW36" s="448"/>
      <c r="AX36" s="448"/>
      <c r="AY36" s="448"/>
      <c r="AZ36" s="448"/>
      <c r="BA36" s="448"/>
      <c r="BB36" s="448"/>
      <c r="BC36" s="448"/>
      <c r="BD36" s="448"/>
      <c r="BE36" s="448"/>
      <c r="BF36" s="448"/>
      <c r="BG36" s="448"/>
      <c r="BH36" s="448"/>
      <c r="BI36" s="448"/>
      <c r="BJ36" s="448"/>
      <c r="BK36" s="448"/>
      <c r="BL36" s="448"/>
      <c r="BM36" s="448"/>
      <c r="BN36" s="448"/>
      <c r="BO36" s="448"/>
      <c r="BP36" s="448"/>
      <c r="BQ36" s="448"/>
      <c r="BR36" s="448"/>
      <c r="BS36" s="448"/>
      <c r="BT36" s="448"/>
    </row>
    <row r="37" spans="1:72" s="514" customFormat="1" ht="10.5" customHeight="1">
      <c r="A37" s="397"/>
      <c r="B37" s="408"/>
      <c r="C37" s="399"/>
      <c r="D37" s="399"/>
      <c r="E37" s="399"/>
      <c r="F37" s="409"/>
      <c r="G37" s="515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448"/>
      <c r="Y37" s="448"/>
      <c r="Z37" s="448"/>
      <c r="AA37" s="448"/>
      <c r="AB37" s="448"/>
      <c r="AC37" s="448"/>
      <c r="AD37" s="448"/>
      <c r="AE37" s="448"/>
      <c r="AF37" s="448"/>
      <c r="AG37" s="448"/>
      <c r="AH37" s="448"/>
      <c r="AI37" s="448"/>
      <c r="AJ37" s="448"/>
      <c r="AK37" s="448"/>
      <c r="AL37" s="448"/>
      <c r="AM37" s="448"/>
      <c r="AN37" s="448"/>
      <c r="AO37" s="448"/>
      <c r="AP37" s="448"/>
      <c r="AQ37" s="448"/>
      <c r="AR37" s="448"/>
      <c r="AS37" s="448"/>
      <c r="AT37" s="448"/>
      <c r="AU37" s="448"/>
      <c r="AV37" s="448"/>
      <c r="AW37" s="448"/>
      <c r="AX37" s="448"/>
      <c r="AY37" s="448"/>
      <c r="AZ37" s="448"/>
      <c r="BA37" s="448"/>
      <c r="BB37" s="448"/>
      <c r="BC37" s="448"/>
      <c r="BD37" s="448"/>
      <c r="BE37" s="448"/>
      <c r="BF37" s="448"/>
      <c r="BG37" s="448"/>
      <c r="BH37" s="448"/>
      <c r="BI37" s="448"/>
      <c r="BJ37" s="448"/>
      <c r="BK37" s="448"/>
      <c r="BL37" s="448"/>
      <c r="BM37" s="448"/>
      <c r="BN37" s="448"/>
      <c r="BO37" s="448"/>
      <c r="BP37" s="448"/>
      <c r="BQ37" s="448"/>
      <c r="BR37" s="448"/>
      <c r="BS37" s="448"/>
      <c r="BT37" s="448"/>
    </row>
    <row r="38" spans="1:72" s="514" customFormat="1" ht="15.75" customHeight="1">
      <c r="A38" s="397"/>
      <c r="B38" s="516" t="s">
        <v>111</v>
      </c>
      <c r="C38" s="399"/>
      <c r="D38" s="399"/>
      <c r="E38" s="399"/>
      <c r="F38" s="409"/>
      <c r="G38" s="515">
        <f>SUM(G39:G41)</f>
        <v>117024</v>
      </c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448"/>
      <c r="Y38" s="448"/>
      <c r="Z38" s="448"/>
      <c r="AA38" s="448"/>
      <c r="AB38" s="448"/>
      <c r="AC38" s="448"/>
      <c r="AD38" s="448"/>
      <c r="AE38" s="448"/>
      <c r="AF38" s="448"/>
      <c r="AG38" s="448"/>
      <c r="AH38" s="448"/>
      <c r="AI38" s="448"/>
      <c r="AJ38" s="448"/>
      <c r="AK38" s="448"/>
      <c r="AL38" s="448"/>
      <c r="AM38" s="448"/>
      <c r="AN38" s="448"/>
      <c r="AO38" s="448"/>
      <c r="AP38" s="448"/>
      <c r="AQ38" s="448"/>
      <c r="AR38" s="448"/>
      <c r="AS38" s="448"/>
      <c r="AT38" s="448"/>
      <c r="AU38" s="448"/>
      <c r="AV38" s="448"/>
      <c r="AW38" s="448"/>
      <c r="AX38" s="448"/>
      <c r="AY38" s="448"/>
      <c r="AZ38" s="448"/>
      <c r="BA38" s="448"/>
      <c r="BB38" s="448"/>
      <c r="BC38" s="448"/>
      <c r="BD38" s="448"/>
      <c r="BE38" s="448"/>
      <c r="BF38" s="448"/>
      <c r="BG38" s="448"/>
      <c r="BH38" s="448"/>
      <c r="BI38" s="448"/>
      <c r="BJ38" s="448"/>
      <c r="BK38" s="448"/>
      <c r="BL38" s="448"/>
      <c r="BM38" s="448"/>
      <c r="BN38" s="448"/>
      <c r="BO38" s="448"/>
      <c r="BP38" s="448"/>
      <c r="BQ38" s="448"/>
      <c r="BR38" s="448"/>
      <c r="BS38" s="448"/>
      <c r="BT38" s="448"/>
    </row>
    <row r="39" spans="1:72" s="514" customFormat="1" ht="15.75" customHeight="1">
      <c r="A39" s="397"/>
      <c r="B39" s="398"/>
      <c r="C39" s="399"/>
      <c r="D39" s="399"/>
      <c r="E39" s="399" t="s">
        <v>128</v>
      </c>
      <c r="F39" s="409" t="s">
        <v>98</v>
      </c>
      <c r="G39" s="410">
        <f>17920+17560+16800+11120+16640+4200+16080+5040+10640</f>
        <v>116000</v>
      </c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448"/>
      <c r="Y39" s="448"/>
      <c r="Z39" s="448"/>
      <c r="AA39" s="448"/>
      <c r="AB39" s="448"/>
      <c r="AC39" s="448"/>
      <c r="AD39" s="448"/>
      <c r="AE39" s="448"/>
      <c r="AF39" s="448"/>
      <c r="AG39" s="448"/>
      <c r="AH39" s="448"/>
      <c r="AI39" s="448"/>
      <c r="AJ39" s="448"/>
      <c r="AK39" s="448"/>
      <c r="AL39" s="448"/>
      <c r="AM39" s="448"/>
      <c r="AN39" s="448"/>
      <c r="AO39" s="448"/>
      <c r="AP39" s="448"/>
      <c r="AQ39" s="448"/>
      <c r="AR39" s="448"/>
      <c r="AS39" s="448"/>
      <c r="AT39" s="448"/>
      <c r="AU39" s="448"/>
      <c r="AV39" s="448"/>
      <c r="AW39" s="448"/>
      <c r="AX39" s="448"/>
      <c r="AY39" s="448"/>
      <c r="AZ39" s="448"/>
      <c r="BA39" s="448"/>
      <c r="BB39" s="448"/>
      <c r="BC39" s="448"/>
      <c r="BD39" s="448"/>
      <c r="BE39" s="448"/>
      <c r="BF39" s="448"/>
      <c r="BG39" s="448"/>
      <c r="BH39" s="448"/>
      <c r="BI39" s="448"/>
      <c r="BJ39" s="448"/>
      <c r="BK39" s="448"/>
      <c r="BL39" s="448"/>
      <c r="BM39" s="448"/>
      <c r="BN39" s="448"/>
      <c r="BO39" s="448"/>
      <c r="BP39" s="448"/>
      <c r="BQ39" s="448"/>
      <c r="BR39" s="448"/>
      <c r="BS39" s="448"/>
      <c r="BT39" s="448"/>
    </row>
    <row r="40" spans="1:72" s="514" customFormat="1" ht="15.75" customHeight="1">
      <c r="A40" s="397"/>
      <c r="B40" s="398"/>
      <c r="C40" s="416"/>
      <c r="D40" s="399"/>
      <c r="E40" s="399" t="s">
        <v>117</v>
      </c>
      <c r="F40" s="409" t="s">
        <v>98</v>
      </c>
      <c r="G40" s="410">
        <f>280+187+107+94+107+80</f>
        <v>855</v>
      </c>
      <c r="H40" s="448"/>
      <c r="I40" s="448"/>
      <c r="J40" s="448"/>
      <c r="K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448"/>
      <c r="Y40" s="448"/>
      <c r="Z40" s="448"/>
      <c r="AA40" s="448"/>
      <c r="AB40" s="448"/>
      <c r="AC40" s="448"/>
      <c r="AD40" s="448"/>
      <c r="AE40" s="448"/>
      <c r="AF40" s="448"/>
      <c r="AG40" s="448"/>
      <c r="AH40" s="448"/>
      <c r="AI40" s="448"/>
      <c r="AJ40" s="448"/>
      <c r="AK40" s="448"/>
      <c r="AL40" s="448"/>
      <c r="AM40" s="448"/>
      <c r="AN40" s="448"/>
      <c r="AO40" s="448"/>
      <c r="AP40" s="448"/>
      <c r="AQ40" s="448"/>
      <c r="AR40" s="448"/>
      <c r="AS40" s="448"/>
      <c r="AT40" s="448"/>
      <c r="AU40" s="448"/>
      <c r="AV40" s="448"/>
      <c r="AW40" s="448"/>
      <c r="AX40" s="448"/>
      <c r="AY40" s="448"/>
      <c r="AZ40" s="448"/>
      <c r="BA40" s="448"/>
      <c r="BB40" s="448"/>
      <c r="BC40" s="448"/>
      <c r="BD40" s="448"/>
      <c r="BE40" s="448"/>
      <c r="BF40" s="448"/>
      <c r="BG40" s="448"/>
      <c r="BH40" s="448"/>
      <c r="BI40" s="448"/>
      <c r="BJ40" s="448"/>
      <c r="BK40" s="448"/>
      <c r="BL40" s="448"/>
      <c r="BM40" s="448"/>
      <c r="BN40" s="448"/>
      <c r="BO40" s="448"/>
      <c r="BP40" s="448"/>
      <c r="BQ40" s="448"/>
      <c r="BR40" s="448"/>
      <c r="BS40" s="448"/>
      <c r="BT40" s="448"/>
    </row>
    <row r="41" spans="1:72" s="514" customFormat="1" ht="15.75" customHeight="1">
      <c r="A41" s="397"/>
      <c r="B41" s="398"/>
      <c r="C41" s="416"/>
      <c r="D41" s="399"/>
      <c r="E41" s="399" t="s">
        <v>118</v>
      </c>
      <c r="F41" s="409" t="s">
        <v>98</v>
      </c>
      <c r="G41" s="410">
        <f>56+37+21+18+21+16</f>
        <v>169</v>
      </c>
      <c r="H41" s="448"/>
      <c r="I41" s="448"/>
      <c r="J41" s="448"/>
      <c r="K41" s="448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448"/>
      <c r="Y41" s="448"/>
      <c r="Z41" s="448"/>
      <c r="AA41" s="448"/>
      <c r="AB41" s="448"/>
      <c r="AC41" s="448"/>
      <c r="AD41" s="448"/>
      <c r="AE41" s="448"/>
      <c r="AF41" s="448"/>
      <c r="AG41" s="448"/>
      <c r="AH41" s="448"/>
      <c r="AI41" s="448"/>
      <c r="AJ41" s="448"/>
      <c r="AK41" s="448"/>
      <c r="AL41" s="448"/>
      <c r="AM41" s="448"/>
      <c r="AN41" s="448"/>
      <c r="AO41" s="448"/>
      <c r="AP41" s="448"/>
      <c r="AQ41" s="448"/>
      <c r="AR41" s="448"/>
      <c r="AS41" s="448"/>
      <c r="AT41" s="448"/>
      <c r="AU41" s="448"/>
      <c r="AV41" s="448"/>
      <c r="AW41" s="448"/>
      <c r="AX41" s="448"/>
      <c r="AY41" s="448"/>
      <c r="AZ41" s="448"/>
      <c r="BA41" s="448"/>
      <c r="BB41" s="448"/>
      <c r="BC41" s="448"/>
      <c r="BD41" s="448"/>
      <c r="BE41" s="448"/>
      <c r="BF41" s="448"/>
      <c r="BG41" s="448"/>
      <c r="BH41" s="448"/>
      <c r="BI41" s="448"/>
      <c r="BJ41" s="448"/>
      <c r="BK41" s="448"/>
      <c r="BL41" s="448"/>
      <c r="BM41" s="448"/>
      <c r="BN41" s="448"/>
      <c r="BO41" s="448"/>
      <c r="BP41" s="448"/>
      <c r="BQ41" s="448"/>
      <c r="BR41" s="448"/>
      <c r="BS41" s="448"/>
      <c r="BT41" s="448"/>
    </row>
    <row r="42" spans="1:72" s="514" customFormat="1" ht="15.75" customHeight="1">
      <c r="A42" s="411"/>
      <c r="B42" s="412"/>
      <c r="C42" s="413"/>
      <c r="D42" s="400"/>
      <c r="E42" s="400"/>
      <c r="F42" s="402"/>
      <c r="G42" s="414"/>
      <c r="H42" s="448"/>
      <c r="I42" s="448"/>
      <c r="J42" s="448"/>
      <c r="K42" s="448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448"/>
      <c r="Y42" s="448"/>
      <c r="Z42" s="448"/>
      <c r="AA42" s="448"/>
      <c r="AB42" s="448"/>
      <c r="AC42" s="448"/>
      <c r="AD42" s="448"/>
      <c r="AE42" s="448"/>
      <c r="AF42" s="448"/>
      <c r="AG42" s="448"/>
      <c r="AH42" s="448"/>
      <c r="AI42" s="448"/>
      <c r="AJ42" s="448"/>
      <c r="AK42" s="448"/>
      <c r="AL42" s="448"/>
      <c r="AM42" s="448"/>
      <c r="AN42" s="448"/>
      <c r="AO42" s="448"/>
      <c r="AP42" s="448"/>
      <c r="AQ42" s="448"/>
      <c r="AR42" s="448"/>
      <c r="AS42" s="448"/>
      <c r="AT42" s="448"/>
      <c r="AU42" s="448"/>
      <c r="AV42" s="448"/>
      <c r="AW42" s="448"/>
      <c r="AX42" s="448"/>
      <c r="AY42" s="448"/>
      <c r="AZ42" s="448"/>
      <c r="BA42" s="448"/>
      <c r="BB42" s="448"/>
      <c r="BC42" s="448"/>
      <c r="BD42" s="448"/>
      <c r="BE42" s="448"/>
      <c r="BF42" s="448"/>
      <c r="BG42" s="448"/>
      <c r="BH42" s="448"/>
      <c r="BI42" s="448"/>
      <c r="BJ42" s="448"/>
      <c r="BK42" s="448"/>
      <c r="BL42" s="448"/>
      <c r="BM42" s="448"/>
      <c r="BN42" s="448"/>
      <c r="BO42" s="448"/>
      <c r="BP42" s="448"/>
      <c r="BQ42" s="448"/>
      <c r="BR42" s="448"/>
      <c r="BS42" s="448"/>
      <c r="BT42" s="448"/>
    </row>
    <row r="43" spans="1:72" s="514" customFormat="1" ht="15.75" customHeight="1">
      <c r="A43" s="397"/>
      <c r="B43" s="398"/>
      <c r="C43" s="399"/>
      <c r="D43" s="399"/>
      <c r="E43" s="400" t="s">
        <v>107</v>
      </c>
      <c r="F43" s="401">
        <f>105120+107820+102660+108180+102720+94440+76200</f>
        <v>697140</v>
      </c>
      <c r="G43" s="402" t="s">
        <v>98</v>
      </c>
      <c r="H43" s="448"/>
      <c r="I43" s="448"/>
      <c r="J43" s="448"/>
      <c r="K43" s="448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448"/>
      <c r="Y43" s="448"/>
      <c r="Z43" s="448"/>
      <c r="AA43" s="448"/>
      <c r="AB43" s="448"/>
      <c r="AC43" s="448"/>
      <c r="AD43" s="448"/>
      <c r="AE43" s="448"/>
      <c r="AF43" s="448"/>
      <c r="AG43" s="448"/>
      <c r="AH43" s="448"/>
      <c r="AI43" s="448"/>
      <c r="AJ43" s="448"/>
      <c r="AK43" s="448"/>
      <c r="AL43" s="448"/>
      <c r="AM43" s="448"/>
      <c r="AN43" s="448"/>
      <c r="AO43" s="448"/>
      <c r="AP43" s="448"/>
      <c r="AQ43" s="448"/>
      <c r="AR43" s="448"/>
      <c r="AS43" s="448"/>
      <c r="AT43" s="448"/>
      <c r="AU43" s="448"/>
      <c r="AV43" s="448"/>
      <c r="AW43" s="448"/>
      <c r="AX43" s="448"/>
      <c r="AY43" s="448"/>
      <c r="AZ43" s="448"/>
      <c r="BA43" s="448"/>
      <c r="BB43" s="448"/>
      <c r="BC43" s="448"/>
      <c r="BD43" s="448"/>
      <c r="BE43" s="448"/>
      <c r="BF43" s="448"/>
      <c r="BG43" s="448"/>
      <c r="BH43" s="448"/>
      <c r="BI43" s="448"/>
      <c r="BJ43" s="448"/>
      <c r="BK43" s="448"/>
      <c r="BL43" s="448"/>
      <c r="BM43" s="448"/>
      <c r="BN43" s="448"/>
      <c r="BO43" s="448"/>
      <c r="BP43" s="448"/>
      <c r="BQ43" s="448"/>
      <c r="BR43" s="448"/>
      <c r="BS43" s="448"/>
      <c r="BT43" s="448"/>
    </row>
    <row r="44" spans="1:72" s="514" customFormat="1" ht="23.25" customHeight="1">
      <c r="A44" s="403" t="s">
        <v>129</v>
      </c>
      <c r="B44" s="404" t="s">
        <v>130</v>
      </c>
      <c r="C44" s="399" t="s">
        <v>126</v>
      </c>
      <c r="D44" s="399" t="s">
        <v>127</v>
      </c>
      <c r="E44" s="405" t="s">
        <v>98</v>
      </c>
      <c r="F44" s="406" t="s">
        <v>98</v>
      </c>
      <c r="G44" s="407">
        <f>SUM(G46,G49)</f>
        <v>697140</v>
      </c>
      <c r="H44" s="448"/>
      <c r="I44" s="448"/>
      <c r="J44" s="448"/>
      <c r="K44" s="448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8"/>
      <c r="AK44" s="448"/>
      <c r="AL44" s="448"/>
      <c r="AM44" s="448"/>
      <c r="AN44" s="448"/>
      <c r="AO44" s="448"/>
      <c r="AP44" s="448"/>
      <c r="AQ44" s="448"/>
      <c r="AR44" s="448"/>
      <c r="AS44" s="448"/>
      <c r="AT44" s="448"/>
      <c r="AU44" s="448"/>
      <c r="AV44" s="448"/>
      <c r="AW44" s="448"/>
      <c r="AX44" s="448"/>
      <c r="AY44" s="448"/>
      <c r="AZ44" s="448"/>
      <c r="BA44" s="448"/>
      <c r="BB44" s="448"/>
      <c r="BC44" s="448"/>
      <c r="BD44" s="448"/>
      <c r="BE44" s="448"/>
      <c r="BF44" s="448"/>
      <c r="BG44" s="448"/>
      <c r="BH44" s="448"/>
      <c r="BI44" s="448"/>
      <c r="BJ44" s="448"/>
      <c r="BK44" s="448"/>
      <c r="BL44" s="448"/>
      <c r="BM44" s="448"/>
      <c r="BN44" s="448"/>
      <c r="BO44" s="448"/>
      <c r="BP44" s="448"/>
      <c r="BQ44" s="448"/>
      <c r="BR44" s="448"/>
      <c r="BS44" s="448"/>
      <c r="BT44" s="448"/>
    </row>
    <row r="45" spans="1:72" s="514" customFormat="1" ht="9.75" customHeight="1">
      <c r="A45" s="397"/>
      <c r="B45" s="408"/>
      <c r="C45" s="399"/>
      <c r="D45" s="399"/>
      <c r="E45" s="399"/>
      <c r="F45" s="409"/>
      <c r="G45" s="515"/>
      <c r="H45" s="448"/>
      <c r="I45" s="448"/>
      <c r="J45" s="448"/>
      <c r="K45" s="448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8"/>
      <c r="AK45" s="448"/>
      <c r="AL45" s="448"/>
      <c r="AM45" s="448"/>
      <c r="AN45" s="448"/>
      <c r="AO45" s="448"/>
      <c r="AP45" s="448"/>
      <c r="AQ45" s="448"/>
      <c r="AR45" s="448"/>
      <c r="AS45" s="448"/>
      <c r="AT45" s="448"/>
      <c r="AU45" s="448"/>
      <c r="AV45" s="448"/>
      <c r="AW45" s="448"/>
      <c r="AX45" s="448"/>
      <c r="AY45" s="448"/>
      <c r="AZ45" s="448"/>
      <c r="BA45" s="448"/>
      <c r="BB45" s="448"/>
      <c r="BC45" s="448"/>
      <c r="BD45" s="448"/>
      <c r="BE45" s="448"/>
      <c r="BF45" s="448"/>
      <c r="BG45" s="448"/>
      <c r="BH45" s="448"/>
      <c r="BI45" s="448"/>
      <c r="BJ45" s="448"/>
      <c r="BK45" s="448"/>
      <c r="BL45" s="448"/>
      <c r="BM45" s="448"/>
      <c r="BN45" s="448"/>
      <c r="BO45" s="448"/>
      <c r="BP45" s="448"/>
      <c r="BQ45" s="448"/>
      <c r="BR45" s="448"/>
      <c r="BS45" s="448"/>
      <c r="BT45" s="448"/>
    </row>
    <row r="46" spans="1:72" s="514" customFormat="1" ht="25.5" customHeight="1">
      <c r="A46" s="397"/>
      <c r="B46" s="517" t="s">
        <v>131</v>
      </c>
      <c r="C46" s="399"/>
      <c r="D46" s="399"/>
      <c r="E46" s="399"/>
      <c r="F46" s="409"/>
      <c r="G46" s="515">
        <f>SUM(G47:G47)</f>
        <v>463780.47000000003</v>
      </c>
      <c r="H46" s="448"/>
      <c r="I46" s="448"/>
      <c r="J46" s="448"/>
      <c r="K46" s="448"/>
      <c r="L46" s="448"/>
      <c r="M46" s="448"/>
      <c r="N46" s="448"/>
      <c r="O46" s="448"/>
      <c r="P46" s="448"/>
      <c r="Q46" s="448"/>
      <c r="R46" s="448"/>
      <c r="S46" s="448"/>
      <c r="T46" s="448"/>
      <c r="U46" s="448"/>
      <c r="V46" s="448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8"/>
      <c r="AK46" s="448"/>
      <c r="AL46" s="448"/>
      <c r="AM46" s="448"/>
      <c r="AN46" s="448"/>
      <c r="AO46" s="448"/>
      <c r="AP46" s="448"/>
      <c r="AQ46" s="448"/>
      <c r="AR46" s="448"/>
      <c r="AS46" s="448"/>
      <c r="AT46" s="448"/>
      <c r="AU46" s="448"/>
      <c r="AV46" s="448"/>
      <c r="AW46" s="448"/>
      <c r="AX46" s="448"/>
      <c r="AY46" s="448"/>
      <c r="AZ46" s="448"/>
      <c r="BA46" s="448"/>
      <c r="BB46" s="448"/>
      <c r="BC46" s="448"/>
      <c r="BD46" s="448"/>
      <c r="BE46" s="448"/>
      <c r="BF46" s="448"/>
      <c r="BG46" s="448"/>
      <c r="BH46" s="448"/>
      <c r="BI46" s="448"/>
      <c r="BJ46" s="448"/>
      <c r="BK46" s="448"/>
      <c r="BL46" s="448"/>
      <c r="BM46" s="448"/>
      <c r="BN46" s="448"/>
      <c r="BO46" s="448"/>
      <c r="BP46" s="448"/>
      <c r="BQ46" s="448"/>
      <c r="BR46" s="448"/>
      <c r="BS46" s="448"/>
      <c r="BT46" s="448"/>
    </row>
    <row r="47" spans="1:72" s="514" customFormat="1" ht="15.75" customHeight="1">
      <c r="A47" s="397"/>
      <c r="B47" s="398"/>
      <c r="C47" s="399"/>
      <c r="D47" s="399"/>
      <c r="E47" s="399" t="s">
        <v>132</v>
      </c>
      <c r="F47" s="409" t="s">
        <v>98</v>
      </c>
      <c r="G47" s="410">
        <f>105120-37494.56+107820-44448.61+102660-35221.28+108180-38175.06+102720-26323.42+94440-24874.84+76200-24896.8-1924.96</f>
        <v>463780.47000000003</v>
      </c>
      <c r="H47" s="448"/>
      <c r="I47" s="448"/>
      <c r="J47" s="448"/>
      <c r="K47" s="448"/>
      <c r="L47" s="448"/>
      <c r="M47" s="448"/>
      <c r="N47" s="448"/>
      <c r="O47" s="448"/>
      <c r="P47" s="448"/>
      <c r="Q47" s="448"/>
      <c r="R47" s="448"/>
      <c r="S47" s="448"/>
      <c r="T47" s="448"/>
      <c r="U47" s="448"/>
      <c r="V47" s="448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8"/>
      <c r="AK47" s="448"/>
      <c r="AL47" s="448"/>
      <c r="AM47" s="448"/>
      <c r="AN47" s="448"/>
      <c r="AO47" s="448"/>
      <c r="AP47" s="448"/>
      <c r="AQ47" s="448"/>
      <c r="AR47" s="448"/>
      <c r="AS47" s="448"/>
      <c r="AT47" s="448"/>
      <c r="AU47" s="448"/>
      <c r="AV47" s="448"/>
      <c r="AW47" s="448"/>
      <c r="AX47" s="448"/>
      <c r="AY47" s="448"/>
      <c r="AZ47" s="448"/>
      <c r="BA47" s="448"/>
      <c r="BB47" s="448"/>
      <c r="BC47" s="448"/>
      <c r="BD47" s="448"/>
      <c r="BE47" s="448"/>
      <c r="BF47" s="448"/>
      <c r="BG47" s="448"/>
      <c r="BH47" s="448"/>
      <c r="BI47" s="448"/>
      <c r="BJ47" s="448"/>
      <c r="BK47" s="448"/>
      <c r="BL47" s="448"/>
      <c r="BM47" s="448"/>
      <c r="BN47" s="448"/>
      <c r="BO47" s="448"/>
      <c r="BP47" s="448"/>
      <c r="BQ47" s="448"/>
      <c r="BR47" s="448"/>
      <c r="BS47" s="448"/>
      <c r="BT47" s="448"/>
    </row>
    <row r="48" spans="1:72" s="514" customFormat="1" ht="15.75" customHeight="1">
      <c r="A48" s="411"/>
      <c r="B48" s="412"/>
      <c r="C48" s="413"/>
      <c r="D48" s="400"/>
      <c r="E48" s="400"/>
      <c r="F48" s="402"/>
      <c r="G48" s="414"/>
      <c r="H48" s="448"/>
      <c r="I48" s="448"/>
      <c r="J48" s="448"/>
      <c r="K48" s="448"/>
      <c r="L48" s="448"/>
      <c r="M48" s="448"/>
      <c r="N48" s="448"/>
      <c r="O48" s="448"/>
      <c r="P48" s="448"/>
      <c r="Q48" s="448"/>
      <c r="R48" s="448"/>
      <c r="S48" s="448"/>
      <c r="T48" s="448"/>
      <c r="U48" s="448"/>
      <c r="V48" s="448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8"/>
      <c r="AK48" s="448"/>
      <c r="AL48" s="448"/>
      <c r="AM48" s="448"/>
      <c r="AN48" s="448"/>
      <c r="AO48" s="448"/>
      <c r="AP48" s="448"/>
      <c r="AQ48" s="448"/>
      <c r="AR48" s="448"/>
      <c r="AS48" s="448"/>
      <c r="AT48" s="448"/>
      <c r="AU48" s="448"/>
      <c r="AV48" s="448"/>
      <c r="AW48" s="448"/>
      <c r="AX48" s="448"/>
      <c r="AY48" s="448"/>
      <c r="AZ48" s="448"/>
      <c r="BA48" s="448"/>
      <c r="BB48" s="448"/>
      <c r="BC48" s="448"/>
      <c r="BD48" s="448"/>
      <c r="BE48" s="448"/>
      <c r="BF48" s="448"/>
      <c r="BG48" s="448"/>
      <c r="BH48" s="448"/>
      <c r="BI48" s="448"/>
      <c r="BJ48" s="448"/>
      <c r="BK48" s="448"/>
      <c r="BL48" s="448"/>
      <c r="BM48" s="448"/>
      <c r="BN48" s="448"/>
      <c r="BO48" s="448"/>
      <c r="BP48" s="448"/>
      <c r="BQ48" s="448"/>
      <c r="BR48" s="448"/>
      <c r="BS48" s="448"/>
      <c r="BT48" s="448"/>
    </row>
    <row r="49" spans="1:72" s="514" customFormat="1" ht="20.25" customHeight="1">
      <c r="A49" s="397"/>
      <c r="B49" s="516" t="s">
        <v>133</v>
      </c>
      <c r="C49" s="399"/>
      <c r="D49" s="399"/>
      <c r="E49" s="399"/>
      <c r="F49" s="409"/>
      <c r="G49" s="515">
        <f>SUM(G50:G51)</f>
        <v>233359.53</v>
      </c>
      <c r="H49" s="448"/>
      <c r="I49" s="448"/>
      <c r="J49" s="448"/>
      <c r="K49" s="448"/>
      <c r="L49" s="448"/>
      <c r="M49" s="448"/>
      <c r="N49" s="448"/>
      <c r="O49" s="448"/>
      <c r="P49" s="448"/>
      <c r="Q49" s="448"/>
      <c r="R49" s="448"/>
      <c r="S49" s="448"/>
      <c r="T49" s="448"/>
      <c r="U49" s="448"/>
      <c r="V49" s="448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8"/>
      <c r="AK49" s="448"/>
      <c r="AL49" s="448"/>
      <c r="AM49" s="448"/>
      <c r="AN49" s="448"/>
      <c r="AO49" s="448"/>
      <c r="AP49" s="448"/>
      <c r="AQ49" s="448"/>
      <c r="AR49" s="448"/>
      <c r="AS49" s="448"/>
      <c r="AT49" s="448"/>
      <c r="AU49" s="448"/>
      <c r="AV49" s="448"/>
      <c r="AW49" s="448"/>
      <c r="AX49" s="448"/>
      <c r="AY49" s="448"/>
      <c r="AZ49" s="448"/>
      <c r="BA49" s="448"/>
      <c r="BB49" s="448"/>
      <c r="BC49" s="448"/>
      <c r="BD49" s="448"/>
      <c r="BE49" s="448"/>
      <c r="BF49" s="448"/>
      <c r="BG49" s="448"/>
      <c r="BH49" s="448"/>
      <c r="BI49" s="448"/>
      <c r="BJ49" s="448"/>
      <c r="BK49" s="448"/>
      <c r="BL49" s="448"/>
      <c r="BM49" s="448"/>
      <c r="BN49" s="448"/>
      <c r="BO49" s="448"/>
      <c r="BP49" s="448"/>
      <c r="BQ49" s="448"/>
      <c r="BR49" s="448"/>
      <c r="BS49" s="448"/>
      <c r="BT49" s="448"/>
    </row>
    <row r="50" spans="1:72" s="514" customFormat="1" ht="15.75" customHeight="1">
      <c r="A50" s="397"/>
      <c r="B50" s="398"/>
      <c r="C50" s="416"/>
      <c r="D50" s="399"/>
      <c r="E50" s="399" t="s">
        <v>132</v>
      </c>
      <c r="F50" s="409" t="s">
        <v>98</v>
      </c>
      <c r="G50" s="410">
        <f>1695.66+1495.29+2579.3+1430.37+1468.92+10910.33+12582.72</f>
        <v>32162.590000000004</v>
      </c>
      <c r="H50" s="448"/>
      <c r="I50" s="448"/>
      <c r="J50" s="448"/>
      <c r="K50" s="448"/>
      <c r="L50" s="448"/>
      <c r="M50" s="448"/>
      <c r="N50" s="448"/>
      <c r="O50" s="448"/>
      <c r="P50" s="448"/>
      <c r="Q50" s="448"/>
      <c r="R50" s="448"/>
      <c r="S50" s="448"/>
      <c r="T50" s="448"/>
      <c r="U50" s="448"/>
      <c r="V50" s="448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8"/>
      <c r="AK50" s="448"/>
      <c r="AL50" s="448"/>
      <c r="AM50" s="448"/>
      <c r="AN50" s="448"/>
      <c r="AO50" s="448"/>
      <c r="AP50" s="448"/>
      <c r="AQ50" s="448"/>
      <c r="AR50" s="448"/>
      <c r="AS50" s="448"/>
      <c r="AT50" s="448"/>
      <c r="AU50" s="448"/>
      <c r="AV50" s="448"/>
      <c r="AW50" s="448"/>
      <c r="AX50" s="448"/>
      <c r="AY50" s="448"/>
      <c r="AZ50" s="448"/>
      <c r="BA50" s="448"/>
      <c r="BB50" s="448"/>
      <c r="BC50" s="448"/>
      <c r="BD50" s="448"/>
      <c r="BE50" s="448"/>
      <c r="BF50" s="448"/>
      <c r="BG50" s="448"/>
      <c r="BH50" s="448"/>
      <c r="BI50" s="448"/>
      <c r="BJ50" s="448"/>
      <c r="BK50" s="448"/>
      <c r="BL50" s="448"/>
      <c r="BM50" s="448"/>
      <c r="BN50" s="448"/>
      <c r="BO50" s="448"/>
      <c r="BP50" s="448"/>
      <c r="BQ50" s="448"/>
      <c r="BR50" s="448"/>
      <c r="BS50" s="448"/>
      <c r="BT50" s="448"/>
    </row>
    <row r="51" spans="1:72" s="514" customFormat="1" ht="15.75" customHeight="1">
      <c r="A51" s="397"/>
      <c r="B51" s="398"/>
      <c r="C51" s="416"/>
      <c r="D51" s="399"/>
      <c r="E51" s="399" t="s">
        <v>119</v>
      </c>
      <c r="F51" s="409" t="s">
        <v>98</v>
      </c>
      <c r="G51" s="410">
        <f>35798.9+42953.32+32641.98+36744.69+24854.5+13964.51+12314.08+1924.96</f>
        <v>201196.94</v>
      </c>
      <c r="H51" s="448"/>
      <c r="I51" s="448"/>
      <c r="J51" s="448"/>
      <c r="K51" s="448"/>
      <c r="L51" s="448"/>
      <c r="M51" s="448"/>
      <c r="N51" s="448"/>
      <c r="O51" s="448"/>
      <c r="P51" s="448"/>
      <c r="Q51" s="448"/>
      <c r="R51" s="448"/>
      <c r="S51" s="448"/>
      <c r="T51" s="448"/>
      <c r="U51" s="448"/>
      <c r="V51" s="448"/>
      <c r="W51" s="448"/>
      <c r="X51" s="448"/>
      <c r="Y51" s="448"/>
      <c r="Z51" s="448"/>
      <c r="AA51" s="448"/>
      <c r="AB51" s="448"/>
      <c r="AC51" s="448"/>
      <c r="AD51" s="448"/>
      <c r="AE51" s="448"/>
      <c r="AF51" s="448"/>
      <c r="AG51" s="448"/>
      <c r="AH51" s="448"/>
      <c r="AI51" s="448"/>
      <c r="AJ51" s="448"/>
      <c r="AK51" s="448"/>
      <c r="AL51" s="448"/>
      <c r="AM51" s="448"/>
      <c r="AN51" s="448"/>
      <c r="AO51" s="448"/>
      <c r="AP51" s="448"/>
      <c r="AQ51" s="448"/>
      <c r="AR51" s="448"/>
      <c r="AS51" s="448"/>
      <c r="AT51" s="448"/>
      <c r="AU51" s="448"/>
      <c r="AV51" s="448"/>
      <c r="AW51" s="448"/>
      <c r="AX51" s="448"/>
      <c r="AY51" s="448"/>
      <c r="AZ51" s="448"/>
      <c r="BA51" s="448"/>
      <c r="BB51" s="448"/>
      <c r="BC51" s="448"/>
      <c r="BD51" s="448"/>
      <c r="BE51" s="448"/>
      <c r="BF51" s="448"/>
      <c r="BG51" s="448"/>
      <c r="BH51" s="448"/>
      <c r="BI51" s="448"/>
      <c r="BJ51" s="448"/>
      <c r="BK51" s="448"/>
      <c r="BL51" s="448"/>
      <c r="BM51" s="448"/>
      <c r="BN51" s="448"/>
      <c r="BO51" s="448"/>
      <c r="BP51" s="448"/>
      <c r="BQ51" s="448"/>
      <c r="BR51" s="448"/>
      <c r="BS51" s="448"/>
      <c r="BT51" s="448"/>
    </row>
    <row r="52" spans="1:72" s="514" customFormat="1" ht="8.25" customHeight="1">
      <c r="A52" s="411"/>
      <c r="B52" s="412"/>
      <c r="C52" s="413"/>
      <c r="D52" s="400"/>
      <c r="E52" s="400"/>
      <c r="F52" s="402"/>
      <c r="G52" s="414"/>
      <c r="H52" s="448"/>
      <c r="I52" s="448"/>
      <c r="J52" s="448"/>
      <c r="K52" s="448"/>
      <c r="L52" s="448"/>
      <c r="M52" s="448"/>
      <c r="N52" s="448"/>
      <c r="O52" s="448"/>
      <c r="P52" s="448"/>
      <c r="Q52" s="448"/>
      <c r="R52" s="448"/>
      <c r="S52" s="448"/>
      <c r="T52" s="448"/>
      <c r="U52" s="448"/>
      <c r="V52" s="448"/>
      <c r="W52" s="448"/>
      <c r="X52" s="448"/>
      <c r="Y52" s="448"/>
      <c r="Z52" s="448"/>
      <c r="AA52" s="448"/>
      <c r="AB52" s="448"/>
      <c r="AC52" s="448"/>
      <c r="AD52" s="448"/>
      <c r="AE52" s="448"/>
      <c r="AF52" s="448"/>
      <c r="AG52" s="448"/>
      <c r="AH52" s="448"/>
      <c r="AI52" s="448"/>
      <c r="AJ52" s="448"/>
      <c r="AK52" s="448"/>
      <c r="AL52" s="448"/>
      <c r="AM52" s="448"/>
      <c r="AN52" s="448"/>
      <c r="AO52" s="448"/>
      <c r="AP52" s="448"/>
      <c r="AQ52" s="448"/>
      <c r="AR52" s="448"/>
      <c r="AS52" s="448"/>
      <c r="AT52" s="448"/>
      <c r="AU52" s="448"/>
      <c r="AV52" s="448"/>
      <c r="AW52" s="448"/>
      <c r="AX52" s="448"/>
      <c r="AY52" s="448"/>
      <c r="AZ52" s="448"/>
      <c r="BA52" s="448"/>
      <c r="BB52" s="448"/>
      <c r="BC52" s="448"/>
      <c r="BD52" s="448"/>
      <c r="BE52" s="448"/>
      <c r="BF52" s="448"/>
      <c r="BG52" s="448"/>
      <c r="BH52" s="448"/>
      <c r="BI52" s="448"/>
      <c r="BJ52" s="448"/>
      <c r="BK52" s="448"/>
      <c r="BL52" s="448"/>
      <c r="BM52" s="448"/>
      <c r="BN52" s="448"/>
      <c r="BO52" s="448"/>
      <c r="BP52" s="448"/>
      <c r="BQ52" s="448"/>
      <c r="BR52" s="448"/>
      <c r="BS52" s="448"/>
      <c r="BT52" s="448"/>
    </row>
    <row r="53" spans="1:72" s="514" customFormat="1" ht="15.75" customHeight="1">
      <c r="A53" s="397"/>
      <c r="B53" s="398"/>
      <c r="C53" s="399"/>
      <c r="D53" s="399"/>
      <c r="E53" s="400" t="s">
        <v>107</v>
      </c>
      <c r="F53" s="401">
        <f>230+230+230+230+230+230+230+230+230</f>
        <v>2070</v>
      </c>
      <c r="G53" s="402" t="s">
        <v>98</v>
      </c>
      <c r="H53" s="448"/>
      <c r="I53" s="448"/>
      <c r="J53" s="448"/>
      <c r="K53" s="448"/>
      <c r="L53" s="448"/>
      <c r="M53" s="448"/>
      <c r="N53" s="448"/>
      <c r="O53" s="448"/>
      <c r="P53" s="448"/>
      <c r="Q53" s="448"/>
      <c r="R53" s="448"/>
      <c r="S53" s="448"/>
      <c r="T53" s="448"/>
      <c r="U53" s="448"/>
      <c r="V53" s="448"/>
      <c r="W53" s="448"/>
      <c r="X53" s="448"/>
      <c r="Y53" s="448"/>
      <c r="Z53" s="448"/>
      <c r="AA53" s="448"/>
      <c r="AB53" s="448"/>
      <c r="AC53" s="448"/>
      <c r="AD53" s="448"/>
      <c r="AE53" s="448"/>
      <c r="AF53" s="448"/>
      <c r="AG53" s="448"/>
      <c r="AH53" s="448"/>
      <c r="AI53" s="448"/>
      <c r="AJ53" s="448"/>
      <c r="AK53" s="448"/>
      <c r="AL53" s="448"/>
      <c r="AM53" s="448"/>
      <c r="AN53" s="448"/>
      <c r="AO53" s="448"/>
      <c r="AP53" s="448"/>
      <c r="AQ53" s="448"/>
      <c r="AR53" s="448"/>
      <c r="AS53" s="448"/>
      <c r="AT53" s="448"/>
      <c r="AU53" s="448"/>
      <c r="AV53" s="448"/>
      <c r="AW53" s="448"/>
      <c r="AX53" s="448"/>
      <c r="AY53" s="448"/>
      <c r="AZ53" s="448"/>
      <c r="BA53" s="448"/>
      <c r="BB53" s="448"/>
      <c r="BC53" s="448"/>
      <c r="BD53" s="448"/>
      <c r="BE53" s="448"/>
      <c r="BF53" s="448"/>
      <c r="BG53" s="448"/>
      <c r="BH53" s="448"/>
      <c r="BI53" s="448"/>
      <c r="BJ53" s="448"/>
      <c r="BK53" s="448"/>
      <c r="BL53" s="448"/>
      <c r="BM53" s="448"/>
      <c r="BN53" s="448"/>
      <c r="BO53" s="448"/>
      <c r="BP53" s="448"/>
      <c r="BQ53" s="448"/>
      <c r="BR53" s="448"/>
      <c r="BS53" s="448"/>
      <c r="BT53" s="448"/>
    </row>
    <row r="54" spans="1:72" s="514" customFormat="1" ht="37.5" customHeight="1">
      <c r="A54" s="403" t="s">
        <v>134</v>
      </c>
      <c r="B54" s="404" t="s">
        <v>135</v>
      </c>
      <c r="C54" s="399" t="s">
        <v>122</v>
      </c>
      <c r="D54" s="399" t="s">
        <v>136</v>
      </c>
      <c r="E54" s="405" t="s">
        <v>98</v>
      </c>
      <c r="F54" s="406" t="s">
        <v>98</v>
      </c>
      <c r="G54" s="407">
        <f>SUM(G56)</f>
        <v>2070</v>
      </c>
      <c r="H54" s="448"/>
      <c r="I54" s="448"/>
      <c r="J54" s="448"/>
      <c r="K54" s="448"/>
      <c r="L54" s="448"/>
      <c r="M54" s="448"/>
      <c r="N54" s="448"/>
      <c r="O54" s="448"/>
      <c r="P54" s="448"/>
      <c r="Q54" s="448"/>
      <c r="R54" s="448"/>
      <c r="S54" s="448"/>
      <c r="T54" s="448"/>
      <c r="U54" s="448"/>
      <c r="V54" s="448"/>
      <c r="W54" s="448"/>
      <c r="X54" s="448"/>
      <c r="Y54" s="448"/>
      <c r="Z54" s="448"/>
      <c r="AA54" s="448"/>
      <c r="AB54" s="448"/>
      <c r="AC54" s="448"/>
      <c r="AD54" s="448"/>
      <c r="AE54" s="448"/>
      <c r="AF54" s="448"/>
      <c r="AG54" s="448"/>
      <c r="AH54" s="448"/>
      <c r="AI54" s="448"/>
      <c r="AJ54" s="448"/>
      <c r="AK54" s="448"/>
      <c r="AL54" s="448"/>
      <c r="AM54" s="448"/>
      <c r="AN54" s="448"/>
      <c r="AO54" s="448"/>
      <c r="AP54" s="448"/>
      <c r="AQ54" s="448"/>
      <c r="AR54" s="448"/>
      <c r="AS54" s="448"/>
      <c r="AT54" s="448"/>
      <c r="AU54" s="448"/>
      <c r="AV54" s="448"/>
      <c r="AW54" s="448"/>
      <c r="AX54" s="448"/>
      <c r="AY54" s="448"/>
      <c r="AZ54" s="448"/>
      <c r="BA54" s="448"/>
      <c r="BB54" s="448"/>
      <c r="BC54" s="448"/>
      <c r="BD54" s="448"/>
      <c r="BE54" s="448"/>
      <c r="BF54" s="448"/>
      <c r="BG54" s="448"/>
      <c r="BH54" s="448"/>
      <c r="BI54" s="448"/>
      <c r="BJ54" s="448"/>
      <c r="BK54" s="448"/>
      <c r="BL54" s="448"/>
      <c r="BM54" s="448"/>
      <c r="BN54" s="448"/>
      <c r="BO54" s="448"/>
      <c r="BP54" s="448"/>
      <c r="BQ54" s="448"/>
      <c r="BR54" s="448"/>
      <c r="BS54" s="448"/>
      <c r="BT54" s="448"/>
    </row>
    <row r="55" spans="1:72" s="514" customFormat="1" ht="15.75" customHeight="1">
      <c r="A55" s="397"/>
      <c r="B55" s="398"/>
      <c r="C55" s="416"/>
      <c r="D55" s="399"/>
      <c r="E55" s="399"/>
      <c r="F55" s="409"/>
      <c r="G55" s="410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8"/>
      <c r="U55" s="448"/>
      <c r="V55" s="448"/>
      <c r="W55" s="448"/>
      <c r="X55" s="448"/>
      <c r="Y55" s="448"/>
      <c r="Z55" s="448"/>
      <c r="AA55" s="448"/>
      <c r="AB55" s="448"/>
      <c r="AC55" s="448"/>
      <c r="AD55" s="448"/>
      <c r="AE55" s="44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  <c r="AT55" s="448"/>
      <c r="AU55" s="448"/>
      <c r="AV55" s="448"/>
      <c r="AW55" s="448"/>
      <c r="AX55" s="448"/>
      <c r="AY55" s="448"/>
      <c r="AZ55" s="448"/>
      <c r="BA55" s="448"/>
      <c r="BB55" s="448"/>
      <c r="BC55" s="448"/>
      <c r="BD55" s="448"/>
      <c r="BE55" s="448"/>
      <c r="BF55" s="448"/>
      <c r="BG55" s="448"/>
      <c r="BH55" s="448"/>
      <c r="BI55" s="448"/>
      <c r="BJ55" s="448"/>
      <c r="BK55" s="448"/>
      <c r="BL55" s="448"/>
      <c r="BM55" s="448"/>
      <c r="BN55" s="448"/>
      <c r="BO55" s="448"/>
      <c r="BP55" s="448"/>
      <c r="BQ55" s="448"/>
      <c r="BR55" s="448"/>
      <c r="BS55" s="448"/>
      <c r="BT55" s="448"/>
    </row>
    <row r="56" spans="1:72" s="514" customFormat="1" ht="24" customHeight="1">
      <c r="A56" s="397"/>
      <c r="B56" s="517" t="s">
        <v>137</v>
      </c>
      <c r="C56" s="399"/>
      <c r="D56" s="399"/>
      <c r="E56" s="399"/>
      <c r="F56" s="409"/>
      <c r="G56" s="515">
        <f>SUM(G57:G59)</f>
        <v>2070</v>
      </c>
      <c r="H56" s="448"/>
      <c r="I56" s="448"/>
      <c r="J56" s="448"/>
      <c r="K56" s="448"/>
      <c r="L56" s="448"/>
      <c r="M56" s="448"/>
      <c r="N56" s="448"/>
      <c r="O56" s="448"/>
      <c r="P56" s="448"/>
      <c r="Q56" s="448"/>
      <c r="R56" s="448"/>
      <c r="S56" s="448"/>
      <c r="T56" s="448"/>
      <c r="U56" s="448"/>
      <c r="V56" s="448"/>
      <c r="W56" s="448"/>
      <c r="X56" s="448"/>
      <c r="Y56" s="448"/>
      <c r="Z56" s="448"/>
      <c r="AA56" s="448"/>
      <c r="AB56" s="448"/>
      <c r="AC56" s="448"/>
      <c r="AD56" s="448"/>
      <c r="AE56" s="448"/>
      <c r="AF56" s="448"/>
      <c r="AG56" s="448"/>
      <c r="AH56" s="448"/>
      <c r="AI56" s="448"/>
      <c r="AJ56" s="448"/>
      <c r="AK56" s="448"/>
      <c r="AL56" s="448"/>
      <c r="AM56" s="448"/>
      <c r="AN56" s="448"/>
      <c r="AO56" s="448"/>
      <c r="AP56" s="448"/>
      <c r="AQ56" s="448"/>
      <c r="AR56" s="448"/>
      <c r="AS56" s="448"/>
      <c r="AT56" s="448"/>
      <c r="AU56" s="448"/>
      <c r="AV56" s="448"/>
      <c r="AW56" s="448"/>
      <c r="AX56" s="448"/>
      <c r="AY56" s="448"/>
      <c r="AZ56" s="448"/>
      <c r="BA56" s="448"/>
      <c r="BB56" s="448"/>
      <c r="BC56" s="448"/>
      <c r="BD56" s="448"/>
      <c r="BE56" s="448"/>
      <c r="BF56" s="448"/>
      <c r="BG56" s="448"/>
      <c r="BH56" s="448"/>
      <c r="BI56" s="448"/>
      <c r="BJ56" s="448"/>
      <c r="BK56" s="448"/>
      <c r="BL56" s="448"/>
      <c r="BM56" s="448"/>
      <c r="BN56" s="448"/>
      <c r="BO56" s="448"/>
      <c r="BP56" s="448"/>
      <c r="BQ56" s="448"/>
      <c r="BR56" s="448"/>
      <c r="BS56" s="448"/>
      <c r="BT56" s="448"/>
    </row>
    <row r="57" spans="1:72" s="514" customFormat="1" ht="15.75" customHeight="1">
      <c r="A57" s="397"/>
      <c r="B57" s="398"/>
      <c r="C57" s="416"/>
      <c r="D57" s="399"/>
      <c r="E57" s="399" t="s">
        <v>132</v>
      </c>
      <c r="F57" s="409" t="s">
        <v>98</v>
      </c>
      <c r="G57" s="410">
        <f>120+120+120+120+120+120+120+120+120</f>
        <v>1080</v>
      </c>
      <c r="H57" s="448"/>
      <c r="I57" s="448"/>
      <c r="J57" s="448"/>
      <c r="K57" s="448"/>
      <c r="L57" s="448"/>
      <c r="M57" s="448"/>
      <c r="N57" s="448"/>
      <c r="O57" s="448"/>
      <c r="P57" s="448"/>
      <c r="Q57" s="448"/>
      <c r="R57" s="448"/>
      <c r="S57" s="448"/>
      <c r="T57" s="448"/>
      <c r="U57" s="448"/>
      <c r="V57" s="448"/>
      <c r="W57" s="448"/>
      <c r="X57" s="448"/>
      <c r="Y57" s="448"/>
      <c r="Z57" s="448"/>
      <c r="AA57" s="448"/>
      <c r="AB57" s="448"/>
      <c r="AC57" s="448"/>
      <c r="AD57" s="448"/>
      <c r="AE57" s="448"/>
      <c r="AF57" s="448"/>
      <c r="AG57" s="448"/>
      <c r="AH57" s="448"/>
      <c r="AI57" s="448"/>
      <c r="AJ57" s="448"/>
      <c r="AK57" s="448"/>
      <c r="AL57" s="448"/>
      <c r="AM57" s="448"/>
      <c r="AN57" s="448"/>
      <c r="AO57" s="448"/>
      <c r="AP57" s="448"/>
      <c r="AQ57" s="448"/>
      <c r="AR57" s="448"/>
      <c r="AS57" s="448"/>
      <c r="AT57" s="448"/>
      <c r="AU57" s="448"/>
      <c r="AV57" s="448"/>
      <c r="AW57" s="448"/>
      <c r="AX57" s="448"/>
      <c r="AY57" s="448"/>
      <c r="AZ57" s="448"/>
      <c r="BA57" s="448"/>
      <c r="BB57" s="448"/>
      <c r="BC57" s="448"/>
      <c r="BD57" s="448"/>
      <c r="BE57" s="448"/>
      <c r="BF57" s="448"/>
      <c r="BG57" s="448"/>
      <c r="BH57" s="448"/>
      <c r="BI57" s="448"/>
      <c r="BJ57" s="448"/>
      <c r="BK57" s="448"/>
      <c r="BL57" s="448"/>
      <c r="BM57" s="448"/>
      <c r="BN57" s="448"/>
      <c r="BO57" s="448"/>
      <c r="BP57" s="448"/>
      <c r="BQ57" s="448"/>
      <c r="BR57" s="448"/>
      <c r="BS57" s="448"/>
      <c r="BT57" s="448"/>
    </row>
    <row r="58" spans="1:72" s="514" customFormat="1" ht="15.75" customHeight="1">
      <c r="A58" s="397"/>
      <c r="B58" s="398"/>
      <c r="C58" s="416"/>
      <c r="D58" s="399"/>
      <c r="E58" s="399" t="s">
        <v>117</v>
      </c>
      <c r="F58" s="409" t="s">
        <v>98</v>
      </c>
      <c r="G58" s="410">
        <f>90+90+90+90+90+90+90+90+90</f>
        <v>810</v>
      </c>
      <c r="H58" s="448"/>
      <c r="I58" s="448"/>
      <c r="J58" s="448"/>
      <c r="K58" s="448"/>
      <c r="L58" s="448"/>
      <c r="M58" s="448"/>
      <c r="N58" s="448"/>
      <c r="O58" s="448"/>
      <c r="P58" s="448"/>
      <c r="Q58" s="448"/>
      <c r="R58" s="448"/>
      <c r="S58" s="448"/>
      <c r="T58" s="448"/>
      <c r="U58" s="448"/>
      <c r="V58" s="448"/>
      <c r="W58" s="448"/>
      <c r="X58" s="448"/>
      <c r="Y58" s="448"/>
      <c r="Z58" s="448"/>
      <c r="AA58" s="448"/>
      <c r="AB58" s="448"/>
      <c r="AC58" s="448"/>
      <c r="AD58" s="448"/>
      <c r="AE58" s="448"/>
      <c r="AF58" s="448"/>
      <c r="AG58" s="448"/>
      <c r="AH58" s="448"/>
      <c r="AI58" s="448"/>
      <c r="AJ58" s="448"/>
      <c r="AK58" s="448"/>
      <c r="AL58" s="448"/>
      <c r="AM58" s="448"/>
      <c r="AN58" s="448"/>
      <c r="AO58" s="448"/>
      <c r="AP58" s="448"/>
      <c r="AQ58" s="448"/>
      <c r="AR58" s="448"/>
      <c r="AS58" s="448"/>
      <c r="AT58" s="448"/>
      <c r="AU58" s="448"/>
      <c r="AV58" s="448"/>
      <c r="AW58" s="448"/>
      <c r="AX58" s="448"/>
      <c r="AY58" s="448"/>
      <c r="AZ58" s="448"/>
      <c r="BA58" s="448"/>
      <c r="BB58" s="448"/>
      <c r="BC58" s="448"/>
      <c r="BD58" s="448"/>
      <c r="BE58" s="448"/>
      <c r="BF58" s="448"/>
      <c r="BG58" s="448"/>
      <c r="BH58" s="448"/>
      <c r="BI58" s="448"/>
      <c r="BJ58" s="448"/>
      <c r="BK58" s="448"/>
      <c r="BL58" s="448"/>
      <c r="BM58" s="448"/>
      <c r="BN58" s="448"/>
      <c r="BO58" s="448"/>
      <c r="BP58" s="448"/>
      <c r="BQ58" s="448"/>
      <c r="BR58" s="448"/>
      <c r="BS58" s="448"/>
      <c r="BT58" s="448"/>
    </row>
    <row r="59" spans="1:72" s="514" customFormat="1" ht="15.75" customHeight="1">
      <c r="A59" s="397"/>
      <c r="B59" s="398"/>
      <c r="C59" s="416"/>
      <c r="D59" s="399"/>
      <c r="E59" s="399" t="s">
        <v>118</v>
      </c>
      <c r="F59" s="409" t="s">
        <v>98</v>
      </c>
      <c r="G59" s="410">
        <f>20+20+20+20+20+20+20+20+20</f>
        <v>180</v>
      </c>
      <c r="H59" s="448"/>
      <c r="I59" s="448"/>
      <c r="J59" s="448"/>
      <c r="K59" s="448"/>
      <c r="L59" s="448"/>
      <c r="M59" s="448"/>
      <c r="N59" s="448"/>
      <c r="O59" s="448"/>
      <c r="P59" s="448"/>
      <c r="Q59" s="448"/>
      <c r="R59" s="448"/>
      <c r="S59" s="448"/>
      <c r="T59" s="448"/>
      <c r="U59" s="448"/>
      <c r="V59" s="448"/>
      <c r="W59" s="448"/>
      <c r="X59" s="448"/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  <c r="AQ59" s="448"/>
      <c r="AR59" s="448"/>
      <c r="AS59" s="448"/>
      <c r="AT59" s="448"/>
      <c r="AU59" s="448"/>
      <c r="AV59" s="448"/>
      <c r="AW59" s="448"/>
      <c r="AX59" s="448"/>
      <c r="AY59" s="448"/>
      <c r="AZ59" s="448"/>
      <c r="BA59" s="448"/>
      <c r="BB59" s="448"/>
      <c r="BC59" s="448"/>
      <c r="BD59" s="448"/>
      <c r="BE59" s="448"/>
      <c r="BF59" s="448"/>
      <c r="BG59" s="448"/>
      <c r="BH59" s="448"/>
      <c r="BI59" s="448"/>
      <c r="BJ59" s="448"/>
      <c r="BK59" s="448"/>
      <c r="BL59" s="448"/>
      <c r="BM59" s="448"/>
      <c r="BN59" s="448"/>
      <c r="BO59" s="448"/>
      <c r="BP59" s="448"/>
      <c r="BQ59" s="448"/>
      <c r="BR59" s="448"/>
      <c r="BS59" s="448"/>
      <c r="BT59" s="448"/>
    </row>
    <row r="60" spans="1:72" s="514" customFormat="1" ht="9" customHeight="1">
      <c r="A60" s="411"/>
      <c r="B60" s="412"/>
      <c r="C60" s="413"/>
      <c r="D60" s="400"/>
      <c r="E60" s="400"/>
      <c r="F60" s="402"/>
      <c r="G60" s="414"/>
      <c r="H60" s="448"/>
      <c r="I60" s="448"/>
      <c r="J60" s="448"/>
      <c r="K60" s="448"/>
      <c r="L60" s="448"/>
      <c r="M60" s="448"/>
      <c r="N60" s="448"/>
      <c r="O60" s="448"/>
      <c r="P60" s="448"/>
      <c r="Q60" s="448"/>
      <c r="R60" s="448"/>
      <c r="S60" s="448"/>
      <c r="T60" s="448"/>
      <c r="U60" s="448"/>
      <c r="V60" s="448"/>
      <c r="W60" s="448"/>
      <c r="X60" s="448"/>
      <c r="Y60" s="448"/>
      <c r="Z60" s="448"/>
      <c r="AA60" s="448"/>
      <c r="AB60" s="448"/>
      <c r="AC60" s="448"/>
      <c r="AD60" s="448"/>
      <c r="AE60" s="448"/>
      <c r="AF60" s="448"/>
      <c r="AG60" s="448"/>
      <c r="AH60" s="448"/>
      <c r="AI60" s="448"/>
      <c r="AJ60" s="448"/>
      <c r="AK60" s="448"/>
      <c r="AL60" s="448"/>
      <c r="AM60" s="448"/>
      <c r="AN60" s="448"/>
      <c r="AO60" s="448"/>
      <c r="AP60" s="448"/>
      <c r="AQ60" s="448"/>
      <c r="AR60" s="448"/>
      <c r="AS60" s="448"/>
      <c r="AT60" s="448"/>
      <c r="AU60" s="448"/>
      <c r="AV60" s="448"/>
      <c r="AW60" s="448"/>
      <c r="AX60" s="448"/>
      <c r="AY60" s="448"/>
      <c r="AZ60" s="448"/>
      <c r="BA60" s="448"/>
      <c r="BB60" s="448"/>
      <c r="BC60" s="448"/>
      <c r="BD60" s="448"/>
      <c r="BE60" s="448"/>
      <c r="BF60" s="448"/>
      <c r="BG60" s="448"/>
      <c r="BH60" s="448"/>
      <c r="BI60" s="448"/>
      <c r="BJ60" s="448"/>
      <c r="BK60" s="448"/>
      <c r="BL60" s="448"/>
      <c r="BM60" s="448"/>
      <c r="BN60" s="448"/>
      <c r="BO60" s="448"/>
      <c r="BP60" s="448"/>
      <c r="BQ60" s="448"/>
      <c r="BR60" s="448"/>
      <c r="BS60" s="448"/>
      <c r="BT60" s="448"/>
    </row>
    <row r="61" spans="1:72" s="514" customFormat="1" ht="15.75" customHeight="1">
      <c r="A61" s="397"/>
      <c r="B61" s="398"/>
      <c r="C61" s="399"/>
      <c r="D61" s="399"/>
      <c r="E61" s="400" t="s">
        <v>107</v>
      </c>
      <c r="F61" s="401">
        <f>1000+638+726+200+726+1514+1014+1906+283+525</f>
        <v>8532</v>
      </c>
      <c r="G61" s="402" t="s">
        <v>98</v>
      </c>
      <c r="H61" s="448"/>
      <c r="I61" s="448"/>
      <c r="J61" s="448"/>
      <c r="K61" s="448"/>
      <c r="L61" s="448"/>
      <c r="M61" s="448"/>
      <c r="N61" s="448"/>
      <c r="O61" s="448"/>
      <c r="P61" s="448"/>
      <c r="Q61" s="448"/>
      <c r="R61" s="448"/>
      <c r="S61" s="448"/>
      <c r="T61" s="448"/>
      <c r="U61" s="448"/>
      <c r="V61" s="448"/>
      <c r="W61" s="448"/>
      <c r="X61" s="448"/>
      <c r="Y61" s="448"/>
      <c r="Z61" s="448"/>
      <c r="AA61" s="448"/>
      <c r="AB61" s="448"/>
      <c r="AC61" s="448"/>
      <c r="AD61" s="448"/>
      <c r="AE61" s="448"/>
      <c r="AF61" s="448"/>
      <c r="AG61" s="448"/>
      <c r="AH61" s="448"/>
      <c r="AI61" s="448"/>
      <c r="AJ61" s="448"/>
      <c r="AK61" s="448"/>
      <c r="AL61" s="448"/>
      <c r="AM61" s="448"/>
      <c r="AN61" s="448"/>
      <c r="AO61" s="448"/>
      <c r="AP61" s="448"/>
      <c r="AQ61" s="448"/>
      <c r="AR61" s="448"/>
      <c r="AS61" s="448"/>
      <c r="AT61" s="448"/>
      <c r="AU61" s="448"/>
      <c r="AV61" s="448"/>
      <c r="AW61" s="448"/>
      <c r="AX61" s="448"/>
      <c r="AY61" s="448"/>
      <c r="AZ61" s="448"/>
      <c r="BA61" s="448"/>
      <c r="BB61" s="448"/>
      <c r="BC61" s="448"/>
      <c r="BD61" s="448"/>
      <c r="BE61" s="448"/>
      <c r="BF61" s="448"/>
      <c r="BG61" s="448"/>
      <c r="BH61" s="448"/>
      <c r="BI61" s="448"/>
      <c r="BJ61" s="448"/>
      <c r="BK61" s="448"/>
      <c r="BL61" s="448"/>
      <c r="BM61" s="448"/>
      <c r="BN61" s="448"/>
      <c r="BO61" s="448"/>
      <c r="BP61" s="448"/>
      <c r="BQ61" s="448"/>
      <c r="BR61" s="448"/>
      <c r="BS61" s="448"/>
      <c r="BT61" s="448"/>
    </row>
    <row r="62" spans="1:72" s="514" customFormat="1" ht="15.75" customHeight="1">
      <c r="A62" s="403" t="s">
        <v>138</v>
      </c>
      <c r="B62" s="415" t="s">
        <v>139</v>
      </c>
      <c r="C62" s="399" t="s">
        <v>69</v>
      </c>
      <c r="D62" s="399" t="s">
        <v>140</v>
      </c>
      <c r="E62" s="405" t="s">
        <v>98</v>
      </c>
      <c r="F62" s="406" t="s">
        <v>98</v>
      </c>
      <c r="G62" s="407">
        <f>SUM(G64)</f>
        <v>8532</v>
      </c>
      <c r="H62" s="448"/>
      <c r="I62" s="448"/>
      <c r="J62" s="448"/>
      <c r="K62" s="448"/>
      <c r="L62" s="448"/>
      <c r="M62" s="448"/>
      <c r="N62" s="448"/>
      <c r="O62" s="448"/>
      <c r="P62" s="448"/>
      <c r="Q62" s="448"/>
      <c r="R62" s="448"/>
      <c r="S62" s="448"/>
      <c r="T62" s="448"/>
      <c r="U62" s="448"/>
      <c r="V62" s="448"/>
      <c r="W62" s="448"/>
      <c r="X62" s="448"/>
      <c r="Y62" s="448"/>
      <c r="Z62" s="448"/>
      <c r="AA62" s="448"/>
      <c r="AB62" s="448"/>
      <c r="AC62" s="448"/>
      <c r="AD62" s="448"/>
      <c r="AE62" s="448"/>
      <c r="AF62" s="448"/>
      <c r="AG62" s="448"/>
      <c r="AH62" s="448"/>
      <c r="AI62" s="448"/>
      <c r="AJ62" s="448"/>
      <c r="AK62" s="448"/>
      <c r="AL62" s="448"/>
      <c r="AM62" s="448"/>
      <c r="AN62" s="448"/>
      <c r="AO62" s="448"/>
      <c r="AP62" s="448"/>
      <c r="AQ62" s="448"/>
      <c r="AR62" s="448"/>
      <c r="AS62" s="448"/>
      <c r="AT62" s="448"/>
      <c r="AU62" s="448"/>
      <c r="AV62" s="448"/>
      <c r="AW62" s="448"/>
      <c r="AX62" s="448"/>
      <c r="AY62" s="448"/>
      <c r="AZ62" s="448"/>
      <c r="BA62" s="448"/>
      <c r="BB62" s="448"/>
      <c r="BC62" s="448"/>
      <c r="BD62" s="448"/>
      <c r="BE62" s="448"/>
      <c r="BF62" s="448"/>
      <c r="BG62" s="448"/>
      <c r="BH62" s="448"/>
      <c r="BI62" s="448"/>
      <c r="BJ62" s="448"/>
      <c r="BK62" s="448"/>
      <c r="BL62" s="448"/>
      <c r="BM62" s="448"/>
      <c r="BN62" s="448"/>
      <c r="BO62" s="448"/>
      <c r="BP62" s="448"/>
      <c r="BQ62" s="448"/>
      <c r="BR62" s="448"/>
      <c r="BS62" s="448"/>
      <c r="BT62" s="448"/>
    </row>
    <row r="63" spans="1:72" s="514" customFormat="1" ht="15.75" customHeight="1">
      <c r="A63" s="397"/>
      <c r="B63" s="408"/>
      <c r="C63" s="399"/>
      <c r="D63" s="399"/>
      <c r="E63" s="399"/>
      <c r="F63" s="409"/>
      <c r="G63" s="515"/>
      <c r="H63" s="448"/>
      <c r="I63" s="448"/>
      <c r="J63" s="448"/>
      <c r="K63" s="448"/>
      <c r="L63" s="448"/>
      <c r="M63" s="448"/>
      <c r="N63" s="448"/>
      <c r="O63" s="448"/>
      <c r="P63" s="448"/>
      <c r="Q63" s="448"/>
      <c r="R63" s="448"/>
      <c r="S63" s="448"/>
      <c r="T63" s="448"/>
      <c r="U63" s="448"/>
      <c r="V63" s="448"/>
      <c r="W63" s="448"/>
      <c r="X63" s="448"/>
      <c r="Y63" s="448"/>
      <c r="Z63" s="448"/>
      <c r="AA63" s="448"/>
      <c r="AB63" s="448"/>
      <c r="AC63" s="448"/>
      <c r="AD63" s="448"/>
      <c r="AE63" s="448"/>
      <c r="AF63" s="448"/>
      <c r="AG63" s="448"/>
      <c r="AH63" s="448"/>
      <c r="AI63" s="448"/>
      <c r="AJ63" s="448"/>
      <c r="AK63" s="448"/>
      <c r="AL63" s="448"/>
      <c r="AM63" s="448"/>
      <c r="AN63" s="448"/>
      <c r="AO63" s="448"/>
      <c r="AP63" s="448"/>
      <c r="AQ63" s="448"/>
      <c r="AR63" s="448"/>
      <c r="AS63" s="448"/>
      <c r="AT63" s="448"/>
      <c r="AU63" s="448"/>
      <c r="AV63" s="448"/>
      <c r="AW63" s="448"/>
      <c r="AX63" s="448"/>
      <c r="AY63" s="448"/>
      <c r="AZ63" s="448"/>
      <c r="BA63" s="448"/>
      <c r="BB63" s="448"/>
      <c r="BC63" s="448"/>
      <c r="BD63" s="448"/>
      <c r="BE63" s="448"/>
      <c r="BF63" s="448"/>
      <c r="BG63" s="448"/>
      <c r="BH63" s="448"/>
      <c r="BI63" s="448"/>
      <c r="BJ63" s="448"/>
      <c r="BK63" s="448"/>
      <c r="BL63" s="448"/>
      <c r="BM63" s="448"/>
      <c r="BN63" s="448"/>
      <c r="BO63" s="448"/>
      <c r="BP63" s="448"/>
      <c r="BQ63" s="448"/>
      <c r="BR63" s="448"/>
      <c r="BS63" s="448"/>
      <c r="BT63" s="448"/>
    </row>
    <row r="64" spans="1:72" s="514" customFormat="1" ht="15.75" customHeight="1">
      <c r="A64" s="397"/>
      <c r="B64" s="516" t="s">
        <v>111</v>
      </c>
      <c r="C64" s="399"/>
      <c r="D64" s="399"/>
      <c r="E64" s="399"/>
      <c r="F64" s="409"/>
      <c r="G64" s="515">
        <f>SUM(G65:G65)</f>
        <v>8532</v>
      </c>
      <c r="H64" s="448"/>
      <c r="I64" s="448"/>
      <c r="J64" s="448"/>
      <c r="K64" s="448"/>
      <c r="L64" s="448"/>
      <c r="M64" s="448"/>
      <c r="N64" s="448"/>
      <c r="O64" s="448"/>
      <c r="P64" s="448"/>
      <c r="Q64" s="448"/>
      <c r="R64" s="448"/>
      <c r="S64" s="448"/>
      <c r="T64" s="448"/>
      <c r="U64" s="448"/>
      <c r="V64" s="448"/>
      <c r="W64" s="448"/>
      <c r="X64" s="448"/>
      <c r="Y64" s="448"/>
      <c r="Z64" s="448"/>
      <c r="AA64" s="448"/>
      <c r="AB64" s="448"/>
      <c r="AC64" s="448"/>
      <c r="AD64" s="448"/>
      <c r="AE64" s="448"/>
      <c r="AF64" s="448"/>
      <c r="AG64" s="448"/>
      <c r="AH64" s="448"/>
      <c r="AI64" s="448"/>
      <c r="AJ64" s="448"/>
      <c r="AK64" s="448"/>
      <c r="AL64" s="448"/>
      <c r="AM64" s="448"/>
      <c r="AN64" s="448"/>
      <c r="AO64" s="448"/>
      <c r="AP64" s="448"/>
      <c r="AQ64" s="448"/>
      <c r="AR64" s="448"/>
      <c r="AS64" s="448"/>
      <c r="AT64" s="448"/>
      <c r="AU64" s="448"/>
      <c r="AV64" s="448"/>
      <c r="AW64" s="448"/>
      <c r="AX64" s="448"/>
      <c r="AY64" s="448"/>
      <c r="AZ64" s="448"/>
      <c r="BA64" s="448"/>
      <c r="BB64" s="448"/>
      <c r="BC64" s="448"/>
      <c r="BD64" s="448"/>
      <c r="BE64" s="448"/>
      <c r="BF64" s="448"/>
      <c r="BG64" s="448"/>
      <c r="BH64" s="448"/>
      <c r="BI64" s="448"/>
      <c r="BJ64" s="448"/>
      <c r="BK64" s="448"/>
      <c r="BL64" s="448"/>
      <c r="BM64" s="448"/>
      <c r="BN64" s="448"/>
      <c r="BO64" s="448"/>
      <c r="BP64" s="448"/>
      <c r="BQ64" s="448"/>
      <c r="BR64" s="448"/>
      <c r="BS64" s="448"/>
      <c r="BT64" s="448"/>
    </row>
    <row r="65" spans="1:72" s="514" customFormat="1" ht="15.75" customHeight="1">
      <c r="A65" s="397"/>
      <c r="B65" s="398"/>
      <c r="C65" s="416"/>
      <c r="D65" s="399"/>
      <c r="E65" s="399" t="s">
        <v>112</v>
      </c>
      <c r="F65" s="409" t="s">
        <v>98</v>
      </c>
      <c r="G65" s="410">
        <f>1000+638+726+726+200+1514+1014+1906+283+525</f>
        <v>8532</v>
      </c>
      <c r="H65" s="448"/>
      <c r="I65" s="448"/>
      <c r="J65" s="448"/>
      <c r="K65" s="448"/>
      <c r="L65" s="448"/>
      <c r="M65" s="448"/>
      <c r="N65" s="448"/>
      <c r="O65" s="448"/>
      <c r="P65" s="448"/>
      <c r="Q65" s="448"/>
      <c r="R65" s="448"/>
      <c r="S65" s="448"/>
      <c r="T65" s="448"/>
      <c r="U65" s="448"/>
      <c r="V65" s="448"/>
      <c r="W65" s="448"/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448"/>
      <c r="BH65" s="448"/>
      <c r="BI65" s="448"/>
      <c r="BJ65" s="448"/>
      <c r="BK65" s="448"/>
      <c r="BL65" s="448"/>
      <c r="BM65" s="448"/>
      <c r="BN65" s="448"/>
      <c r="BO65" s="448"/>
      <c r="BP65" s="448"/>
      <c r="BQ65" s="448"/>
      <c r="BR65" s="448"/>
      <c r="BS65" s="448"/>
      <c r="BT65" s="448"/>
    </row>
    <row r="66" spans="1:72" s="514" customFormat="1" ht="8.25" customHeight="1">
      <c r="A66" s="411"/>
      <c r="B66" s="412"/>
      <c r="C66" s="413"/>
      <c r="D66" s="400"/>
      <c r="E66" s="400"/>
      <c r="F66" s="402"/>
      <c r="G66" s="414"/>
      <c r="H66" s="448"/>
      <c r="I66" s="448"/>
      <c r="J66" s="448"/>
      <c r="K66" s="448"/>
      <c r="L66" s="448"/>
      <c r="M66" s="448"/>
      <c r="N66" s="448"/>
      <c r="O66" s="448"/>
      <c r="P66" s="448"/>
      <c r="Q66" s="448"/>
      <c r="R66" s="448"/>
      <c r="S66" s="448"/>
      <c r="T66" s="448"/>
      <c r="U66" s="448"/>
      <c r="V66" s="448"/>
      <c r="W66" s="448"/>
      <c r="X66" s="448"/>
      <c r="Y66" s="448"/>
      <c r="Z66" s="448"/>
      <c r="AA66" s="448"/>
      <c r="AB66" s="448"/>
      <c r="AC66" s="448"/>
      <c r="AD66" s="448"/>
      <c r="AE66" s="448"/>
      <c r="AF66" s="448"/>
      <c r="AG66" s="448"/>
      <c r="AH66" s="448"/>
      <c r="AI66" s="448"/>
      <c r="AJ66" s="448"/>
      <c r="AK66" s="448"/>
      <c r="AL66" s="448"/>
      <c r="AM66" s="448"/>
      <c r="AN66" s="448"/>
      <c r="AO66" s="448"/>
      <c r="AP66" s="448"/>
      <c r="AQ66" s="448"/>
      <c r="AR66" s="448"/>
      <c r="AS66" s="448"/>
      <c r="AT66" s="448"/>
      <c r="AU66" s="448"/>
      <c r="AV66" s="448"/>
      <c r="AW66" s="448"/>
      <c r="AX66" s="448"/>
      <c r="AY66" s="448"/>
      <c r="AZ66" s="448"/>
      <c r="BA66" s="448"/>
      <c r="BB66" s="448"/>
      <c r="BC66" s="448"/>
      <c r="BD66" s="448"/>
      <c r="BE66" s="448"/>
      <c r="BF66" s="448"/>
      <c r="BG66" s="448"/>
      <c r="BH66" s="448"/>
      <c r="BI66" s="448"/>
      <c r="BJ66" s="448"/>
      <c r="BK66" s="448"/>
      <c r="BL66" s="448"/>
      <c r="BM66" s="448"/>
      <c r="BN66" s="448"/>
      <c r="BO66" s="448"/>
      <c r="BP66" s="448"/>
      <c r="BQ66" s="448"/>
      <c r="BR66" s="448"/>
      <c r="BS66" s="448"/>
      <c r="BT66" s="448"/>
    </row>
    <row r="67" spans="1:72" s="514" customFormat="1" ht="15.75" customHeight="1">
      <c r="A67" s="397"/>
      <c r="B67" s="398"/>
      <c r="C67" s="399"/>
      <c r="D67" s="399"/>
      <c r="E67" s="400" t="s">
        <v>107</v>
      </c>
      <c r="F67" s="401">
        <f>14897+14897+14897+12816+8476+6409+12816+12816+36379</f>
        <v>134403</v>
      </c>
      <c r="G67" s="402" t="s">
        <v>98</v>
      </c>
      <c r="H67" s="448"/>
      <c r="I67" s="448"/>
      <c r="J67" s="448"/>
      <c r="K67" s="448"/>
      <c r="L67" s="448"/>
      <c r="M67" s="448"/>
      <c r="N67" s="448"/>
      <c r="O67" s="448"/>
      <c r="P67" s="448"/>
      <c r="Q67" s="448"/>
      <c r="R67" s="448"/>
      <c r="S67" s="448"/>
      <c r="T67" s="448"/>
      <c r="U67" s="448"/>
      <c r="V67" s="448"/>
      <c r="W67" s="448"/>
      <c r="X67" s="448"/>
      <c r="Y67" s="448"/>
      <c r="Z67" s="448"/>
      <c r="AA67" s="448"/>
      <c r="AB67" s="448"/>
      <c r="AC67" s="448"/>
      <c r="AD67" s="448"/>
      <c r="AE67" s="448"/>
      <c r="AF67" s="448"/>
      <c r="AG67" s="448"/>
      <c r="AH67" s="448"/>
      <c r="AI67" s="448"/>
      <c r="AJ67" s="448"/>
      <c r="AK67" s="448"/>
      <c r="AL67" s="448"/>
      <c r="AM67" s="448"/>
      <c r="AN67" s="448"/>
      <c r="AO67" s="448"/>
      <c r="AP67" s="448"/>
      <c r="AQ67" s="448"/>
      <c r="AR67" s="448"/>
      <c r="AS67" s="448"/>
      <c r="AT67" s="448"/>
      <c r="AU67" s="448"/>
      <c r="AV67" s="448"/>
      <c r="AW67" s="448"/>
      <c r="AX67" s="448"/>
      <c r="AY67" s="448"/>
      <c r="AZ67" s="448"/>
      <c r="BA67" s="448"/>
      <c r="BB67" s="448"/>
      <c r="BC67" s="448"/>
      <c r="BD67" s="448"/>
      <c r="BE67" s="448"/>
      <c r="BF67" s="448"/>
      <c r="BG67" s="448"/>
      <c r="BH67" s="448"/>
      <c r="BI67" s="448"/>
      <c r="BJ67" s="448"/>
      <c r="BK67" s="448"/>
      <c r="BL67" s="448"/>
      <c r="BM67" s="448"/>
      <c r="BN67" s="448"/>
      <c r="BO67" s="448"/>
      <c r="BP67" s="448"/>
      <c r="BQ67" s="448"/>
      <c r="BR67" s="448"/>
      <c r="BS67" s="448"/>
      <c r="BT67" s="448"/>
    </row>
    <row r="68" spans="1:72" s="514" customFormat="1" ht="37.5" customHeight="1">
      <c r="A68" s="403" t="s">
        <v>141</v>
      </c>
      <c r="B68" s="415" t="s">
        <v>142</v>
      </c>
      <c r="C68" s="399" t="s">
        <v>115</v>
      </c>
      <c r="D68" s="399" t="s">
        <v>143</v>
      </c>
      <c r="E68" s="405" t="s">
        <v>98</v>
      </c>
      <c r="F68" s="406" t="s">
        <v>98</v>
      </c>
      <c r="G68" s="407">
        <f>SUM(G70)</f>
        <v>134403</v>
      </c>
      <c r="H68" s="448"/>
      <c r="I68" s="448"/>
      <c r="J68" s="448"/>
      <c r="K68" s="448"/>
      <c r="L68" s="448"/>
      <c r="M68" s="448"/>
      <c r="N68" s="448"/>
      <c r="O68" s="448"/>
      <c r="P68" s="448"/>
      <c r="Q68" s="448"/>
      <c r="R68" s="448"/>
      <c r="S68" s="448"/>
      <c r="T68" s="448"/>
      <c r="U68" s="448"/>
      <c r="V68" s="448"/>
      <c r="W68" s="448"/>
      <c r="X68" s="448"/>
      <c r="Y68" s="448"/>
      <c r="Z68" s="448"/>
      <c r="AA68" s="448"/>
      <c r="AB68" s="448"/>
      <c r="AC68" s="448"/>
      <c r="AD68" s="448"/>
      <c r="AE68" s="448"/>
      <c r="AF68" s="448"/>
      <c r="AG68" s="448"/>
      <c r="AH68" s="448"/>
      <c r="AI68" s="448"/>
      <c r="AJ68" s="448"/>
      <c r="AK68" s="448"/>
      <c r="AL68" s="448"/>
      <c r="AM68" s="448"/>
      <c r="AN68" s="448"/>
      <c r="AO68" s="448"/>
      <c r="AP68" s="448"/>
      <c r="AQ68" s="448"/>
      <c r="AR68" s="448"/>
      <c r="AS68" s="448"/>
      <c r="AT68" s="448"/>
      <c r="AU68" s="448"/>
      <c r="AV68" s="448"/>
      <c r="AW68" s="448"/>
      <c r="AX68" s="448"/>
      <c r="AY68" s="448"/>
      <c r="AZ68" s="448"/>
      <c r="BA68" s="448"/>
      <c r="BB68" s="448"/>
      <c r="BC68" s="448"/>
      <c r="BD68" s="448"/>
      <c r="BE68" s="448"/>
      <c r="BF68" s="448"/>
      <c r="BG68" s="448"/>
      <c r="BH68" s="448"/>
      <c r="BI68" s="448"/>
      <c r="BJ68" s="448"/>
      <c r="BK68" s="448"/>
      <c r="BL68" s="448"/>
      <c r="BM68" s="448"/>
      <c r="BN68" s="448"/>
      <c r="BO68" s="448"/>
      <c r="BP68" s="448"/>
      <c r="BQ68" s="448"/>
      <c r="BR68" s="448"/>
      <c r="BS68" s="448"/>
      <c r="BT68" s="448"/>
    </row>
    <row r="69" spans="1:72" s="514" customFormat="1" ht="15.75" customHeight="1">
      <c r="A69" s="397"/>
      <c r="B69" s="408"/>
      <c r="C69" s="399"/>
      <c r="D69" s="399"/>
      <c r="E69" s="399"/>
      <c r="F69" s="409"/>
      <c r="G69" s="515"/>
      <c r="H69" s="448"/>
      <c r="I69" s="448"/>
      <c r="J69" s="448"/>
      <c r="K69" s="448"/>
      <c r="L69" s="448"/>
      <c r="M69" s="448"/>
      <c r="N69" s="448"/>
      <c r="O69" s="448"/>
      <c r="P69" s="448"/>
      <c r="Q69" s="448"/>
      <c r="R69" s="448"/>
      <c r="S69" s="448"/>
      <c r="T69" s="448"/>
      <c r="U69" s="448"/>
      <c r="V69" s="448"/>
      <c r="W69" s="448"/>
      <c r="X69" s="448"/>
      <c r="Y69" s="448"/>
      <c r="Z69" s="448"/>
      <c r="AA69" s="448"/>
      <c r="AB69" s="448"/>
      <c r="AC69" s="448"/>
      <c r="AD69" s="448"/>
      <c r="AE69" s="448"/>
      <c r="AF69" s="448"/>
      <c r="AG69" s="448"/>
      <c r="AH69" s="448"/>
      <c r="AI69" s="448"/>
      <c r="AJ69" s="448"/>
      <c r="AK69" s="448"/>
      <c r="AL69" s="448"/>
      <c r="AM69" s="448"/>
      <c r="AN69" s="448"/>
      <c r="AO69" s="448"/>
      <c r="AP69" s="448"/>
      <c r="AQ69" s="448"/>
      <c r="AR69" s="448"/>
      <c r="AS69" s="448"/>
      <c r="AT69" s="448"/>
      <c r="AU69" s="448"/>
      <c r="AV69" s="448"/>
      <c r="AW69" s="448"/>
      <c r="AX69" s="448"/>
      <c r="AY69" s="448"/>
      <c r="AZ69" s="448"/>
      <c r="BA69" s="448"/>
      <c r="BB69" s="448"/>
      <c r="BC69" s="448"/>
      <c r="BD69" s="448"/>
      <c r="BE69" s="448"/>
      <c r="BF69" s="448"/>
      <c r="BG69" s="448"/>
      <c r="BH69" s="448"/>
      <c r="BI69" s="448"/>
      <c r="BJ69" s="448"/>
      <c r="BK69" s="448"/>
      <c r="BL69" s="448"/>
      <c r="BM69" s="448"/>
      <c r="BN69" s="448"/>
      <c r="BO69" s="448"/>
      <c r="BP69" s="448"/>
      <c r="BQ69" s="448"/>
      <c r="BR69" s="448"/>
      <c r="BS69" s="448"/>
      <c r="BT69" s="448"/>
    </row>
    <row r="70" spans="1:72" s="514" customFormat="1" ht="15.75" customHeight="1">
      <c r="A70" s="397"/>
      <c r="B70" s="516" t="s">
        <v>144</v>
      </c>
      <c r="C70" s="399"/>
      <c r="D70" s="399"/>
      <c r="E70" s="399"/>
      <c r="F70" s="409"/>
      <c r="G70" s="515">
        <f>SUM(G71:G74)</f>
        <v>134403</v>
      </c>
      <c r="H70" s="448"/>
      <c r="I70" s="448"/>
      <c r="J70" s="448"/>
      <c r="K70" s="448"/>
      <c r="L70" s="448"/>
      <c r="M70" s="448"/>
      <c r="N70" s="448"/>
      <c r="O70" s="448"/>
      <c r="P70" s="448"/>
      <c r="Q70" s="448"/>
      <c r="R70" s="448"/>
      <c r="S70" s="448"/>
      <c r="T70" s="448"/>
      <c r="U70" s="448"/>
      <c r="V70" s="448"/>
      <c r="W70" s="448"/>
      <c r="X70" s="448"/>
      <c r="Y70" s="448"/>
      <c r="Z70" s="448"/>
      <c r="AA70" s="448"/>
      <c r="AB70" s="448"/>
      <c r="AC70" s="448"/>
      <c r="AD70" s="448"/>
      <c r="AE70" s="448"/>
      <c r="AF70" s="448"/>
      <c r="AG70" s="448"/>
      <c r="AH70" s="448"/>
      <c r="AI70" s="448"/>
      <c r="AJ70" s="448"/>
      <c r="AK70" s="448"/>
      <c r="AL70" s="448"/>
      <c r="AM70" s="448"/>
      <c r="AN70" s="448"/>
      <c r="AO70" s="448"/>
      <c r="AP70" s="448"/>
      <c r="AQ70" s="448"/>
      <c r="AR70" s="448"/>
      <c r="AS70" s="448"/>
      <c r="AT70" s="448"/>
      <c r="AU70" s="448"/>
      <c r="AV70" s="448"/>
      <c r="AW70" s="448"/>
      <c r="AX70" s="448"/>
      <c r="AY70" s="448"/>
      <c r="AZ70" s="448"/>
      <c r="BA70" s="448"/>
      <c r="BB70" s="448"/>
      <c r="BC70" s="448"/>
      <c r="BD70" s="448"/>
      <c r="BE70" s="448"/>
      <c r="BF70" s="448"/>
      <c r="BG70" s="448"/>
      <c r="BH70" s="448"/>
      <c r="BI70" s="448"/>
      <c r="BJ70" s="448"/>
      <c r="BK70" s="448"/>
      <c r="BL70" s="448"/>
      <c r="BM70" s="448"/>
      <c r="BN70" s="448"/>
      <c r="BO70" s="448"/>
      <c r="BP70" s="448"/>
      <c r="BQ70" s="448"/>
      <c r="BR70" s="448"/>
      <c r="BS70" s="448"/>
      <c r="BT70" s="448"/>
    </row>
    <row r="71" spans="1:72" s="514" customFormat="1" ht="15.75" customHeight="1">
      <c r="A71" s="397"/>
      <c r="B71" s="398"/>
      <c r="C71" s="416"/>
      <c r="D71" s="399"/>
      <c r="E71" s="399" t="s">
        <v>145</v>
      </c>
      <c r="F71" s="409" t="s">
        <v>98</v>
      </c>
      <c r="G71" s="410">
        <f>1192+1192+1192+1025+678+513+1025+1025+2911</f>
        <v>10753</v>
      </c>
      <c r="H71" s="448"/>
      <c r="I71" s="448"/>
      <c r="J71" s="448"/>
      <c r="K71" s="448"/>
      <c r="L71" s="448"/>
      <c r="M71" s="448"/>
      <c r="N71" s="448"/>
      <c r="O71" s="448"/>
      <c r="P71" s="448"/>
      <c r="Q71" s="448"/>
      <c r="R71" s="448"/>
      <c r="S71" s="448"/>
      <c r="T71" s="448"/>
      <c r="U71" s="448"/>
      <c r="V71" s="448"/>
      <c r="W71" s="448"/>
      <c r="X71" s="448"/>
      <c r="Y71" s="448"/>
      <c r="Z71" s="448"/>
      <c r="AA71" s="448"/>
      <c r="AB71" s="448"/>
      <c r="AC71" s="448"/>
      <c r="AD71" s="448"/>
      <c r="AE71" s="448"/>
      <c r="AF71" s="448"/>
      <c r="AG71" s="448"/>
      <c r="AH71" s="448"/>
      <c r="AI71" s="448"/>
      <c r="AJ71" s="448"/>
      <c r="AK71" s="448"/>
      <c r="AL71" s="448"/>
      <c r="AM71" s="448"/>
      <c r="AN71" s="448"/>
      <c r="AO71" s="448"/>
      <c r="AP71" s="448"/>
      <c r="AQ71" s="448"/>
      <c r="AR71" s="448"/>
      <c r="AS71" s="448"/>
      <c r="AT71" s="448"/>
      <c r="AU71" s="448"/>
      <c r="AV71" s="448"/>
      <c r="AW71" s="448"/>
      <c r="AX71" s="448"/>
      <c r="AY71" s="448"/>
      <c r="AZ71" s="448"/>
      <c r="BA71" s="448"/>
      <c r="BB71" s="448"/>
      <c r="BC71" s="448"/>
      <c r="BD71" s="448"/>
      <c r="BE71" s="448"/>
      <c r="BF71" s="448"/>
      <c r="BG71" s="448"/>
      <c r="BH71" s="448"/>
      <c r="BI71" s="448"/>
      <c r="BJ71" s="448"/>
      <c r="BK71" s="448"/>
      <c r="BL71" s="448"/>
      <c r="BM71" s="448"/>
      <c r="BN71" s="448"/>
      <c r="BO71" s="448"/>
      <c r="BP71" s="448"/>
      <c r="BQ71" s="448"/>
      <c r="BR71" s="448"/>
      <c r="BS71" s="448"/>
      <c r="BT71" s="448"/>
    </row>
    <row r="72" spans="1:72" s="514" customFormat="1" ht="15.75" customHeight="1">
      <c r="A72" s="397"/>
      <c r="B72" s="398"/>
      <c r="C72" s="416"/>
      <c r="D72" s="399"/>
      <c r="E72" s="399" t="s">
        <v>132</v>
      </c>
      <c r="F72" s="409" t="s">
        <v>98</v>
      </c>
      <c r="G72" s="410">
        <f>1937+1937+1937+1666+1102+833+1666+1666+4729</f>
        <v>17473</v>
      </c>
      <c r="H72" s="448"/>
      <c r="I72" s="448"/>
      <c r="J72" s="448"/>
      <c r="K72" s="448"/>
      <c r="L72" s="448"/>
      <c r="M72" s="448"/>
      <c r="N72" s="448"/>
      <c r="O72" s="448"/>
      <c r="P72" s="448"/>
      <c r="Q72" s="448"/>
      <c r="R72" s="448"/>
      <c r="S72" s="448"/>
      <c r="T72" s="448"/>
      <c r="U72" s="448"/>
      <c r="V72" s="448"/>
      <c r="W72" s="448"/>
      <c r="X72" s="448"/>
      <c r="Y72" s="448"/>
      <c r="Z72" s="448"/>
      <c r="AA72" s="448"/>
      <c r="AB72" s="448"/>
      <c r="AC72" s="448"/>
      <c r="AD72" s="448"/>
      <c r="AE72" s="448"/>
      <c r="AF72" s="448"/>
      <c r="AG72" s="448"/>
      <c r="AH72" s="448"/>
      <c r="AI72" s="448"/>
      <c r="AJ72" s="448"/>
      <c r="AK72" s="448"/>
      <c r="AL72" s="448"/>
      <c r="AM72" s="448"/>
      <c r="AN72" s="448"/>
      <c r="AO72" s="448"/>
      <c r="AP72" s="448"/>
      <c r="AQ72" s="448"/>
      <c r="AR72" s="448"/>
      <c r="AS72" s="448"/>
      <c r="AT72" s="448"/>
      <c r="AU72" s="448"/>
      <c r="AV72" s="448"/>
      <c r="AW72" s="448"/>
      <c r="AX72" s="448"/>
      <c r="AY72" s="448"/>
      <c r="AZ72" s="448"/>
      <c r="BA72" s="448"/>
      <c r="BB72" s="448"/>
      <c r="BC72" s="448"/>
      <c r="BD72" s="448"/>
      <c r="BE72" s="448"/>
      <c r="BF72" s="448"/>
      <c r="BG72" s="448"/>
      <c r="BH72" s="448"/>
      <c r="BI72" s="448"/>
      <c r="BJ72" s="448"/>
      <c r="BK72" s="448"/>
      <c r="BL72" s="448"/>
      <c r="BM72" s="448"/>
      <c r="BN72" s="448"/>
      <c r="BO72" s="448"/>
      <c r="BP72" s="448"/>
      <c r="BQ72" s="448"/>
      <c r="BR72" s="448"/>
      <c r="BS72" s="448"/>
      <c r="BT72" s="448"/>
    </row>
    <row r="73" spans="1:72" s="514" customFormat="1" ht="15.75" customHeight="1">
      <c r="A73" s="397"/>
      <c r="B73" s="398"/>
      <c r="C73" s="416"/>
      <c r="D73" s="399"/>
      <c r="E73" s="399" t="s">
        <v>117</v>
      </c>
      <c r="F73" s="409" t="s">
        <v>98</v>
      </c>
      <c r="G73" s="410">
        <f>9683+9683+9683+8330+5509+4166+8331+8331+23646</f>
        <v>87362</v>
      </c>
      <c r="H73" s="448"/>
      <c r="I73" s="448"/>
      <c r="J73" s="448"/>
      <c r="K73" s="448"/>
      <c r="L73" s="448"/>
      <c r="M73" s="448"/>
      <c r="N73" s="448"/>
      <c r="O73" s="448"/>
      <c r="P73" s="448"/>
      <c r="Q73" s="448"/>
      <c r="R73" s="448"/>
      <c r="S73" s="448"/>
      <c r="T73" s="448"/>
      <c r="U73" s="448"/>
      <c r="V73" s="448"/>
      <c r="W73" s="448"/>
      <c r="X73" s="448"/>
      <c r="Y73" s="448"/>
      <c r="Z73" s="448"/>
      <c r="AA73" s="448"/>
      <c r="AB73" s="448"/>
      <c r="AC73" s="448"/>
      <c r="AD73" s="448"/>
      <c r="AE73" s="448"/>
      <c r="AF73" s="448"/>
      <c r="AG73" s="448"/>
      <c r="AH73" s="448"/>
      <c r="AI73" s="448"/>
      <c r="AJ73" s="448"/>
      <c r="AK73" s="448"/>
      <c r="AL73" s="448"/>
      <c r="AM73" s="448"/>
      <c r="AN73" s="448"/>
      <c r="AO73" s="448"/>
      <c r="AP73" s="448"/>
      <c r="AQ73" s="448"/>
      <c r="AR73" s="448"/>
      <c r="AS73" s="448"/>
      <c r="AT73" s="448"/>
      <c r="AU73" s="448"/>
      <c r="AV73" s="448"/>
      <c r="AW73" s="448"/>
      <c r="AX73" s="448"/>
      <c r="AY73" s="448"/>
      <c r="AZ73" s="448"/>
      <c r="BA73" s="448"/>
      <c r="BB73" s="448"/>
      <c r="BC73" s="448"/>
      <c r="BD73" s="448"/>
      <c r="BE73" s="448"/>
      <c r="BF73" s="448"/>
      <c r="BG73" s="448"/>
      <c r="BH73" s="448"/>
      <c r="BI73" s="448"/>
      <c r="BJ73" s="448"/>
      <c r="BK73" s="448"/>
      <c r="BL73" s="448"/>
      <c r="BM73" s="448"/>
      <c r="BN73" s="448"/>
      <c r="BO73" s="448"/>
      <c r="BP73" s="448"/>
      <c r="BQ73" s="448"/>
      <c r="BR73" s="448"/>
      <c r="BS73" s="448"/>
      <c r="BT73" s="448"/>
    </row>
    <row r="74" spans="1:72" s="514" customFormat="1" ht="15.75" customHeight="1">
      <c r="A74" s="397"/>
      <c r="B74" s="398"/>
      <c r="C74" s="416"/>
      <c r="D74" s="399"/>
      <c r="E74" s="399" t="s">
        <v>118</v>
      </c>
      <c r="F74" s="409" t="s">
        <v>98</v>
      </c>
      <c r="G74" s="410">
        <f>2085+2085+2085+1795+1187+897+1794+1794+5093</f>
        <v>18815</v>
      </c>
      <c r="H74" s="448"/>
      <c r="I74" s="448"/>
      <c r="J74" s="448"/>
      <c r="K74" s="448"/>
      <c r="L74" s="448"/>
      <c r="M74" s="448"/>
      <c r="N74" s="448"/>
      <c r="O74" s="448"/>
      <c r="P74" s="448"/>
      <c r="Q74" s="448"/>
      <c r="R74" s="448"/>
      <c r="S74" s="448"/>
      <c r="T74" s="448"/>
      <c r="U74" s="448"/>
      <c r="V74" s="448"/>
      <c r="W74" s="448"/>
      <c r="X74" s="448"/>
      <c r="Y74" s="448"/>
      <c r="Z74" s="448"/>
      <c r="AA74" s="448"/>
      <c r="AB74" s="448"/>
      <c r="AC74" s="448"/>
      <c r="AD74" s="448"/>
      <c r="AE74" s="448"/>
      <c r="AF74" s="448"/>
      <c r="AG74" s="448"/>
      <c r="AH74" s="448"/>
      <c r="AI74" s="448"/>
      <c r="AJ74" s="448"/>
      <c r="AK74" s="448"/>
      <c r="AL74" s="448"/>
      <c r="AM74" s="448"/>
      <c r="AN74" s="448"/>
      <c r="AO74" s="448"/>
      <c r="AP74" s="448"/>
      <c r="AQ74" s="448"/>
      <c r="AR74" s="448"/>
      <c r="AS74" s="448"/>
      <c r="AT74" s="448"/>
      <c r="AU74" s="448"/>
      <c r="AV74" s="448"/>
      <c r="AW74" s="448"/>
      <c r="AX74" s="448"/>
      <c r="AY74" s="448"/>
      <c r="AZ74" s="448"/>
      <c r="BA74" s="448"/>
      <c r="BB74" s="448"/>
      <c r="BC74" s="448"/>
      <c r="BD74" s="448"/>
      <c r="BE74" s="448"/>
      <c r="BF74" s="448"/>
      <c r="BG74" s="448"/>
      <c r="BH74" s="448"/>
      <c r="BI74" s="448"/>
      <c r="BJ74" s="448"/>
      <c r="BK74" s="448"/>
      <c r="BL74" s="448"/>
      <c r="BM74" s="448"/>
      <c r="BN74" s="448"/>
      <c r="BO74" s="448"/>
      <c r="BP74" s="448"/>
      <c r="BQ74" s="448"/>
      <c r="BR74" s="448"/>
      <c r="BS74" s="448"/>
      <c r="BT74" s="448"/>
    </row>
    <row r="75" spans="1:72" s="514" customFormat="1" ht="10.5" customHeight="1">
      <c r="A75" s="411"/>
      <c r="B75" s="518"/>
      <c r="C75" s="413"/>
      <c r="D75" s="400"/>
      <c r="E75" s="400"/>
      <c r="F75" s="402"/>
      <c r="G75" s="519"/>
      <c r="H75" s="448"/>
      <c r="I75" s="448"/>
      <c r="J75" s="448"/>
      <c r="K75" s="448"/>
      <c r="L75" s="448"/>
      <c r="M75" s="448"/>
      <c r="N75" s="448"/>
      <c r="O75" s="448"/>
      <c r="P75" s="448"/>
      <c r="Q75" s="448"/>
      <c r="R75" s="448"/>
      <c r="S75" s="448"/>
      <c r="T75" s="448"/>
      <c r="U75" s="448"/>
      <c r="V75" s="448"/>
      <c r="W75" s="448"/>
      <c r="X75" s="448"/>
      <c r="Y75" s="448"/>
      <c r="Z75" s="448"/>
      <c r="AA75" s="448"/>
      <c r="AB75" s="448"/>
      <c r="AC75" s="448"/>
      <c r="AD75" s="448"/>
      <c r="AE75" s="448"/>
      <c r="AF75" s="448"/>
      <c r="AG75" s="448"/>
      <c r="AH75" s="448"/>
      <c r="AI75" s="448"/>
      <c r="AJ75" s="448"/>
      <c r="AK75" s="448"/>
      <c r="AL75" s="448"/>
      <c r="AM75" s="448"/>
      <c r="AN75" s="448"/>
      <c r="AO75" s="448"/>
      <c r="AP75" s="448"/>
      <c r="AQ75" s="448"/>
      <c r="AR75" s="448"/>
      <c r="AS75" s="448"/>
      <c r="AT75" s="448"/>
      <c r="AU75" s="448"/>
      <c r="AV75" s="448"/>
      <c r="AW75" s="448"/>
      <c r="AX75" s="448"/>
      <c r="AY75" s="448"/>
      <c r="AZ75" s="448"/>
      <c r="BA75" s="448"/>
      <c r="BB75" s="448"/>
      <c r="BC75" s="448"/>
      <c r="BD75" s="448"/>
      <c r="BE75" s="448"/>
      <c r="BF75" s="448"/>
      <c r="BG75" s="448"/>
      <c r="BH75" s="448"/>
      <c r="BI75" s="448"/>
      <c r="BJ75" s="448"/>
      <c r="BK75" s="448"/>
      <c r="BL75" s="448"/>
      <c r="BM75" s="448"/>
      <c r="BN75" s="448"/>
      <c r="BO75" s="448"/>
      <c r="BP75" s="448"/>
      <c r="BQ75" s="448"/>
      <c r="BR75" s="448"/>
      <c r="BS75" s="448"/>
      <c r="BT75" s="448"/>
    </row>
    <row r="76" spans="1:72" s="514" customFormat="1" ht="15" customHeight="1">
      <c r="A76" s="397"/>
      <c r="B76" s="516"/>
      <c r="C76" s="399" t="s">
        <v>146</v>
      </c>
      <c r="D76" s="399" t="s">
        <v>147</v>
      </c>
      <c r="E76" s="400"/>
      <c r="F76" s="417">
        <f>SUM(F77:F78)</f>
        <v>3400060.99</v>
      </c>
      <c r="G76" s="402" t="s">
        <v>98</v>
      </c>
      <c r="H76" s="448"/>
      <c r="I76" s="448"/>
      <c r="J76" s="448"/>
      <c r="K76" s="448"/>
      <c r="L76" s="448"/>
      <c r="M76" s="448"/>
      <c r="N76" s="448"/>
      <c r="O76" s="448"/>
      <c r="P76" s="448"/>
      <c r="Q76" s="448"/>
      <c r="R76" s="448"/>
      <c r="S76" s="448"/>
      <c r="T76" s="448"/>
      <c r="U76" s="448"/>
      <c r="V76" s="448"/>
      <c r="W76" s="448"/>
      <c r="X76" s="448"/>
      <c r="Y76" s="448"/>
      <c r="Z76" s="448"/>
      <c r="AA76" s="448"/>
      <c r="AB76" s="448"/>
      <c r="AC76" s="448"/>
      <c r="AD76" s="448"/>
      <c r="AE76" s="448"/>
      <c r="AF76" s="448"/>
      <c r="AG76" s="448"/>
      <c r="AH76" s="448"/>
      <c r="AI76" s="448"/>
      <c r="AJ76" s="448"/>
      <c r="AK76" s="448"/>
      <c r="AL76" s="448"/>
      <c r="AM76" s="448"/>
      <c r="AN76" s="448"/>
      <c r="AO76" s="448"/>
      <c r="AP76" s="448"/>
      <c r="AQ76" s="448"/>
      <c r="AR76" s="448"/>
      <c r="AS76" s="448"/>
      <c r="AT76" s="448"/>
      <c r="AU76" s="448"/>
      <c r="AV76" s="448"/>
      <c r="AW76" s="448"/>
      <c r="AX76" s="448"/>
      <c r="AY76" s="448"/>
      <c r="AZ76" s="448"/>
      <c r="BA76" s="448"/>
      <c r="BB76" s="448"/>
      <c r="BC76" s="448"/>
      <c r="BD76" s="448"/>
      <c r="BE76" s="448"/>
      <c r="BF76" s="448"/>
      <c r="BG76" s="448"/>
      <c r="BH76" s="448"/>
      <c r="BI76" s="448"/>
      <c r="BJ76" s="448"/>
      <c r="BK76" s="448"/>
      <c r="BL76" s="448"/>
      <c r="BM76" s="448"/>
      <c r="BN76" s="448"/>
      <c r="BO76" s="448"/>
      <c r="BP76" s="448"/>
      <c r="BQ76" s="448"/>
      <c r="BR76" s="448"/>
      <c r="BS76" s="448"/>
      <c r="BT76" s="448"/>
    </row>
    <row r="77" spans="1:72" s="514" customFormat="1" ht="16.5" customHeight="1">
      <c r="A77" s="397"/>
      <c r="B77" s="516"/>
      <c r="C77" s="399"/>
      <c r="D77" s="399"/>
      <c r="E77" s="418" t="s">
        <v>176</v>
      </c>
      <c r="F77" s="419">
        <f>3087.99</f>
        <v>3087.99</v>
      </c>
      <c r="G77" s="420" t="s">
        <v>98</v>
      </c>
      <c r="H77" s="448"/>
      <c r="I77" s="448"/>
      <c r="J77" s="448"/>
      <c r="K77" s="448"/>
      <c r="L77" s="448"/>
      <c r="M77" s="448"/>
      <c r="N77" s="448"/>
      <c r="O77" s="448"/>
      <c r="P77" s="448"/>
      <c r="Q77" s="448"/>
      <c r="R77" s="448"/>
      <c r="S77" s="448"/>
      <c r="T77" s="448"/>
      <c r="U77" s="448"/>
      <c r="V77" s="448"/>
      <c r="W77" s="448"/>
      <c r="X77" s="448"/>
      <c r="Y77" s="448"/>
      <c r="Z77" s="448"/>
      <c r="AA77" s="448"/>
      <c r="AB77" s="448"/>
      <c r="AC77" s="448"/>
      <c r="AD77" s="448"/>
      <c r="AE77" s="448"/>
      <c r="AF77" s="448"/>
      <c r="AG77" s="448"/>
      <c r="AH77" s="448"/>
      <c r="AI77" s="448"/>
      <c r="AJ77" s="448"/>
      <c r="AK77" s="448"/>
      <c r="AL77" s="448"/>
      <c r="AM77" s="448"/>
      <c r="AN77" s="448"/>
      <c r="AO77" s="448"/>
      <c r="AP77" s="448"/>
      <c r="AQ77" s="448"/>
      <c r="AR77" s="448"/>
      <c r="AS77" s="448"/>
      <c r="AT77" s="448"/>
      <c r="AU77" s="448"/>
      <c r="AV77" s="448"/>
      <c r="AW77" s="448"/>
      <c r="AX77" s="448"/>
      <c r="AY77" s="448"/>
      <c r="AZ77" s="448"/>
      <c r="BA77" s="448"/>
      <c r="BB77" s="448"/>
      <c r="BC77" s="448"/>
      <c r="BD77" s="448"/>
      <c r="BE77" s="448"/>
      <c r="BF77" s="448"/>
      <c r="BG77" s="448"/>
      <c r="BH77" s="448"/>
      <c r="BI77" s="448"/>
      <c r="BJ77" s="448"/>
      <c r="BK77" s="448"/>
      <c r="BL77" s="448"/>
      <c r="BM77" s="448"/>
      <c r="BN77" s="448"/>
      <c r="BO77" s="448"/>
      <c r="BP77" s="448"/>
      <c r="BQ77" s="448"/>
      <c r="BR77" s="448"/>
      <c r="BS77" s="448"/>
      <c r="BT77" s="448"/>
    </row>
    <row r="78" spans="1:72" s="514" customFormat="1" ht="15.75" customHeight="1">
      <c r="A78" s="397"/>
      <c r="B78" s="398"/>
      <c r="C78" s="399"/>
      <c r="D78" s="399"/>
      <c r="E78" s="400" t="s">
        <v>107</v>
      </c>
      <c r="F78" s="414">
        <f>317484+235361+126435+219992+116299+234497+122073+224633+118445+232996+120177+113102+224048+234653+109936+228518+101420+199599+117305</f>
        <v>3396973</v>
      </c>
      <c r="G78" s="402" t="s">
        <v>98</v>
      </c>
      <c r="H78" s="448"/>
      <c r="I78" s="448"/>
      <c r="J78" s="448"/>
      <c r="K78" s="448"/>
      <c r="L78" s="448"/>
      <c r="M78" s="448"/>
      <c r="N78" s="448"/>
      <c r="O78" s="448"/>
      <c r="P78" s="448"/>
      <c r="Q78" s="448"/>
      <c r="R78" s="448"/>
      <c r="S78" s="448"/>
      <c r="T78" s="448"/>
      <c r="U78" s="448"/>
      <c r="V78" s="448"/>
      <c r="W78" s="448"/>
      <c r="X78" s="448"/>
      <c r="Y78" s="448"/>
      <c r="Z78" s="448"/>
      <c r="AA78" s="448"/>
      <c r="AB78" s="448"/>
      <c r="AC78" s="448"/>
      <c r="AD78" s="448"/>
      <c r="AE78" s="448"/>
      <c r="AF78" s="448"/>
      <c r="AG78" s="448"/>
      <c r="AH78" s="448"/>
      <c r="AI78" s="448"/>
      <c r="AJ78" s="448"/>
      <c r="AK78" s="448"/>
      <c r="AL78" s="448"/>
      <c r="AM78" s="448"/>
      <c r="AN78" s="448"/>
      <c r="AO78" s="448"/>
      <c r="AP78" s="448"/>
      <c r="AQ78" s="448"/>
      <c r="AR78" s="448"/>
      <c r="AS78" s="448"/>
      <c r="AT78" s="448"/>
      <c r="AU78" s="448"/>
      <c r="AV78" s="448"/>
      <c r="AW78" s="448"/>
      <c r="AX78" s="448"/>
      <c r="AY78" s="448"/>
      <c r="AZ78" s="448"/>
      <c r="BA78" s="448"/>
      <c r="BB78" s="448"/>
      <c r="BC78" s="448"/>
      <c r="BD78" s="448"/>
      <c r="BE78" s="448"/>
      <c r="BF78" s="448"/>
      <c r="BG78" s="448"/>
      <c r="BH78" s="448"/>
      <c r="BI78" s="448"/>
      <c r="BJ78" s="448"/>
      <c r="BK78" s="448"/>
      <c r="BL78" s="448"/>
      <c r="BM78" s="448"/>
      <c r="BN78" s="448"/>
      <c r="BO78" s="448"/>
      <c r="BP78" s="448"/>
      <c r="BQ78" s="448"/>
      <c r="BR78" s="448"/>
      <c r="BS78" s="448"/>
      <c r="BT78" s="448"/>
    </row>
    <row r="79" spans="1:72" s="514" customFormat="1" ht="23.25" customHeight="1">
      <c r="A79" s="403" t="s">
        <v>148</v>
      </c>
      <c r="B79" s="404" t="s">
        <v>149</v>
      </c>
      <c r="C79" s="399"/>
      <c r="D79" s="399"/>
      <c r="E79" s="400" t="s">
        <v>98</v>
      </c>
      <c r="F79" s="402" t="s">
        <v>98</v>
      </c>
      <c r="G79" s="401">
        <f>SUM(G81,G90,G95,G100,G109,G118,G123,G128,G133,G142,G147,G152,G157,G166,G171,G176,G185,G190,G195,G204,G209,G216)</f>
        <v>3835575.3599999994</v>
      </c>
      <c r="H79" s="448"/>
      <c r="I79" s="520"/>
      <c r="J79" s="448"/>
      <c r="K79" s="448"/>
      <c r="L79" s="448"/>
      <c r="M79" s="448"/>
      <c r="N79" s="448"/>
      <c r="O79" s="448"/>
      <c r="P79" s="448"/>
      <c r="Q79" s="448"/>
      <c r="R79" s="448"/>
      <c r="S79" s="448"/>
      <c r="T79" s="448"/>
      <c r="U79" s="448"/>
      <c r="V79" s="448"/>
      <c r="W79" s="448"/>
      <c r="X79" s="448"/>
      <c r="Y79" s="448"/>
      <c r="Z79" s="448"/>
      <c r="AA79" s="448"/>
      <c r="AB79" s="448"/>
      <c r="AC79" s="448"/>
      <c r="AD79" s="448"/>
      <c r="AE79" s="448"/>
      <c r="AF79" s="448"/>
      <c r="AG79" s="448"/>
      <c r="AH79" s="448"/>
      <c r="AI79" s="448"/>
      <c r="AJ79" s="448"/>
      <c r="AK79" s="448"/>
      <c r="AL79" s="448"/>
      <c r="AM79" s="448"/>
      <c r="AN79" s="448"/>
      <c r="AO79" s="448"/>
      <c r="AP79" s="448"/>
      <c r="AQ79" s="448"/>
      <c r="AR79" s="448"/>
      <c r="AS79" s="448"/>
      <c r="AT79" s="448"/>
      <c r="AU79" s="448"/>
      <c r="AV79" s="448"/>
      <c r="AW79" s="448"/>
      <c r="AX79" s="448"/>
      <c r="AY79" s="448"/>
      <c r="AZ79" s="448"/>
      <c r="BA79" s="448"/>
      <c r="BB79" s="448"/>
      <c r="BC79" s="448"/>
      <c r="BD79" s="448"/>
      <c r="BE79" s="448"/>
      <c r="BF79" s="448"/>
      <c r="BG79" s="448"/>
      <c r="BH79" s="448"/>
      <c r="BI79" s="448"/>
      <c r="BJ79" s="448"/>
      <c r="BK79" s="448"/>
      <c r="BL79" s="448"/>
      <c r="BM79" s="448"/>
      <c r="BN79" s="448"/>
      <c r="BO79" s="448"/>
      <c r="BP79" s="448"/>
      <c r="BQ79" s="448"/>
      <c r="BR79" s="448"/>
      <c r="BS79" s="448"/>
      <c r="BT79" s="448"/>
    </row>
    <row r="80" spans="1:72" s="514" customFormat="1" ht="14.25" customHeight="1">
      <c r="A80" s="397"/>
      <c r="B80" s="398"/>
      <c r="C80" s="416"/>
      <c r="D80" s="399"/>
      <c r="E80" s="418"/>
      <c r="F80" s="420"/>
      <c r="G80" s="421"/>
      <c r="H80" s="448"/>
      <c r="I80" s="448"/>
      <c r="J80" s="448"/>
      <c r="K80" s="448"/>
      <c r="L80" s="448"/>
      <c r="M80" s="448"/>
      <c r="N80" s="448"/>
      <c r="O80" s="448"/>
      <c r="P80" s="448"/>
      <c r="Q80" s="448"/>
      <c r="R80" s="448"/>
      <c r="S80" s="448"/>
      <c r="T80" s="448"/>
      <c r="U80" s="448"/>
      <c r="V80" s="448"/>
      <c r="W80" s="448"/>
      <c r="X80" s="448"/>
      <c r="Y80" s="448"/>
      <c r="Z80" s="448"/>
      <c r="AA80" s="448"/>
      <c r="AB80" s="448"/>
      <c r="AC80" s="448"/>
      <c r="AD80" s="448"/>
      <c r="AE80" s="448"/>
      <c r="AF80" s="448"/>
      <c r="AG80" s="448"/>
      <c r="AH80" s="448"/>
      <c r="AI80" s="448"/>
      <c r="AJ80" s="448"/>
      <c r="AK80" s="448"/>
      <c r="AL80" s="448"/>
      <c r="AM80" s="448"/>
      <c r="AN80" s="448"/>
      <c r="AO80" s="448"/>
      <c r="AP80" s="448"/>
      <c r="AQ80" s="448"/>
      <c r="AR80" s="448"/>
      <c r="AS80" s="448"/>
      <c r="AT80" s="448"/>
      <c r="AU80" s="448"/>
      <c r="AV80" s="448"/>
      <c r="AW80" s="448"/>
      <c r="AX80" s="448"/>
      <c r="AY80" s="448"/>
      <c r="AZ80" s="448"/>
      <c r="BA80" s="448"/>
      <c r="BB80" s="448"/>
      <c r="BC80" s="448"/>
      <c r="BD80" s="448"/>
      <c r="BE80" s="448"/>
      <c r="BF80" s="448"/>
      <c r="BG80" s="448"/>
      <c r="BH80" s="448"/>
      <c r="BI80" s="448"/>
      <c r="BJ80" s="448"/>
      <c r="BK80" s="448"/>
      <c r="BL80" s="448"/>
      <c r="BM80" s="448"/>
      <c r="BN80" s="448"/>
      <c r="BO80" s="448"/>
      <c r="BP80" s="448"/>
      <c r="BQ80" s="448"/>
      <c r="BR80" s="448"/>
      <c r="BS80" s="448"/>
      <c r="BT80" s="448"/>
    </row>
    <row r="81" spans="1:72" s="514" customFormat="1" ht="15.75" customHeight="1">
      <c r="A81" s="397"/>
      <c r="B81" s="516" t="s">
        <v>37</v>
      </c>
      <c r="C81" s="399" t="s">
        <v>150</v>
      </c>
      <c r="D81" s="399" t="s">
        <v>151</v>
      </c>
      <c r="E81" s="400" t="s">
        <v>98</v>
      </c>
      <c r="F81" s="402" t="s">
        <v>98</v>
      </c>
      <c r="G81" s="401">
        <f>SUM(G83)</f>
        <v>2065300.3399999999</v>
      </c>
      <c r="H81" s="448"/>
      <c r="I81" s="448"/>
      <c r="J81" s="448"/>
      <c r="K81" s="448"/>
      <c r="L81" s="448"/>
      <c r="M81" s="448"/>
      <c r="N81" s="448"/>
      <c r="O81" s="448"/>
      <c r="P81" s="448"/>
      <c r="Q81" s="448"/>
      <c r="R81" s="448"/>
      <c r="S81" s="448"/>
      <c r="T81" s="448"/>
      <c r="U81" s="448"/>
      <c r="V81" s="448"/>
      <c r="W81" s="448"/>
      <c r="X81" s="448"/>
      <c r="Y81" s="448"/>
      <c r="Z81" s="448"/>
      <c r="AA81" s="448"/>
      <c r="AB81" s="448"/>
      <c r="AC81" s="448"/>
      <c r="AD81" s="448"/>
      <c r="AE81" s="448"/>
      <c r="AF81" s="448"/>
      <c r="AG81" s="448"/>
      <c r="AH81" s="448"/>
      <c r="AI81" s="448"/>
      <c r="AJ81" s="448"/>
      <c r="AK81" s="448"/>
      <c r="AL81" s="448"/>
      <c r="AM81" s="448"/>
      <c r="AN81" s="448"/>
      <c r="AO81" s="448"/>
      <c r="AP81" s="448"/>
      <c r="AQ81" s="448"/>
      <c r="AR81" s="448"/>
      <c r="AS81" s="448"/>
      <c r="AT81" s="448"/>
      <c r="AU81" s="448"/>
      <c r="AV81" s="448"/>
      <c r="AW81" s="448"/>
      <c r="AX81" s="448"/>
      <c r="AY81" s="448"/>
      <c r="AZ81" s="448"/>
      <c r="BA81" s="448"/>
      <c r="BB81" s="448"/>
      <c r="BC81" s="448"/>
      <c r="BD81" s="448"/>
      <c r="BE81" s="448"/>
      <c r="BF81" s="448"/>
      <c r="BG81" s="448"/>
      <c r="BH81" s="448"/>
      <c r="BI81" s="448"/>
      <c r="BJ81" s="448"/>
      <c r="BK81" s="448"/>
      <c r="BL81" s="448"/>
      <c r="BM81" s="448"/>
      <c r="BN81" s="448"/>
      <c r="BO81" s="448"/>
      <c r="BP81" s="448"/>
      <c r="BQ81" s="448"/>
      <c r="BR81" s="448"/>
      <c r="BS81" s="448"/>
      <c r="BT81" s="448"/>
    </row>
    <row r="82" spans="1:72" s="514" customFormat="1" ht="15.75" customHeight="1">
      <c r="A82" s="397"/>
      <c r="B82" s="398"/>
      <c r="C82" s="416"/>
      <c r="D82" s="399"/>
      <c r="E82" s="399"/>
      <c r="F82" s="409"/>
      <c r="G82" s="410"/>
      <c r="H82" s="448"/>
      <c r="I82" s="521"/>
      <c r="J82" s="448"/>
      <c r="K82" s="448"/>
      <c r="L82" s="448"/>
      <c r="M82" s="448"/>
      <c r="N82" s="448"/>
      <c r="O82" s="448"/>
      <c r="P82" s="448"/>
      <c r="Q82" s="448"/>
      <c r="R82" s="448"/>
      <c r="S82" s="448"/>
      <c r="T82" s="448"/>
      <c r="U82" s="448"/>
      <c r="V82" s="448"/>
      <c r="W82" s="448"/>
      <c r="X82" s="448"/>
      <c r="Y82" s="448"/>
      <c r="Z82" s="448"/>
      <c r="AA82" s="448"/>
      <c r="AB82" s="448"/>
      <c r="AC82" s="448"/>
      <c r="AD82" s="448"/>
      <c r="AE82" s="448"/>
      <c r="AF82" s="448"/>
      <c r="AG82" s="448"/>
      <c r="AH82" s="448"/>
      <c r="AI82" s="448"/>
      <c r="AJ82" s="448"/>
      <c r="AK82" s="448"/>
      <c r="AL82" s="448"/>
      <c r="AM82" s="448"/>
      <c r="AN82" s="448"/>
      <c r="AO82" s="448"/>
      <c r="AP82" s="448"/>
      <c r="AQ82" s="448"/>
      <c r="AR82" s="448"/>
      <c r="AS82" s="448"/>
      <c r="AT82" s="448"/>
      <c r="AU82" s="448"/>
      <c r="AV82" s="448"/>
      <c r="AW82" s="448"/>
      <c r="AX82" s="448"/>
      <c r="AY82" s="448"/>
      <c r="AZ82" s="448"/>
      <c r="BA82" s="448"/>
      <c r="BB82" s="448"/>
      <c r="BC82" s="448"/>
      <c r="BD82" s="448"/>
      <c r="BE82" s="448"/>
      <c r="BF82" s="448"/>
      <c r="BG82" s="448"/>
      <c r="BH82" s="448"/>
      <c r="BI82" s="448"/>
      <c r="BJ82" s="448"/>
      <c r="BK82" s="448"/>
      <c r="BL82" s="448"/>
      <c r="BM82" s="448"/>
      <c r="BN82" s="448"/>
      <c r="BO82" s="448"/>
      <c r="BP82" s="448"/>
      <c r="BQ82" s="448"/>
      <c r="BR82" s="448"/>
      <c r="BS82" s="448"/>
      <c r="BT82" s="448"/>
    </row>
    <row r="83" spans="1:72" s="514" customFormat="1" ht="15.75" customHeight="1">
      <c r="A83" s="397"/>
      <c r="B83" s="398"/>
      <c r="C83" s="416"/>
      <c r="D83" s="399"/>
      <c r="E83" s="399"/>
      <c r="F83" s="409"/>
      <c r="G83" s="515">
        <f>SUM(G84:G88)</f>
        <v>2065300.3399999999</v>
      </c>
      <c r="H83" s="448"/>
      <c r="I83" s="521"/>
      <c r="J83" s="448"/>
      <c r="K83" s="448"/>
      <c r="L83" s="448"/>
      <c r="M83" s="448"/>
      <c r="N83" s="448"/>
      <c r="O83" s="448"/>
      <c r="P83" s="448"/>
      <c r="Q83" s="448"/>
      <c r="R83" s="448"/>
      <c r="S83" s="448"/>
      <c r="T83" s="448"/>
      <c r="U83" s="448"/>
      <c r="V83" s="448"/>
      <c r="W83" s="448"/>
      <c r="X83" s="448"/>
      <c r="Y83" s="448"/>
      <c r="Z83" s="448"/>
      <c r="AA83" s="448"/>
      <c r="AB83" s="448"/>
      <c r="AC83" s="448"/>
      <c r="AD83" s="448"/>
      <c r="AE83" s="448"/>
      <c r="AF83" s="448"/>
      <c r="AG83" s="448"/>
      <c r="AH83" s="448"/>
      <c r="AI83" s="448"/>
      <c r="AJ83" s="448"/>
      <c r="AK83" s="448"/>
      <c r="AL83" s="448"/>
      <c r="AM83" s="448"/>
      <c r="AN83" s="448"/>
      <c r="AO83" s="448"/>
      <c r="AP83" s="448"/>
      <c r="AQ83" s="448"/>
      <c r="AR83" s="448"/>
      <c r="AS83" s="448"/>
      <c r="AT83" s="448"/>
      <c r="AU83" s="448"/>
      <c r="AV83" s="448"/>
      <c r="AW83" s="448"/>
      <c r="AX83" s="448"/>
      <c r="AY83" s="448"/>
      <c r="AZ83" s="448"/>
      <c r="BA83" s="448"/>
      <c r="BB83" s="448"/>
      <c r="BC83" s="448"/>
      <c r="BD83" s="448"/>
      <c r="BE83" s="448"/>
      <c r="BF83" s="448"/>
      <c r="BG83" s="448"/>
      <c r="BH83" s="448"/>
      <c r="BI83" s="448"/>
      <c r="BJ83" s="448"/>
      <c r="BK83" s="448"/>
      <c r="BL83" s="448"/>
      <c r="BM83" s="448"/>
      <c r="BN83" s="448"/>
      <c r="BO83" s="448"/>
      <c r="BP83" s="448"/>
      <c r="BQ83" s="448"/>
      <c r="BR83" s="448"/>
      <c r="BS83" s="448"/>
      <c r="BT83" s="448"/>
    </row>
    <row r="84" spans="1:72" s="514" customFormat="1" ht="15.75" customHeight="1">
      <c r="A84" s="397"/>
      <c r="B84" s="398"/>
      <c r="C84" s="416"/>
      <c r="D84" s="399"/>
      <c r="E84" s="399" t="s">
        <v>145</v>
      </c>
      <c r="F84" s="409" t="s">
        <v>98</v>
      </c>
      <c r="G84" s="410">
        <f>191072+191605+247971.91+178569-135079.93+175753+53687+179048+189844+47218+1740.39+169124</f>
        <v>1490552.3699999999</v>
      </c>
      <c r="H84" s="448"/>
      <c r="I84" s="521"/>
      <c r="J84" s="448"/>
      <c r="K84" s="448"/>
      <c r="L84" s="448"/>
      <c r="M84" s="448"/>
      <c r="N84" s="448"/>
      <c r="O84" s="448"/>
      <c r="P84" s="448"/>
      <c r="Q84" s="448"/>
      <c r="R84" s="448"/>
      <c r="S84" s="448"/>
      <c r="T84" s="448"/>
      <c r="U84" s="448"/>
      <c r="V84" s="448"/>
      <c r="W84" s="448"/>
      <c r="X84" s="448"/>
      <c r="Y84" s="448"/>
      <c r="Z84" s="448"/>
      <c r="AA84" s="448"/>
      <c r="AB84" s="448"/>
      <c r="AC84" s="448"/>
      <c r="AD84" s="448"/>
      <c r="AE84" s="448"/>
      <c r="AF84" s="448"/>
      <c r="AG84" s="448"/>
      <c r="AH84" s="448"/>
      <c r="AI84" s="448"/>
      <c r="AJ84" s="448"/>
      <c r="AK84" s="448"/>
      <c r="AL84" s="448"/>
      <c r="AM84" s="448"/>
      <c r="AN84" s="448"/>
      <c r="AO84" s="448"/>
      <c r="AP84" s="448"/>
      <c r="AQ84" s="448"/>
      <c r="AR84" s="448"/>
      <c r="AS84" s="448"/>
      <c r="AT84" s="448"/>
      <c r="AU84" s="448"/>
      <c r="AV84" s="448"/>
      <c r="AW84" s="448"/>
      <c r="AX84" s="448"/>
      <c r="AY84" s="448"/>
      <c r="AZ84" s="448"/>
      <c r="BA84" s="448"/>
      <c r="BB84" s="448"/>
      <c r="BC84" s="448"/>
      <c r="BD84" s="448"/>
      <c r="BE84" s="448"/>
      <c r="BF84" s="448"/>
      <c r="BG84" s="448"/>
      <c r="BH84" s="448"/>
      <c r="BI84" s="448"/>
      <c r="BJ84" s="448"/>
      <c r="BK84" s="448"/>
      <c r="BL84" s="448"/>
      <c r="BM84" s="448"/>
      <c r="BN84" s="448"/>
      <c r="BO84" s="448"/>
      <c r="BP84" s="448"/>
      <c r="BQ84" s="448"/>
      <c r="BR84" s="448"/>
      <c r="BS84" s="448"/>
      <c r="BT84" s="448"/>
    </row>
    <row r="85" spans="1:72" s="514" customFormat="1" ht="15.75" customHeight="1">
      <c r="A85" s="397"/>
      <c r="B85" s="398"/>
      <c r="C85" s="416"/>
      <c r="D85" s="399"/>
      <c r="E85" s="399" t="s">
        <v>132</v>
      </c>
      <c r="F85" s="409" t="s">
        <v>98</v>
      </c>
      <c r="G85" s="410">
        <f>10885+111452</f>
        <v>122337</v>
      </c>
      <c r="H85" s="448"/>
      <c r="I85" s="521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  <c r="Z85" s="448"/>
      <c r="AA85" s="448"/>
      <c r="AB85" s="448"/>
      <c r="AC85" s="448"/>
      <c r="AD85" s="448"/>
      <c r="AE85" s="448"/>
      <c r="AF85" s="448"/>
      <c r="AG85" s="448"/>
      <c r="AH85" s="448"/>
      <c r="AI85" s="448"/>
      <c r="AJ85" s="448"/>
      <c r="AK85" s="448"/>
      <c r="AL85" s="448"/>
      <c r="AM85" s="448"/>
      <c r="AN85" s="448"/>
      <c r="AO85" s="448"/>
      <c r="AP85" s="448"/>
      <c r="AQ85" s="448"/>
      <c r="AR85" s="448"/>
      <c r="AS85" s="448"/>
      <c r="AT85" s="448"/>
      <c r="AU85" s="448"/>
      <c r="AV85" s="448"/>
      <c r="AW85" s="448"/>
      <c r="AX85" s="448"/>
      <c r="AY85" s="448"/>
      <c r="AZ85" s="448"/>
      <c r="BA85" s="448"/>
      <c r="BB85" s="448"/>
      <c r="BC85" s="448"/>
      <c r="BD85" s="448"/>
      <c r="BE85" s="448"/>
      <c r="BF85" s="448"/>
      <c r="BG85" s="448"/>
      <c r="BH85" s="448"/>
      <c r="BI85" s="448"/>
      <c r="BJ85" s="448"/>
      <c r="BK85" s="448"/>
      <c r="BL85" s="448"/>
      <c r="BM85" s="448"/>
      <c r="BN85" s="448"/>
      <c r="BO85" s="448"/>
      <c r="BP85" s="448"/>
      <c r="BQ85" s="448"/>
      <c r="BR85" s="448"/>
      <c r="BS85" s="448"/>
      <c r="BT85" s="448"/>
    </row>
    <row r="86" spans="1:72" s="514" customFormat="1" ht="15.75" customHeight="1">
      <c r="A86" s="397"/>
      <c r="B86" s="398"/>
      <c r="C86" s="416"/>
      <c r="D86" s="399"/>
      <c r="E86" s="399" t="s">
        <v>152</v>
      </c>
      <c r="F86" s="409" t="s">
        <v>98</v>
      </c>
      <c r="G86" s="410">
        <f>275988+6300-26614-12409.25</f>
        <v>243264.75</v>
      </c>
      <c r="H86" s="448"/>
      <c r="I86" s="521"/>
      <c r="J86" s="448"/>
      <c r="K86" s="448"/>
      <c r="L86" s="448"/>
      <c r="M86" s="448"/>
      <c r="N86" s="448"/>
      <c r="O86" s="448"/>
      <c r="P86" s="448"/>
      <c r="Q86" s="448"/>
      <c r="R86" s="448"/>
      <c r="S86" s="448"/>
      <c r="T86" s="448"/>
      <c r="U86" s="448"/>
      <c r="V86" s="448"/>
      <c r="W86" s="448"/>
      <c r="X86" s="448"/>
      <c r="Y86" s="448"/>
      <c r="Z86" s="448"/>
      <c r="AA86" s="448"/>
      <c r="AB86" s="448"/>
      <c r="AC86" s="448"/>
      <c r="AD86" s="448"/>
      <c r="AE86" s="448"/>
      <c r="AF86" s="448"/>
      <c r="AG86" s="448"/>
      <c r="AH86" s="448"/>
      <c r="AI86" s="448"/>
      <c r="AJ86" s="448"/>
      <c r="AK86" s="448"/>
      <c r="AL86" s="448"/>
      <c r="AM86" s="448"/>
      <c r="AN86" s="448"/>
      <c r="AO86" s="448"/>
      <c r="AP86" s="448"/>
      <c r="AQ86" s="448"/>
      <c r="AR86" s="448"/>
      <c r="AS86" s="448"/>
      <c r="AT86" s="448"/>
      <c r="AU86" s="448"/>
      <c r="AV86" s="448"/>
      <c r="AW86" s="448"/>
      <c r="AX86" s="448"/>
      <c r="AY86" s="448"/>
      <c r="AZ86" s="448"/>
      <c r="BA86" s="448"/>
      <c r="BB86" s="448"/>
      <c r="BC86" s="448"/>
      <c r="BD86" s="448"/>
      <c r="BE86" s="448"/>
      <c r="BF86" s="448"/>
      <c r="BG86" s="448"/>
      <c r="BH86" s="448"/>
      <c r="BI86" s="448"/>
      <c r="BJ86" s="448"/>
      <c r="BK86" s="448"/>
      <c r="BL86" s="448"/>
      <c r="BM86" s="448"/>
      <c r="BN86" s="448"/>
      <c r="BO86" s="448"/>
      <c r="BP86" s="448"/>
      <c r="BQ86" s="448"/>
      <c r="BR86" s="448"/>
      <c r="BS86" s="448"/>
      <c r="BT86" s="448"/>
    </row>
    <row r="87" spans="1:72" s="514" customFormat="1" ht="15.75" customHeight="1">
      <c r="A87" s="397"/>
      <c r="B87" s="398"/>
      <c r="C87" s="416"/>
      <c r="D87" s="399"/>
      <c r="E87" s="399" t="s">
        <v>118</v>
      </c>
      <c r="F87" s="409" t="s">
        <v>98</v>
      </c>
      <c r="G87" s="410">
        <f>53410+1300-4100-3364.78+22422</f>
        <v>69667.22</v>
      </c>
      <c r="H87" s="448"/>
      <c r="I87" s="521"/>
      <c r="J87" s="448"/>
      <c r="K87" s="448"/>
      <c r="L87" s="448"/>
      <c r="M87" s="448"/>
      <c r="N87" s="448"/>
      <c r="O87" s="448"/>
      <c r="P87" s="448"/>
      <c r="Q87" s="448"/>
      <c r="R87" s="448"/>
      <c r="S87" s="448"/>
      <c r="T87" s="448"/>
      <c r="U87" s="448"/>
      <c r="V87" s="448"/>
      <c r="W87" s="448"/>
      <c r="X87" s="448"/>
      <c r="Y87" s="448"/>
      <c r="Z87" s="448"/>
      <c r="AA87" s="448"/>
      <c r="AB87" s="448"/>
      <c r="AC87" s="448"/>
      <c r="AD87" s="448"/>
      <c r="AE87" s="448"/>
      <c r="AF87" s="448"/>
      <c r="AG87" s="448"/>
      <c r="AH87" s="448"/>
      <c r="AI87" s="448"/>
      <c r="AJ87" s="448"/>
      <c r="AK87" s="448"/>
      <c r="AL87" s="448"/>
      <c r="AM87" s="448"/>
      <c r="AN87" s="448"/>
      <c r="AO87" s="448"/>
      <c r="AP87" s="448"/>
      <c r="AQ87" s="448"/>
      <c r="AR87" s="448"/>
      <c r="AS87" s="448"/>
      <c r="AT87" s="448"/>
      <c r="AU87" s="448"/>
      <c r="AV87" s="448"/>
      <c r="AW87" s="448"/>
      <c r="AX87" s="448"/>
      <c r="AY87" s="448"/>
      <c r="AZ87" s="448"/>
      <c r="BA87" s="448"/>
      <c r="BB87" s="448"/>
      <c r="BC87" s="448"/>
      <c r="BD87" s="448"/>
      <c r="BE87" s="448"/>
      <c r="BF87" s="448"/>
      <c r="BG87" s="448"/>
      <c r="BH87" s="448"/>
      <c r="BI87" s="448"/>
      <c r="BJ87" s="448"/>
      <c r="BK87" s="448"/>
      <c r="BL87" s="448"/>
      <c r="BM87" s="448"/>
      <c r="BN87" s="448"/>
      <c r="BO87" s="448"/>
      <c r="BP87" s="448"/>
      <c r="BQ87" s="448"/>
      <c r="BR87" s="448"/>
      <c r="BS87" s="448"/>
      <c r="BT87" s="448"/>
    </row>
    <row r="88" spans="1:72" s="514" customFormat="1" ht="15.75" customHeight="1">
      <c r="A88" s="397"/>
      <c r="B88" s="398"/>
      <c r="C88" s="416"/>
      <c r="D88" s="399"/>
      <c r="E88" s="399" t="s">
        <v>119</v>
      </c>
      <c r="F88" s="409" t="s">
        <v>98</v>
      </c>
      <c r="G88" s="410">
        <f>139479</f>
        <v>139479</v>
      </c>
      <c r="H88" s="448"/>
      <c r="I88" s="521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  <c r="Z88" s="448"/>
      <c r="AA88" s="448"/>
      <c r="AB88" s="448"/>
      <c r="AC88" s="448"/>
      <c r="AD88" s="448"/>
      <c r="AE88" s="448"/>
      <c r="AF88" s="448"/>
      <c r="AG88" s="448"/>
      <c r="AH88" s="448"/>
      <c r="AI88" s="448"/>
      <c r="AJ88" s="448"/>
      <c r="AK88" s="448"/>
      <c r="AL88" s="448"/>
      <c r="AM88" s="448"/>
      <c r="AN88" s="448"/>
      <c r="AO88" s="448"/>
      <c r="AP88" s="448"/>
      <c r="AQ88" s="448"/>
      <c r="AR88" s="448"/>
      <c r="AS88" s="448"/>
      <c r="AT88" s="448"/>
      <c r="AU88" s="448"/>
      <c r="AV88" s="448"/>
      <c r="AW88" s="448"/>
      <c r="AX88" s="448"/>
      <c r="AY88" s="448"/>
      <c r="AZ88" s="448"/>
      <c r="BA88" s="448"/>
      <c r="BB88" s="448"/>
      <c r="BC88" s="448"/>
      <c r="BD88" s="448"/>
      <c r="BE88" s="448"/>
      <c r="BF88" s="448"/>
      <c r="BG88" s="448"/>
      <c r="BH88" s="448"/>
      <c r="BI88" s="448"/>
      <c r="BJ88" s="448"/>
      <c r="BK88" s="448"/>
      <c r="BL88" s="448"/>
      <c r="BM88" s="448"/>
      <c r="BN88" s="448"/>
      <c r="BO88" s="448"/>
      <c r="BP88" s="448"/>
      <c r="BQ88" s="448"/>
      <c r="BR88" s="448"/>
      <c r="BS88" s="448"/>
      <c r="BT88" s="448"/>
    </row>
    <row r="89" spans="1:72" s="514" customFormat="1" ht="11.25" customHeight="1">
      <c r="A89" s="411"/>
      <c r="B89" s="412"/>
      <c r="C89" s="413"/>
      <c r="D89" s="400"/>
      <c r="E89" s="400"/>
      <c r="F89" s="402"/>
      <c r="G89" s="414"/>
      <c r="H89" s="448"/>
      <c r="I89" s="448"/>
      <c r="J89" s="448"/>
      <c r="K89" s="448"/>
      <c r="L89" s="448"/>
      <c r="M89" s="448"/>
      <c r="N89" s="448"/>
      <c r="O89" s="448"/>
      <c r="P89" s="448"/>
      <c r="Q89" s="448"/>
      <c r="R89" s="448"/>
      <c r="S89" s="448"/>
      <c r="T89" s="448"/>
      <c r="U89" s="448"/>
      <c r="V89" s="448"/>
      <c r="W89" s="448"/>
      <c r="X89" s="448"/>
      <c r="Y89" s="448"/>
      <c r="Z89" s="448"/>
      <c r="AA89" s="448"/>
      <c r="AB89" s="448"/>
      <c r="AC89" s="448"/>
      <c r="AD89" s="448"/>
      <c r="AE89" s="448"/>
      <c r="AF89" s="448"/>
      <c r="AG89" s="448"/>
      <c r="AH89" s="448"/>
      <c r="AI89" s="448"/>
      <c r="AJ89" s="448"/>
      <c r="AK89" s="448"/>
      <c r="AL89" s="448"/>
      <c r="AM89" s="448"/>
      <c r="AN89" s="448"/>
      <c r="AO89" s="448"/>
      <c r="AP89" s="448"/>
      <c r="AQ89" s="448"/>
      <c r="AR89" s="448"/>
      <c r="AS89" s="448"/>
      <c r="AT89" s="448"/>
      <c r="AU89" s="448"/>
      <c r="AV89" s="448"/>
      <c r="AW89" s="448"/>
      <c r="AX89" s="448"/>
      <c r="AY89" s="448"/>
      <c r="AZ89" s="448"/>
      <c r="BA89" s="448"/>
      <c r="BB89" s="448"/>
      <c r="BC89" s="448"/>
      <c r="BD89" s="448"/>
      <c r="BE89" s="448"/>
      <c r="BF89" s="448"/>
      <c r="BG89" s="448"/>
      <c r="BH89" s="448"/>
      <c r="BI89" s="448"/>
      <c r="BJ89" s="448"/>
      <c r="BK89" s="448"/>
      <c r="BL89" s="448"/>
      <c r="BM89" s="448"/>
      <c r="BN89" s="448"/>
      <c r="BO89" s="448"/>
      <c r="BP89" s="448"/>
      <c r="BQ89" s="448"/>
      <c r="BR89" s="448"/>
      <c r="BS89" s="448"/>
      <c r="BT89" s="448"/>
    </row>
    <row r="90" spans="1:72" s="514" customFormat="1" ht="18.75" customHeight="1">
      <c r="A90" s="397"/>
      <c r="B90" s="516" t="s">
        <v>23</v>
      </c>
      <c r="C90" s="399" t="s">
        <v>150</v>
      </c>
      <c r="D90" s="399" t="s">
        <v>151</v>
      </c>
      <c r="E90" s="400" t="s">
        <v>98</v>
      </c>
      <c r="F90" s="402" t="s">
        <v>98</v>
      </c>
      <c r="G90" s="401">
        <f>SUM(G92)</f>
        <v>12344</v>
      </c>
      <c r="H90" s="448"/>
      <c r="I90" s="448"/>
      <c r="J90" s="448"/>
      <c r="K90" s="448"/>
      <c r="L90" s="448"/>
      <c r="M90" s="448"/>
      <c r="N90" s="448"/>
      <c r="O90" s="448"/>
      <c r="P90" s="448"/>
      <c r="Q90" s="448"/>
      <c r="R90" s="448"/>
      <c r="S90" s="448"/>
      <c r="T90" s="448"/>
      <c r="U90" s="448"/>
      <c r="V90" s="448"/>
      <c r="W90" s="448"/>
      <c r="X90" s="448"/>
      <c r="Y90" s="448"/>
      <c r="Z90" s="448"/>
      <c r="AA90" s="448"/>
      <c r="AB90" s="448"/>
      <c r="AC90" s="448"/>
      <c r="AD90" s="448"/>
      <c r="AE90" s="448"/>
      <c r="AF90" s="448"/>
      <c r="AG90" s="448"/>
      <c r="AH90" s="448"/>
      <c r="AI90" s="448"/>
      <c r="AJ90" s="448"/>
      <c r="AK90" s="448"/>
      <c r="AL90" s="448"/>
      <c r="AM90" s="448"/>
      <c r="AN90" s="448"/>
      <c r="AO90" s="448"/>
      <c r="AP90" s="448"/>
      <c r="AQ90" s="448"/>
      <c r="AR90" s="448"/>
      <c r="AS90" s="448"/>
      <c r="AT90" s="448"/>
      <c r="AU90" s="448"/>
      <c r="AV90" s="448"/>
      <c r="AW90" s="448"/>
      <c r="AX90" s="448"/>
      <c r="AY90" s="448"/>
      <c r="AZ90" s="448"/>
      <c r="BA90" s="448"/>
      <c r="BB90" s="448"/>
      <c r="BC90" s="448"/>
      <c r="BD90" s="448"/>
      <c r="BE90" s="448"/>
      <c r="BF90" s="448"/>
      <c r="BG90" s="448"/>
      <c r="BH90" s="448"/>
      <c r="BI90" s="448"/>
      <c r="BJ90" s="448"/>
      <c r="BK90" s="448"/>
      <c r="BL90" s="448"/>
      <c r="BM90" s="448"/>
      <c r="BN90" s="448"/>
      <c r="BO90" s="448"/>
      <c r="BP90" s="448"/>
      <c r="BQ90" s="448"/>
      <c r="BR90" s="448"/>
      <c r="BS90" s="448"/>
      <c r="BT90" s="448"/>
    </row>
    <row r="91" spans="1:72" s="514" customFormat="1" ht="6.75" customHeight="1">
      <c r="A91" s="397"/>
      <c r="B91" s="398"/>
      <c r="C91" s="416"/>
      <c r="D91" s="399"/>
      <c r="E91" s="399"/>
      <c r="F91" s="409"/>
      <c r="G91" s="410"/>
      <c r="H91" s="448"/>
      <c r="I91" s="448"/>
      <c r="J91" s="448"/>
      <c r="K91" s="448"/>
      <c r="L91" s="448"/>
      <c r="M91" s="448"/>
      <c r="N91" s="448"/>
      <c r="O91" s="448"/>
      <c r="P91" s="448"/>
      <c r="Q91" s="448"/>
      <c r="R91" s="448"/>
      <c r="S91" s="448"/>
      <c r="T91" s="448"/>
      <c r="U91" s="448"/>
      <c r="V91" s="448"/>
      <c r="W91" s="448"/>
      <c r="X91" s="448"/>
      <c r="Y91" s="448"/>
      <c r="Z91" s="448"/>
      <c r="AA91" s="448"/>
      <c r="AB91" s="448"/>
      <c r="AC91" s="448"/>
      <c r="AD91" s="448"/>
      <c r="AE91" s="448"/>
      <c r="AF91" s="448"/>
      <c r="AG91" s="448"/>
      <c r="AH91" s="448"/>
      <c r="AI91" s="448"/>
      <c r="AJ91" s="448"/>
      <c r="AK91" s="448"/>
      <c r="AL91" s="448"/>
      <c r="AM91" s="448"/>
      <c r="AN91" s="448"/>
      <c r="AO91" s="448"/>
      <c r="AP91" s="448"/>
      <c r="AQ91" s="448"/>
      <c r="AR91" s="448"/>
      <c r="AS91" s="448"/>
      <c r="AT91" s="448"/>
      <c r="AU91" s="448"/>
      <c r="AV91" s="448"/>
      <c r="AW91" s="448"/>
      <c r="AX91" s="448"/>
      <c r="AY91" s="448"/>
      <c r="AZ91" s="448"/>
      <c r="BA91" s="448"/>
      <c r="BB91" s="448"/>
      <c r="BC91" s="448"/>
      <c r="BD91" s="448"/>
      <c r="BE91" s="448"/>
      <c r="BF91" s="448"/>
      <c r="BG91" s="448"/>
      <c r="BH91" s="448"/>
      <c r="BI91" s="448"/>
      <c r="BJ91" s="448"/>
      <c r="BK91" s="448"/>
      <c r="BL91" s="448"/>
      <c r="BM91" s="448"/>
      <c r="BN91" s="448"/>
      <c r="BO91" s="448"/>
      <c r="BP91" s="448"/>
      <c r="BQ91" s="448"/>
      <c r="BR91" s="448"/>
      <c r="BS91" s="448"/>
      <c r="BT91" s="448"/>
    </row>
    <row r="92" spans="1:72" s="514" customFormat="1" ht="15.75" customHeight="1">
      <c r="A92" s="397"/>
      <c r="B92" s="398"/>
      <c r="C92" s="416"/>
      <c r="D92" s="399"/>
      <c r="E92" s="399"/>
      <c r="F92" s="409"/>
      <c r="G92" s="515">
        <f>SUM(G93)</f>
        <v>12344</v>
      </c>
      <c r="H92" s="448"/>
      <c r="I92" s="448"/>
      <c r="J92" s="448"/>
      <c r="K92" s="448"/>
      <c r="L92" s="448"/>
      <c r="M92" s="448"/>
      <c r="N92" s="448"/>
      <c r="O92" s="448"/>
      <c r="P92" s="448"/>
      <c r="Q92" s="448"/>
      <c r="R92" s="448"/>
      <c r="S92" s="448"/>
      <c r="T92" s="448"/>
      <c r="U92" s="448"/>
      <c r="V92" s="448"/>
      <c r="W92" s="448"/>
      <c r="X92" s="448"/>
      <c r="Y92" s="448"/>
      <c r="Z92" s="448"/>
      <c r="AA92" s="448"/>
      <c r="AB92" s="448"/>
      <c r="AC92" s="448"/>
      <c r="AD92" s="448"/>
      <c r="AE92" s="448"/>
      <c r="AF92" s="448"/>
      <c r="AG92" s="448"/>
      <c r="AH92" s="448"/>
      <c r="AI92" s="448"/>
      <c r="AJ92" s="448"/>
      <c r="AK92" s="448"/>
      <c r="AL92" s="448"/>
      <c r="AM92" s="448"/>
      <c r="AN92" s="448"/>
      <c r="AO92" s="448"/>
      <c r="AP92" s="448"/>
      <c r="AQ92" s="448"/>
      <c r="AR92" s="448"/>
      <c r="AS92" s="448"/>
      <c r="AT92" s="448"/>
      <c r="AU92" s="448"/>
      <c r="AV92" s="448"/>
      <c r="AW92" s="448"/>
      <c r="AX92" s="448"/>
      <c r="AY92" s="448"/>
      <c r="AZ92" s="448"/>
      <c r="BA92" s="448"/>
      <c r="BB92" s="448"/>
      <c r="BC92" s="448"/>
      <c r="BD92" s="448"/>
      <c r="BE92" s="448"/>
      <c r="BF92" s="448"/>
      <c r="BG92" s="448"/>
      <c r="BH92" s="448"/>
      <c r="BI92" s="448"/>
      <c r="BJ92" s="448"/>
      <c r="BK92" s="448"/>
      <c r="BL92" s="448"/>
      <c r="BM92" s="448"/>
      <c r="BN92" s="448"/>
      <c r="BO92" s="448"/>
      <c r="BP92" s="448"/>
      <c r="BQ92" s="448"/>
      <c r="BR92" s="448"/>
      <c r="BS92" s="448"/>
      <c r="BT92" s="448"/>
    </row>
    <row r="93" spans="1:72" s="514" customFormat="1" ht="15.75" customHeight="1">
      <c r="A93" s="397"/>
      <c r="B93" s="398"/>
      <c r="C93" s="416"/>
      <c r="D93" s="399"/>
      <c r="E93" s="399" t="s">
        <v>24</v>
      </c>
      <c r="F93" s="409" t="s">
        <v>98</v>
      </c>
      <c r="G93" s="410">
        <f>1285+2839+2649+2831+2740+2832-2832</f>
        <v>12344</v>
      </c>
      <c r="H93" s="448"/>
      <c r="I93" s="448"/>
      <c r="J93" s="448"/>
      <c r="K93" s="448"/>
      <c r="L93" s="448"/>
      <c r="M93" s="448"/>
      <c r="N93" s="448"/>
      <c r="O93" s="448"/>
      <c r="P93" s="448"/>
      <c r="Q93" s="448"/>
      <c r="R93" s="448"/>
      <c r="S93" s="448"/>
      <c r="T93" s="448"/>
      <c r="U93" s="448"/>
      <c r="V93" s="448"/>
      <c r="W93" s="448"/>
      <c r="X93" s="448"/>
      <c r="Y93" s="448"/>
      <c r="Z93" s="448"/>
      <c r="AA93" s="448"/>
      <c r="AB93" s="448"/>
      <c r="AC93" s="448"/>
      <c r="AD93" s="448"/>
      <c r="AE93" s="448"/>
      <c r="AF93" s="448"/>
      <c r="AG93" s="448"/>
      <c r="AH93" s="448"/>
      <c r="AI93" s="448"/>
      <c r="AJ93" s="448"/>
      <c r="AK93" s="448"/>
      <c r="AL93" s="448"/>
      <c r="AM93" s="448"/>
      <c r="AN93" s="448"/>
      <c r="AO93" s="448"/>
      <c r="AP93" s="448"/>
      <c r="AQ93" s="448"/>
      <c r="AR93" s="448"/>
      <c r="AS93" s="448"/>
      <c r="AT93" s="448"/>
      <c r="AU93" s="448"/>
      <c r="AV93" s="448"/>
      <c r="AW93" s="448"/>
      <c r="AX93" s="448"/>
      <c r="AY93" s="448"/>
      <c r="AZ93" s="448"/>
      <c r="BA93" s="448"/>
      <c r="BB93" s="448"/>
      <c r="BC93" s="448"/>
      <c r="BD93" s="448"/>
      <c r="BE93" s="448"/>
      <c r="BF93" s="448"/>
      <c r="BG93" s="448"/>
      <c r="BH93" s="448"/>
      <c r="BI93" s="448"/>
      <c r="BJ93" s="448"/>
      <c r="BK93" s="448"/>
      <c r="BL93" s="448"/>
      <c r="BM93" s="448"/>
      <c r="BN93" s="448"/>
      <c r="BO93" s="448"/>
      <c r="BP93" s="448"/>
      <c r="BQ93" s="448"/>
      <c r="BR93" s="448"/>
      <c r="BS93" s="448"/>
      <c r="BT93" s="448"/>
    </row>
    <row r="94" spans="1:72" s="514" customFormat="1" ht="8.25" customHeight="1">
      <c r="A94" s="397"/>
      <c r="B94" s="398"/>
      <c r="C94" s="416"/>
      <c r="D94" s="399"/>
      <c r="E94" s="399"/>
      <c r="F94" s="409"/>
      <c r="G94" s="410"/>
      <c r="H94" s="448"/>
      <c r="I94" s="448"/>
      <c r="J94" s="448"/>
      <c r="K94" s="448"/>
      <c r="L94" s="448"/>
      <c r="M94" s="448"/>
      <c r="N94" s="448"/>
      <c r="O94" s="448"/>
      <c r="P94" s="448"/>
      <c r="Q94" s="448"/>
      <c r="R94" s="448"/>
      <c r="S94" s="448"/>
      <c r="T94" s="448"/>
      <c r="U94" s="448"/>
      <c r="V94" s="448"/>
      <c r="W94" s="448"/>
      <c r="X94" s="448"/>
      <c r="Y94" s="448"/>
      <c r="Z94" s="448"/>
      <c r="AA94" s="448"/>
      <c r="AB94" s="448"/>
      <c r="AC94" s="448"/>
      <c r="AD94" s="448"/>
      <c r="AE94" s="448"/>
      <c r="AF94" s="448"/>
      <c r="AG94" s="448"/>
      <c r="AH94" s="448"/>
      <c r="AI94" s="448"/>
      <c r="AJ94" s="448"/>
      <c r="AK94" s="448"/>
      <c r="AL94" s="448"/>
      <c r="AM94" s="448"/>
      <c r="AN94" s="448"/>
      <c r="AO94" s="448"/>
      <c r="AP94" s="448"/>
      <c r="AQ94" s="448"/>
      <c r="AR94" s="448"/>
      <c r="AS94" s="448"/>
      <c r="AT94" s="448"/>
      <c r="AU94" s="448"/>
      <c r="AV94" s="448"/>
      <c r="AW94" s="448"/>
      <c r="AX94" s="448"/>
      <c r="AY94" s="448"/>
      <c r="AZ94" s="448"/>
      <c r="BA94" s="448"/>
      <c r="BB94" s="448"/>
      <c r="BC94" s="448"/>
      <c r="BD94" s="448"/>
      <c r="BE94" s="448"/>
      <c r="BF94" s="448"/>
      <c r="BG94" s="448"/>
      <c r="BH94" s="448"/>
      <c r="BI94" s="448"/>
      <c r="BJ94" s="448"/>
      <c r="BK94" s="448"/>
      <c r="BL94" s="448"/>
      <c r="BM94" s="448"/>
      <c r="BN94" s="448"/>
      <c r="BO94" s="448"/>
      <c r="BP94" s="448"/>
      <c r="BQ94" s="448"/>
      <c r="BR94" s="448"/>
      <c r="BS94" s="448"/>
      <c r="BT94" s="448"/>
    </row>
    <row r="95" spans="1:72" s="514" customFormat="1" ht="24.75" customHeight="1">
      <c r="A95" s="397"/>
      <c r="B95" s="517" t="s">
        <v>26</v>
      </c>
      <c r="C95" s="399" t="s">
        <v>150</v>
      </c>
      <c r="D95" s="399" t="s">
        <v>151</v>
      </c>
      <c r="E95" s="400" t="s">
        <v>98</v>
      </c>
      <c r="F95" s="402" t="s">
        <v>98</v>
      </c>
      <c r="G95" s="401">
        <f>SUM(G97)</f>
        <v>12065</v>
      </c>
      <c r="H95" s="448"/>
      <c r="I95" s="448"/>
      <c r="J95" s="448"/>
      <c r="K95" s="448"/>
      <c r="L95" s="448"/>
      <c r="M95" s="448"/>
      <c r="N95" s="448"/>
      <c r="O95" s="448"/>
      <c r="P95" s="448"/>
      <c r="Q95" s="448"/>
      <c r="R95" s="448"/>
      <c r="S95" s="448"/>
      <c r="T95" s="448"/>
      <c r="U95" s="448"/>
      <c r="V95" s="448"/>
      <c r="W95" s="448"/>
      <c r="X95" s="448"/>
      <c r="Y95" s="448"/>
      <c r="Z95" s="448"/>
      <c r="AA95" s="448"/>
      <c r="AB95" s="448"/>
      <c r="AC95" s="448"/>
      <c r="AD95" s="448"/>
      <c r="AE95" s="448"/>
      <c r="AF95" s="448"/>
      <c r="AG95" s="448"/>
      <c r="AH95" s="448"/>
      <c r="AI95" s="448"/>
      <c r="AJ95" s="448"/>
      <c r="AK95" s="448"/>
      <c r="AL95" s="448"/>
      <c r="AM95" s="448"/>
      <c r="AN95" s="448"/>
      <c r="AO95" s="448"/>
      <c r="AP95" s="448"/>
      <c r="AQ95" s="448"/>
      <c r="AR95" s="448"/>
      <c r="AS95" s="448"/>
      <c r="AT95" s="448"/>
      <c r="AU95" s="448"/>
      <c r="AV95" s="448"/>
      <c r="AW95" s="448"/>
      <c r="AX95" s="448"/>
      <c r="AY95" s="448"/>
      <c r="AZ95" s="448"/>
      <c r="BA95" s="448"/>
      <c r="BB95" s="448"/>
      <c r="BC95" s="448"/>
      <c r="BD95" s="448"/>
      <c r="BE95" s="448"/>
      <c r="BF95" s="448"/>
      <c r="BG95" s="448"/>
      <c r="BH95" s="448"/>
      <c r="BI95" s="448"/>
      <c r="BJ95" s="448"/>
      <c r="BK95" s="448"/>
      <c r="BL95" s="448"/>
      <c r="BM95" s="448"/>
      <c r="BN95" s="448"/>
      <c r="BO95" s="448"/>
      <c r="BP95" s="448"/>
      <c r="BQ95" s="448"/>
      <c r="BR95" s="448"/>
      <c r="BS95" s="448"/>
      <c r="BT95" s="448"/>
    </row>
    <row r="96" spans="1:72" s="514" customFormat="1" ht="6.75" customHeight="1">
      <c r="A96" s="397"/>
      <c r="B96" s="398"/>
      <c r="C96" s="416"/>
      <c r="D96" s="399"/>
      <c r="E96" s="399"/>
      <c r="F96" s="409"/>
      <c r="G96" s="410"/>
      <c r="H96" s="448"/>
      <c r="I96" s="448"/>
      <c r="J96" s="448"/>
      <c r="K96" s="448"/>
      <c r="L96" s="448"/>
      <c r="M96" s="448"/>
      <c r="N96" s="448"/>
      <c r="O96" s="448"/>
      <c r="P96" s="448"/>
      <c r="Q96" s="448"/>
      <c r="R96" s="448"/>
      <c r="S96" s="448"/>
      <c r="T96" s="448"/>
      <c r="U96" s="448"/>
      <c r="V96" s="448"/>
      <c r="W96" s="448"/>
      <c r="X96" s="448"/>
      <c r="Y96" s="448"/>
      <c r="Z96" s="448"/>
      <c r="AA96" s="448"/>
      <c r="AB96" s="448"/>
      <c r="AC96" s="448"/>
      <c r="AD96" s="448"/>
      <c r="AE96" s="448"/>
      <c r="AF96" s="448"/>
      <c r="AG96" s="448"/>
      <c r="AH96" s="448"/>
      <c r="AI96" s="448"/>
      <c r="AJ96" s="448"/>
      <c r="AK96" s="448"/>
      <c r="AL96" s="448"/>
      <c r="AM96" s="448"/>
      <c r="AN96" s="448"/>
      <c r="AO96" s="448"/>
      <c r="AP96" s="448"/>
      <c r="AQ96" s="448"/>
      <c r="AR96" s="448"/>
      <c r="AS96" s="448"/>
      <c r="AT96" s="448"/>
      <c r="AU96" s="448"/>
      <c r="AV96" s="448"/>
      <c r="AW96" s="448"/>
      <c r="AX96" s="448"/>
      <c r="AY96" s="448"/>
      <c r="AZ96" s="448"/>
      <c r="BA96" s="448"/>
      <c r="BB96" s="448"/>
      <c r="BC96" s="448"/>
      <c r="BD96" s="448"/>
      <c r="BE96" s="448"/>
      <c r="BF96" s="448"/>
      <c r="BG96" s="448"/>
      <c r="BH96" s="448"/>
      <c r="BI96" s="448"/>
      <c r="BJ96" s="448"/>
      <c r="BK96" s="448"/>
      <c r="BL96" s="448"/>
      <c r="BM96" s="448"/>
      <c r="BN96" s="448"/>
      <c r="BO96" s="448"/>
      <c r="BP96" s="448"/>
      <c r="BQ96" s="448"/>
      <c r="BR96" s="448"/>
      <c r="BS96" s="448"/>
      <c r="BT96" s="448"/>
    </row>
    <row r="97" spans="1:72" s="514" customFormat="1" ht="15.75" customHeight="1">
      <c r="A97" s="397"/>
      <c r="B97" s="398"/>
      <c r="C97" s="416"/>
      <c r="D97" s="399"/>
      <c r="E97" s="399"/>
      <c r="F97" s="409"/>
      <c r="G97" s="515">
        <f>SUM(G98)</f>
        <v>12065</v>
      </c>
      <c r="H97" s="448"/>
      <c r="I97" s="448"/>
      <c r="J97" s="448"/>
      <c r="K97" s="448"/>
      <c r="L97" s="448"/>
      <c r="M97" s="448"/>
      <c r="N97" s="448"/>
      <c r="O97" s="448"/>
      <c r="P97" s="448"/>
      <c r="Q97" s="448"/>
      <c r="R97" s="448"/>
      <c r="S97" s="448"/>
      <c r="T97" s="448"/>
      <c r="U97" s="448"/>
      <c r="V97" s="448"/>
      <c r="W97" s="448"/>
      <c r="X97" s="448"/>
      <c r="Y97" s="448"/>
      <c r="Z97" s="448"/>
      <c r="AA97" s="448"/>
      <c r="AB97" s="448"/>
      <c r="AC97" s="448"/>
      <c r="AD97" s="448"/>
      <c r="AE97" s="448"/>
      <c r="AF97" s="448"/>
      <c r="AG97" s="448"/>
      <c r="AH97" s="448"/>
      <c r="AI97" s="448"/>
      <c r="AJ97" s="448"/>
      <c r="AK97" s="448"/>
      <c r="AL97" s="448"/>
      <c r="AM97" s="448"/>
      <c r="AN97" s="448"/>
      <c r="AO97" s="448"/>
      <c r="AP97" s="448"/>
      <c r="AQ97" s="448"/>
      <c r="AR97" s="448"/>
      <c r="AS97" s="448"/>
      <c r="AT97" s="448"/>
      <c r="AU97" s="448"/>
      <c r="AV97" s="448"/>
      <c r="AW97" s="448"/>
      <c r="AX97" s="448"/>
      <c r="AY97" s="448"/>
      <c r="AZ97" s="448"/>
      <c r="BA97" s="448"/>
      <c r="BB97" s="448"/>
      <c r="BC97" s="448"/>
      <c r="BD97" s="448"/>
      <c r="BE97" s="448"/>
      <c r="BF97" s="448"/>
      <c r="BG97" s="448"/>
      <c r="BH97" s="448"/>
      <c r="BI97" s="448"/>
      <c r="BJ97" s="448"/>
      <c r="BK97" s="448"/>
      <c r="BL97" s="448"/>
      <c r="BM97" s="448"/>
      <c r="BN97" s="448"/>
      <c r="BO97" s="448"/>
      <c r="BP97" s="448"/>
      <c r="BQ97" s="448"/>
      <c r="BR97" s="448"/>
      <c r="BS97" s="448"/>
      <c r="BT97" s="448"/>
    </row>
    <row r="98" spans="1:72" s="514" customFormat="1" ht="15.75" customHeight="1">
      <c r="A98" s="397"/>
      <c r="B98" s="398"/>
      <c r="C98" s="416"/>
      <c r="D98" s="399"/>
      <c r="E98" s="399" t="s">
        <v>24</v>
      </c>
      <c r="F98" s="409" t="s">
        <v>98</v>
      </c>
      <c r="G98" s="410">
        <f>2832+2740+2831+2831+831</f>
        <v>12065</v>
      </c>
      <c r="H98" s="448"/>
      <c r="I98" s="448"/>
      <c r="J98" s="448"/>
      <c r="K98" s="448"/>
      <c r="L98" s="448"/>
      <c r="M98" s="448"/>
      <c r="N98" s="448"/>
      <c r="O98" s="448"/>
      <c r="P98" s="448"/>
      <c r="Q98" s="448"/>
      <c r="R98" s="448"/>
      <c r="S98" s="448"/>
      <c r="T98" s="448"/>
      <c r="U98" s="448"/>
      <c r="V98" s="448"/>
      <c r="W98" s="448"/>
      <c r="X98" s="448"/>
      <c r="Y98" s="448"/>
      <c r="Z98" s="448"/>
      <c r="AA98" s="448"/>
      <c r="AB98" s="448"/>
      <c r="AC98" s="448"/>
      <c r="AD98" s="448"/>
      <c r="AE98" s="448"/>
      <c r="AF98" s="448"/>
      <c r="AG98" s="448"/>
      <c r="AH98" s="448"/>
      <c r="AI98" s="448"/>
      <c r="AJ98" s="448"/>
      <c r="AK98" s="448"/>
      <c r="AL98" s="448"/>
      <c r="AM98" s="448"/>
      <c r="AN98" s="448"/>
      <c r="AO98" s="448"/>
      <c r="AP98" s="448"/>
      <c r="AQ98" s="448"/>
      <c r="AR98" s="448"/>
      <c r="AS98" s="448"/>
      <c r="AT98" s="448"/>
      <c r="AU98" s="448"/>
      <c r="AV98" s="448"/>
      <c r="AW98" s="448"/>
      <c r="AX98" s="448"/>
      <c r="AY98" s="448"/>
      <c r="AZ98" s="448"/>
      <c r="BA98" s="448"/>
      <c r="BB98" s="448"/>
      <c r="BC98" s="448"/>
      <c r="BD98" s="448"/>
      <c r="BE98" s="448"/>
      <c r="BF98" s="448"/>
      <c r="BG98" s="448"/>
      <c r="BH98" s="448"/>
      <c r="BI98" s="448"/>
      <c r="BJ98" s="448"/>
      <c r="BK98" s="448"/>
      <c r="BL98" s="448"/>
      <c r="BM98" s="448"/>
      <c r="BN98" s="448"/>
      <c r="BO98" s="448"/>
      <c r="BP98" s="448"/>
      <c r="BQ98" s="448"/>
      <c r="BR98" s="448"/>
      <c r="BS98" s="448"/>
      <c r="BT98" s="448"/>
    </row>
    <row r="99" spans="1:72" s="514" customFormat="1" ht="6.75" customHeight="1">
      <c r="A99" s="397"/>
      <c r="B99" s="398"/>
      <c r="C99" s="416"/>
      <c r="D99" s="399"/>
      <c r="E99" s="400"/>
      <c r="F99" s="402"/>
      <c r="G99" s="414"/>
      <c r="H99" s="448"/>
      <c r="I99" s="448"/>
      <c r="J99" s="448"/>
      <c r="K99" s="448"/>
      <c r="L99" s="448"/>
      <c r="M99" s="448"/>
      <c r="N99" s="448"/>
      <c r="O99" s="448"/>
      <c r="P99" s="448"/>
      <c r="Q99" s="448"/>
      <c r="R99" s="448"/>
      <c r="S99" s="448"/>
      <c r="T99" s="448"/>
      <c r="U99" s="448"/>
      <c r="V99" s="448"/>
      <c r="W99" s="448"/>
      <c r="X99" s="448"/>
      <c r="Y99" s="448"/>
      <c r="Z99" s="448"/>
      <c r="AA99" s="448"/>
      <c r="AB99" s="448"/>
      <c r="AC99" s="448"/>
      <c r="AD99" s="448"/>
      <c r="AE99" s="448"/>
      <c r="AF99" s="448"/>
      <c r="AG99" s="448"/>
      <c r="AH99" s="448"/>
      <c r="AI99" s="448"/>
      <c r="AJ99" s="448"/>
      <c r="AK99" s="448"/>
      <c r="AL99" s="448"/>
      <c r="AM99" s="448"/>
      <c r="AN99" s="448"/>
      <c r="AO99" s="448"/>
      <c r="AP99" s="448"/>
      <c r="AQ99" s="448"/>
      <c r="AR99" s="448"/>
      <c r="AS99" s="448"/>
      <c r="AT99" s="448"/>
      <c r="AU99" s="448"/>
      <c r="AV99" s="448"/>
      <c r="AW99" s="448"/>
      <c r="AX99" s="448"/>
      <c r="AY99" s="448"/>
      <c r="AZ99" s="448"/>
      <c r="BA99" s="448"/>
      <c r="BB99" s="448"/>
      <c r="BC99" s="448"/>
      <c r="BD99" s="448"/>
      <c r="BE99" s="448"/>
      <c r="BF99" s="448"/>
      <c r="BG99" s="448"/>
      <c r="BH99" s="448"/>
      <c r="BI99" s="448"/>
      <c r="BJ99" s="448"/>
      <c r="BK99" s="448"/>
      <c r="BL99" s="448"/>
      <c r="BM99" s="448"/>
      <c r="BN99" s="448"/>
      <c r="BO99" s="448"/>
      <c r="BP99" s="448"/>
      <c r="BQ99" s="448"/>
      <c r="BR99" s="448"/>
      <c r="BS99" s="448"/>
      <c r="BT99" s="448"/>
    </row>
    <row r="100" spans="1:72" s="514" customFormat="1" ht="20.25" customHeight="1">
      <c r="A100" s="397"/>
      <c r="B100" s="516" t="s">
        <v>37</v>
      </c>
      <c r="C100" s="399" t="s">
        <v>150</v>
      </c>
      <c r="D100" s="399" t="s">
        <v>153</v>
      </c>
      <c r="E100" s="400" t="s">
        <v>98</v>
      </c>
      <c r="F100" s="402" t="s">
        <v>98</v>
      </c>
      <c r="G100" s="401">
        <f>SUM(G102)</f>
        <v>219623.91999999998</v>
      </c>
      <c r="H100" s="448"/>
      <c r="I100" s="448"/>
      <c r="J100" s="448"/>
      <c r="K100" s="448"/>
      <c r="L100" s="448"/>
      <c r="M100" s="448"/>
      <c r="N100" s="448"/>
      <c r="O100" s="448"/>
      <c r="P100" s="448"/>
      <c r="Q100" s="448"/>
      <c r="R100" s="448"/>
      <c r="S100" s="448"/>
      <c r="T100" s="448"/>
      <c r="U100" s="448"/>
      <c r="V100" s="448"/>
      <c r="W100" s="448"/>
      <c r="X100" s="448"/>
      <c r="Y100" s="448"/>
      <c r="Z100" s="448"/>
      <c r="AA100" s="448"/>
      <c r="AB100" s="448"/>
      <c r="AC100" s="448"/>
      <c r="AD100" s="448"/>
      <c r="AE100" s="448"/>
      <c r="AF100" s="448"/>
      <c r="AG100" s="448"/>
      <c r="AH100" s="448"/>
      <c r="AI100" s="448"/>
      <c r="AJ100" s="448"/>
      <c r="AK100" s="448"/>
      <c r="AL100" s="448"/>
      <c r="AM100" s="448"/>
      <c r="AN100" s="448"/>
      <c r="AO100" s="448"/>
      <c r="AP100" s="448"/>
      <c r="AQ100" s="448"/>
      <c r="AR100" s="448"/>
      <c r="AS100" s="448"/>
      <c r="AT100" s="448"/>
      <c r="AU100" s="448"/>
      <c r="AV100" s="448"/>
      <c r="AW100" s="448"/>
      <c r="AX100" s="448"/>
      <c r="AY100" s="448"/>
      <c r="AZ100" s="448"/>
      <c r="BA100" s="448"/>
      <c r="BB100" s="448"/>
      <c r="BC100" s="448"/>
      <c r="BD100" s="448"/>
      <c r="BE100" s="448"/>
      <c r="BF100" s="448"/>
      <c r="BG100" s="448"/>
      <c r="BH100" s="448"/>
      <c r="BI100" s="448"/>
      <c r="BJ100" s="448"/>
      <c r="BK100" s="448"/>
      <c r="BL100" s="448"/>
      <c r="BM100" s="448"/>
      <c r="BN100" s="448"/>
      <c r="BO100" s="448"/>
      <c r="BP100" s="448"/>
      <c r="BQ100" s="448"/>
      <c r="BR100" s="448"/>
      <c r="BS100" s="448"/>
      <c r="BT100" s="448"/>
    </row>
    <row r="101" spans="1:72" s="514" customFormat="1" ht="8.25" customHeight="1">
      <c r="A101" s="397"/>
      <c r="B101" s="398"/>
      <c r="C101" s="416"/>
      <c r="D101" s="399"/>
      <c r="E101" s="399"/>
      <c r="F101" s="409"/>
      <c r="G101" s="410"/>
      <c r="H101" s="448"/>
      <c r="I101" s="448"/>
      <c r="J101" s="448"/>
      <c r="K101" s="448"/>
      <c r="L101" s="448"/>
      <c r="M101" s="448"/>
      <c r="N101" s="448"/>
      <c r="O101" s="448"/>
      <c r="P101" s="448"/>
      <c r="Q101" s="448"/>
      <c r="R101" s="448"/>
      <c r="S101" s="448"/>
      <c r="T101" s="448"/>
      <c r="U101" s="448"/>
      <c r="V101" s="448"/>
      <c r="W101" s="448"/>
      <c r="X101" s="448"/>
      <c r="Y101" s="448"/>
      <c r="Z101" s="448"/>
      <c r="AA101" s="448"/>
      <c r="AB101" s="448"/>
      <c r="AC101" s="448"/>
      <c r="AD101" s="448"/>
      <c r="AE101" s="448"/>
      <c r="AF101" s="448"/>
      <c r="AG101" s="448"/>
      <c r="AH101" s="448"/>
      <c r="AI101" s="448"/>
      <c r="AJ101" s="448"/>
      <c r="AK101" s="448"/>
      <c r="AL101" s="448"/>
      <c r="AM101" s="448"/>
      <c r="AN101" s="448"/>
      <c r="AO101" s="448"/>
      <c r="AP101" s="448"/>
      <c r="AQ101" s="448"/>
      <c r="AR101" s="448"/>
      <c r="AS101" s="448"/>
      <c r="AT101" s="448"/>
      <c r="AU101" s="448"/>
      <c r="AV101" s="448"/>
      <c r="AW101" s="448"/>
      <c r="AX101" s="448"/>
      <c r="AY101" s="448"/>
      <c r="AZ101" s="448"/>
      <c r="BA101" s="448"/>
      <c r="BB101" s="448"/>
      <c r="BC101" s="448"/>
      <c r="BD101" s="448"/>
      <c r="BE101" s="448"/>
      <c r="BF101" s="448"/>
      <c r="BG101" s="448"/>
      <c r="BH101" s="448"/>
      <c r="BI101" s="448"/>
      <c r="BJ101" s="448"/>
      <c r="BK101" s="448"/>
      <c r="BL101" s="448"/>
      <c r="BM101" s="448"/>
      <c r="BN101" s="448"/>
      <c r="BO101" s="448"/>
      <c r="BP101" s="448"/>
      <c r="BQ101" s="448"/>
      <c r="BR101" s="448"/>
      <c r="BS101" s="448"/>
      <c r="BT101" s="448"/>
    </row>
    <row r="102" spans="1:72" s="514" customFormat="1" ht="15.75" customHeight="1">
      <c r="A102" s="397"/>
      <c r="B102" s="398"/>
      <c r="C102" s="416"/>
      <c r="D102" s="399"/>
      <c r="E102" s="399"/>
      <c r="F102" s="409"/>
      <c r="G102" s="515">
        <f>SUM(G103:G107)</f>
        <v>219623.91999999998</v>
      </c>
      <c r="H102" s="448"/>
      <c r="I102" s="448"/>
      <c r="J102" s="448"/>
      <c r="K102" s="448"/>
      <c r="L102" s="448"/>
      <c r="M102" s="448"/>
      <c r="N102" s="448"/>
      <c r="O102" s="448"/>
      <c r="P102" s="448"/>
      <c r="Q102" s="448"/>
      <c r="R102" s="448"/>
      <c r="S102" s="448"/>
      <c r="T102" s="448"/>
      <c r="U102" s="448"/>
      <c r="V102" s="448"/>
      <c r="W102" s="448"/>
      <c r="X102" s="448"/>
      <c r="Y102" s="448"/>
      <c r="Z102" s="448"/>
      <c r="AA102" s="448"/>
      <c r="AB102" s="448"/>
      <c r="AC102" s="448"/>
      <c r="AD102" s="448"/>
      <c r="AE102" s="448"/>
      <c r="AF102" s="448"/>
      <c r="AG102" s="448"/>
      <c r="AH102" s="448"/>
      <c r="AI102" s="448"/>
      <c r="AJ102" s="448"/>
      <c r="AK102" s="448"/>
      <c r="AL102" s="448"/>
      <c r="AM102" s="448"/>
      <c r="AN102" s="448"/>
      <c r="AO102" s="448"/>
      <c r="AP102" s="448"/>
      <c r="AQ102" s="448"/>
      <c r="AR102" s="448"/>
      <c r="AS102" s="448"/>
      <c r="AT102" s="448"/>
      <c r="AU102" s="448"/>
      <c r="AV102" s="448"/>
      <c r="AW102" s="448"/>
      <c r="AX102" s="448"/>
      <c r="AY102" s="448"/>
      <c r="AZ102" s="448"/>
      <c r="BA102" s="448"/>
      <c r="BB102" s="448"/>
      <c r="BC102" s="448"/>
      <c r="BD102" s="448"/>
      <c r="BE102" s="448"/>
      <c r="BF102" s="448"/>
      <c r="BG102" s="448"/>
      <c r="BH102" s="448"/>
      <c r="BI102" s="448"/>
      <c r="BJ102" s="448"/>
      <c r="BK102" s="448"/>
      <c r="BL102" s="448"/>
      <c r="BM102" s="448"/>
      <c r="BN102" s="448"/>
      <c r="BO102" s="448"/>
      <c r="BP102" s="448"/>
      <c r="BQ102" s="448"/>
      <c r="BR102" s="448"/>
      <c r="BS102" s="448"/>
      <c r="BT102" s="448"/>
    </row>
    <row r="103" spans="1:72" s="514" customFormat="1" ht="15.75" customHeight="1">
      <c r="A103" s="397"/>
      <c r="B103" s="398"/>
      <c r="C103" s="416"/>
      <c r="D103" s="399"/>
      <c r="E103" s="399" t="s">
        <v>145</v>
      </c>
      <c r="F103" s="409" t="s">
        <v>98</v>
      </c>
      <c r="G103" s="410">
        <f>14628+22581+21615.87+20760+7530+21828+14282+19543+15353+10359+167.05+18977</f>
        <v>187623.91999999998</v>
      </c>
      <c r="H103" s="448"/>
      <c r="I103" s="448"/>
      <c r="J103" s="448"/>
      <c r="K103" s="448"/>
      <c r="L103" s="448"/>
      <c r="M103" s="448"/>
      <c r="N103" s="448"/>
      <c r="O103" s="448"/>
      <c r="P103" s="448"/>
      <c r="Q103" s="448"/>
      <c r="R103" s="448"/>
      <c r="S103" s="448"/>
      <c r="T103" s="448"/>
      <c r="U103" s="448"/>
      <c r="V103" s="448"/>
      <c r="W103" s="448"/>
      <c r="X103" s="448"/>
      <c r="Y103" s="448"/>
      <c r="Z103" s="448"/>
      <c r="AA103" s="448"/>
      <c r="AB103" s="448"/>
      <c r="AC103" s="448"/>
      <c r="AD103" s="448"/>
      <c r="AE103" s="448"/>
      <c r="AF103" s="448"/>
      <c r="AG103" s="448"/>
      <c r="AH103" s="448"/>
      <c r="AI103" s="448"/>
      <c r="AJ103" s="448"/>
      <c r="AK103" s="448"/>
      <c r="AL103" s="448"/>
      <c r="AM103" s="448"/>
      <c r="AN103" s="448"/>
      <c r="AO103" s="448"/>
      <c r="AP103" s="448"/>
      <c r="AQ103" s="448"/>
      <c r="AR103" s="448"/>
      <c r="AS103" s="448"/>
      <c r="AT103" s="448"/>
      <c r="AU103" s="448"/>
      <c r="AV103" s="448"/>
      <c r="AW103" s="448"/>
      <c r="AX103" s="448"/>
      <c r="AY103" s="448"/>
      <c r="AZ103" s="448"/>
      <c r="BA103" s="448"/>
      <c r="BB103" s="448"/>
      <c r="BC103" s="448"/>
      <c r="BD103" s="448"/>
      <c r="BE103" s="448"/>
      <c r="BF103" s="448"/>
      <c r="BG103" s="448"/>
      <c r="BH103" s="448"/>
      <c r="BI103" s="448"/>
      <c r="BJ103" s="448"/>
      <c r="BK103" s="448"/>
      <c r="BL103" s="448"/>
      <c r="BM103" s="448"/>
      <c r="BN103" s="448"/>
      <c r="BO103" s="448"/>
      <c r="BP103" s="448"/>
      <c r="BQ103" s="448"/>
      <c r="BR103" s="448"/>
      <c r="BS103" s="448"/>
      <c r="BT103" s="448"/>
    </row>
    <row r="104" spans="1:72" s="514" customFormat="1" ht="15.75" customHeight="1">
      <c r="A104" s="397"/>
      <c r="B104" s="398"/>
      <c r="C104" s="416"/>
      <c r="D104" s="399"/>
      <c r="E104" s="399" t="s">
        <v>132</v>
      </c>
      <c r="F104" s="409" t="s">
        <v>98</v>
      </c>
      <c r="G104" s="410">
        <f>500+4000</f>
        <v>4500</v>
      </c>
      <c r="H104" s="448"/>
      <c r="I104" s="448"/>
      <c r="J104" s="448"/>
      <c r="K104" s="448"/>
      <c r="L104" s="448"/>
      <c r="M104" s="448"/>
      <c r="N104" s="448"/>
      <c r="O104" s="448"/>
      <c r="P104" s="448"/>
      <c r="Q104" s="448"/>
      <c r="R104" s="448"/>
      <c r="S104" s="448"/>
      <c r="T104" s="448"/>
      <c r="U104" s="448"/>
      <c r="V104" s="448"/>
      <c r="W104" s="448"/>
      <c r="X104" s="448"/>
      <c r="Y104" s="448"/>
      <c r="Z104" s="448"/>
      <c r="AA104" s="448"/>
      <c r="AB104" s="448"/>
      <c r="AC104" s="448"/>
      <c r="AD104" s="448"/>
      <c r="AE104" s="448"/>
      <c r="AF104" s="448"/>
      <c r="AG104" s="448"/>
      <c r="AH104" s="448"/>
      <c r="AI104" s="448"/>
      <c r="AJ104" s="448"/>
      <c r="AK104" s="448"/>
      <c r="AL104" s="448"/>
      <c r="AM104" s="448"/>
      <c r="AN104" s="448"/>
      <c r="AO104" s="448"/>
      <c r="AP104" s="448"/>
      <c r="AQ104" s="448"/>
      <c r="AR104" s="448"/>
      <c r="AS104" s="448"/>
      <c r="AT104" s="448"/>
      <c r="AU104" s="448"/>
      <c r="AV104" s="448"/>
      <c r="AW104" s="448"/>
      <c r="AX104" s="448"/>
      <c r="AY104" s="448"/>
      <c r="AZ104" s="448"/>
      <c r="BA104" s="448"/>
      <c r="BB104" s="448"/>
      <c r="BC104" s="448"/>
      <c r="BD104" s="448"/>
      <c r="BE104" s="448"/>
      <c r="BF104" s="448"/>
      <c r="BG104" s="448"/>
      <c r="BH104" s="448"/>
      <c r="BI104" s="448"/>
      <c r="BJ104" s="448"/>
      <c r="BK104" s="448"/>
      <c r="BL104" s="448"/>
      <c r="BM104" s="448"/>
      <c r="BN104" s="448"/>
      <c r="BO104" s="448"/>
      <c r="BP104" s="448"/>
      <c r="BQ104" s="448"/>
      <c r="BR104" s="448"/>
      <c r="BS104" s="448"/>
      <c r="BT104" s="448"/>
    </row>
    <row r="105" spans="1:72" s="514" customFormat="1" ht="15.75" customHeight="1">
      <c r="A105" s="397"/>
      <c r="B105" s="398"/>
      <c r="C105" s="416"/>
      <c r="D105" s="399"/>
      <c r="E105" s="399" t="s">
        <v>152</v>
      </c>
      <c r="F105" s="409" t="s">
        <v>98</v>
      </c>
      <c r="G105" s="410">
        <f>12000+6500</f>
        <v>18500</v>
      </c>
      <c r="H105" s="448"/>
      <c r="I105" s="448"/>
      <c r="J105" s="448"/>
      <c r="K105" s="448"/>
      <c r="L105" s="448"/>
      <c r="M105" s="448"/>
      <c r="N105" s="448"/>
      <c r="O105" s="448"/>
      <c r="P105" s="448"/>
      <c r="Q105" s="448"/>
      <c r="R105" s="448"/>
      <c r="S105" s="448"/>
      <c r="T105" s="448"/>
      <c r="U105" s="448"/>
      <c r="V105" s="448"/>
      <c r="W105" s="448"/>
      <c r="X105" s="448"/>
      <c r="Y105" s="448"/>
      <c r="Z105" s="448"/>
      <c r="AA105" s="448"/>
      <c r="AB105" s="448"/>
      <c r="AC105" s="448"/>
      <c r="AD105" s="448"/>
      <c r="AE105" s="448"/>
      <c r="AF105" s="448"/>
      <c r="AG105" s="448"/>
      <c r="AH105" s="448"/>
      <c r="AI105" s="448"/>
      <c r="AJ105" s="448"/>
      <c r="AK105" s="448"/>
      <c r="AL105" s="448"/>
      <c r="AM105" s="448"/>
      <c r="AN105" s="448"/>
      <c r="AO105" s="448"/>
      <c r="AP105" s="448"/>
      <c r="AQ105" s="448"/>
      <c r="AR105" s="448"/>
      <c r="AS105" s="448"/>
      <c r="AT105" s="448"/>
      <c r="AU105" s="448"/>
      <c r="AV105" s="448"/>
      <c r="AW105" s="448"/>
      <c r="AX105" s="448"/>
      <c r="AY105" s="448"/>
      <c r="AZ105" s="448"/>
      <c r="BA105" s="448"/>
      <c r="BB105" s="448"/>
      <c r="BC105" s="448"/>
      <c r="BD105" s="448"/>
      <c r="BE105" s="448"/>
      <c r="BF105" s="448"/>
      <c r="BG105" s="448"/>
      <c r="BH105" s="448"/>
      <c r="BI105" s="448"/>
      <c r="BJ105" s="448"/>
      <c r="BK105" s="448"/>
      <c r="BL105" s="448"/>
      <c r="BM105" s="448"/>
      <c r="BN105" s="448"/>
      <c r="BO105" s="448"/>
      <c r="BP105" s="448"/>
      <c r="BQ105" s="448"/>
      <c r="BR105" s="448"/>
      <c r="BS105" s="448"/>
      <c r="BT105" s="448"/>
    </row>
    <row r="106" spans="1:72" s="514" customFormat="1" ht="15.75" customHeight="1">
      <c r="A106" s="397"/>
      <c r="B106" s="398"/>
      <c r="C106" s="416"/>
      <c r="D106" s="399"/>
      <c r="E106" s="399" t="s">
        <v>118</v>
      </c>
      <c r="F106" s="409" t="s">
        <v>98</v>
      </c>
      <c r="G106" s="410">
        <f>3000+500</f>
        <v>3500</v>
      </c>
      <c r="H106" s="448"/>
      <c r="I106" s="448"/>
      <c r="J106" s="448"/>
      <c r="K106" s="448"/>
      <c r="L106" s="448"/>
      <c r="M106" s="448"/>
      <c r="N106" s="448"/>
      <c r="O106" s="448"/>
      <c r="P106" s="448"/>
      <c r="Q106" s="448"/>
      <c r="R106" s="448"/>
      <c r="S106" s="448"/>
      <c r="T106" s="448"/>
      <c r="U106" s="448"/>
      <c r="V106" s="448"/>
      <c r="W106" s="448"/>
      <c r="X106" s="448"/>
      <c r="Y106" s="448"/>
      <c r="Z106" s="448"/>
      <c r="AA106" s="448"/>
      <c r="AB106" s="448"/>
      <c r="AC106" s="448"/>
      <c r="AD106" s="448"/>
      <c r="AE106" s="448"/>
      <c r="AF106" s="448"/>
      <c r="AG106" s="448"/>
      <c r="AH106" s="448"/>
      <c r="AI106" s="448"/>
      <c r="AJ106" s="448"/>
      <c r="AK106" s="448"/>
      <c r="AL106" s="448"/>
      <c r="AM106" s="448"/>
      <c r="AN106" s="448"/>
      <c r="AO106" s="448"/>
      <c r="AP106" s="448"/>
      <c r="AQ106" s="448"/>
      <c r="AR106" s="448"/>
      <c r="AS106" s="448"/>
      <c r="AT106" s="448"/>
      <c r="AU106" s="448"/>
      <c r="AV106" s="448"/>
      <c r="AW106" s="448"/>
      <c r="AX106" s="448"/>
      <c r="AY106" s="448"/>
      <c r="AZ106" s="448"/>
      <c r="BA106" s="448"/>
      <c r="BB106" s="448"/>
      <c r="BC106" s="448"/>
      <c r="BD106" s="448"/>
      <c r="BE106" s="448"/>
      <c r="BF106" s="448"/>
      <c r="BG106" s="448"/>
      <c r="BH106" s="448"/>
      <c r="BI106" s="448"/>
      <c r="BJ106" s="448"/>
      <c r="BK106" s="448"/>
      <c r="BL106" s="448"/>
      <c r="BM106" s="448"/>
      <c r="BN106" s="448"/>
      <c r="BO106" s="448"/>
      <c r="BP106" s="448"/>
      <c r="BQ106" s="448"/>
      <c r="BR106" s="448"/>
      <c r="BS106" s="448"/>
      <c r="BT106" s="448"/>
    </row>
    <row r="107" spans="1:72" s="514" customFormat="1" ht="15.75" customHeight="1">
      <c r="A107" s="397"/>
      <c r="B107" s="398"/>
      <c r="C107" s="416"/>
      <c r="D107" s="399"/>
      <c r="E107" s="399" t="s">
        <v>119</v>
      </c>
      <c r="F107" s="409" t="s">
        <v>98</v>
      </c>
      <c r="G107" s="410">
        <f>5500</f>
        <v>5500</v>
      </c>
      <c r="H107" s="448"/>
      <c r="I107" s="448"/>
      <c r="J107" s="448"/>
      <c r="K107" s="448"/>
      <c r="L107" s="448"/>
      <c r="M107" s="448"/>
      <c r="N107" s="448"/>
      <c r="O107" s="448"/>
      <c r="P107" s="448"/>
      <c r="Q107" s="448"/>
      <c r="R107" s="448"/>
      <c r="S107" s="448"/>
      <c r="T107" s="448"/>
      <c r="U107" s="448"/>
      <c r="V107" s="448"/>
      <c r="W107" s="448"/>
      <c r="X107" s="448"/>
      <c r="Y107" s="448"/>
      <c r="Z107" s="448"/>
      <c r="AA107" s="448"/>
      <c r="AB107" s="448"/>
      <c r="AC107" s="448"/>
      <c r="AD107" s="448"/>
      <c r="AE107" s="448"/>
      <c r="AF107" s="448"/>
      <c r="AG107" s="448"/>
      <c r="AH107" s="448"/>
      <c r="AI107" s="448"/>
      <c r="AJ107" s="448"/>
      <c r="AK107" s="448"/>
      <c r="AL107" s="448"/>
      <c r="AM107" s="448"/>
      <c r="AN107" s="448"/>
      <c r="AO107" s="448"/>
      <c r="AP107" s="448"/>
      <c r="AQ107" s="448"/>
      <c r="AR107" s="448"/>
      <c r="AS107" s="448"/>
      <c r="AT107" s="448"/>
      <c r="AU107" s="448"/>
      <c r="AV107" s="448"/>
      <c r="AW107" s="448"/>
      <c r="AX107" s="448"/>
      <c r="AY107" s="448"/>
      <c r="AZ107" s="448"/>
      <c r="BA107" s="448"/>
      <c r="BB107" s="448"/>
      <c r="BC107" s="448"/>
      <c r="BD107" s="448"/>
      <c r="BE107" s="448"/>
      <c r="BF107" s="448"/>
      <c r="BG107" s="448"/>
      <c r="BH107" s="448"/>
      <c r="BI107" s="448"/>
      <c r="BJ107" s="448"/>
      <c r="BK107" s="448"/>
      <c r="BL107" s="448"/>
      <c r="BM107" s="448"/>
      <c r="BN107" s="448"/>
      <c r="BO107" s="448"/>
      <c r="BP107" s="448"/>
      <c r="BQ107" s="448"/>
      <c r="BR107" s="448"/>
      <c r="BS107" s="448"/>
      <c r="BT107" s="448"/>
    </row>
    <row r="108" spans="1:72" s="514" customFormat="1" ht="9" customHeight="1">
      <c r="A108" s="397"/>
      <c r="B108" s="398"/>
      <c r="C108" s="416"/>
      <c r="D108" s="399"/>
      <c r="E108" s="399"/>
      <c r="F108" s="409"/>
      <c r="G108" s="410"/>
      <c r="H108" s="448"/>
      <c r="I108" s="448"/>
      <c r="J108" s="448"/>
      <c r="K108" s="448"/>
      <c r="L108" s="448"/>
      <c r="M108" s="448"/>
      <c r="N108" s="448"/>
      <c r="O108" s="448"/>
      <c r="P108" s="448"/>
      <c r="Q108" s="448"/>
      <c r="R108" s="448"/>
      <c r="S108" s="448"/>
      <c r="T108" s="448"/>
      <c r="U108" s="448"/>
      <c r="V108" s="448"/>
      <c r="W108" s="448"/>
      <c r="X108" s="448"/>
      <c r="Y108" s="448"/>
      <c r="Z108" s="448"/>
      <c r="AA108" s="448"/>
      <c r="AB108" s="448"/>
      <c r="AC108" s="448"/>
      <c r="AD108" s="448"/>
      <c r="AE108" s="448"/>
      <c r="AF108" s="448"/>
      <c r="AG108" s="448"/>
      <c r="AH108" s="448"/>
      <c r="AI108" s="448"/>
      <c r="AJ108" s="448"/>
      <c r="AK108" s="448"/>
      <c r="AL108" s="448"/>
      <c r="AM108" s="448"/>
      <c r="AN108" s="448"/>
      <c r="AO108" s="448"/>
      <c r="AP108" s="448"/>
      <c r="AQ108" s="448"/>
      <c r="AR108" s="448"/>
      <c r="AS108" s="448"/>
      <c r="AT108" s="448"/>
      <c r="AU108" s="448"/>
      <c r="AV108" s="448"/>
      <c r="AW108" s="448"/>
      <c r="AX108" s="448"/>
      <c r="AY108" s="448"/>
      <c r="AZ108" s="448"/>
      <c r="BA108" s="448"/>
      <c r="BB108" s="448"/>
      <c r="BC108" s="448"/>
      <c r="BD108" s="448"/>
      <c r="BE108" s="448"/>
      <c r="BF108" s="448"/>
      <c r="BG108" s="448"/>
      <c r="BH108" s="448"/>
      <c r="BI108" s="448"/>
      <c r="BJ108" s="448"/>
      <c r="BK108" s="448"/>
      <c r="BL108" s="448"/>
      <c r="BM108" s="448"/>
      <c r="BN108" s="448"/>
      <c r="BO108" s="448"/>
      <c r="BP108" s="448"/>
      <c r="BQ108" s="448"/>
      <c r="BR108" s="448"/>
      <c r="BS108" s="448"/>
      <c r="BT108" s="448"/>
    </row>
    <row r="109" spans="1:72" s="514" customFormat="1" ht="15.75" customHeight="1">
      <c r="A109" s="397"/>
      <c r="B109" s="516" t="s">
        <v>37</v>
      </c>
      <c r="C109" s="399" t="s">
        <v>150</v>
      </c>
      <c r="D109" s="399" t="s">
        <v>154</v>
      </c>
      <c r="E109" s="405" t="s">
        <v>98</v>
      </c>
      <c r="F109" s="406" t="s">
        <v>98</v>
      </c>
      <c r="G109" s="407">
        <f>SUM(G111)</f>
        <v>411563.51</v>
      </c>
      <c r="H109" s="448"/>
      <c r="I109" s="448"/>
      <c r="J109" s="448"/>
      <c r="K109" s="448"/>
      <c r="L109" s="448"/>
      <c r="M109" s="448"/>
      <c r="N109" s="448"/>
      <c r="O109" s="448"/>
      <c r="P109" s="448"/>
      <c r="Q109" s="448"/>
      <c r="R109" s="448"/>
      <c r="S109" s="448"/>
      <c r="T109" s="448"/>
      <c r="U109" s="448"/>
      <c r="V109" s="448"/>
      <c r="W109" s="448"/>
      <c r="X109" s="448"/>
      <c r="Y109" s="448"/>
      <c r="Z109" s="448"/>
      <c r="AA109" s="448"/>
      <c r="AB109" s="448"/>
      <c r="AC109" s="448"/>
      <c r="AD109" s="448"/>
      <c r="AE109" s="448"/>
      <c r="AF109" s="448"/>
      <c r="AG109" s="448"/>
      <c r="AH109" s="448"/>
      <c r="AI109" s="448"/>
      <c r="AJ109" s="448"/>
      <c r="AK109" s="448"/>
      <c r="AL109" s="448"/>
      <c r="AM109" s="448"/>
      <c r="AN109" s="448"/>
      <c r="AO109" s="448"/>
      <c r="AP109" s="448"/>
      <c r="AQ109" s="448"/>
      <c r="AR109" s="448"/>
      <c r="AS109" s="448"/>
      <c r="AT109" s="448"/>
      <c r="AU109" s="448"/>
      <c r="AV109" s="448"/>
      <c r="AW109" s="448"/>
      <c r="AX109" s="448"/>
      <c r="AY109" s="448"/>
      <c r="AZ109" s="448"/>
      <c r="BA109" s="448"/>
      <c r="BB109" s="448"/>
      <c r="BC109" s="448"/>
      <c r="BD109" s="448"/>
      <c r="BE109" s="448"/>
      <c r="BF109" s="448"/>
      <c r="BG109" s="448"/>
      <c r="BH109" s="448"/>
      <c r="BI109" s="448"/>
      <c r="BJ109" s="448"/>
      <c r="BK109" s="448"/>
      <c r="BL109" s="448"/>
      <c r="BM109" s="448"/>
      <c r="BN109" s="448"/>
      <c r="BO109" s="448"/>
      <c r="BP109" s="448"/>
      <c r="BQ109" s="448"/>
      <c r="BR109" s="448"/>
      <c r="BS109" s="448"/>
      <c r="BT109" s="448"/>
    </row>
    <row r="110" spans="1:72" s="514" customFormat="1" ht="9.75" customHeight="1">
      <c r="A110" s="397"/>
      <c r="B110" s="398"/>
      <c r="C110" s="416"/>
      <c r="D110" s="399"/>
      <c r="E110" s="399"/>
      <c r="F110" s="409"/>
      <c r="G110" s="410"/>
      <c r="H110" s="448"/>
      <c r="I110" s="448"/>
      <c r="J110" s="448"/>
      <c r="K110" s="448"/>
      <c r="L110" s="448"/>
      <c r="M110" s="448"/>
      <c r="N110" s="448"/>
      <c r="O110" s="448"/>
      <c r="P110" s="448"/>
      <c r="Q110" s="448"/>
      <c r="R110" s="448"/>
      <c r="S110" s="448"/>
      <c r="T110" s="448"/>
      <c r="U110" s="448"/>
      <c r="V110" s="448"/>
      <c r="W110" s="448"/>
      <c r="X110" s="448"/>
      <c r="Y110" s="448"/>
      <c r="Z110" s="448"/>
      <c r="AA110" s="448"/>
      <c r="AB110" s="448"/>
      <c r="AC110" s="448"/>
      <c r="AD110" s="448"/>
      <c r="AE110" s="448"/>
      <c r="AF110" s="448"/>
      <c r="AG110" s="448"/>
      <c r="AH110" s="448"/>
      <c r="AI110" s="448"/>
      <c r="AJ110" s="448"/>
      <c r="AK110" s="448"/>
      <c r="AL110" s="448"/>
      <c r="AM110" s="448"/>
      <c r="AN110" s="448"/>
      <c r="AO110" s="448"/>
      <c r="AP110" s="448"/>
      <c r="AQ110" s="448"/>
      <c r="AR110" s="448"/>
      <c r="AS110" s="448"/>
      <c r="AT110" s="448"/>
      <c r="AU110" s="448"/>
      <c r="AV110" s="448"/>
      <c r="AW110" s="448"/>
      <c r="AX110" s="448"/>
      <c r="AY110" s="448"/>
      <c r="AZ110" s="448"/>
      <c r="BA110" s="448"/>
      <c r="BB110" s="448"/>
      <c r="BC110" s="448"/>
      <c r="BD110" s="448"/>
      <c r="BE110" s="448"/>
      <c r="BF110" s="448"/>
      <c r="BG110" s="448"/>
      <c r="BH110" s="448"/>
      <c r="BI110" s="448"/>
      <c r="BJ110" s="448"/>
      <c r="BK110" s="448"/>
      <c r="BL110" s="448"/>
      <c r="BM110" s="448"/>
      <c r="BN110" s="448"/>
      <c r="BO110" s="448"/>
      <c r="BP110" s="448"/>
      <c r="BQ110" s="448"/>
      <c r="BR110" s="448"/>
      <c r="BS110" s="448"/>
      <c r="BT110" s="448"/>
    </row>
    <row r="111" spans="1:72" s="514" customFormat="1" ht="15.75" customHeight="1">
      <c r="A111" s="397"/>
      <c r="B111" s="398"/>
      <c r="C111" s="416"/>
      <c r="D111" s="399"/>
      <c r="E111" s="399"/>
      <c r="F111" s="409"/>
      <c r="G111" s="515">
        <f>SUM(G112:G116)</f>
        <v>411563.51</v>
      </c>
      <c r="H111" s="448"/>
      <c r="I111" s="448"/>
      <c r="J111" s="448"/>
      <c r="K111" s="448"/>
      <c r="L111" s="448"/>
      <c r="M111" s="448"/>
      <c r="N111" s="448"/>
      <c r="O111" s="448"/>
      <c r="P111" s="448"/>
      <c r="Q111" s="448"/>
      <c r="R111" s="448"/>
      <c r="S111" s="448"/>
      <c r="T111" s="448"/>
      <c r="U111" s="448"/>
      <c r="V111" s="448"/>
      <c r="W111" s="448"/>
      <c r="X111" s="448"/>
      <c r="Y111" s="448"/>
      <c r="Z111" s="448"/>
      <c r="AA111" s="448"/>
      <c r="AB111" s="448"/>
      <c r="AC111" s="448"/>
      <c r="AD111" s="448"/>
      <c r="AE111" s="448"/>
      <c r="AF111" s="448"/>
      <c r="AG111" s="448"/>
      <c r="AH111" s="448"/>
      <c r="AI111" s="448"/>
      <c r="AJ111" s="448"/>
      <c r="AK111" s="448"/>
      <c r="AL111" s="448"/>
      <c r="AM111" s="448"/>
      <c r="AN111" s="448"/>
      <c r="AO111" s="448"/>
      <c r="AP111" s="448"/>
      <c r="AQ111" s="448"/>
      <c r="AR111" s="448"/>
      <c r="AS111" s="448"/>
      <c r="AT111" s="448"/>
      <c r="AU111" s="448"/>
      <c r="AV111" s="448"/>
      <c r="AW111" s="448"/>
      <c r="AX111" s="448"/>
      <c r="AY111" s="448"/>
      <c r="AZ111" s="448"/>
      <c r="BA111" s="448"/>
      <c r="BB111" s="448"/>
      <c r="BC111" s="448"/>
      <c r="BD111" s="448"/>
      <c r="BE111" s="448"/>
      <c r="BF111" s="448"/>
      <c r="BG111" s="448"/>
      <c r="BH111" s="448"/>
      <c r="BI111" s="448"/>
      <c r="BJ111" s="448"/>
      <c r="BK111" s="448"/>
      <c r="BL111" s="448"/>
      <c r="BM111" s="448"/>
      <c r="BN111" s="448"/>
      <c r="BO111" s="448"/>
      <c r="BP111" s="448"/>
      <c r="BQ111" s="448"/>
      <c r="BR111" s="448"/>
      <c r="BS111" s="448"/>
      <c r="BT111" s="448"/>
    </row>
    <row r="112" spans="1:72" s="514" customFormat="1" ht="15.75" customHeight="1">
      <c r="A112" s="397"/>
      <c r="B112" s="398"/>
      <c r="C112" s="416"/>
      <c r="D112" s="399"/>
      <c r="E112" s="399" t="s">
        <v>145</v>
      </c>
      <c r="F112" s="409" t="s">
        <v>98</v>
      </c>
      <c r="G112" s="410">
        <f>26350+34429+51845.35+32347+30476.93+31892+877+52031.03+36647+35814+307.2+25918</f>
        <v>358934.51</v>
      </c>
      <c r="H112" s="448"/>
      <c r="I112" s="448"/>
      <c r="J112" s="448"/>
      <c r="K112" s="448"/>
      <c r="L112" s="448"/>
      <c r="M112" s="448"/>
      <c r="N112" s="448"/>
      <c r="O112" s="448"/>
      <c r="P112" s="448"/>
      <c r="Q112" s="448"/>
      <c r="R112" s="448"/>
      <c r="S112" s="448"/>
      <c r="T112" s="448"/>
      <c r="U112" s="448"/>
      <c r="V112" s="448"/>
      <c r="W112" s="448"/>
      <c r="X112" s="448"/>
      <c r="Y112" s="448"/>
      <c r="Z112" s="448"/>
      <c r="AA112" s="448"/>
      <c r="AB112" s="448"/>
      <c r="AC112" s="448"/>
      <c r="AD112" s="448"/>
      <c r="AE112" s="448"/>
      <c r="AF112" s="448"/>
      <c r="AG112" s="448"/>
      <c r="AH112" s="448"/>
      <c r="AI112" s="448"/>
      <c r="AJ112" s="448"/>
      <c r="AK112" s="448"/>
      <c r="AL112" s="448"/>
      <c r="AM112" s="448"/>
      <c r="AN112" s="448"/>
      <c r="AO112" s="448"/>
      <c r="AP112" s="448"/>
      <c r="AQ112" s="448"/>
      <c r="AR112" s="448"/>
      <c r="AS112" s="448"/>
      <c r="AT112" s="448"/>
      <c r="AU112" s="448"/>
      <c r="AV112" s="448"/>
      <c r="AW112" s="448"/>
      <c r="AX112" s="448"/>
      <c r="AY112" s="448"/>
      <c r="AZ112" s="448"/>
      <c r="BA112" s="448"/>
      <c r="BB112" s="448"/>
      <c r="BC112" s="448"/>
      <c r="BD112" s="448"/>
      <c r="BE112" s="448"/>
      <c r="BF112" s="448"/>
      <c r="BG112" s="448"/>
      <c r="BH112" s="448"/>
      <c r="BI112" s="448"/>
      <c r="BJ112" s="448"/>
      <c r="BK112" s="448"/>
      <c r="BL112" s="448"/>
      <c r="BM112" s="448"/>
      <c r="BN112" s="448"/>
      <c r="BO112" s="448"/>
      <c r="BP112" s="448"/>
      <c r="BQ112" s="448"/>
      <c r="BR112" s="448"/>
      <c r="BS112" s="448"/>
      <c r="BT112" s="448"/>
    </row>
    <row r="113" spans="1:72" s="514" customFormat="1" ht="15.75" customHeight="1">
      <c r="A113" s="397"/>
      <c r="B113" s="398"/>
      <c r="C113" s="416"/>
      <c r="D113" s="399"/>
      <c r="E113" s="399" t="s">
        <v>132</v>
      </c>
      <c r="F113" s="409" t="s">
        <v>98</v>
      </c>
      <c r="G113" s="410">
        <f>5705+100+800</f>
        <v>6605</v>
      </c>
      <c r="H113" s="448"/>
      <c r="I113" s="448"/>
      <c r="J113" s="448"/>
      <c r="K113" s="448"/>
      <c r="L113" s="448"/>
      <c r="M113" s="448"/>
      <c r="N113" s="448"/>
      <c r="O113" s="448"/>
      <c r="P113" s="448"/>
      <c r="Q113" s="448"/>
      <c r="R113" s="448"/>
      <c r="S113" s="448"/>
      <c r="T113" s="448"/>
      <c r="U113" s="448"/>
      <c r="V113" s="448"/>
      <c r="W113" s="448"/>
      <c r="X113" s="448"/>
      <c r="Y113" s="448"/>
      <c r="Z113" s="448"/>
      <c r="AA113" s="448"/>
      <c r="AB113" s="448"/>
      <c r="AC113" s="448"/>
      <c r="AD113" s="448"/>
      <c r="AE113" s="448"/>
      <c r="AF113" s="448"/>
      <c r="AG113" s="448"/>
      <c r="AH113" s="448"/>
      <c r="AI113" s="448"/>
      <c r="AJ113" s="448"/>
      <c r="AK113" s="448"/>
      <c r="AL113" s="448"/>
      <c r="AM113" s="448"/>
      <c r="AN113" s="448"/>
      <c r="AO113" s="448"/>
      <c r="AP113" s="448"/>
      <c r="AQ113" s="448"/>
      <c r="AR113" s="448"/>
      <c r="AS113" s="448"/>
      <c r="AT113" s="448"/>
      <c r="AU113" s="448"/>
      <c r="AV113" s="448"/>
      <c r="AW113" s="448"/>
      <c r="AX113" s="448"/>
      <c r="AY113" s="448"/>
      <c r="AZ113" s="448"/>
      <c r="BA113" s="448"/>
      <c r="BB113" s="448"/>
      <c r="BC113" s="448"/>
      <c r="BD113" s="448"/>
      <c r="BE113" s="448"/>
      <c r="BF113" s="448"/>
      <c r="BG113" s="448"/>
      <c r="BH113" s="448"/>
      <c r="BI113" s="448"/>
      <c r="BJ113" s="448"/>
      <c r="BK113" s="448"/>
      <c r="BL113" s="448"/>
      <c r="BM113" s="448"/>
      <c r="BN113" s="448"/>
      <c r="BO113" s="448"/>
      <c r="BP113" s="448"/>
      <c r="BQ113" s="448"/>
      <c r="BR113" s="448"/>
      <c r="BS113" s="448"/>
      <c r="BT113" s="448"/>
    </row>
    <row r="114" spans="1:72" s="514" customFormat="1" ht="15.75" customHeight="1">
      <c r="A114" s="397"/>
      <c r="B114" s="398"/>
      <c r="C114" s="416"/>
      <c r="D114" s="399"/>
      <c r="E114" s="399" t="s">
        <v>152</v>
      </c>
      <c r="F114" s="409" t="s">
        <v>98</v>
      </c>
      <c r="G114" s="410">
        <v>2200</v>
      </c>
      <c r="H114" s="448"/>
      <c r="I114" s="448"/>
      <c r="J114" s="448"/>
      <c r="K114" s="448"/>
      <c r="L114" s="448"/>
      <c r="M114" s="448"/>
      <c r="N114" s="448"/>
      <c r="O114" s="448"/>
      <c r="P114" s="448"/>
      <c r="Q114" s="448"/>
      <c r="R114" s="448"/>
      <c r="S114" s="448"/>
      <c r="T114" s="448"/>
      <c r="U114" s="448"/>
      <c r="V114" s="448"/>
      <c r="W114" s="448"/>
      <c r="X114" s="448"/>
      <c r="Y114" s="448"/>
      <c r="Z114" s="448"/>
      <c r="AA114" s="448"/>
      <c r="AB114" s="448"/>
      <c r="AC114" s="448"/>
      <c r="AD114" s="448"/>
      <c r="AE114" s="448"/>
      <c r="AF114" s="448"/>
      <c r="AG114" s="448"/>
      <c r="AH114" s="448"/>
      <c r="AI114" s="448"/>
      <c r="AJ114" s="448"/>
      <c r="AK114" s="448"/>
      <c r="AL114" s="448"/>
      <c r="AM114" s="448"/>
      <c r="AN114" s="448"/>
      <c r="AO114" s="448"/>
      <c r="AP114" s="448"/>
      <c r="AQ114" s="448"/>
      <c r="AR114" s="448"/>
      <c r="AS114" s="448"/>
      <c r="AT114" s="448"/>
      <c r="AU114" s="448"/>
      <c r="AV114" s="448"/>
      <c r="AW114" s="448"/>
      <c r="AX114" s="448"/>
      <c r="AY114" s="448"/>
      <c r="AZ114" s="448"/>
      <c r="BA114" s="448"/>
      <c r="BB114" s="448"/>
      <c r="BC114" s="448"/>
      <c r="BD114" s="448"/>
      <c r="BE114" s="448"/>
      <c r="BF114" s="448"/>
      <c r="BG114" s="448"/>
      <c r="BH114" s="448"/>
      <c r="BI114" s="448"/>
      <c r="BJ114" s="448"/>
      <c r="BK114" s="448"/>
      <c r="BL114" s="448"/>
      <c r="BM114" s="448"/>
      <c r="BN114" s="448"/>
      <c r="BO114" s="448"/>
      <c r="BP114" s="448"/>
      <c r="BQ114" s="448"/>
      <c r="BR114" s="448"/>
      <c r="BS114" s="448"/>
      <c r="BT114" s="448"/>
    </row>
    <row r="115" spans="1:72" s="514" customFormat="1" ht="15.75" customHeight="1">
      <c r="A115" s="397"/>
      <c r="B115" s="398"/>
      <c r="C115" s="416"/>
      <c r="D115" s="399"/>
      <c r="E115" s="399" t="s">
        <v>118</v>
      </c>
      <c r="F115" s="409" t="s">
        <v>98</v>
      </c>
      <c r="G115" s="410">
        <v>450</v>
      </c>
      <c r="H115" s="448"/>
      <c r="I115" s="448"/>
      <c r="J115" s="448"/>
      <c r="K115" s="448"/>
      <c r="L115" s="448"/>
      <c r="M115" s="448"/>
      <c r="N115" s="448"/>
      <c r="O115" s="448"/>
      <c r="P115" s="448"/>
      <c r="Q115" s="448"/>
      <c r="R115" s="448"/>
      <c r="S115" s="448"/>
      <c r="T115" s="448"/>
      <c r="U115" s="448"/>
      <c r="V115" s="448"/>
      <c r="W115" s="448"/>
      <c r="X115" s="448"/>
      <c r="Y115" s="448"/>
      <c r="Z115" s="448"/>
      <c r="AA115" s="448"/>
      <c r="AB115" s="448"/>
      <c r="AC115" s="448"/>
      <c r="AD115" s="448"/>
      <c r="AE115" s="448"/>
      <c r="AF115" s="448"/>
      <c r="AG115" s="448"/>
      <c r="AH115" s="448"/>
      <c r="AI115" s="448"/>
      <c r="AJ115" s="448"/>
      <c r="AK115" s="448"/>
      <c r="AL115" s="448"/>
      <c r="AM115" s="448"/>
      <c r="AN115" s="448"/>
      <c r="AO115" s="448"/>
      <c r="AP115" s="448"/>
      <c r="AQ115" s="448"/>
      <c r="AR115" s="448"/>
      <c r="AS115" s="448"/>
      <c r="AT115" s="448"/>
      <c r="AU115" s="448"/>
      <c r="AV115" s="448"/>
      <c r="AW115" s="448"/>
      <c r="AX115" s="448"/>
      <c r="AY115" s="448"/>
      <c r="AZ115" s="448"/>
      <c r="BA115" s="448"/>
      <c r="BB115" s="448"/>
      <c r="BC115" s="448"/>
      <c r="BD115" s="448"/>
      <c r="BE115" s="448"/>
      <c r="BF115" s="448"/>
      <c r="BG115" s="448"/>
      <c r="BH115" s="448"/>
      <c r="BI115" s="448"/>
      <c r="BJ115" s="448"/>
      <c r="BK115" s="448"/>
      <c r="BL115" s="448"/>
      <c r="BM115" s="448"/>
      <c r="BN115" s="448"/>
      <c r="BO115" s="448"/>
      <c r="BP115" s="448"/>
      <c r="BQ115" s="448"/>
      <c r="BR115" s="448"/>
      <c r="BS115" s="448"/>
      <c r="BT115" s="448"/>
    </row>
    <row r="116" spans="1:72" s="514" customFormat="1" ht="15.75" customHeight="1">
      <c r="A116" s="397"/>
      <c r="B116" s="398"/>
      <c r="C116" s="416"/>
      <c r="D116" s="399"/>
      <c r="E116" s="399" t="s">
        <v>119</v>
      </c>
      <c r="F116" s="409" t="s">
        <v>98</v>
      </c>
      <c r="G116" s="410">
        <f>43374</f>
        <v>43374</v>
      </c>
      <c r="H116" s="448"/>
      <c r="I116" s="448"/>
      <c r="J116" s="448"/>
      <c r="K116" s="448"/>
      <c r="L116" s="448"/>
      <c r="M116" s="448"/>
      <c r="N116" s="448"/>
      <c r="O116" s="448"/>
      <c r="P116" s="448"/>
      <c r="Q116" s="448"/>
      <c r="R116" s="448"/>
      <c r="S116" s="448"/>
      <c r="T116" s="448"/>
      <c r="U116" s="448"/>
      <c r="V116" s="448"/>
      <c r="W116" s="448"/>
      <c r="X116" s="448"/>
      <c r="Y116" s="448"/>
      <c r="Z116" s="448"/>
      <c r="AA116" s="448"/>
      <c r="AB116" s="448"/>
      <c r="AC116" s="448"/>
      <c r="AD116" s="448"/>
      <c r="AE116" s="448"/>
      <c r="AF116" s="448"/>
      <c r="AG116" s="448"/>
      <c r="AH116" s="448"/>
      <c r="AI116" s="448"/>
      <c r="AJ116" s="448"/>
      <c r="AK116" s="448"/>
      <c r="AL116" s="448"/>
      <c r="AM116" s="448"/>
      <c r="AN116" s="448"/>
      <c r="AO116" s="448"/>
      <c r="AP116" s="448"/>
      <c r="AQ116" s="448"/>
      <c r="AR116" s="448"/>
      <c r="AS116" s="448"/>
      <c r="AT116" s="448"/>
      <c r="AU116" s="448"/>
      <c r="AV116" s="448"/>
      <c r="AW116" s="448"/>
      <c r="AX116" s="448"/>
      <c r="AY116" s="448"/>
      <c r="AZ116" s="448"/>
      <c r="BA116" s="448"/>
      <c r="BB116" s="448"/>
      <c r="BC116" s="448"/>
      <c r="BD116" s="448"/>
      <c r="BE116" s="448"/>
      <c r="BF116" s="448"/>
      <c r="BG116" s="448"/>
      <c r="BH116" s="448"/>
      <c r="BI116" s="448"/>
      <c r="BJ116" s="448"/>
      <c r="BK116" s="448"/>
      <c r="BL116" s="448"/>
      <c r="BM116" s="448"/>
      <c r="BN116" s="448"/>
      <c r="BO116" s="448"/>
      <c r="BP116" s="448"/>
      <c r="BQ116" s="448"/>
      <c r="BR116" s="448"/>
      <c r="BS116" s="448"/>
      <c r="BT116" s="448"/>
    </row>
    <row r="117" spans="1:72" s="514" customFormat="1" ht="6.75" customHeight="1">
      <c r="A117" s="397"/>
      <c r="B117" s="398"/>
      <c r="C117" s="416"/>
      <c r="D117" s="399"/>
      <c r="E117" s="399"/>
      <c r="F117" s="409"/>
      <c r="G117" s="410"/>
      <c r="H117" s="448"/>
      <c r="I117" s="448"/>
      <c r="J117" s="448"/>
      <c r="K117" s="448"/>
      <c r="L117" s="448"/>
      <c r="M117" s="448"/>
      <c r="N117" s="448"/>
      <c r="O117" s="448"/>
      <c r="P117" s="448"/>
      <c r="Q117" s="448"/>
      <c r="R117" s="448"/>
      <c r="S117" s="448"/>
      <c r="T117" s="448"/>
      <c r="U117" s="448"/>
      <c r="V117" s="448"/>
      <c r="W117" s="448"/>
      <c r="X117" s="448"/>
      <c r="Y117" s="448"/>
      <c r="Z117" s="448"/>
      <c r="AA117" s="448"/>
      <c r="AB117" s="448"/>
      <c r="AC117" s="448"/>
      <c r="AD117" s="448"/>
      <c r="AE117" s="448"/>
      <c r="AF117" s="448"/>
      <c r="AG117" s="448"/>
      <c r="AH117" s="448"/>
      <c r="AI117" s="448"/>
      <c r="AJ117" s="448"/>
      <c r="AK117" s="448"/>
      <c r="AL117" s="448"/>
      <c r="AM117" s="448"/>
      <c r="AN117" s="448"/>
      <c r="AO117" s="448"/>
      <c r="AP117" s="448"/>
      <c r="AQ117" s="448"/>
      <c r="AR117" s="448"/>
      <c r="AS117" s="448"/>
      <c r="AT117" s="448"/>
      <c r="AU117" s="448"/>
      <c r="AV117" s="448"/>
      <c r="AW117" s="448"/>
      <c r="AX117" s="448"/>
      <c r="AY117" s="448"/>
      <c r="AZ117" s="448"/>
      <c r="BA117" s="448"/>
      <c r="BB117" s="448"/>
      <c r="BC117" s="448"/>
      <c r="BD117" s="448"/>
      <c r="BE117" s="448"/>
      <c r="BF117" s="448"/>
      <c r="BG117" s="448"/>
      <c r="BH117" s="448"/>
      <c r="BI117" s="448"/>
      <c r="BJ117" s="448"/>
      <c r="BK117" s="448"/>
      <c r="BL117" s="448"/>
      <c r="BM117" s="448"/>
      <c r="BN117" s="448"/>
      <c r="BO117" s="448"/>
      <c r="BP117" s="448"/>
      <c r="BQ117" s="448"/>
      <c r="BR117" s="448"/>
      <c r="BS117" s="448"/>
      <c r="BT117" s="448"/>
    </row>
    <row r="118" spans="1:72" s="514" customFormat="1" ht="15.75" customHeight="1">
      <c r="A118" s="397"/>
      <c r="B118" s="516" t="s">
        <v>23</v>
      </c>
      <c r="C118" s="399" t="s">
        <v>150</v>
      </c>
      <c r="D118" s="399" t="s">
        <v>154</v>
      </c>
      <c r="E118" s="405" t="s">
        <v>98</v>
      </c>
      <c r="F118" s="406" t="s">
        <v>98</v>
      </c>
      <c r="G118" s="407">
        <f>SUM(G120)</f>
        <v>32564</v>
      </c>
      <c r="H118" s="448"/>
      <c r="I118" s="448"/>
      <c r="J118" s="448"/>
      <c r="K118" s="448"/>
      <c r="L118" s="448"/>
      <c r="M118" s="448"/>
      <c r="N118" s="448"/>
      <c r="O118" s="448"/>
      <c r="P118" s="448"/>
      <c r="Q118" s="448"/>
      <c r="R118" s="448"/>
      <c r="S118" s="448"/>
      <c r="T118" s="448"/>
      <c r="U118" s="448"/>
      <c r="V118" s="448"/>
      <c r="W118" s="448"/>
      <c r="X118" s="448"/>
      <c r="Y118" s="448"/>
      <c r="Z118" s="448"/>
      <c r="AA118" s="448"/>
      <c r="AB118" s="448"/>
      <c r="AC118" s="448"/>
      <c r="AD118" s="448"/>
      <c r="AE118" s="448"/>
      <c r="AF118" s="448"/>
      <c r="AG118" s="448"/>
      <c r="AH118" s="448"/>
      <c r="AI118" s="448"/>
      <c r="AJ118" s="448"/>
      <c r="AK118" s="448"/>
      <c r="AL118" s="448"/>
      <c r="AM118" s="448"/>
      <c r="AN118" s="448"/>
      <c r="AO118" s="448"/>
      <c r="AP118" s="448"/>
      <c r="AQ118" s="448"/>
      <c r="AR118" s="448"/>
      <c r="AS118" s="448"/>
      <c r="AT118" s="448"/>
      <c r="AU118" s="448"/>
      <c r="AV118" s="448"/>
      <c r="AW118" s="448"/>
      <c r="AX118" s="448"/>
      <c r="AY118" s="448"/>
      <c r="AZ118" s="448"/>
      <c r="BA118" s="448"/>
      <c r="BB118" s="448"/>
      <c r="BC118" s="448"/>
      <c r="BD118" s="448"/>
      <c r="BE118" s="448"/>
      <c r="BF118" s="448"/>
      <c r="BG118" s="448"/>
      <c r="BH118" s="448"/>
      <c r="BI118" s="448"/>
      <c r="BJ118" s="448"/>
      <c r="BK118" s="448"/>
      <c r="BL118" s="448"/>
      <c r="BM118" s="448"/>
      <c r="BN118" s="448"/>
      <c r="BO118" s="448"/>
      <c r="BP118" s="448"/>
      <c r="BQ118" s="448"/>
      <c r="BR118" s="448"/>
      <c r="BS118" s="448"/>
      <c r="BT118" s="448"/>
    </row>
    <row r="119" spans="1:72" s="514" customFormat="1" ht="8.25" customHeight="1">
      <c r="A119" s="397"/>
      <c r="B119" s="398"/>
      <c r="C119" s="416"/>
      <c r="D119" s="399"/>
      <c r="E119" s="399"/>
      <c r="F119" s="409"/>
      <c r="G119" s="410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  <c r="Z119" s="448"/>
      <c r="AA119" s="448"/>
      <c r="AB119" s="448"/>
      <c r="AC119" s="448"/>
      <c r="AD119" s="448"/>
      <c r="AE119" s="448"/>
      <c r="AF119" s="448"/>
      <c r="AG119" s="448"/>
      <c r="AH119" s="448"/>
      <c r="AI119" s="448"/>
      <c r="AJ119" s="448"/>
      <c r="AK119" s="448"/>
      <c r="AL119" s="448"/>
      <c r="AM119" s="448"/>
      <c r="AN119" s="448"/>
      <c r="AO119" s="448"/>
      <c r="AP119" s="448"/>
      <c r="AQ119" s="448"/>
      <c r="AR119" s="448"/>
      <c r="AS119" s="448"/>
      <c r="AT119" s="448"/>
      <c r="AU119" s="448"/>
      <c r="AV119" s="448"/>
      <c r="AW119" s="448"/>
      <c r="AX119" s="448"/>
      <c r="AY119" s="448"/>
      <c r="AZ119" s="448"/>
      <c r="BA119" s="448"/>
      <c r="BB119" s="448"/>
      <c r="BC119" s="448"/>
      <c r="BD119" s="448"/>
      <c r="BE119" s="448"/>
      <c r="BF119" s="448"/>
      <c r="BG119" s="448"/>
      <c r="BH119" s="448"/>
      <c r="BI119" s="448"/>
      <c r="BJ119" s="448"/>
      <c r="BK119" s="448"/>
      <c r="BL119" s="448"/>
      <c r="BM119" s="448"/>
      <c r="BN119" s="448"/>
      <c r="BO119" s="448"/>
      <c r="BP119" s="448"/>
      <c r="BQ119" s="448"/>
      <c r="BR119" s="448"/>
      <c r="BS119" s="448"/>
      <c r="BT119" s="448"/>
    </row>
    <row r="120" spans="1:72" s="514" customFormat="1" ht="15.75" customHeight="1">
      <c r="A120" s="397"/>
      <c r="B120" s="398"/>
      <c r="C120" s="416"/>
      <c r="D120" s="399"/>
      <c r="E120" s="399"/>
      <c r="F120" s="409"/>
      <c r="G120" s="515">
        <f>SUM(G121)</f>
        <v>32564</v>
      </c>
      <c r="H120" s="448"/>
      <c r="I120" s="448"/>
      <c r="J120" s="448"/>
      <c r="K120" s="448"/>
      <c r="L120" s="448"/>
      <c r="M120" s="448"/>
      <c r="N120" s="448"/>
      <c r="O120" s="448"/>
      <c r="P120" s="448"/>
      <c r="Q120" s="448"/>
      <c r="R120" s="448"/>
      <c r="S120" s="448"/>
      <c r="T120" s="448"/>
      <c r="U120" s="448"/>
      <c r="V120" s="448"/>
      <c r="W120" s="448"/>
      <c r="X120" s="448"/>
      <c r="Y120" s="448"/>
      <c r="Z120" s="448"/>
      <c r="AA120" s="448"/>
      <c r="AB120" s="448"/>
      <c r="AC120" s="448"/>
      <c r="AD120" s="448"/>
      <c r="AE120" s="448"/>
      <c r="AF120" s="448"/>
      <c r="AG120" s="448"/>
      <c r="AH120" s="448"/>
      <c r="AI120" s="448"/>
      <c r="AJ120" s="448"/>
      <c r="AK120" s="448"/>
      <c r="AL120" s="448"/>
      <c r="AM120" s="448"/>
      <c r="AN120" s="448"/>
      <c r="AO120" s="448"/>
      <c r="AP120" s="448"/>
      <c r="AQ120" s="448"/>
      <c r="AR120" s="448"/>
      <c r="AS120" s="448"/>
      <c r="AT120" s="448"/>
      <c r="AU120" s="448"/>
      <c r="AV120" s="448"/>
      <c r="AW120" s="448"/>
      <c r="AX120" s="448"/>
      <c r="AY120" s="448"/>
      <c r="AZ120" s="448"/>
      <c r="BA120" s="448"/>
      <c r="BB120" s="448"/>
      <c r="BC120" s="448"/>
      <c r="BD120" s="448"/>
      <c r="BE120" s="448"/>
      <c r="BF120" s="448"/>
      <c r="BG120" s="448"/>
      <c r="BH120" s="448"/>
      <c r="BI120" s="448"/>
      <c r="BJ120" s="448"/>
      <c r="BK120" s="448"/>
      <c r="BL120" s="448"/>
      <c r="BM120" s="448"/>
      <c r="BN120" s="448"/>
      <c r="BO120" s="448"/>
      <c r="BP120" s="448"/>
      <c r="BQ120" s="448"/>
      <c r="BR120" s="448"/>
      <c r="BS120" s="448"/>
      <c r="BT120" s="448"/>
    </row>
    <row r="121" spans="1:72" s="514" customFormat="1" ht="15.75" customHeight="1">
      <c r="A121" s="397"/>
      <c r="B121" s="398"/>
      <c r="C121" s="416"/>
      <c r="D121" s="399"/>
      <c r="E121" s="399" t="s">
        <v>24</v>
      </c>
      <c r="F121" s="409" t="s">
        <v>98</v>
      </c>
      <c r="G121" s="410">
        <f>6130+6488+6427+6871+6648+6871-6871</f>
        <v>32564</v>
      </c>
      <c r="H121" s="448"/>
      <c r="I121" s="448"/>
      <c r="J121" s="448"/>
      <c r="K121" s="448"/>
      <c r="L121" s="448"/>
      <c r="M121" s="448"/>
      <c r="N121" s="448"/>
      <c r="O121" s="448"/>
      <c r="P121" s="448"/>
      <c r="Q121" s="448"/>
      <c r="R121" s="448"/>
      <c r="S121" s="448"/>
      <c r="T121" s="448"/>
      <c r="U121" s="448"/>
      <c r="V121" s="448"/>
      <c r="W121" s="448"/>
      <c r="X121" s="448"/>
      <c r="Y121" s="448"/>
      <c r="Z121" s="448"/>
      <c r="AA121" s="448"/>
      <c r="AB121" s="448"/>
      <c r="AC121" s="448"/>
      <c r="AD121" s="448"/>
      <c r="AE121" s="448"/>
      <c r="AF121" s="448"/>
      <c r="AG121" s="448"/>
      <c r="AH121" s="448"/>
      <c r="AI121" s="448"/>
      <c r="AJ121" s="448"/>
      <c r="AK121" s="448"/>
      <c r="AL121" s="448"/>
      <c r="AM121" s="448"/>
      <c r="AN121" s="448"/>
      <c r="AO121" s="448"/>
      <c r="AP121" s="448"/>
      <c r="AQ121" s="448"/>
      <c r="AR121" s="448"/>
      <c r="AS121" s="448"/>
      <c r="AT121" s="448"/>
      <c r="AU121" s="448"/>
      <c r="AV121" s="448"/>
      <c r="AW121" s="448"/>
      <c r="AX121" s="448"/>
      <c r="AY121" s="448"/>
      <c r="AZ121" s="448"/>
      <c r="BA121" s="448"/>
      <c r="BB121" s="448"/>
      <c r="BC121" s="448"/>
      <c r="BD121" s="448"/>
      <c r="BE121" s="448"/>
      <c r="BF121" s="448"/>
      <c r="BG121" s="448"/>
      <c r="BH121" s="448"/>
      <c r="BI121" s="448"/>
      <c r="BJ121" s="448"/>
      <c r="BK121" s="448"/>
      <c r="BL121" s="448"/>
      <c r="BM121" s="448"/>
      <c r="BN121" s="448"/>
      <c r="BO121" s="448"/>
      <c r="BP121" s="448"/>
      <c r="BQ121" s="448"/>
      <c r="BR121" s="448"/>
      <c r="BS121" s="448"/>
      <c r="BT121" s="448"/>
    </row>
    <row r="122" spans="1:72" s="514" customFormat="1" ht="7.5" customHeight="1">
      <c r="A122" s="397"/>
      <c r="B122" s="398"/>
      <c r="C122" s="416"/>
      <c r="D122" s="399"/>
      <c r="E122" s="399"/>
      <c r="F122" s="409"/>
      <c r="G122" s="410"/>
      <c r="H122" s="448"/>
      <c r="I122" s="448"/>
      <c r="J122" s="448"/>
      <c r="K122" s="448"/>
      <c r="L122" s="448"/>
      <c r="M122" s="448"/>
      <c r="N122" s="448"/>
      <c r="O122" s="448"/>
      <c r="P122" s="448"/>
      <c r="Q122" s="448"/>
      <c r="R122" s="448"/>
      <c r="S122" s="448"/>
      <c r="T122" s="448"/>
      <c r="U122" s="448"/>
      <c r="V122" s="448"/>
      <c r="W122" s="448"/>
      <c r="X122" s="448"/>
      <c r="Y122" s="448"/>
      <c r="Z122" s="448"/>
      <c r="AA122" s="448"/>
      <c r="AB122" s="448"/>
      <c r="AC122" s="448"/>
      <c r="AD122" s="448"/>
      <c r="AE122" s="448"/>
      <c r="AF122" s="448"/>
      <c r="AG122" s="448"/>
      <c r="AH122" s="448"/>
      <c r="AI122" s="448"/>
      <c r="AJ122" s="448"/>
      <c r="AK122" s="448"/>
      <c r="AL122" s="448"/>
      <c r="AM122" s="448"/>
      <c r="AN122" s="448"/>
      <c r="AO122" s="448"/>
      <c r="AP122" s="448"/>
      <c r="AQ122" s="448"/>
      <c r="AR122" s="448"/>
      <c r="AS122" s="448"/>
      <c r="AT122" s="448"/>
      <c r="AU122" s="448"/>
      <c r="AV122" s="448"/>
      <c r="AW122" s="448"/>
      <c r="AX122" s="448"/>
      <c r="AY122" s="448"/>
      <c r="AZ122" s="448"/>
      <c r="BA122" s="448"/>
      <c r="BB122" s="448"/>
      <c r="BC122" s="448"/>
      <c r="BD122" s="448"/>
      <c r="BE122" s="448"/>
      <c r="BF122" s="448"/>
      <c r="BG122" s="448"/>
      <c r="BH122" s="448"/>
      <c r="BI122" s="448"/>
      <c r="BJ122" s="448"/>
      <c r="BK122" s="448"/>
      <c r="BL122" s="448"/>
      <c r="BM122" s="448"/>
      <c r="BN122" s="448"/>
      <c r="BO122" s="448"/>
      <c r="BP122" s="448"/>
      <c r="BQ122" s="448"/>
      <c r="BR122" s="448"/>
      <c r="BS122" s="448"/>
      <c r="BT122" s="448"/>
    </row>
    <row r="123" spans="1:72" s="514" customFormat="1" ht="24.75" customHeight="1">
      <c r="A123" s="397"/>
      <c r="B123" s="517" t="s">
        <v>26</v>
      </c>
      <c r="C123" s="399" t="s">
        <v>150</v>
      </c>
      <c r="D123" s="399" t="s">
        <v>154</v>
      </c>
      <c r="E123" s="405" t="s">
        <v>98</v>
      </c>
      <c r="F123" s="406" t="s">
        <v>98</v>
      </c>
      <c r="G123" s="407">
        <f>SUM(G125)</f>
        <v>27162</v>
      </c>
      <c r="H123" s="448"/>
      <c r="I123" s="448"/>
      <c r="J123" s="448"/>
      <c r="K123" s="448"/>
      <c r="L123" s="448"/>
      <c r="M123" s="448"/>
      <c r="N123" s="448"/>
      <c r="O123" s="448"/>
      <c r="P123" s="448"/>
      <c r="Q123" s="448"/>
      <c r="R123" s="448"/>
      <c r="S123" s="448"/>
      <c r="T123" s="448"/>
      <c r="U123" s="448"/>
      <c r="V123" s="448"/>
      <c r="W123" s="448"/>
      <c r="X123" s="448"/>
      <c r="Y123" s="448"/>
      <c r="Z123" s="448"/>
      <c r="AA123" s="448"/>
      <c r="AB123" s="448"/>
      <c r="AC123" s="448"/>
      <c r="AD123" s="448"/>
      <c r="AE123" s="448"/>
      <c r="AF123" s="448"/>
      <c r="AG123" s="448"/>
      <c r="AH123" s="448"/>
      <c r="AI123" s="448"/>
      <c r="AJ123" s="448"/>
      <c r="AK123" s="448"/>
      <c r="AL123" s="448"/>
      <c r="AM123" s="448"/>
      <c r="AN123" s="448"/>
      <c r="AO123" s="448"/>
      <c r="AP123" s="448"/>
      <c r="AQ123" s="448"/>
      <c r="AR123" s="448"/>
      <c r="AS123" s="448"/>
      <c r="AT123" s="448"/>
      <c r="AU123" s="448"/>
      <c r="AV123" s="448"/>
      <c r="AW123" s="448"/>
      <c r="AX123" s="448"/>
      <c r="AY123" s="448"/>
      <c r="AZ123" s="448"/>
      <c r="BA123" s="448"/>
      <c r="BB123" s="448"/>
      <c r="BC123" s="448"/>
      <c r="BD123" s="448"/>
      <c r="BE123" s="448"/>
      <c r="BF123" s="448"/>
      <c r="BG123" s="448"/>
      <c r="BH123" s="448"/>
      <c r="BI123" s="448"/>
      <c r="BJ123" s="448"/>
      <c r="BK123" s="448"/>
      <c r="BL123" s="448"/>
      <c r="BM123" s="448"/>
      <c r="BN123" s="448"/>
      <c r="BO123" s="448"/>
      <c r="BP123" s="448"/>
      <c r="BQ123" s="448"/>
      <c r="BR123" s="448"/>
      <c r="BS123" s="448"/>
      <c r="BT123" s="448"/>
    </row>
    <row r="124" spans="1:72" s="514" customFormat="1" ht="7.5" customHeight="1">
      <c r="A124" s="397"/>
      <c r="B124" s="398"/>
      <c r="C124" s="416"/>
      <c r="D124" s="399"/>
      <c r="E124" s="399"/>
      <c r="F124" s="409"/>
      <c r="G124" s="410"/>
      <c r="H124" s="448"/>
      <c r="I124" s="448"/>
      <c r="J124" s="448"/>
      <c r="K124" s="448"/>
      <c r="L124" s="448"/>
      <c r="M124" s="448"/>
      <c r="N124" s="448"/>
      <c r="O124" s="448"/>
      <c r="P124" s="448"/>
      <c r="Q124" s="448"/>
      <c r="R124" s="448"/>
      <c r="S124" s="448"/>
      <c r="T124" s="448"/>
      <c r="U124" s="448"/>
      <c r="V124" s="448"/>
      <c r="W124" s="448"/>
      <c r="X124" s="448"/>
      <c r="Y124" s="448"/>
      <c r="Z124" s="448"/>
      <c r="AA124" s="448"/>
      <c r="AB124" s="448"/>
      <c r="AC124" s="448"/>
      <c r="AD124" s="448"/>
      <c r="AE124" s="448"/>
      <c r="AF124" s="448"/>
      <c r="AG124" s="448"/>
      <c r="AH124" s="448"/>
      <c r="AI124" s="448"/>
      <c r="AJ124" s="448"/>
      <c r="AK124" s="448"/>
      <c r="AL124" s="448"/>
      <c r="AM124" s="448"/>
      <c r="AN124" s="448"/>
      <c r="AO124" s="448"/>
      <c r="AP124" s="448"/>
      <c r="AQ124" s="448"/>
      <c r="AR124" s="448"/>
      <c r="AS124" s="448"/>
      <c r="AT124" s="448"/>
      <c r="AU124" s="448"/>
      <c r="AV124" s="448"/>
      <c r="AW124" s="448"/>
      <c r="AX124" s="448"/>
      <c r="AY124" s="448"/>
      <c r="AZ124" s="448"/>
      <c r="BA124" s="448"/>
      <c r="BB124" s="448"/>
      <c r="BC124" s="448"/>
      <c r="BD124" s="448"/>
      <c r="BE124" s="448"/>
      <c r="BF124" s="448"/>
      <c r="BG124" s="448"/>
      <c r="BH124" s="448"/>
      <c r="BI124" s="448"/>
      <c r="BJ124" s="448"/>
      <c r="BK124" s="448"/>
      <c r="BL124" s="448"/>
      <c r="BM124" s="448"/>
      <c r="BN124" s="448"/>
      <c r="BO124" s="448"/>
      <c r="BP124" s="448"/>
      <c r="BQ124" s="448"/>
      <c r="BR124" s="448"/>
      <c r="BS124" s="448"/>
      <c r="BT124" s="448"/>
    </row>
    <row r="125" spans="1:72" s="514" customFormat="1" ht="15.75" customHeight="1">
      <c r="A125" s="397"/>
      <c r="B125" s="398"/>
      <c r="C125" s="416"/>
      <c r="D125" s="399"/>
      <c r="E125" s="399"/>
      <c r="F125" s="409"/>
      <c r="G125" s="515">
        <f>SUM(G126)</f>
        <v>27162</v>
      </c>
      <c r="H125" s="448"/>
      <c r="I125" s="448"/>
      <c r="J125" s="448"/>
      <c r="K125" s="448"/>
      <c r="L125" s="448"/>
      <c r="M125" s="448"/>
      <c r="N125" s="448"/>
      <c r="O125" s="448"/>
      <c r="P125" s="448"/>
      <c r="Q125" s="448"/>
      <c r="R125" s="448"/>
      <c r="S125" s="448"/>
      <c r="T125" s="448"/>
      <c r="U125" s="448"/>
      <c r="V125" s="448"/>
      <c r="W125" s="448"/>
      <c r="X125" s="448"/>
      <c r="Y125" s="448"/>
      <c r="Z125" s="448"/>
      <c r="AA125" s="448"/>
      <c r="AB125" s="448"/>
      <c r="AC125" s="448"/>
      <c r="AD125" s="448"/>
      <c r="AE125" s="448"/>
      <c r="AF125" s="448"/>
      <c r="AG125" s="448"/>
      <c r="AH125" s="448"/>
      <c r="AI125" s="448"/>
      <c r="AJ125" s="448"/>
      <c r="AK125" s="448"/>
      <c r="AL125" s="448"/>
      <c r="AM125" s="448"/>
      <c r="AN125" s="448"/>
      <c r="AO125" s="448"/>
      <c r="AP125" s="448"/>
      <c r="AQ125" s="448"/>
      <c r="AR125" s="448"/>
      <c r="AS125" s="448"/>
      <c r="AT125" s="448"/>
      <c r="AU125" s="448"/>
      <c r="AV125" s="448"/>
      <c r="AW125" s="448"/>
      <c r="AX125" s="448"/>
      <c r="AY125" s="448"/>
      <c r="AZ125" s="448"/>
      <c r="BA125" s="448"/>
      <c r="BB125" s="448"/>
      <c r="BC125" s="448"/>
      <c r="BD125" s="448"/>
      <c r="BE125" s="448"/>
      <c r="BF125" s="448"/>
      <c r="BG125" s="448"/>
      <c r="BH125" s="448"/>
      <c r="BI125" s="448"/>
      <c r="BJ125" s="448"/>
      <c r="BK125" s="448"/>
      <c r="BL125" s="448"/>
      <c r="BM125" s="448"/>
      <c r="BN125" s="448"/>
      <c r="BO125" s="448"/>
      <c r="BP125" s="448"/>
      <c r="BQ125" s="448"/>
      <c r="BR125" s="448"/>
      <c r="BS125" s="448"/>
      <c r="BT125" s="448"/>
    </row>
    <row r="126" spans="1:72" s="514" customFormat="1" ht="15.75" customHeight="1">
      <c r="A126" s="397"/>
      <c r="B126" s="398"/>
      <c r="C126" s="416"/>
      <c r="D126" s="399"/>
      <c r="E126" s="399" t="s">
        <v>24</v>
      </c>
      <c r="F126" s="409" t="s">
        <v>98</v>
      </c>
      <c r="G126" s="410">
        <f>6871+5903+5331+5331+3726</f>
        <v>27162</v>
      </c>
      <c r="H126" s="448"/>
      <c r="I126" s="448"/>
      <c r="J126" s="448"/>
      <c r="K126" s="448"/>
      <c r="L126" s="448"/>
      <c r="M126" s="448"/>
      <c r="N126" s="448"/>
      <c r="O126" s="448"/>
      <c r="P126" s="448"/>
      <c r="Q126" s="448"/>
      <c r="R126" s="448"/>
      <c r="S126" s="448"/>
      <c r="T126" s="448"/>
      <c r="U126" s="448"/>
      <c r="V126" s="448"/>
      <c r="W126" s="448"/>
      <c r="X126" s="448"/>
      <c r="Y126" s="448"/>
      <c r="Z126" s="448"/>
      <c r="AA126" s="448"/>
      <c r="AB126" s="448"/>
      <c r="AC126" s="448"/>
      <c r="AD126" s="448"/>
      <c r="AE126" s="448"/>
      <c r="AF126" s="448"/>
      <c r="AG126" s="448"/>
      <c r="AH126" s="448"/>
      <c r="AI126" s="448"/>
      <c r="AJ126" s="448"/>
      <c r="AK126" s="448"/>
      <c r="AL126" s="448"/>
      <c r="AM126" s="448"/>
      <c r="AN126" s="448"/>
      <c r="AO126" s="448"/>
      <c r="AP126" s="448"/>
      <c r="AQ126" s="448"/>
      <c r="AR126" s="448"/>
      <c r="AS126" s="448"/>
      <c r="AT126" s="448"/>
      <c r="AU126" s="448"/>
      <c r="AV126" s="448"/>
      <c r="AW126" s="448"/>
      <c r="AX126" s="448"/>
      <c r="AY126" s="448"/>
      <c r="AZ126" s="448"/>
      <c r="BA126" s="448"/>
      <c r="BB126" s="448"/>
      <c r="BC126" s="448"/>
      <c r="BD126" s="448"/>
      <c r="BE126" s="448"/>
      <c r="BF126" s="448"/>
      <c r="BG126" s="448"/>
      <c r="BH126" s="448"/>
      <c r="BI126" s="448"/>
      <c r="BJ126" s="448"/>
      <c r="BK126" s="448"/>
      <c r="BL126" s="448"/>
      <c r="BM126" s="448"/>
      <c r="BN126" s="448"/>
      <c r="BO126" s="448"/>
      <c r="BP126" s="448"/>
      <c r="BQ126" s="448"/>
      <c r="BR126" s="448"/>
      <c r="BS126" s="448"/>
      <c r="BT126" s="448"/>
    </row>
    <row r="127" spans="1:72" s="514" customFormat="1" ht="9" customHeight="1">
      <c r="A127" s="397"/>
      <c r="B127" s="398"/>
      <c r="C127" s="416"/>
      <c r="D127" s="399"/>
      <c r="E127" s="399"/>
      <c r="F127" s="409"/>
      <c r="G127" s="410"/>
      <c r="H127" s="448"/>
      <c r="I127" s="448"/>
      <c r="J127" s="448"/>
      <c r="K127" s="448"/>
      <c r="L127" s="448"/>
      <c r="M127" s="448"/>
      <c r="N127" s="448"/>
      <c r="O127" s="448"/>
      <c r="P127" s="448"/>
      <c r="Q127" s="448"/>
      <c r="R127" s="448"/>
      <c r="S127" s="448"/>
      <c r="T127" s="448"/>
      <c r="U127" s="448"/>
      <c r="V127" s="448"/>
      <c r="W127" s="448"/>
      <c r="X127" s="448"/>
      <c r="Y127" s="448"/>
      <c r="Z127" s="448"/>
      <c r="AA127" s="448"/>
      <c r="AB127" s="448"/>
      <c r="AC127" s="448"/>
      <c r="AD127" s="448"/>
      <c r="AE127" s="448"/>
      <c r="AF127" s="448"/>
      <c r="AG127" s="448"/>
      <c r="AH127" s="448"/>
      <c r="AI127" s="448"/>
      <c r="AJ127" s="448"/>
      <c r="AK127" s="448"/>
      <c r="AL127" s="448"/>
      <c r="AM127" s="448"/>
      <c r="AN127" s="448"/>
      <c r="AO127" s="448"/>
      <c r="AP127" s="448"/>
      <c r="AQ127" s="448"/>
      <c r="AR127" s="448"/>
      <c r="AS127" s="448"/>
      <c r="AT127" s="448"/>
      <c r="AU127" s="448"/>
      <c r="AV127" s="448"/>
      <c r="AW127" s="448"/>
      <c r="AX127" s="448"/>
      <c r="AY127" s="448"/>
      <c r="AZ127" s="448"/>
      <c r="BA127" s="448"/>
      <c r="BB127" s="448"/>
      <c r="BC127" s="448"/>
      <c r="BD127" s="448"/>
      <c r="BE127" s="448"/>
      <c r="BF127" s="448"/>
      <c r="BG127" s="448"/>
      <c r="BH127" s="448"/>
      <c r="BI127" s="448"/>
      <c r="BJ127" s="448"/>
      <c r="BK127" s="448"/>
      <c r="BL127" s="448"/>
      <c r="BM127" s="448"/>
      <c r="BN127" s="448"/>
      <c r="BO127" s="448"/>
      <c r="BP127" s="448"/>
      <c r="BQ127" s="448"/>
      <c r="BR127" s="448"/>
      <c r="BS127" s="448"/>
      <c r="BT127" s="448"/>
    </row>
    <row r="128" spans="1:72" s="514" customFormat="1" ht="15.75" customHeight="1">
      <c r="A128" s="397"/>
      <c r="B128" s="516" t="s">
        <v>37</v>
      </c>
      <c r="C128" s="399" t="s">
        <v>150</v>
      </c>
      <c r="D128" s="399" t="s">
        <v>155</v>
      </c>
      <c r="E128" s="405" t="s">
        <v>98</v>
      </c>
      <c r="F128" s="406" t="s">
        <v>98</v>
      </c>
      <c r="G128" s="407">
        <f>SUM(G130)</f>
        <v>343</v>
      </c>
      <c r="H128" s="448"/>
      <c r="I128" s="448"/>
      <c r="J128" s="448"/>
      <c r="K128" s="448"/>
      <c r="L128" s="448"/>
      <c r="M128" s="448"/>
      <c r="N128" s="448"/>
      <c r="O128" s="448"/>
      <c r="P128" s="448"/>
      <c r="Q128" s="448"/>
      <c r="R128" s="448"/>
      <c r="S128" s="448"/>
      <c r="T128" s="448"/>
      <c r="U128" s="448"/>
      <c r="V128" s="448"/>
      <c r="W128" s="448"/>
      <c r="X128" s="448"/>
      <c r="Y128" s="448"/>
      <c r="Z128" s="448"/>
      <c r="AA128" s="448"/>
      <c r="AB128" s="448"/>
      <c r="AC128" s="448"/>
      <c r="AD128" s="448"/>
      <c r="AE128" s="448"/>
      <c r="AF128" s="448"/>
      <c r="AG128" s="448"/>
      <c r="AH128" s="448"/>
      <c r="AI128" s="448"/>
      <c r="AJ128" s="448"/>
      <c r="AK128" s="448"/>
      <c r="AL128" s="448"/>
      <c r="AM128" s="448"/>
      <c r="AN128" s="448"/>
      <c r="AO128" s="448"/>
      <c r="AP128" s="448"/>
      <c r="AQ128" s="448"/>
      <c r="AR128" s="448"/>
      <c r="AS128" s="448"/>
      <c r="AT128" s="448"/>
      <c r="AU128" s="448"/>
      <c r="AV128" s="448"/>
      <c r="AW128" s="448"/>
      <c r="AX128" s="448"/>
      <c r="AY128" s="448"/>
      <c r="AZ128" s="448"/>
      <c r="BA128" s="448"/>
      <c r="BB128" s="448"/>
      <c r="BC128" s="448"/>
      <c r="BD128" s="448"/>
      <c r="BE128" s="448"/>
      <c r="BF128" s="448"/>
      <c r="BG128" s="448"/>
      <c r="BH128" s="448"/>
      <c r="BI128" s="448"/>
      <c r="BJ128" s="448"/>
      <c r="BK128" s="448"/>
      <c r="BL128" s="448"/>
      <c r="BM128" s="448"/>
      <c r="BN128" s="448"/>
      <c r="BO128" s="448"/>
      <c r="BP128" s="448"/>
      <c r="BQ128" s="448"/>
      <c r="BR128" s="448"/>
      <c r="BS128" s="448"/>
      <c r="BT128" s="448"/>
    </row>
    <row r="129" spans="1:72" s="514" customFormat="1" ht="7.5" customHeight="1">
      <c r="A129" s="397"/>
      <c r="B129" s="398"/>
      <c r="C129" s="416"/>
      <c r="D129" s="399"/>
      <c r="E129" s="399"/>
      <c r="F129" s="409"/>
      <c r="G129" s="410"/>
      <c r="H129" s="448"/>
      <c r="I129" s="448"/>
      <c r="J129" s="448"/>
      <c r="K129" s="448"/>
      <c r="L129" s="448"/>
      <c r="M129" s="448"/>
      <c r="N129" s="448"/>
      <c r="O129" s="448"/>
      <c r="P129" s="448"/>
      <c r="Q129" s="448"/>
      <c r="R129" s="448"/>
      <c r="S129" s="448"/>
      <c r="T129" s="448"/>
      <c r="U129" s="448"/>
      <c r="V129" s="448"/>
      <c r="W129" s="448"/>
      <c r="X129" s="448"/>
      <c r="Y129" s="448"/>
      <c r="Z129" s="448"/>
      <c r="AA129" s="448"/>
      <c r="AB129" s="448"/>
      <c r="AC129" s="448"/>
      <c r="AD129" s="448"/>
      <c r="AE129" s="448"/>
      <c r="AF129" s="448"/>
      <c r="AG129" s="448"/>
      <c r="AH129" s="448"/>
      <c r="AI129" s="448"/>
      <c r="AJ129" s="448"/>
      <c r="AK129" s="448"/>
      <c r="AL129" s="448"/>
      <c r="AM129" s="448"/>
      <c r="AN129" s="448"/>
      <c r="AO129" s="448"/>
      <c r="AP129" s="448"/>
      <c r="AQ129" s="448"/>
      <c r="AR129" s="448"/>
      <c r="AS129" s="448"/>
      <c r="AT129" s="448"/>
      <c r="AU129" s="448"/>
      <c r="AV129" s="448"/>
      <c r="AW129" s="448"/>
      <c r="AX129" s="448"/>
      <c r="AY129" s="448"/>
      <c r="AZ129" s="448"/>
      <c r="BA129" s="448"/>
      <c r="BB129" s="448"/>
      <c r="BC129" s="448"/>
      <c r="BD129" s="448"/>
      <c r="BE129" s="448"/>
      <c r="BF129" s="448"/>
      <c r="BG129" s="448"/>
      <c r="BH129" s="448"/>
      <c r="BI129" s="448"/>
      <c r="BJ129" s="448"/>
      <c r="BK129" s="448"/>
      <c r="BL129" s="448"/>
      <c r="BM129" s="448"/>
      <c r="BN129" s="448"/>
      <c r="BO129" s="448"/>
      <c r="BP129" s="448"/>
      <c r="BQ129" s="448"/>
      <c r="BR129" s="448"/>
      <c r="BS129" s="448"/>
      <c r="BT129" s="448"/>
    </row>
    <row r="130" spans="1:72" s="514" customFormat="1" ht="15.75" customHeight="1">
      <c r="A130" s="397"/>
      <c r="B130" s="398"/>
      <c r="C130" s="416"/>
      <c r="D130" s="399"/>
      <c r="E130" s="399"/>
      <c r="F130" s="409"/>
      <c r="G130" s="515">
        <f>SUM(G131:G131)</f>
        <v>343</v>
      </c>
      <c r="H130" s="448"/>
      <c r="I130" s="448"/>
      <c r="J130" s="448"/>
      <c r="K130" s="448"/>
      <c r="L130" s="448"/>
      <c r="M130" s="448"/>
      <c r="N130" s="448"/>
      <c r="O130" s="448"/>
      <c r="P130" s="448"/>
      <c r="Q130" s="448"/>
      <c r="R130" s="448"/>
      <c r="S130" s="448"/>
      <c r="T130" s="448"/>
      <c r="U130" s="448"/>
      <c r="V130" s="448"/>
      <c r="W130" s="448"/>
      <c r="X130" s="448"/>
      <c r="Y130" s="448"/>
      <c r="Z130" s="448"/>
      <c r="AA130" s="448"/>
      <c r="AB130" s="448"/>
      <c r="AC130" s="448"/>
      <c r="AD130" s="448"/>
      <c r="AE130" s="448"/>
      <c r="AF130" s="448"/>
      <c r="AG130" s="448"/>
      <c r="AH130" s="448"/>
      <c r="AI130" s="448"/>
      <c r="AJ130" s="448"/>
      <c r="AK130" s="448"/>
      <c r="AL130" s="448"/>
      <c r="AM130" s="448"/>
      <c r="AN130" s="448"/>
      <c r="AO130" s="448"/>
      <c r="AP130" s="448"/>
      <c r="AQ130" s="448"/>
      <c r="AR130" s="448"/>
      <c r="AS130" s="448"/>
      <c r="AT130" s="448"/>
      <c r="AU130" s="448"/>
      <c r="AV130" s="448"/>
      <c r="AW130" s="448"/>
      <c r="AX130" s="448"/>
      <c r="AY130" s="448"/>
      <c r="AZ130" s="448"/>
      <c r="BA130" s="448"/>
      <c r="BB130" s="448"/>
      <c r="BC130" s="448"/>
      <c r="BD130" s="448"/>
      <c r="BE130" s="448"/>
      <c r="BF130" s="448"/>
      <c r="BG130" s="448"/>
      <c r="BH130" s="448"/>
      <c r="BI130" s="448"/>
      <c r="BJ130" s="448"/>
      <c r="BK130" s="448"/>
      <c r="BL130" s="448"/>
      <c r="BM130" s="448"/>
      <c r="BN130" s="448"/>
      <c r="BO130" s="448"/>
      <c r="BP130" s="448"/>
      <c r="BQ130" s="448"/>
      <c r="BR130" s="448"/>
      <c r="BS130" s="448"/>
      <c r="BT130" s="448"/>
    </row>
    <row r="131" spans="1:72" s="514" customFormat="1" ht="15.75" customHeight="1">
      <c r="A131" s="397"/>
      <c r="B131" s="398"/>
      <c r="C131" s="416"/>
      <c r="D131" s="399"/>
      <c r="E131" s="399" t="s">
        <v>145</v>
      </c>
      <c r="F131" s="409" t="s">
        <v>98</v>
      </c>
      <c r="G131" s="410">
        <f>343</f>
        <v>343</v>
      </c>
      <c r="H131" s="448"/>
      <c r="I131" s="448"/>
      <c r="J131" s="448"/>
      <c r="K131" s="448"/>
      <c r="L131" s="448"/>
      <c r="M131" s="448"/>
      <c r="N131" s="448"/>
      <c r="O131" s="448"/>
      <c r="P131" s="448"/>
      <c r="Q131" s="448"/>
      <c r="R131" s="448"/>
      <c r="S131" s="448"/>
      <c r="T131" s="448"/>
      <c r="U131" s="448"/>
      <c r="V131" s="448"/>
      <c r="W131" s="448"/>
      <c r="X131" s="448"/>
      <c r="Y131" s="448"/>
      <c r="Z131" s="448"/>
      <c r="AA131" s="448"/>
      <c r="AB131" s="448"/>
      <c r="AC131" s="448"/>
      <c r="AD131" s="448"/>
      <c r="AE131" s="448"/>
      <c r="AF131" s="448"/>
      <c r="AG131" s="448"/>
      <c r="AH131" s="448"/>
      <c r="AI131" s="448"/>
      <c r="AJ131" s="448"/>
      <c r="AK131" s="448"/>
      <c r="AL131" s="448"/>
      <c r="AM131" s="448"/>
      <c r="AN131" s="448"/>
      <c r="AO131" s="448"/>
      <c r="AP131" s="448"/>
      <c r="AQ131" s="448"/>
      <c r="AR131" s="448"/>
      <c r="AS131" s="448"/>
      <c r="AT131" s="448"/>
      <c r="AU131" s="448"/>
      <c r="AV131" s="448"/>
      <c r="AW131" s="448"/>
      <c r="AX131" s="448"/>
      <c r="AY131" s="448"/>
      <c r="AZ131" s="448"/>
      <c r="BA131" s="448"/>
      <c r="BB131" s="448"/>
      <c r="BC131" s="448"/>
      <c r="BD131" s="448"/>
      <c r="BE131" s="448"/>
      <c r="BF131" s="448"/>
      <c r="BG131" s="448"/>
      <c r="BH131" s="448"/>
      <c r="BI131" s="448"/>
      <c r="BJ131" s="448"/>
      <c r="BK131" s="448"/>
      <c r="BL131" s="448"/>
      <c r="BM131" s="448"/>
      <c r="BN131" s="448"/>
      <c r="BO131" s="448"/>
      <c r="BP131" s="448"/>
      <c r="BQ131" s="448"/>
      <c r="BR131" s="448"/>
      <c r="BS131" s="448"/>
      <c r="BT131" s="448"/>
    </row>
    <row r="132" spans="1:72" s="514" customFormat="1" ht="6.75" customHeight="1">
      <c r="A132" s="397"/>
      <c r="B132" s="398"/>
      <c r="C132" s="416"/>
      <c r="D132" s="399"/>
      <c r="E132" s="399"/>
      <c r="F132" s="409"/>
      <c r="G132" s="410"/>
      <c r="H132" s="448"/>
      <c r="I132" s="448"/>
      <c r="J132" s="448"/>
      <c r="K132" s="448"/>
      <c r="L132" s="448"/>
      <c r="M132" s="448"/>
      <c r="N132" s="448"/>
      <c r="O132" s="448"/>
      <c r="P132" s="448"/>
      <c r="Q132" s="448"/>
      <c r="R132" s="448"/>
      <c r="S132" s="448"/>
      <c r="T132" s="448"/>
      <c r="U132" s="448"/>
      <c r="V132" s="448"/>
      <c r="W132" s="448"/>
      <c r="X132" s="448"/>
      <c r="Y132" s="448"/>
      <c r="Z132" s="448"/>
      <c r="AA132" s="448"/>
      <c r="AB132" s="448"/>
      <c r="AC132" s="448"/>
      <c r="AD132" s="448"/>
      <c r="AE132" s="448"/>
      <c r="AF132" s="448"/>
      <c r="AG132" s="448"/>
      <c r="AH132" s="448"/>
      <c r="AI132" s="448"/>
      <c r="AJ132" s="448"/>
      <c r="AK132" s="448"/>
      <c r="AL132" s="448"/>
      <c r="AM132" s="448"/>
      <c r="AN132" s="448"/>
      <c r="AO132" s="448"/>
      <c r="AP132" s="448"/>
      <c r="AQ132" s="448"/>
      <c r="AR132" s="448"/>
      <c r="AS132" s="448"/>
      <c r="AT132" s="448"/>
      <c r="AU132" s="448"/>
      <c r="AV132" s="448"/>
      <c r="AW132" s="448"/>
      <c r="AX132" s="448"/>
      <c r="AY132" s="448"/>
      <c r="AZ132" s="448"/>
      <c r="BA132" s="448"/>
      <c r="BB132" s="448"/>
      <c r="BC132" s="448"/>
      <c r="BD132" s="448"/>
      <c r="BE132" s="448"/>
      <c r="BF132" s="448"/>
      <c r="BG132" s="448"/>
      <c r="BH132" s="448"/>
      <c r="BI132" s="448"/>
      <c r="BJ132" s="448"/>
      <c r="BK132" s="448"/>
      <c r="BL132" s="448"/>
      <c r="BM132" s="448"/>
      <c r="BN132" s="448"/>
      <c r="BO132" s="448"/>
      <c r="BP132" s="448"/>
      <c r="BQ132" s="448"/>
      <c r="BR132" s="448"/>
      <c r="BS132" s="448"/>
      <c r="BT132" s="448"/>
    </row>
    <row r="133" spans="1:72" s="514" customFormat="1" ht="15.75" customHeight="1">
      <c r="A133" s="397"/>
      <c r="B133" s="516" t="s">
        <v>37</v>
      </c>
      <c r="C133" s="399" t="s">
        <v>150</v>
      </c>
      <c r="D133" s="399" t="s">
        <v>156</v>
      </c>
      <c r="E133" s="405" t="s">
        <v>98</v>
      </c>
      <c r="F133" s="406" t="s">
        <v>98</v>
      </c>
      <c r="G133" s="407">
        <f>SUM(G135)</f>
        <v>246429.28</v>
      </c>
      <c r="H133" s="448"/>
      <c r="I133" s="448"/>
      <c r="J133" s="448"/>
      <c r="K133" s="448"/>
      <c r="L133" s="448"/>
      <c r="M133" s="448"/>
      <c r="N133" s="448"/>
      <c r="O133" s="448"/>
      <c r="P133" s="448"/>
      <c r="Q133" s="448"/>
      <c r="R133" s="448"/>
      <c r="S133" s="448"/>
      <c r="T133" s="448"/>
      <c r="U133" s="448"/>
      <c r="V133" s="448"/>
      <c r="W133" s="448"/>
      <c r="X133" s="448"/>
      <c r="Y133" s="448"/>
      <c r="Z133" s="448"/>
      <c r="AA133" s="448"/>
      <c r="AB133" s="448"/>
      <c r="AC133" s="448"/>
      <c r="AD133" s="448"/>
      <c r="AE133" s="448"/>
      <c r="AF133" s="448"/>
      <c r="AG133" s="448"/>
      <c r="AH133" s="448"/>
      <c r="AI133" s="448"/>
      <c r="AJ133" s="448"/>
      <c r="AK133" s="448"/>
      <c r="AL133" s="448"/>
      <c r="AM133" s="448"/>
      <c r="AN133" s="448"/>
      <c r="AO133" s="448"/>
      <c r="AP133" s="448"/>
      <c r="AQ133" s="448"/>
      <c r="AR133" s="448"/>
      <c r="AS133" s="448"/>
      <c r="AT133" s="448"/>
      <c r="AU133" s="448"/>
      <c r="AV133" s="448"/>
      <c r="AW133" s="448"/>
      <c r="AX133" s="448"/>
      <c r="AY133" s="448"/>
      <c r="AZ133" s="448"/>
      <c r="BA133" s="448"/>
      <c r="BB133" s="448"/>
      <c r="BC133" s="448"/>
      <c r="BD133" s="448"/>
      <c r="BE133" s="448"/>
      <c r="BF133" s="448"/>
      <c r="BG133" s="448"/>
      <c r="BH133" s="448"/>
      <c r="BI133" s="448"/>
      <c r="BJ133" s="448"/>
      <c r="BK133" s="448"/>
      <c r="BL133" s="448"/>
      <c r="BM133" s="448"/>
      <c r="BN133" s="448"/>
      <c r="BO133" s="448"/>
      <c r="BP133" s="448"/>
      <c r="BQ133" s="448"/>
      <c r="BR133" s="448"/>
      <c r="BS133" s="448"/>
      <c r="BT133" s="448"/>
    </row>
    <row r="134" spans="1:72" s="514" customFormat="1" ht="7.5" customHeight="1">
      <c r="A134" s="397"/>
      <c r="B134" s="398"/>
      <c r="C134" s="416"/>
      <c r="D134" s="399"/>
      <c r="E134" s="399"/>
      <c r="F134" s="409"/>
      <c r="G134" s="410"/>
      <c r="H134" s="448"/>
      <c r="I134" s="448"/>
      <c r="J134" s="448"/>
      <c r="K134" s="448"/>
      <c r="L134" s="448"/>
      <c r="M134" s="448"/>
      <c r="N134" s="448"/>
      <c r="O134" s="448"/>
      <c r="P134" s="448"/>
      <c r="Q134" s="448"/>
      <c r="R134" s="448"/>
      <c r="S134" s="448"/>
      <c r="T134" s="448"/>
      <c r="U134" s="448"/>
      <c r="V134" s="448"/>
      <c r="W134" s="448"/>
      <c r="X134" s="448"/>
      <c r="Y134" s="448"/>
      <c r="Z134" s="448"/>
      <c r="AA134" s="448"/>
      <c r="AB134" s="448"/>
      <c r="AC134" s="448"/>
      <c r="AD134" s="448"/>
      <c r="AE134" s="448"/>
      <c r="AF134" s="448"/>
      <c r="AG134" s="448"/>
      <c r="AH134" s="448"/>
      <c r="AI134" s="448"/>
      <c r="AJ134" s="448"/>
      <c r="AK134" s="448"/>
      <c r="AL134" s="448"/>
      <c r="AM134" s="448"/>
      <c r="AN134" s="448"/>
      <c r="AO134" s="448"/>
      <c r="AP134" s="448"/>
      <c r="AQ134" s="448"/>
      <c r="AR134" s="448"/>
      <c r="AS134" s="448"/>
      <c r="AT134" s="448"/>
      <c r="AU134" s="448"/>
      <c r="AV134" s="448"/>
      <c r="AW134" s="448"/>
      <c r="AX134" s="448"/>
      <c r="AY134" s="448"/>
      <c r="AZ134" s="448"/>
      <c r="BA134" s="448"/>
      <c r="BB134" s="448"/>
      <c r="BC134" s="448"/>
      <c r="BD134" s="448"/>
      <c r="BE134" s="448"/>
      <c r="BF134" s="448"/>
      <c r="BG134" s="448"/>
      <c r="BH134" s="448"/>
      <c r="BI134" s="448"/>
      <c r="BJ134" s="448"/>
      <c r="BK134" s="448"/>
      <c r="BL134" s="448"/>
      <c r="BM134" s="448"/>
      <c r="BN134" s="448"/>
      <c r="BO134" s="448"/>
      <c r="BP134" s="448"/>
      <c r="BQ134" s="448"/>
      <c r="BR134" s="448"/>
      <c r="BS134" s="448"/>
      <c r="BT134" s="448"/>
    </row>
    <row r="135" spans="1:72" s="514" customFormat="1" ht="15.75" customHeight="1">
      <c r="A135" s="397"/>
      <c r="B135" s="398"/>
      <c r="C135" s="416"/>
      <c r="D135" s="399"/>
      <c r="E135" s="399"/>
      <c r="F135" s="409"/>
      <c r="G135" s="515">
        <f>SUM(G136:G140)</f>
        <v>246429.28</v>
      </c>
      <c r="H135" s="448"/>
      <c r="I135" s="448"/>
      <c r="J135" s="448"/>
      <c r="K135" s="448"/>
      <c r="L135" s="448"/>
      <c r="M135" s="448"/>
      <c r="N135" s="448"/>
      <c r="O135" s="448"/>
      <c r="P135" s="448"/>
      <c r="Q135" s="448"/>
      <c r="R135" s="448"/>
      <c r="S135" s="448"/>
      <c r="T135" s="448"/>
      <c r="U135" s="448"/>
      <c r="V135" s="448"/>
      <c r="W135" s="448"/>
      <c r="X135" s="448"/>
      <c r="Y135" s="448"/>
      <c r="Z135" s="448"/>
      <c r="AA135" s="448"/>
      <c r="AB135" s="448"/>
      <c r="AC135" s="448"/>
      <c r="AD135" s="448"/>
      <c r="AE135" s="448"/>
      <c r="AF135" s="448"/>
      <c r="AG135" s="448"/>
      <c r="AH135" s="448"/>
      <c r="AI135" s="448"/>
      <c r="AJ135" s="448"/>
      <c r="AK135" s="448"/>
      <c r="AL135" s="448"/>
      <c r="AM135" s="448"/>
      <c r="AN135" s="448"/>
      <c r="AO135" s="448"/>
      <c r="AP135" s="448"/>
      <c r="AQ135" s="448"/>
      <c r="AR135" s="448"/>
      <c r="AS135" s="448"/>
      <c r="AT135" s="448"/>
      <c r="AU135" s="448"/>
      <c r="AV135" s="448"/>
      <c r="AW135" s="448"/>
      <c r="AX135" s="448"/>
      <c r="AY135" s="448"/>
      <c r="AZ135" s="448"/>
      <c r="BA135" s="448"/>
      <c r="BB135" s="448"/>
      <c r="BC135" s="448"/>
      <c r="BD135" s="448"/>
      <c r="BE135" s="448"/>
      <c r="BF135" s="448"/>
      <c r="BG135" s="448"/>
      <c r="BH135" s="448"/>
      <c r="BI135" s="448"/>
      <c r="BJ135" s="448"/>
      <c r="BK135" s="448"/>
      <c r="BL135" s="448"/>
      <c r="BM135" s="448"/>
      <c r="BN135" s="448"/>
      <c r="BO135" s="448"/>
      <c r="BP135" s="448"/>
      <c r="BQ135" s="448"/>
      <c r="BR135" s="448"/>
      <c r="BS135" s="448"/>
      <c r="BT135" s="448"/>
    </row>
    <row r="136" spans="1:72" s="514" customFormat="1" ht="15.75" customHeight="1">
      <c r="A136" s="397"/>
      <c r="B136" s="398"/>
      <c r="C136" s="416"/>
      <c r="D136" s="399"/>
      <c r="E136" s="399" t="s">
        <v>145</v>
      </c>
      <c r="F136" s="409" t="s">
        <v>98</v>
      </c>
      <c r="G136" s="410">
        <f>16932+22200+42304.73+20499+3096.06+19195+8481+18083+16738+5531+391.49+29548</f>
        <v>202999.28</v>
      </c>
      <c r="H136" s="448"/>
      <c r="I136" s="448"/>
      <c r="J136" s="448"/>
      <c r="K136" s="448"/>
      <c r="L136" s="448"/>
      <c r="M136" s="448"/>
      <c r="N136" s="448"/>
      <c r="O136" s="448"/>
      <c r="P136" s="448"/>
      <c r="Q136" s="448"/>
      <c r="R136" s="448"/>
      <c r="S136" s="448"/>
      <c r="T136" s="448"/>
      <c r="U136" s="448"/>
      <c r="V136" s="448"/>
      <c r="W136" s="448"/>
      <c r="X136" s="448"/>
      <c r="Y136" s="448"/>
      <c r="Z136" s="448"/>
      <c r="AA136" s="448"/>
      <c r="AB136" s="448"/>
      <c r="AC136" s="448"/>
      <c r="AD136" s="448"/>
      <c r="AE136" s="448"/>
      <c r="AF136" s="448"/>
      <c r="AG136" s="448"/>
      <c r="AH136" s="448"/>
      <c r="AI136" s="448"/>
      <c r="AJ136" s="448"/>
      <c r="AK136" s="448"/>
      <c r="AL136" s="448"/>
      <c r="AM136" s="448"/>
      <c r="AN136" s="448"/>
      <c r="AO136" s="448"/>
      <c r="AP136" s="448"/>
      <c r="AQ136" s="448"/>
      <c r="AR136" s="448"/>
      <c r="AS136" s="448"/>
      <c r="AT136" s="448"/>
      <c r="AU136" s="448"/>
      <c r="AV136" s="448"/>
      <c r="AW136" s="448"/>
      <c r="AX136" s="448"/>
      <c r="AY136" s="448"/>
      <c r="AZ136" s="448"/>
      <c r="BA136" s="448"/>
      <c r="BB136" s="448"/>
      <c r="BC136" s="448"/>
      <c r="BD136" s="448"/>
      <c r="BE136" s="448"/>
      <c r="BF136" s="448"/>
      <c r="BG136" s="448"/>
      <c r="BH136" s="448"/>
      <c r="BI136" s="448"/>
      <c r="BJ136" s="448"/>
      <c r="BK136" s="448"/>
      <c r="BL136" s="448"/>
      <c r="BM136" s="448"/>
      <c r="BN136" s="448"/>
      <c r="BO136" s="448"/>
      <c r="BP136" s="448"/>
      <c r="BQ136" s="448"/>
      <c r="BR136" s="448"/>
      <c r="BS136" s="448"/>
      <c r="BT136" s="448"/>
    </row>
    <row r="137" spans="1:72" s="514" customFormat="1" ht="15.75" customHeight="1">
      <c r="A137" s="397"/>
      <c r="B137" s="398"/>
      <c r="C137" s="416"/>
      <c r="D137" s="399"/>
      <c r="E137" s="399" t="s">
        <v>132</v>
      </c>
      <c r="F137" s="409" t="s">
        <v>98</v>
      </c>
      <c r="G137" s="410">
        <f>797</f>
        <v>797</v>
      </c>
      <c r="H137" s="448"/>
      <c r="I137" s="448"/>
      <c r="J137" s="448"/>
      <c r="K137" s="448"/>
      <c r="L137" s="448"/>
      <c r="M137" s="448"/>
      <c r="N137" s="448"/>
      <c r="O137" s="448"/>
      <c r="P137" s="448"/>
      <c r="Q137" s="448"/>
      <c r="R137" s="448"/>
      <c r="S137" s="448"/>
      <c r="T137" s="448"/>
      <c r="U137" s="448"/>
      <c r="V137" s="448"/>
      <c r="W137" s="448"/>
      <c r="X137" s="448"/>
      <c r="Y137" s="448"/>
      <c r="Z137" s="448"/>
      <c r="AA137" s="448"/>
      <c r="AB137" s="448"/>
      <c r="AC137" s="448"/>
      <c r="AD137" s="448"/>
      <c r="AE137" s="448"/>
      <c r="AF137" s="448"/>
      <c r="AG137" s="448"/>
      <c r="AH137" s="448"/>
      <c r="AI137" s="448"/>
      <c r="AJ137" s="448"/>
      <c r="AK137" s="448"/>
      <c r="AL137" s="448"/>
      <c r="AM137" s="448"/>
      <c r="AN137" s="448"/>
      <c r="AO137" s="448"/>
      <c r="AP137" s="448"/>
      <c r="AQ137" s="448"/>
      <c r="AR137" s="448"/>
      <c r="AS137" s="448"/>
      <c r="AT137" s="448"/>
      <c r="AU137" s="448"/>
      <c r="AV137" s="448"/>
      <c r="AW137" s="448"/>
      <c r="AX137" s="448"/>
      <c r="AY137" s="448"/>
      <c r="AZ137" s="448"/>
      <c r="BA137" s="448"/>
      <c r="BB137" s="448"/>
      <c r="BC137" s="448"/>
      <c r="BD137" s="448"/>
      <c r="BE137" s="448"/>
      <c r="BF137" s="448"/>
      <c r="BG137" s="448"/>
      <c r="BH137" s="448"/>
      <c r="BI137" s="448"/>
      <c r="BJ137" s="448"/>
      <c r="BK137" s="448"/>
      <c r="BL137" s="448"/>
      <c r="BM137" s="448"/>
      <c r="BN137" s="448"/>
      <c r="BO137" s="448"/>
      <c r="BP137" s="448"/>
      <c r="BQ137" s="448"/>
      <c r="BR137" s="448"/>
      <c r="BS137" s="448"/>
      <c r="BT137" s="448"/>
    </row>
    <row r="138" spans="1:72" s="514" customFormat="1" ht="15.75" customHeight="1">
      <c r="A138" s="397"/>
      <c r="B138" s="398"/>
      <c r="C138" s="416"/>
      <c r="D138" s="399"/>
      <c r="E138" s="399" t="s">
        <v>152</v>
      </c>
      <c r="F138" s="409" t="s">
        <v>98</v>
      </c>
      <c r="G138" s="410">
        <f>13550+13158</f>
        <v>26708</v>
      </c>
      <c r="H138" s="448"/>
      <c r="I138" s="448"/>
      <c r="J138" s="448"/>
      <c r="K138" s="448"/>
      <c r="L138" s="448"/>
      <c r="M138" s="448"/>
      <c r="N138" s="448"/>
      <c r="O138" s="448"/>
      <c r="P138" s="448"/>
      <c r="Q138" s="448"/>
      <c r="R138" s="448"/>
      <c r="S138" s="448"/>
      <c r="T138" s="448"/>
      <c r="U138" s="448"/>
      <c r="V138" s="448"/>
      <c r="W138" s="448"/>
      <c r="X138" s="448"/>
      <c r="Y138" s="448"/>
      <c r="Z138" s="448"/>
      <c r="AA138" s="448"/>
      <c r="AB138" s="448"/>
      <c r="AC138" s="448"/>
      <c r="AD138" s="448"/>
      <c r="AE138" s="448"/>
      <c r="AF138" s="448"/>
      <c r="AG138" s="448"/>
      <c r="AH138" s="448"/>
      <c r="AI138" s="448"/>
      <c r="AJ138" s="448"/>
      <c r="AK138" s="448"/>
      <c r="AL138" s="448"/>
      <c r="AM138" s="448"/>
      <c r="AN138" s="448"/>
      <c r="AO138" s="448"/>
      <c r="AP138" s="448"/>
      <c r="AQ138" s="448"/>
      <c r="AR138" s="448"/>
      <c r="AS138" s="448"/>
      <c r="AT138" s="448"/>
      <c r="AU138" s="448"/>
      <c r="AV138" s="448"/>
      <c r="AW138" s="448"/>
      <c r="AX138" s="448"/>
      <c r="AY138" s="448"/>
      <c r="AZ138" s="448"/>
      <c r="BA138" s="448"/>
      <c r="BB138" s="448"/>
      <c r="BC138" s="448"/>
      <c r="BD138" s="448"/>
      <c r="BE138" s="448"/>
      <c r="BF138" s="448"/>
      <c r="BG138" s="448"/>
      <c r="BH138" s="448"/>
      <c r="BI138" s="448"/>
      <c r="BJ138" s="448"/>
      <c r="BK138" s="448"/>
      <c r="BL138" s="448"/>
      <c r="BM138" s="448"/>
      <c r="BN138" s="448"/>
      <c r="BO138" s="448"/>
      <c r="BP138" s="448"/>
      <c r="BQ138" s="448"/>
      <c r="BR138" s="448"/>
      <c r="BS138" s="448"/>
      <c r="BT138" s="448"/>
    </row>
    <row r="139" spans="1:72" s="514" customFormat="1" ht="15.75" customHeight="1">
      <c r="A139" s="397"/>
      <c r="B139" s="398"/>
      <c r="C139" s="416"/>
      <c r="D139" s="399"/>
      <c r="E139" s="399" t="s">
        <v>118</v>
      </c>
      <c r="F139" s="409" t="s">
        <v>98</v>
      </c>
      <c r="G139" s="410">
        <f>3000+2966</f>
        <v>5966</v>
      </c>
      <c r="H139" s="448"/>
      <c r="I139" s="448"/>
      <c r="J139" s="448"/>
      <c r="K139" s="448"/>
      <c r="L139" s="448"/>
      <c r="M139" s="448"/>
      <c r="N139" s="448"/>
      <c r="O139" s="448"/>
      <c r="P139" s="448"/>
      <c r="Q139" s="448"/>
      <c r="R139" s="448"/>
      <c r="S139" s="448"/>
      <c r="T139" s="448"/>
      <c r="U139" s="448"/>
      <c r="V139" s="448"/>
      <c r="W139" s="448"/>
      <c r="X139" s="448"/>
      <c r="Y139" s="448"/>
      <c r="Z139" s="448"/>
      <c r="AA139" s="448"/>
      <c r="AB139" s="448"/>
      <c r="AC139" s="448"/>
      <c r="AD139" s="448"/>
      <c r="AE139" s="448"/>
      <c r="AF139" s="448"/>
      <c r="AG139" s="448"/>
      <c r="AH139" s="448"/>
      <c r="AI139" s="448"/>
      <c r="AJ139" s="448"/>
      <c r="AK139" s="448"/>
      <c r="AL139" s="448"/>
      <c r="AM139" s="448"/>
      <c r="AN139" s="448"/>
      <c r="AO139" s="448"/>
      <c r="AP139" s="448"/>
      <c r="AQ139" s="448"/>
      <c r="AR139" s="448"/>
      <c r="AS139" s="448"/>
      <c r="AT139" s="448"/>
      <c r="AU139" s="448"/>
      <c r="AV139" s="448"/>
      <c r="AW139" s="448"/>
      <c r="AX139" s="448"/>
      <c r="AY139" s="448"/>
      <c r="AZ139" s="448"/>
      <c r="BA139" s="448"/>
      <c r="BB139" s="448"/>
      <c r="BC139" s="448"/>
      <c r="BD139" s="448"/>
      <c r="BE139" s="448"/>
      <c r="BF139" s="448"/>
      <c r="BG139" s="448"/>
      <c r="BH139" s="448"/>
      <c r="BI139" s="448"/>
      <c r="BJ139" s="448"/>
      <c r="BK139" s="448"/>
      <c r="BL139" s="448"/>
      <c r="BM139" s="448"/>
      <c r="BN139" s="448"/>
      <c r="BO139" s="448"/>
      <c r="BP139" s="448"/>
      <c r="BQ139" s="448"/>
      <c r="BR139" s="448"/>
      <c r="BS139" s="448"/>
      <c r="BT139" s="448"/>
    </row>
    <row r="140" spans="1:72" s="514" customFormat="1" ht="15.75" customHeight="1">
      <c r="A140" s="411"/>
      <c r="B140" s="412"/>
      <c r="C140" s="413"/>
      <c r="D140" s="400"/>
      <c r="E140" s="400" t="s">
        <v>119</v>
      </c>
      <c r="F140" s="402" t="s">
        <v>98</v>
      </c>
      <c r="G140" s="414">
        <f>9959</f>
        <v>9959</v>
      </c>
      <c r="H140" s="448"/>
      <c r="I140" s="448"/>
      <c r="J140" s="448"/>
      <c r="K140" s="448"/>
      <c r="L140" s="448"/>
      <c r="M140" s="448"/>
      <c r="N140" s="448"/>
      <c r="O140" s="448"/>
      <c r="P140" s="448"/>
      <c r="Q140" s="448"/>
      <c r="R140" s="448"/>
      <c r="S140" s="448"/>
      <c r="T140" s="448"/>
      <c r="U140" s="448"/>
      <c r="V140" s="448"/>
      <c r="W140" s="448"/>
      <c r="X140" s="448"/>
      <c r="Y140" s="448"/>
      <c r="Z140" s="448"/>
      <c r="AA140" s="448"/>
      <c r="AB140" s="448"/>
      <c r="AC140" s="448"/>
      <c r="AD140" s="448"/>
      <c r="AE140" s="448"/>
      <c r="AF140" s="448"/>
      <c r="AG140" s="448"/>
      <c r="AH140" s="448"/>
      <c r="AI140" s="448"/>
      <c r="AJ140" s="448"/>
      <c r="AK140" s="448"/>
      <c r="AL140" s="448"/>
      <c r="AM140" s="448"/>
      <c r="AN140" s="448"/>
      <c r="AO140" s="448"/>
      <c r="AP140" s="448"/>
      <c r="AQ140" s="448"/>
      <c r="AR140" s="448"/>
      <c r="AS140" s="448"/>
      <c r="AT140" s="448"/>
      <c r="AU140" s="448"/>
      <c r="AV140" s="448"/>
      <c r="AW140" s="448"/>
      <c r="AX140" s="448"/>
      <c r="AY140" s="448"/>
      <c r="AZ140" s="448"/>
      <c r="BA140" s="448"/>
      <c r="BB140" s="448"/>
      <c r="BC140" s="448"/>
      <c r="BD140" s="448"/>
      <c r="BE140" s="448"/>
      <c r="BF140" s="448"/>
      <c r="BG140" s="448"/>
      <c r="BH140" s="448"/>
      <c r="BI140" s="448"/>
      <c r="BJ140" s="448"/>
      <c r="BK140" s="448"/>
      <c r="BL140" s="448"/>
      <c r="BM140" s="448"/>
      <c r="BN140" s="448"/>
      <c r="BO140" s="448"/>
      <c r="BP140" s="448"/>
      <c r="BQ140" s="448"/>
      <c r="BR140" s="448"/>
      <c r="BS140" s="448"/>
      <c r="BT140" s="448"/>
    </row>
    <row r="141" spans="1:72" s="514" customFormat="1" ht="8.25" customHeight="1">
      <c r="A141" s="397"/>
      <c r="B141" s="398"/>
      <c r="C141" s="416"/>
      <c r="D141" s="399"/>
      <c r="E141" s="399"/>
      <c r="F141" s="409"/>
      <c r="G141" s="410"/>
      <c r="H141" s="448"/>
      <c r="I141" s="448"/>
      <c r="J141" s="448"/>
      <c r="K141" s="448"/>
      <c r="L141" s="448"/>
      <c r="M141" s="448"/>
      <c r="N141" s="448"/>
      <c r="O141" s="448"/>
      <c r="P141" s="448"/>
      <c r="Q141" s="448"/>
      <c r="R141" s="448"/>
      <c r="S141" s="448"/>
      <c r="T141" s="448"/>
      <c r="U141" s="448"/>
      <c r="V141" s="448"/>
      <c r="W141" s="448"/>
      <c r="X141" s="448"/>
      <c r="Y141" s="448"/>
      <c r="Z141" s="448"/>
      <c r="AA141" s="448"/>
      <c r="AB141" s="448"/>
      <c r="AC141" s="448"/>
      <c r="AD141" s="448"/>
      <c r="AE141" s="448"/>
      <c r="AF141" s="448"/>
      <c r="AG141" s="448"/>
      <c r="AH141" s="448"/>
      <c r="AI141" s="448"/>
      <c r="AJ141" s="448"/>
      <c r="AK141" s="448"/>
      <c r="AL141" s="448"/>
      <c r="AM141" s="448"/>
      <c r="AN141" s="448"/>
      <c r="AO141" s="448"/>
      <c r="AP141" s="448"/>
      <c r="AQ141" s="448"/>
      <c r="AR141" s="448"/>
      <c r="AS141" s="448"/>
      <c r="AT141" s="448"/>
      <c r="AU141" s="448"/>
      <c r="AV141" s="448"/>
      <c r="AW141" s="448"/>
      <c r="AX141" s="448"/>
      <c r="AY141" s="448"/>
      <c r="AZ141" s="448"/>
      <c r="BA141" s="448"/>
      <c r="BB141" s="448"/>
      <c r="BC141" s="448"/>
      <c r="BD141" s="448"/>
      <c r="BE141" s="448"/>
      <c r="BF141" s="448"/>
      <c r="BG141" s="448"/>
      <c r="BH141" s="448"/>
      <c r="BI141" s="448"/>
      <c r="BJ141" s="448"/>
      <c r="BK141" s="448"/>
      <c r="BL141" s="448"/>
      <c r="BM141" s="448"/>
      <c r="BN141" s="448"/>
      <c r="BO141" s="448"/>
      <c r="BP141" s="448"/>
      <c r="BQ141" s="448"/>
      <c r="BR141" s="448"/>
      <c r="BS141" s="448"/>
      <c r="BT141" s="448"/>
    </row>
    <row r="142" spans="1:72" s="514" customFormat="1" ht="20.25" customHeight="1">
      <c r="A142" s="397"/>
      <c r="B142" s="516" t="s">
        <v>23</v>
      </c>
      <c r="C142" s="399" t="s">
        <v>150</v>
      </c>
      <c r="D142" s="399" t="s">
        <v>156</v>
      </c>
      <c r="E142" s="400" t="s">
        <v>98</v>
      </c>
      <c r="F142" s="402" t="s">
        <v>98</v>
      </c>
      <c r="G142" s="401">
        <f>SUM(G144)</f>
        <v>5665</v>
      </c>
      <c r="H142" s="448"/>
      <c r="I142" s="448"/>
      <c r="J142" s="448"/>
      <c r="K142" s="448"/>
      <c r="L142" s="448"/>
      <c r="M142" s="448"/>
      <c r="N142" s="448"/>
      <c r="O142" s="448"/>
      <c r="P142" s="448"/>
      <c r="Q142" s="448"/>
      <c r="R142" s="448"/>
      <c r="S142" s="448"/>
      <c r="T142" s="448"/>
      <c r="U142" s="448"/>
      <c r="V142" s="448"/>
      <c r="W142" s="448"/>
      <c r="X142" s="448"/>
      <c r="Y142" s="448"/>
      <c r="Z142" s="448"/>
      <c r="AA142" s="448"/>
      <c r="AB142" s="448"/>
      <c r="AC142" s="448"/>
      <c r="AD142" s="448"/>
      <c r="AE142" s="448"/>
      <c r="AF142" s="448"/>
      <c r="AG142" s="448"/>
      <c r="AH142" s="448"/>
      <c r="AI142" s="448"/>
      <c r="AJ142" s="448"/>
      <c r="AK142" s="448"/>
      <c r="AL142" s="448"/>
      <c r="AM142" s="448"/>
      <c r="AN142" s="448"/>
      <c r="AO142" s="448"/>
      <c r="AP142" s="448"/>
      <c r="AQ142" s="448"/>
      <c r="AR142" s="448"/>
      <c r="AS142" s="448"/>
      <c r="AT142" s="448"/>
      <c r="AU142" s="448"/>
      <c r="AV142" s="448"/>
      <c r="AW142" s="448"/>
      <c r="AX142" s="448"/>
      <c r="AY142" s="448"/>
      <c r="AZ142" s="448"/>
      <c r="BA142" s="448"/>
      <c r="BB142" s="448"/>
      <c r="BC142" s="448"/>
      <c r="BD142" s="448"/>
      <c r="BE142" s="448"/>
      <c r="BF142" s="448"/>
      <c r="BG142" s="448"/>
      <c r="BH142" s="448"/>
      <c r="BI142" s="448"/>
      <c r="BJ142" s="448"/>
      <c r="BK142" s="448"/>
      <c r="BL142" s="448"/>
      <c r="BM142" s="448"/>
      <c r="BN142" s="448"/>
      <c r="BO142" s="448"/>
      <c r="BP142" s="448"/>
      <c r="BQ142" s="448"/>
      <c r="BR142" s="448"/>
      <c r="BS142" s="448"/>
      <c r="BT142" s="448"/>
    </row>
    <row r="143" spans="1:72" s="514" customFormat="1" ht="7.5" customHeight="1">
      <c r="A143" s="397"/>
      <c r="B143" s="398"/>
      <c r="C143" s="416"/>
      <c r="D143" s="399"/>
      <c r="E143" s="399"/>
      <c r="F143" s="409"/>
      <c r="G143" s="410"/>
      <c r="H143" s="448"/>
      <c r="I143" s="448"/>
      <c r="J143" s="448"/>
      <c r="K143" s="448"/>
      <c r="L143" s="448"/>
      <c r="M143" s="448"/>
      <c r="N143" s="448"/>
      <c r="O143" s="448"/>
      <c r="P143" s="448"/>
      <c r="Q143" s="448"/>
      <c r="R143" s="448"/>
      <c r="S143" s="448"/>
      <c r="T143" s="448"/>
      <c r="U143" s="448"/>
      <c r="V143" s="448"/>
      <c r="W143" s="448"/>
      <c r="X143" s="448"/>
      <c r="Y143" s="448"/>
      <c r="Z143" s="448"/>
      <c r="AA143" s="448"/>
      <c r="AB143" s="448"/>
      <c r="AC143" s="448"/>
      <c r="AD143" s="448"/>
      <c r="AE143" s="448"/>
      <c r="AF143" s="448"/>
      <c r="AG143" s="448"/>
      <c r="AH143" s="448"/>
      <c r="AI143" s="448"/>
      <c r="AJ143" s="448"/>
      <c r="AK143" s="448"/>
      <c r="AL143" s="448"/>
      <c r="AM143" s="448"/>
      <c r="AN143" s="448"/>
      <c r="AO143" s="448"/>
      <c r="AP143" s="448"/>
      <c r="AQ143" s="448"/>
      <c r="AR143" s="448"/>
      <c r="AS143" s="448"/>
      <c r="AT143" s="448"/>
      <c r="AU143" s="448"/>
      <c r="AV143" s="448"/>
      <c r="AW143" s="448"/>
      <c r="AX143" s="448"/>
      <c r="AY143" s="448"/>
      <c r="AZ143" s="448"/>
      <c r="BA143" s="448"/>
      <c r="BB143" s="448"/>
      <c r="BC143" s="448"/>
      <c r="BD143" s="448"/>
      <c r="BE143" s="448"/>
      <c r="BF143" s="448"/>
      <c r="BG143" s="448"/>
      <c r="BH143" s="448"/>
      <c r="BI143" s="448"/>
      <c r="BJ143" s="448"/>
      <c r="BK143" s="448"/>
      <c r="BL143" s="448"/>
      <c r="BM143" s="448"/>
      <c r="BN143" s="448"/>
      <c r="BO143" s="448"/>
      <c r="BP143" s="448"/>
      <c r="BQ143" s="448"/>
      <c r="BR143" s="448"/>
      <c r="BS143" s="448"/>
      <c r="BT143" s="448"/>
    </row>
    <row r="144" spans="1:72" s="514" customFormat="1" ht="15.75" customHeight="1">
      <c r="A144" s="397"/>
      <c r="B144" s="398"/>
      <c r="C144" s="416"/>
      <c r="D144" s="399"/>
      <c r="E144" s="399"/>
      <c r="F144" s="409"/>
      <c r="G144" s="515">
        <f>SUM(G145)</f>
        <v>5665</v>
      </c>
      <c r="H144" s="448"/>
      <c r="I144" s="448"/>
      <c r="J144" s="448"/>
      <c r="K144" s="448"/>
      <c r="L144" s="448"/>
      <c r="M144" s="448"/>
      <c r="N144" s="448"/>
      <c r="O144" s="448"/>
      <c r="P144" s="448"/>
      <c r="Q144" s="448"/>
      <c r="R144" s="448"/>
      <c r="S144" s="448"/>
      <c r="T144" s="448"/>
      <c r="U144" s="448"/>
      <c r="V144" s="448"/>
      <c r="W144" s="448"/>
      <c r="X144" s="448"/>
      <c r="Y144" s="448"/>
      <c r="Z144" s="448"/>
      <c r="AA144" s="448"/>
      <c r="AB144" s="448"/>
      <c r="AC144" s="448"/>
      <c r="AD144" s="448"/>
      <c r="AE144" s="448"/>
      <c r="AF144" s="448"/>
      <c r="AG144" s="448"/>
      <c r="AH144" s="448"/>
      <c r="AI144" s="448"/>
      <c r="AJ144" s="448"/>
      <c r="AK144" s="448"/>
      <c r="AL144" s="448"/>
      <c r="AM144" s="448"/>
      <c r="AN144" s="448"/>
      <c r="AO144" s="448"/>
      <c r="AP144" s="448"/>
      <c r="AQ144" s="448"/>
      <c r="AR144" s="448"/>
      <c r="AS144" s="448"/>
      <c r="AT144" s="448"/>
      <c r="AU144" s="448"/>
      <c r="AV144" s="448"/>
      <c r="AW144" s="448"/>
      <c r="AX144" s="448"/>
      <c r="AY144" s="448"/>
      <c r="AZ144" s="448"/>
      <c r="BA144" s="448"/>
      <c r="BB144" s="448"/>
      <c r="BC144" s="448"/>
      <c r="BD144" s="448"/>
      <c r="BE144" s="448"/>
      <c r="BF144" s="448"/>
      <c r="BG144" s="448"/>
      <c r="BH144" s="448"/>
      <c r="BI144" s="448"/>
      <c r="BJ144" s="448"/>
      <c r="BK144" s="448"/>
      <c r="BL144" s="448"/>
      <c r="BM144" s="448"/>
      <c r="BN144" s="448"/>
      <c r="BO144" s="448"/>
      <c r="BP144" s="448"/>
      <c r="BQ144" s="448"/>
      <c r="BR144" s="448"/>
      <c r="BS144" s="448"/>
      <c r="BT144" s="448"/>
    </row>
    <row r="145" spans="1:72" s="514" customFormat="1" ht="15.75" customHeight="1">
      <c r="A145" s="397"/>
      <c r="B145" s="398"/>
      <c r="C145" s="416"/>
      <c r="D145" s="399"/>
      <c r="E145" s="399" t="s">
        <v>24</v>
      </c>
      <c r="F145" s="409" t="s">
        <v>98</v>
      </c>
      <c r="G145" s="410">
        <f>924+1215+1135+1214+1177+1218-1218</f>
        <v>5665</v>
      </c>
      <c r="H145" s="448"/>
      <c r="I145" s="448"/>
      <c r="J145" s="448"/>
      <c r="K145" s="448"/>
      <c r="L145" s="448"/>
      <c r="M145" s="448"/>
      <c r="N145" s="448"/>
      <c r="O145" s="448"/>
      <c r="P145" s="448"/>
      <c r="Q145" s="448"/>
      <c r="R145" s="448"/>
      <c r="S145" s="448"/>
      <c r="T145" s="448"/>
      <c r="U145" s="448"/>
      <c r="V145" s="448"/>
      <c r="W145" s="448"/>
      <c r="X145" s="448"/>
      <c r="Y145" s="448"/>
      <c r="Z145" s="448"/>
      <c r="AA145" s="448"/>
      <c r="AB145" s="448"/>
      <c r="AC145" s="448"/>
      <c r="AD145" s="448"/>
      <c r="AE145" s="448"/>
      <c r="AF145" s="448"/>
      <c r="AG145" s="448"/>
      <c r="AH145" s="448"/>
      <c r="AI145" s="448"/>
      <c r="AJ145" s="448"/>
      <c r="AK145" s="448"/>
      <c r="AL145" s="448"/>
      <c r="AM145" s="448"/>
      <c r="AN145" s="448"/>
      <c r="AO145" s="448"/>
      <c r="AP145" s="448"/>
      <c r="AQ145" s="448"/>
      <c r="AR145" s="448"/>
      <c r="AS145" s="448"/>
      <c r="AT145" s="448"/>
      <c r="AU145" s="448"/>
      <c r="AV145" s="448"/>
      <c r="AW145" s="448"/>
      <c r="AX145" s="448"/>
      <c r="AY145" s="448"/>
      <c r="AZ145" s="448"/>
      <c r="BA145" s="448"/>
      <c r="BB145" s="448"/>
      <c r="BC145" s="448"/>
      <c r="BD145" s="448"/>
      <c r="BE145" s="448"/>
      <c r="BF145" s="448"/>
      <c r="BG145" s="448"/>
      <c r="BH145" s="448"/>
      <c r="BI145" s="448"/>
      <c r="BJ145" s="448"/>
      <c r="BK145" s="448"/>
      <c r="BL145" s="448"/>
      <c r="BM145" s="448"/>
      <c r="BN145" s="448"/>
      <c r="BO145" s="448"/>
      <c r="BP145" s="448"/>
      <c r="BQ145" s="448"/>
      <c r="BR145" s="448"/>
      <c r="BS145" s="448"/>
      <c r="BT145" s="448"/>
    </row>
    <row r="146" spans="1:72" s="514" customFormat="1" ht="7.5" customHeight="1">
      <c r="A146" s="397"/>
      <c r="B146" s="398"/>
      <c r="C146" s="416"/>
      <c r="D146" s="399"/>
      <c r="E146" s="399"/>
      <c r="F146" s="409"/>
      <c r="G146" s="410"/>
      <c r="H146" s="448"/>
      <c r="I146" s="448"/>
      <c r="J146" s="448"/>
      <c r="K146" s="448"/>
      <c r="L146" s="448"/>
      <c r="M146" s="448"/>
      <c r="N146" s="448"/>
      <c r="O146" s="448"/>
      <c r="P146" s="448"/>
      <c r="Q146" s="448"/>
      <c r="R146" s="448"/>
      <c r="S146" s="448"/>
      <c r="T146" s="448"/>
      <c r="U146" s="448"/>
      <c r="V146" s="448"/>
      <c r="W146" s="448"/>
      <c r="X146" s="448"/>
      <c r="Y146" s="448"/>
      <c r="Z146" s="448"/>
      <c r="AA146" s="448"/>
      <c r="AB146" s="448"/>
      <c r="AC146" s="448"/>
      <c r="AD146" s="448"/>
      <c r="AE146" s="448"/>
      <c r="AF146" s="448"/>
      <c r="AG146" s="448"/>
      <c r="AH146" s="448"/>
      <c r="AI146" s="448"/>
      <c r="AJ146" s="448"/>
      <c r="AK146" s="448"/>
      <c r="AL146" s="448"/>
      <c r="AM146" s="448"/>
      <c r="AN146" s="448"/>
      <c r="AO146" s="448"/>
      <c r="AP146" s="448"/>
      <c r="AQ146" s="448"/>
      <c r="AR146" s="448"/>
      <c r="AS146" s="448"/>
      <c r="AT146" s="448"/>
      <c r="AU146" s="448"/>
      <c r="AV146" s="448"/>
      <c r="AW146" s="448"/>
      <c r="AX146" s="448"/>
      <c r="AY146" s="448"/>
      <c r="AZ146" s="448"/>
      <c r="BA146" s="448"/>
      <c r="BB146" s="448"/>
      <c r="BC146" s="448"/>
      <c r="BD146" s="448"/>
      <c r="BE146" s="448"/>
      <c r="BF146" s="448"/>
      <c r="BG146" s="448"/>
      <c r="BH146" s="448"/>
      <c r="BI146" s="448"/>
      <c r="BJ146" s="448"/>
      <c r="BK146" s="448"/>
      <c r="BL146" s="448"/>
      <c r="BM146" s="448"/>
      <c r="BN146" s="448"/>
      <c r="BO146" s="448"/>
      <c r="BP146" s="448"/>
      <c r="BQ146" s="448"/>
      <c r="BR146" s="448"/>
      <c r="BS146" s="448"/>
      <c r="BT146" s="448"/>
    </row>
    <row r="147" spans="1:72" s="514" customFormat="1" ht="27" customHeight="1">
      <c r="A147" s="397"/>
      <c r="B147" s="517" t="s">
        <v>26</v>
      </c>
      <c r="C147" s="399" t="s">
        <v>150</v>
      </c>
      <c r="D147" s="399" t="s">
        <v>156</v>
      </c>
      <c r="E147" s="405" t="s">
        <v>98</v>
      </c>
      <c r="F147" s="406" t="s">
        <v>98</v>
      </c>
      <c r="G147" s="407">
        <f>SUM(G149)</f>
        <v>6012</v>
      </c>
      <c r="H147" s="448"/>
      <c r="I147" s="448"/>
      <c r="J147" s="448"/>
      <c r="K147" s="448"/>
      <c r="L147" s="448"/>
      <c r="M147" s="448"/>
      <c r="N147" s="448"/>
      <c r="O147" s="448"/>
      <c r="P147" s="448"/>
      <c r="Q147" s="448"/>
      <c r="R147" s="448"/>
      <c r="S147" s="448"/>
      <c r="T147" s="448"/>
      <c r="U147" s="448"/>
      <c r="V147" s="448"/>
      <c r="W147" s="448"/>
      <c r="X147" s="448"/>
      <c r="Y147" s="448"/>
      <c r="Z147" s="448"/>
      <c r="AA147" s="448"/>
      <c r="AB147" s="448"/>
      <c r="AC147" s="448"/>
      <c r="AD147" s="448"/>
      <c r="AE147" s="448"/>
      <c r="AF147" s="448"/>
      <c r="AG147" s="448"/>
      <c r="AH147" s="448"/>
      <c r="AI147" s="448"/>
      <c r="AJ147" s="448"/>
      <c r="AK147" s="448"/>
      <c r="AL147" s="448"/>
      <c r="AM147" s="448"/>
      <c r="AN147" s="448"/>
      <c r="AO147" s="448"/>
      <c r="AP147" s="448"/>
      <c r="AQ147" s="448"/>
      <c r="AR147" s="448"/>
      <c r="AS147" s="448"/>
      <c r="AT147" s="448"/>
      <c r="AU147" s="448"/>
      <c r="AV147" s="448"/>
      <c r="AW147" s="448"/>
      <c r="AX147" s="448"/>
      <c r="AY147" s="448"/>
      <c r="AZ147" s="448"/>
      <c r="BA147" s="448"/>
      <c r="BB147" s="448"/>
      <c r="BC147" s="448"/>
      <c r="BD147" s="448"/>
      <c r="BE147" s="448"/>
      <c r="BF147" s="448"/>
      <c r="BG147" s="448"/>
      <c r="BH147" s="448"/>
      <c r="BI147" s="448"/>
      <c r="BJ147" s="448"/>
      <c r="BK147" s="448"/>
      <c r="BL147" s="448"/>
      <c r="BM147" s="448"/>
      <c r="BN147" s="448"/>
      <c r="BO147" s="448"/>
      <c r="BP147" s="448"/>
      <c r="BQ147" s="448"/>
      <c r="BR147" s="448"/>
      <c r="BS147" s="448"/>
      <c r="BT147" s="448"/>
    </row>
    <row r="148" spans="1:72" s="514" customFormat="1" ht="7.5" customHeight="1">
      <c r="A148" s="397"/>
      <c r="B148" s="398"/>
      <c r="C148" s="416"/>
      <c r="D148" s="399"/>
      <c r="E148" s="399"/>
      <c r="F148" s="409"/>
      <c r="G148" s="410"/>
      <c r="H148" s="448"/>
      <c r="I148" s="448"/>
      <c r="J148" s="448"/>
      <c r="K148" s="448"/>
      <c r="L148" s="448"/>
      <c r="M148" s="448"/>
      <c r="N148" s="448"/>
      <c r="O148" s="448"/>
      <c r="P148" s="448"/>
      <c r="Q148" s="448"/>
      <c r="R148" s="448"/>
      <c r="S148" s="448"/>
      <c r="T148" s="448"/>
      <c r="U148" s="448"/>
      <c r="V148" s="448"/>
      <c r="W148" s="448"/>
      <c r="X148" s="448"/>
      <c r="Y148" s="448"/>
      <c r="Z148" s="448"/>
      <c r="AA148" s="448"/>
      <c r="AB148" s="448"/>
      <c r="AC148" s="448"/>
      <c r="AD148" s="448"/>
      <c r="AE148" s="448"/>
      <c r="AF148" s="448"/>
      <c r="AG148" s="448"/>
      <c r="AH148" s="448"/>
      <c r="AI148" s="448"/>
      <c r="AJ148" s="448"/>
      <c r="AK148" s="448"/>
      <c r="AL148" s="448"/>
      <c r="AM148" s="448"/>
      <c r="AN148" s="448"/>
      <c r="AO148" s="448"/>
      <c r="AP148" s="448"/>
      <c r="AQ148" s="448"/>
      <c r="AR148" s="448"/>
      <c r="AS148" s="448"/>
      <c r="AT148" s="448"/>
      <c r="AU148" s="448"/>
      <c r="AV148" s="448"/>
      <c r="AW148" s="448"/>
      <c r="AX148" s="448"/>
      <c r="AY148" s="448"/>
      <c r="AZ148" s="448"/>
      <c r="BA148" s="448"/>
      <c r="BB148" s="448"/>
      <c r="BC148" s="448"/>
      <c r="BD148" s="448"/>
      <c r="BE148" s="448"/>
      <c r="BF148" s="448"/>
      <c r="BG148" s="448"/>
      <c r="BH148" s="448"/>
      <c r="BI148" s="448"/>
      <c r="BJ148" s="448"/>
      <c r="BK148" s="448"/>
      <c r="BL148" s="448"/>
      <c r="BM148" s="448"/>
      <c r="BN148" s="448"/>
      <c r="BO148" s="448"/>
      <c r="BP148" s="448"/>
      <c r="BQ148" s="448"/>
      <c r="BR148" s="448"/>
      <c r="BS148" s="448"/>
      <c r="BT148" s="448"/>
    </row>
    <row r="149" spans="1:72" s="514" customFormat="1" ht="15.75" customHeight="1">
      <c r="A149" s="397"/>
      <c r="B149" s="398"/>
      <c r="C149" s="416"/>
      <c r="D149" s="399"/>
      <c r="E149" s="399"/>
      <c r="F149" s="409"/>
      <c r="G149" s="515">
        <f>SUM(G150)</f>
        <v>6012</v>
      </c>
      <c r="H149" s="448"/>
      <c r="I149" s="448"/>
      <c r="J149" s="448"/>
      <c r="K149" s="448"/>
      <c r="L149" s="448"/>
      <c r="M149" s="448"/>
      <c r="N149" s="448"/>
      <c r="O149" s="448"/>
      <c r="P149" s="448"/>
      <c r="Q149" s="448"/>
      <c r="R149" s="448"/>
      <c r="S149" s="448"/>
      <c r="T149" s="448"/>
      <c r="U149" s="448"/>
      <c r="V149" s="448"/>
      <c r="W149" s="448"/>
      <c r="X149" s="448"/>
      <c r="Y149" s="448"/>
      <c r="Z149" s="448"/>
      <c r="AA149" s="448"/>
      <c r="AB149" s="448"/>
      <c r="AC149" s="448"/>
      <c r="AD149" s="448"/>
      <c r="AE149" s="448"/>
      <c r="AF149" s="448"/>
      <c r="AG149" s="448"/>
      <c r="AH149" s="448"/>
      <c r="AI149" s="448"/>
      <c r="AJ149" s="448"/>
      <c r="AK149" s="448"/>
      <c r="AL149" s="448"/>
      <c r="AM149" s="448"/>
      <c r="AN149" s="448"/>
      <c r="AO149" s="448"/>
      <c r="AP149" s="448"/>
      <c r="AQ149" s="448"/>
      <c r="AR149" s="448"/>
      <c r="AS149" s="448"/>
      <c r="AT149" s="448"/>
      <c r="AU149" s="448"/>
      <c r="AV149" s="448"/>
      <c r="AW149" s="448"/>
      <c r="AX149" s="448"/>
      <c r="AY149" s="448"/>
      <c r="AZ149" s="448"/>
      <c r="BA149" s="448"/>
      <c r="BB149" s="448"/>
      <c r="BC149" s="448"/>
      <c r="BD149" s="448"/>
      <c r="BE149" s="448"/>
      <c r="BF149" s="448"/>
      <c r="BG149" s="448"/>
      <c r="BH149" s="448"/>
      <c r="BI149" s="448"/>
      <c r="BJ149" s="448"/>
      <c r="BK149" s="448"/>
      <c r="BL149" s="448"/>
      <c r="BM149" s="448"/>
      <c r="BN149" s="448"/>
      <c r="BO149" s="448"/>
      <c r="BP149" s="448"/>
      <c r="BQ149" s="448"/>
      <c r="BR149" s="448"/>
      <c r="BS149" s="448"/>
      <c r="BT149" s="448"/>
    </row>
    <row r="150" spans="1:72" s="514" customFormat="1" ht="15.75" customHeight="1">
      <c r="A150" s="397"/>
      <c r="B150" s="398"/>
      <c r="C150" s="416"/>
      <c r="D150" s="399"/>
      <c r="E150" s="399" t="s">
        <v>24</v>
      </c>
      <c r="F150" s="409" t="s">
        <v>98</v>
      </c>
      <c r="G150" s="410">
        <f>1218+1180+1221+1223+1170</f>
        <v>6012</v>
      </c>
      <c r="H150" s="448"/>
      <c r="I150" s="448"/>
      <c r="J150" s="448"/>
      <c r="K150" s="448"/>
      <c r="L150" s="448"/>
      <c r="M150" s="448"/>
      <c r="N150" s="448"/>
      <c r="O150" s="448"/>
      <c r="P150" s="448"/>
      <c r="Q150" s="448"/>
      <c r="R150" s="448"/>
      <c r="S150" s="448"/>
      <c r="T150" s="448"/>
      <c r="U150" s="448"/>
      <c r="V150" s="448"/>
      <c r="W150" s="448"/>
      <c r="X150" s="448"/>
      <c r="Y150" s="448"/>
      <c r="Z150" s="448"/>
      <c r="AA150" s="448"/>
      <c r="AB150" s="448"/>
      <c r="AC150" s="448"/>
      <c r="AD150" s="448"/>
      <c r="AE150" s="448"/>
      <c r="AF150" s="448"/>
      <c r="AG150" s="448"/>
      <c r="AH150" s="448"/>
      <c r="AI150" s="448"/>
      <c r="AJ150" s="448"/>
      <c r="AK150" s="448"/>
      <c r="AL150" s="448"/>
      <c r="AM150" s="448"/>
      <c r="AN150" s="448"/>
      <c r="AO150" s="448"/>
      <c r="AP150" s="448"/>
      <c r="AQ150" s="448"/>
      <c r="AR150" s="448"/>
      <c r="AS150" s="448"/>
      <c r="AT150" s="448"/>
      <c r="AU150" s="448"/>
      <c r="AV150" s="448"/>
      <c r="AW150" s="448"/>
      <c r="AX150" s="448"/>
      <c r="AY150" s="448"/>
      <c r="AZ150" s="448"/>
      <c r="BA150" s="448"/>
      <c r="BB150" s="448"/>
      <c r="BC150" s="448"/>
      <c r="BD150" s="448"/>
      <c r="BE150" s="448"/>
      <c r="BF150" s="448"/>
      <c r="BG150" s="448"/>
      <c r="BH150" s="448"/>
      <c r="BI150" s="448"/>
      <c r="BJ150" s="448"/>
      <c r="BK150" s="448"/>
      <c r="BL150" s="448"/>
      <c r="BM150" s="448"/>
      <c r="BN150" s="448"/>
      <c r="BO150" s="448"/>
      <c r="BP150" s="448"/>
      <c r="BQ150" s="448"/>
      <c r="BR150" s="448"/>
      <c r="BS150" s="448"/>
      <c r="BT150" s="448"/>
    </row>
    <row r="151" spans="1:72" s="514" customFormat="1" ht="7.5" customHeight="1">
      <c r="A151" s="397"/>
      <c r="B151" s="398"/>
      <c r="C151" s="416"/>
      <c r="D151" s="399"/>
      <c r="E151" s="400"/>
      <c r="F151" s="402"/>
      <c r="G151" s="414"/>
      <c r="H151" s="448"/>
      <c r="I151" s="448"/>
      <c r="J151" s="448"/>
      <c r="K151" s="448"/>
      <c r="L151" s="448"/>
      <c r="M151" s="448"/>
      <c r="N151" s="448"/>
      <c r="O151" s="448"/>
      <c r="P151" s="448"/>
      <c r="Q151" s="448"/>
      <c r="R151" s="448"/>
      <c r="S151" s="448"/>
      <c r="T151" s="448"/>
      <c r="U151" s="448"/>
      <c r="V151" s="448"/>
      <c r="W151" s="448"/>
      <c r="X151" s="448"/>
      <c r="Y151" s="448"/>
      <c r="Z151" s="448"/>
      <c r="AA151" s="448"/>
      <c r="AB151" s="448"/>
      <c r="AC151" s="448"/>
      <c r="AD151" s="448"/>
      <c r="AE151" s="448"/>
      <c r="AF151" s="448"/>
      <c r="AG151" s="448"/>
      <c r="AH151" s="448"/>
      <c r="AI151" s="448"/>
      <c r="AJ151" s="448"/>
      <c r="AK151" s="448"/>
      <c r="AL151" s="448"/>
      <c r="AM151" s="448"/>
      <c r="AN151" s="448"/>
      <c r="AO151" s="448"/>
      <c r="AP151" s="448"/>
      <c r="AQ151" s="448"/>
      <c r="AR151" s="448"/>
      <c r="AS151" s="448"/>
      <c r="AT151" s="448"/>
      <c r="AU151" s="448"/>
      <c r="AV151" s="448"/>
      <c r="AW151" s="448"/>
      <c r="AX151" s="448"/>
      <c r="AY151" s="448"/>
      <c r="AZ151" s="448"/>
      <c r="BA151" s="448"/>
      <c r="BB151" s="448"/>
      <c r="BC151" s="448"/>
      <c r="BD151" s="448"/>
      <c r="BE151" s="448"/>
      <c r="BF151" s="448"/>
      <c r="BG151" s="448"/>
      <c r="BH151" s="448"/>
      <c r="BI151" s="448"/>
      <c r="BJ151" s="448"/>
      <c r="BK151" s="448"/>
      <c r="BL151" s="448"/>
      <c r="BM151" s="448"/>
      <c r="BN151" s="448"/>
      <c r="BO151" s="448"/>
      <c r="BP151" s="448"/>
      <c r="BQ151" s="448"/>
      <c r="BR151" s="448"/>
      <c r="BS151" s="448"/>
      <c r="BT151" s="448"/>
    </row>
    <row r="152" spans="1:72" s="514" customFormat="1" ht="15.75" customHeight="1">
      <c r="A152" s="397"/>
      <c r="B152" s="516" t="s">
        <v>37</v>
      </c>
      <c r="C152" s="399" t="s">
        <v>150</v>
      </c>
      <c r="D152" s="399" t="s">
        <v>489</v>
      </c>
      <c r="E152" s="400" t="s">
        <v>98</v>
      </c>
      <c r="F152" s="402" t="s">
        <v>98</v>
      </c>
      <c r="G152" s="401">
        <f>SUM(G154)</f>
        <v>306</v>
      </c>
      <c r="H152" s="448"/>
      <c r="I152" s="448"/>
      <c r="J152" s="448"/>
      <c r="K152" s="448"/>
      <c r="L152" s="448"/>
      <c r="M152" s="448"/>
      <c r="N152" s="448"/>
      <c r="O152" s="448"/>
      <c r="P152" s="448"/>
      <c r="Q152" s="448"/>
      <c r="R152" s="448"/>
      <c r="S152" s="448"/>
      <c r="T152" s="448"/>
      <c r="U152" s="448"/>
      <c r="V152" s="448"/>
      <c r="W152" s="448"/>
      <c r="X152" s="448"/>
      <c r="Y152" s="448"/>
      <c r="Z152" s="448"/>
      <c r="AA152" s="448"/>
      <c r="AB152" s="448"/>
      <c r="AC152" s="448"/>
      <c r="AD152" s="448"/>
      <c r="AE152" s="448"/>
      <c r="AF152" s="448"/>
      <c r="AG152" s="448"/>
      <c r="AH152" s="448"/>
      <c r="AI152" s="448"/>
      <c r="AJ152" s="448"/>
      <c r="AK152" s="448"/>
      <c r="AL152" s="448"/>
      <c r="AM152" s="448"/>
      <c r="AN152" s="448"/>
      <c r="AO152" s="448"/>
      <c r="AP152" s="448"/>
      <c r="AQ152" s="448"/>
      <c r="AR152" s="448"/>
      <c r="AS152" s="448"/>
      <c r="AT152" s="448"/>
      <c r="AU152" s="448"/>
      <c r="AV152" s="448"/>
      <c r="AW152" s="448"/>
      <c r="AX152" s="448"/>
      <c r="AY152" s="448"/>
      <c r="AZ152" s="448"/>
      <c r="BA152" s="448"/>
      <c r="BB152" s="448"/>
      <c r="BC152" s="448"/>
      <c r="BD152" s="448"/>
      <c r="BE152" s="448"/>
      <c r="BF152" s="448"/>
      <c r="BG152" s="448"/>
      <c r="BH152" s="448"/>
      <c r="BI152" s="448"/>
      <c r="BJ152" s="448"/>
      <c r="BK152" s="448"/>
      <c r="BL152" s="448"/>
      <c r="BM152" s="448"/>
      <c r="BN152" s="448"/>
      <c r="BO152" s="448"/>
      <c r="BP152" s="448"/>
      <c r="BQ152" s="448"/>
      <c r="BR152" s="448"/>
      <c r="BS152" s="448"/>
      <c r="BT152" s="448"/>
    </row>
    <row r="153" spans="1:72" s="514" customFormat="1" ht="7.5" customHeight="1">
      <c r="A153" s="397"/>
      <c r="B153" s="398"/>
      <c r="C153" s="416"/>
      <c r="D153" s="399"/>
      <c r="E153" s="399"/>
      <c r="F153" s="409"/>
      <c r="G153" s="410"/>
      <c r="H153" s="448"/>
      <c r="I153" s="448"/>
      <c r="J153" s="448"/>
      <c r="K153" s="448"/>
      <c r="L153" s="448"/>
      <c r="M153" s="448"/>
      <c r="N153" s="448"/>
      <c r="O153" s="448"/>
      <c r="P153" s="448"/>
      <c r="Q153" s="448"/>
      <c r="R153" s="448"/>
      <c r="S153" s="448"/>
      <c r="T153" s="448"/>
      <c r="U153" s="448"/>
      <c r="V153" s="448"/>
      <c r="W153" s="448"/>
      <c r="X153" s="448"/>
      <c r="Y153" s="448"/>
      <c r="Z153" s="448"/>
      <c r="AA153" s="448"/>
      <c r="AB153" s="448"/>
      <c r="AC153" s="448"/>
      <c r="AD153" s="448"/>
      <c r="AE153" s="448"/>
      <c r="AF153" s="448"/>
      <c r="AG153" s="448"/>
      <c r="AH153" s="448"/>
      <c r="AI153" s="448"/>
      <c r="AJ153" s="448"/>
      <c r="AK153" s="448"/>
      <c r="AL153" s="448"/>
      <c r="AM153" s="448"/>
      <c r="AN153" s="448"/>
      <c r="AO153" s="448"/>
      <c r="AP153" s="448"/>
      <c r="AQ153" s="448"/>
      <c r="AR153" s="448"/>
      <c r="AS153" s="448"/>
      <c r="AT153" s="448"/>
      <c r="AU153" s="448"/>
      <c r="AV153" s="448"/>
      <c r="AW153" s="448"/>
      <c r="AX153" s="448"/>
      <c r="AY153" s="448"/>
      <c r="AZ153" s="448"/>
      <c r="BA153" s="448"/>
      <c r="BB153" s="448"/>
      <c r="BC153" s="448"/>
      <c r="BD153" s="448"/>
      <c r="BE153" s="448"/>
      <c r="BF153" s="448"/>
      <c r="BG153" s="448"/>
      <c r="BH153" s="448"/>
      <c r="BI153" s="448"/>
      <c r="BJ153" s="448"/>
      <c r="BK153" s="448"/>
      <c r="BL153" s="448"/>
      <c r="BM153" s="448"/>
      <c r="BN153" s="448"/>
      <c r="BO153" s="448"/>
      <c r="BP153" s="448"/>
      <c r="BQ153" s="448"/>
      <c r="BR153" s="448"/>
      <c r="BS153" s="448"/>
      <c r="BT153" s="448"/>
    </row>
    <row r="154" spans="1:72" s="514" customFormat="1" ht="15.75" customHeight="1">
      <c r="A154" s="397"/>
      <c r="B154" s="398"/>
      <c r="C154" s="416"/>
      <c r="D154" s="399"/>
      <c r="E154" s="399"/>
      <c r="F154" s="409"/>
      <c r="G154" s="515">
        <f>SUM(G155)</f>
        <v>306</v>
      </c>
      <c r="H154" s="448"/>
      <c r="I154" s="448"/>
      <c r="J154" s="448"/>
      <c r="K154" s="448"/>
      <c r="L154" s="448"/>
      <c r="M154" s="448"/>
      <c r="N154" s="448"/>
      <c r="O154" s="448"/>
      <c r="P154" s="448"/>
      <c r="Q154" s="448"/>
      <c r="R154" s="448"/>
      <c r="S154" s="448"/>
      <c r="T154" s="448"/>
      <c r="U154" s="448"/>
      <c r="V154" s="448"/>
      <c r="W154" s="448"/>
      <c r="X154" s="448"/>
      <c r="Y154" s="448"/>
      <c r="Z154" s="448"/>
      <c r="AA154" s="448"/>
      <c r="AB154" s="448"/>
      <c r="AC154" s="448"/>
      <c r="AD154" s="448"/>
      <c r="AE154" s="448"/>
      <c r="AF154" s="448"/>
      <c r="AG154" s="448"/>
      <c r="AH154" s="448"/>
      <c r="AI154" s="448"/>
      <c r="AJ154" s="448"/>
      <c r="AK154" s="448"/>
      <c r="AL154" s="448"/>
      <c r="AM154" s="448"/>
      <c r="AN154" s="448"/>
      <c r="AO154" s="448"/>
      <c r="AP154" s="448"/>
      <c r="AQ154" s="448"/>
      <c r="AR154" s="448"/>
      <c r="AS154" s="448"/>
      <c r="AT154" s="448"/>
      <c r="AU154" s="448"/>
      <c r="AV154" s="448"/>
      <c r="AW154" s="448"/>
      <c r="AX154" s="448"/>
      <c r="AY154" s="448"/>
      <c r="AZ154" s="448"/>
      <c r="BA154" s="448"/>
      <c r="BB154" s="448"/>
      <c r="BC154" s="448"/>
      <c r="BD154" s="448"/>
      <c r="BE154" s="448"/>
      <c r="BF154" s="448"/>
      <c r="BG154" s="448"/>
      <c r="BH154" s="448"/>
      <c r="BI154" s="448"/>
      <c r="BJ154" s="448"/>
      <c r="BK154" s="448"/>
      <c r="BL154" s="448"/>
      <c r="BM154" s="448"/>
      <c r="BN154" s="448"/>
      <c r="BO154" s="448"/>
      <c r="BP154" s="448"/>
      <c r="BQ154" s="448"/>
      <c r="BR154" s="448"/>
      <c r="BS154" s="448"/>
      <c r="BT154" s="448"/>
    </row>
    <row r="155" spans="1:72" s="514" customFormat="1" ht="15.75" customHeight="1">
      <c r="A155" s="397"/>
      <c r="B155" s="398"/>
      <c r="C155" s="416"/>
      <c r="D155" s="399"/>
      <c r="E155" s="399" t="s">
        <v>145</v>
      </c>
      <c r="F155" s="409" t="s">
        <v>98</v>
      </c>
      <c r="G155" s="410">
        <f>306</f>
        <v>306</v>
      </c>
      <c r="H155" s="448"/>
      <c r="I155" s="448"/>
      <c r="J155" s="448"/>
      <c r="K155" s="448"/>
      <c r="L155" s="448"/>
      <c r="M155" s="448"/>
      <c r="N155" s="448"/>
      <c r="O155" s="448"/>
      <c r="P155" s="448"/>
      <c r="Q155" s="448"/>
      <c r="R155" s="448"/>
      <c r="S155" s="448"/>
      <c r="T155" s="448"/>
      <c r="U155" s="448"/>
      <c r="V155" s="448"/>
      <c r="W155" s="448"/>
      <c r="X155" s="448"/>
      <c r="Y155" s="448"/>
      <c r="Z155" s="448"/>
      <c r="AA155" s="448"/>
      <c r="AB155" s="448"/>
      <c r="AC155" s="448"/>
      <c r="AD155" s="448"/>
      <c r="AE155" s="448"/>
      <c r="AF155" s="448"/>
      <c r="AG155" s="448"/>
      <c r="AH155" s="448"/>
      <c r="AI155" s="448"/>
      <c r="AJ155" s="448"/>
      <c r="AK155" s="448"/>
      <c r="AL155" s="448"/>
      <c r="AM155" s="448"/>
      <c r="AN155" s="448"/>
      <c r="AO155" s="448"/>
      <c r="AP155" s="448"/>
      <c r="AQ155" s="448"/>
      <c r="AR155" s="448"/>
      <c r="AS155" s="448"/>
      <c r="AT155" s="448"/>
      <c r="AU155" s="448"/>
      <c r="AV155" s="448"/>
      <c r="AW155" s="448"/>
      <c r="AX155" s="448"/>
      <c r="AY155" s="448"/>
      <c r="AZ155" s="448"/>
      <c r="BA155" s="448"/>
      <c r="BB155" s="448"/>
      <c r="BC155" s="448"/>
      <c r="BD155" s="448"/>
      <c r="BE155" s="448"/>
      <c r="BF155" s="448"/>
      <c r="BG155" s="448"/>
      <c r="BH155" s="448"/>
      <c r="BI155" s="448"/>
      <c r="BJ155" s="448"/>
      <c r="BK155" s="448"/>
      <c r="BL155" s="448"/>
      <c r="BM155" s="448"/>
      <c r="BN155" s="448"/>
      <c r="BO155" s="448"/>
      <c r="BP155" s="448"/>
      <c r="BQ155" s="448"/>
      <c r="BR155" s="448"/>
      <c r="BS155" s="448"/>
      <c r="BT155" s="448"/>
    </row>
    <row r="156" spans="1:72" s="514" customFormat="1" ht="7.5" customHeight="1">
      <c r="A156" s="397"/>
      <c r="B156" s="398"/>
      <c r="C156" s="416"/>
      <c r="D156" s="399"/>
      <c r="E156" s="400"/>
      <c r="F156" s="402"/>
      <c r="G156" s="414"/>
      <c r="H156" s="448"/>
      <c r="I156" s="448"/>
      <c r="J156" s="448"/>
      <c r="K156" s="448"/>
      <c r="L156" s="448"/>
      <c r="M156" s="448"/>
      <c r="N156" s="448"/>
      <c r="O156" s="448"/>
      <c r="P156" s="448"/>
      <c r="Q156" s="448"/>
      <c r="R156" s="448"/>
      <c r="S156" s="448"/>
      <c r="T156" s="448"/>
      <c r="U156" s="448"/>
      <c r="V156" s="448"/>
      <c r="W156" s="448"/>
      <c r="X156" s="448"/>
      <c r="Y156" s="448"/>
      <c r="Z156" s="448"/>
      <c r="AA156" s="448"/>
      <c r="AB156" s="448"/>
      <c r="AC156" s="448"/>
      <c r="AD156" s="448"/>
      <c r="AE156" s="448"/>
      <c r="AF156" s="448"/>
      <c r="AG156" s="448"/>
      <c r="AH156" s="448"/>
      <c r="AI156" s="448"/>
      <c r="AJ156" s="448"/>
      <c r="AK156" s="448"/>
      <c r="AL156" s="448"/>
      <c r="AM156" s="448"/>
      <c r="AN156" s="448"/>
      <c r="AO156" s="448"/>
      <c r="AP156" s="448"/>
      <c r="AQ156" s="448"/>
      <c r="AR156" s="448"/>
      <c r="AS156" s="448"/>
      <c r="AT156" s="448"/>
      <c r="AU156" s="448"/>
      <c r="AV156" s="448"/>
      <c r="AW156" s="448"/>
      <c r="AX156" s="448"/>
      <c r="AY156" s="448"/>
      <c r="AZ156" s="448"/>
      <c r="BA156" s="448"/>
      <c r="BB156" s="448"/>
      <c r="BC156" s="448"/>
      <c r="BD156" s="448"/>
      <c r="BE156" s="448"/>
      <c r="BF156" s="448"/>
      <c r="BG156" s="448"/>
      <c r="BH156" s="448"/>
      <c r="BI156" s="448"/>
      <c r="BJ156" s="448"/>
      <c r="BK156" s="448"/>
      <c r="BL156" s="448"/>
      <c r="BM156" s="448"/>
      <c r="BN156" s="448"/>
      <c r="BO156" s="448"/>
      <c r="BP156" s="448"/>
      <c r="BQ156" s="448"/>
      <c r="BR156" s="448"/>
      <c r="BS156" s="448"/>
      <c r="BT156" s="448"/>
    </row>
    <row r="157" spans="1:72" s="514" customFormat="1" ht="15.75" customHeight="1">
      <c r="A157" s="397"/>
      <c r="B157" s="516" t="s">
        <v>37</v>
      </c>
      <c r="C157" s="399" t="s">
        <v>150</v>
      </c>
      <c r="D157" s="399" t="s">
        <v>157</v>
      </c>
      <c r="E157" s="400" t="s">
        <v>98</v>
      </c>
      <c r="F157" s="402" t="s">
        <v>98</v>
      </c>
      <c r="G157" s="401">
        <f>SUM(G159)</f>
        <v>212353.02000000002</v>
      </c>
      <c r="H157" s="448"/>
      <c r="I157" s="448"/>
      <c r="J157" s="448"/>
      <c r="K157" s="448"/>
      <c r="L157" s="448"/>
      <c r="M157" s="448"/>
      <c r="N157" s="448"/>
      <c r="O157" s="448"/>
      <c r="P157" s="448"/>
      <c r="Q157" s="448"/>
      <c r="R157" s="448"/>
      <c r="S157" s="448"/>
      <c r="T157" s="448"/>
      <c r="U157" s="448"/>
      <c r="V157" s="448"/>
      <c r="W157" s="448"/>
      <c r="X157" s="448"/>
      <c r="Y157" s="448"/>
      <c r="Z157" s="448"/>
      <c r="AA157" s="448"/>
      <c r="AB157" s="448"/>
      <c r="AC157" s="448"/>
      <c r="AD157" s="448"/>
      <c r="AE157" s="448"/>
      <c r="AF157" s="448"/>
      <c r="AG157" s="448"/>
      <c r="AH157" s="448"/>
      <c r="AI157" s="448"/>
      <c r="AJ157" s="448"/>
      <c r="AK157" s="448"/>
      <c r="AL157" s="448"/>
      <c r="AM157" s="448"/>
      <c r="AN157" s="448"/>
      <c r="AO157" s="448"/>
      <c r="AP157" s="448"/>
      <c r="AQ157" s="448"/>
      <c r="AR157" s="448"/>
      <c r="AS157" s="448"/>
      <c r="AT157" s="448"/>
      <c r="AU157" s="448"/>
      <c r="AV157" s="448"/>
      <c r="AW157" s="448"/>
      <c r="AX157" s="448"/>
      <c r="AY157" s="448"/>
      <c r="AZ157" s="448"/>
      <c r="BA157" s="448"/>
      <c r="BB157" s="448"/>
      <c r="BC157" s="448"/>
      <c r="BD157" s="448"/>
      <c r="BE157" s="448"/>
      <c r="BF157" s="448"/>
      <c r="BG157" s="448"/>
      <c r="BH157" s="448"/>
      <c r="BI157" s="448"/>
      <c r="BJ157" s="448"/>
      <c r="BK157" s="448"/>
      <c r="BL157" s="448"/>
      <c r="BM157" s="448"/>
      <c r="BN157" s="448"/>
      <c r="BO157" s="448"/>
      <c r="BP157" s="448"/>
      <c r="BQ157" s="448"/>
      <c r="BR157" s="448"/>
      <c r="BS157" s="448"/>
      <c r="BT157" s="448"/>
    </row>
    <row r="158" spans="1:72" s="514" customFormat="1" ht="8.25" customHeight="1">
      <c r="A158" s="397"/>
      <c r="B158" s="398"/>
      <c r="C158" s="416"/>
      <c r="D158" s="399"/>
      <c r="E158" s="399"/>
      <c r="F158" s="409"/>
      <c r="G158" s="410"/>
      <c r="H158" s="448"/>
      <c r="I158" s="448"/>
      <c r="J158" s="448"/>
      <c r="K158" s="448"/>
      <c r="L158" s="448"/>
      <c r="M158" s="448"/>
      <c r="N158" s="448"/>
      <c r="O158" s="448"/>
      <c r="P158" s="448"/>
      <c r="Q158" s="448"/>
      <c r="R158" s="448"/>
      <c r="S158" s="448"/>
      <c r="T158" s="448"/>
      <c r="U158" s="448"/>
      <c r="V158" s="448"/>
      <c r="W158" s="448"/>
      <c r="X158" s="448"/>
      <c r="Y158" s="448"/>
      <c r="Z158" s="448"/>
      <c r="AA158" s="448"/>
      <c r="AB158" s="448"/>
      <c r="AC158" s="448"/>
      <c r="AD158" s="448"/>
      <c r="AE158" s="448"/>
      <c r="AF158" s="448"/>
      <c r="AG158" s="448"/>
      <c r="AH158" s="448"/>
      <c r="AI158" s="448"/>
      <c r="AJ158" s="448"/>
      <c r="AK158" s="448"/>
      <c r="AL158" s="448"/>
      <c r="AM158" s="448"/>
      <c r="AN158" s="448"/>
      <c r="AO158" s="448"/>
      <c r="AP158" s="448"/>
      <c r="AQ158" s="448"/>
      <c r="AR158" s="448"/>
      <c r="AS158" s="448"/>
      <c r="AT158" s="448"/>
      <c r="AU158" s="448"/>
      <c r="AV158" s="448"/>
      <c r="AW158" s="448"/>
      <c r="AX158" s="448"/>
      <c r="AY158" s="448"/>
      <c r="AZ158" s="448"/>
      <c r="BA158" s="448"/>
      <c r="BB158" s="448"/>
      <c r="BC158" s="448"/>
      <c r="BD158" s="448"/>
      <c r="BE158" s="448"/>
      <c r="BF158" s="448"/>
      <c r="BG158" s="448"/>
      <c r="BH158" s="448"/>
      <c r="BI158" s="448"/>
      <c r="BJ158" s="448"/>
      <c r="BK158" s="448"/>
      <c r="BL158" s="448"/>
      <c r="BM158" s="448"/>
      <c r="BN158" s="448"/>
      <c r="BO158" s="448"/>
      <c r="BP158" s="448"/>
      <c r="BQ158" s="448"/>
      <c r="BR158" s="448"/>
      <c r="BS158" s="448"/>
      <c r="BT158" s="448"/>
    </row>
    <row r="159" spans="1:72" s="514" customFormat="1" ht="15.75" customHeight="1">
      <c r="A159" s="397"/>
      <c r="B159" s="398"/>
      <c r="C159" s="416"/>
      <c r="D159" s="399"/>
      <c r="E159" s="399"/>
      <c r="F159" s="409"/>
      <c r="G159" s="515">
        <f>SUM(G160:G164)</f>
        <v>212353.02000000002</v>
      </c>
      <c r="H159" s="448"/>
      <c r="I159" s="448"/>
      <c r="J159" s="448"/>
      <c r="K159" s="448"/>
      <c r="L159" s="448"/>
      <c r="M159" s="448"/>
      <c r="N159" s="448"/>
      <c r="O159" s="448"/>
      <c r="P159" s="448"/>
      <c r="Q159" s="448"/>
      <c r="R159" s="448"/>
      <c r="S159" s="448"/>
      <c r="T159" s="448"/>
      <c r="U159" s="448"/>
      <c r="V159" s="448"/>
      <c r="W159" s="448"/>
      <c r="X159" s="448"/>
      <c r="Y159" s="448"/>
      <c r="Z159" s="448"/>
      <c r="AA159" s="448"/>
      <c r="AB159" s="448"/>
      <c r="AC159" s="448"/>
      <c r="AD159" s="448"/>
      <c r="AE159" s="448"/>
      <c r="AF159" s="448"/>
      <c r="AG159" s="448"/>
      <c r="AH159" s="448"/>
      <c r="AI159" s="448"/>
      <c r="AJ159" s="448"/>
      <c r="AK159" s="448"/>
      <c r="AL159" s="448"/>
      <c r="AM159" s="448"/>
      <c r="AN159" s="448"/>
      <c r="AO159" s="448"/>
      <c r="AP159" s="448"/>
      <c r="AQ159" s="448"/>
      <c r="AR159" s="448"/>
      <c r="AS159" s="448"/>
      <c r="AT159" s="448"/>
      <c r="AU159" s="448"/>
      <c r="AV159" s="448"/>
      <c r="AW159" s="448"/>
      <c r="AX159" s="448"/>
      <c r="AY159" s="448"/>
      <c r="AZ159" s="448"/>
      <c r="BA159" s="448"/>
      <c r="BB159" s="448"/>
      <c r="BC159" s="448"/>
      <c r="BD159" s="448"/>
      <c r="BE159" s="448"/>
      <c r="BF159" s="448"/>
      <c r="BG159" s="448"/>
      <c r="BH159" s="448"/>
      <c r="BI159" s="448"/>
      <c r="BJ159" s="448"/>
      <c r="BK159" s="448"/>
      <c r="BL159" s="448"/>
      <c r="BM159" s="448"/>
      <c r="BN159" s="448"/>
      <c r="BO159" s="448"/>
      <c r="BP159" s="448"/>
      <c r="BQ159" s="448"/>
      <c r="BR159" s="448"/>
      <c r="BS159" s="448"/>
      <c r="BT159" s="448"/>
    </row>
    <row r="160" spans="1:72" s="514" customFormat="1" ht="15.75" customHeight="1">
      <c r="A160" s="397"/>
      <c r="B160" s="398"/>
      <c r="C160" s="416"/>
      <c r="D160" s="399"/>
      <c r="E160" s="399" t="s">
        <v>145</v>
      </c>
      <c r="F160" s="409" t="s">
        <v>98</v>
      </c>
      <c r="G160" s="410">
        <f>18236+21454+8422.02+19661-3135.94+20389+3326+20430+21131+12077+23052</f>
        <v>165042.08000000002</v>
      </c>
      <c r="H160" s="448"/>
      <c r="I160" s="448"/>
      <c r="J160" s="448"/>
      <c r="K160" s="448"/>
      <c r="L160" s="448"/>
      <c r="M160" s="448"/>
      <c r="N160" s="448"/>
      <c r="O160" s="448"/>
      <c r="P160" s="448"/>
      <c r="Q160" s="448"/>
      <c r="R160" s="448"/>
      <c r="S160" s="448"/>
      <c r="T160" s="448"/>
      <c r="U160" s="448"/>
      <c r="V160" s="448"/>
      <c r="W160" s="448"/>
      <c r="X160" s="448"/>
      <c r="Y160" s="448"/>
      <c r="Z160" s="448"/>
      <c r="AA160" s="448"/>
      <c r="AB160" s="448"/>
      <c r="AC160" s="448"/>
      <c r="AD160" s="448"/>
      <c r="AE160" s="448"/>
      <c r="AF160" s="448"/>
      <c r="AG160" s="448"/>
      <c r="AH160" s="448"/>
      <c r="AI160" s="448"/>
      <c r="AJ160" s="448"/>
      <c r="AK160" s="448"/>
      <c r="AL160" s="448"/>
      <c r="AM160" s="448"/>
      <c r="AN160" s="448"/>
      <c r="AO160" s="448"/>
      <c r="AP160" s="448"/>
      <c r="AQ160" s="448"/>
      <c r="AR160" s="448"/>
      <c r="AS160" s="448"/>
      <c r="AT160" s="448"/>
      <c r="AU160" s="448"/>
      <c r="AV160" s="448"/>
      <c r="AW160" s="448"/>
      <c r="AX160" s="448"/>
      <c r="AY160" s="448"/>
      <c r="AZ160" s="448"/>
      <c r="BA160" s="448"/>
      <c r="BB160" s="448"/>
      <c r="BC160" s="448"/>
      <c r="BD160" s="448"/>
      <c r="BE160" s="448"/>
      <c r="BF160" s="448"/>
      <c r="BG160" s="448"/>
      <c r="BH160" s="448"/>
      <c r="BI160" s="448"/>
      <c r="BJ160" s="448"/>
      <c r="BK160" s="448"/>
      <c r="BL160" s="448"/>
      <c r="BM160" s="448"/>
      <c r="BN160" s="448"/>
      <c r="BO160" s="448"/>
      <c r="BP160" s="448"/>
      <c r="BQ160" s="448"/>
      <c r="BR160" s="448"/>
      <c r="BS160" s="448"/>
      <c r="BT160" s="448"/>
    </row>
    <row r="161" spans="1:72" s="514" customFormat="1" ht="15.75" customHeight="1">
      <c r="A161" s="397"/>
      <c r="B161" s="398"/>
      <c r="C161" s="416"/>
      <c r="D161" s="399"/>
      <c r="E161" s="399" t="s">
        <v>132</v>
      </c>
      <c r="F161" s="409" t="s">
        <v>98</v>
      </c>
      <c r="G161" s="410">
        <f>1388</f>
        <v>1388</v>
      </c>
      <c r="H161" s="448"/>
      <c r="I161" s="448"/>
      <c r="J161" s="448"/>
      <c r="K161" s="448"/>
      <c r="L161" s="448"/>
      <c r="M161" s="448"/>
      <c r="N161" s="448"/>
      <c r="O161" s="448"/>
      <c r="P161" s="448"/>
      <c r="Q161" s="448"/>
      <c r="R161" s="448"/>
      <c r="S161" s="448"/>
      <c r="T161" s="448"/>
      <c r="U161" s="448"/>
      <c r="V161" s="448"/>
      <c r="W161" s="448"/>
      <c r="X161" s="448"/>
      <c r="Y161" s="448"/>
      <c r="Z161" s="448"/>
      <c r="AA161" s="448"/>
      <c r="AB161" s="448"/>
      <c r="AC161" s="448"/>
      <c r="AD161" s="448"/>
      <c r="AE161" s="448"/>
      <c r="AF161" s="448"/>
      <c r="AG161" s="448"/>
      <c r="AH161" s="448"/>
      <c r="AI161" s="448"/>
      <c r="AJ161" s="448"/>
      <c r="AK161" s="448"/>
      <c r="AL161" s="448"/>
      <c r="AM161" s="448"/>
      <c r="AN161" s="448"/>
      <c r="AO161" s="448"/>
      <c r="AP161" s="448"/>
      <c r="AQ161" s="448"/>
      <c r="AR161" s="448"/>
      <c r="AS161" s="448"/>
      <c r="AT161" s="448"/>
      <c r="AU161" s="448"/>
      <c r="AV161" s="448"/>
      <c r="AW161" s="448"/>
      <c r="AX161" s="448"/>
      <c r="AY161" s="448"/>
      <c r="AZ161" s="448"/>
      <c r="BA161" s="448"/>
      <c r="BB161" s="448"/>
      <c r="BC161" s="448"/>
      <c r="BD161" s="448"/>
      <c r="BE161" s="448"/>
      <c r="BF161" s="448"/>
      <c r="BG161" s="448"/>
      <c r="BH161" s="448"/>
      <c r="BI161" s="448"/>
      <c r="BJ161" s="448"/>
      <c r="BK161" s="448"/>
      <c r="BL161" s="448"/>
      <c r="BM161" s="448"/>
      <c r="BN161" s="448"/>
      <c r="BO161" s="448"/>
      <c r="BP161" s="448"/>
      <c r="BQ161" s="448"/>
      <c r="BR161" s="448"/>
      <c r="BS161" s="448"/>
      <c r="BT161" s="448"/>
    </row>
    <row r="162" spans="1:72" s="514" customFormat="1" ht="15.75" customHeight="1">
      <c r="A162" s="397"/>
      <c r="B162" s="398"/>
      <c r="C162" s="416"/>
      <c r="D162" s="399"/>
      <c r="E162" s="399" t="s">
        <v>152</v>
      </c>
      <c r="F162" s="409" t="s">
        <v>98</v>
      </c>
      <c r="G162" s="410">
        <f>20010.48+4491</f>
        <v>24501.48</v>
      </c>
      <c r="H162" s="448"/>
      <c r="I162" s="448"/>
      <c r="J162" s="448"/>
      <c r="K162" s="448"/>
      <c r="L162" s="448"/>
      <c r="M162" s="448"/>
      <c r="N162" s="448"/>
      <c r="O162" s="448"/>
      <c r="P162" s="448"/>
      <c r="Q162" s="448"/>
      <c r="R162" s="448"/>
      <c r="S162" s="448"/>
      <c r="T162" s="448"/>
      <c r="U162" s="448"/>
      <c r="V162" s="448"/>
      <c r="W162" s="448"/>
      <c r="X162" s="448"/>
      <c r="Y162" s="448"/>
      <c r="Z162" s="448"/>
      <c r="AA162" s="448"/>
      <c r="AB162" s="448"/>
      <c r="AC162" s="448"/>
      <c r="AD162" s="448"/>
      <c r="AE162" s="448"/>
      <c r="AF162" s="448"/>
      <c r="AG162" s="448"/>
      <c r="AH162" s="448"/>
      <c r="AI162" s="448"/>
      <c r="AJ162" s="448"/>
      <c r="AK162" s="448"/>
      <c r="AL162" s="448"/>
      <c r="AM162" s="448"/>
      <c r="AN162" s="448"/>
      <c r="AO162" s="448"/>
      <c r="AP162" s="448"/>
      <c r="AQ162" s="448"/>
      <c r="AR162" s="448"/>
      <c r="AS162" s="448"/>
      <c r="AT162" s="448"/>
      <c r="AU162" s="448"/>
      <c r="AV162" s="448"/>
      <c r="AW162" s="448"/>
      <c r="AX162" s="448"/>
      <c r="AY162" s="448"/>
      <c r="AZ162" s="448"/>
      <c r="BA162" s="448"/>
      <c r="BB162" s="448"/>
      <c r="BC162" s="448"/>
      <c r="BD162" s="448"/>
      <c r="BE162" s="448"/>
      <c r="BF162" s="448"/>
      <c r="BG162" s="448"/>
      <c r="BH162" s="448"/>
      <c r="BI162" s="448"/>
      <c r="BJ162" s="448"/>
      <c r="BK162" s="448"/>
      <c r="BL162" s="448"/>
      <c r="BM162" s="448"/>
      <c r="BN162" s="448"/>
      <c r="BO162" s="448"/>
      <c r="BP162" s="448"/>
      <c r="BQ162" s="448"/>
      <c r="BR162" s="448"/>
      <c r="BS162" s="448"/>
      <c r="BT162" s="448"/>
    </row>
    <row r="163" spans="1:72" s="514" customFormat="1" ht="18" customHeight="1">
      <c r="A163" s="397"/>
      <c r="B163" s="398"/>
      <c r="C163" s="416"/>
      <c r="D163" s="399"/>
      <c r="E163" s="399" t="s">
        <v>118</v>
      </c>
      <c r="F163" s="409" t="s">
        <v>98</v>
      </c>
      <c r="G163" s="410">
        <f>4162.46+883</f>
        <v>5045.46</v>
      </c>
      <c r="H163" s="448"/>
      <c r="I163" s="448"/>
      <c r="J163" s="448"/>
      <c r="K163" s="448"/>
      <c r="L163" s="448"/>
      <c r="M163" s="448"/>
      <c r="N163" s="448"/>
      <c r="O163" s="448"/>
      <c r="P163" s="448"/>
      <c r="Q163" s="448"/>
      <c r="R163" s="448"/>
      <c r="S163" s="448"/>
      <c r="T163" s="448"/>
      <c r="U163" s="448"/>
      <c r="V163" s="448"/>
      <c r="W163" s="448"/>
      <c r="X163" s="448"/>
      <c r="Y163" s="448"/>
      <c r="Z163" s="448"/>
      <c r="AA163" s="448"/>
      <c r="AB163" s="448"/>
      <c r="AC163" s="448"/>
      <c r="AD163" s="448"/>
      <c r="AE163" s="448"/>
      <c r="AF163" s="448"/>
      <c r="AG163" s="448"/>
      <c r="AH163" s="448"/>
      <c r="AI163" s="448"/>
      <c r="AJ163" s="448"/>
      <c r="AK163" s="448"/>
      <c r="AL163" s="448"/>
      <c r="AM163" s="448"/>
      <c r="AN163" s="448"/>
      <c r="AO163" s="448"/>
      <c r="AP163" s="448"/>
      <c r="AQ163" s="448"/>
      <c r="AR163" s="448"/>
      <c r="AS163" s="448"/>
      <c r="AT163" s="448"/>
      <c r="AU163" s="448"/>
      <c r="AV163" s="448"/>
      <c r="AW163" s="448"/>
      <c r="AX163" s="448"/>
      <c r="AY163" s="448"/>
      <c r="AZ163" s="448"/>
      <c r="BA163" s="448"/>
      <c r="BB163" s="448"/>
      <c r="BC163" s="448"/>
      <c r="BD163" s="448"/>
      <c r="BE163" s="448"/>
      <c r="BF163" s="448"/>
      <c r="BG163" s="448"/>
      <c r="BH163" s="448"/>
      <c r="BI163" s="448"/>
      <c r="BJ163" s="448"/>
      <c r="BK163" s="448"/>
      <c r="BL163" s="448"/>
      <c r="BM163" s="448"/>
      <c r="BN163" s="448"/>
      <c r="BO163" s="448"/>
      <c r="BP163" s="448"/>
      <c r="BQ163" s="448"/>
      <c r="BR163" s="448"/>
      <c r="BS163" s="448"/>
      <c r="BT163" s="448"/>
    </row>
    <row r="164" spans="1:72" s="514" customFormat="1" ht="15.75" customHeight="1">
      <c r="A164" s="397"/>
      <c r="B164" s="398"/>
      <c r="C164" s="416"/>
      <c r="D164" s="399"/>
      <c r="E164" s="399" t="s">
        <v>119</v>
      </c>
      <c r="F164" s="409" t="s">
        <v>98</v>
      </c>
      <c r="G164" s="410">
        <f>16376</f>
        <v>16376</v>
      </c>
      <c r="H164" s="448"/>
      <c r="I164" s="448"/>
      <c r="J164" s="448"/>
      <c r="K164" s="448"/>
      <c r="L164" s="448"/>
      <c r="M164" s="448"/>
      <c r="N164" s="448"/>
      <c r="O164" s="448"/>
      <c r="P164" s="448"/>
      <c r="Q164" s="448"/>
      <c r="R164" s="448"/>
      <c r="S164" s="448"/>
      <c r="T164" s="448"/>
      <c r="U164" s="448"/>
      <c r="V164" s="448"/>
      <c r="W164" s="448"/>
      <c r="X164" s="448"/>
      <c r="Y164" s="448"/>
      <c r="Z164" s="448"/>
      <c r="AA164" s="448"/>
      <c r="AB164" s="448"/>
      <c r="AC164" s="448"/>
      <c r="AD164" s="448"/>
      <c r="AE164" s="448"/>
      <c r="AF164" s="448"/>
      <c r="AG164" s="448"/>
      <c r="AH164" s="448"/>
      <c r="AI164" s="448"/>
      <c r="AJ164" s="448"/>
      <c r="AK164" s="448"/>
      <c r="AL164" s="448"/>
      <c r="AM164" s="448"/>
      <c r="AN164" s="448"/>
      <c r="AO164" s="448"/>
      <c r="AP164" s="448"/>
      <c r="AQ164" s="448"/>
      <c r="AR164" s="448"/>
      <c r="AS164" s="448"/>
      <c r="AT164" s="448"/>
      <c r="AU164" s="448"/>
      <c r="AV164" s="448"/>
      <c r="AW164" s="448"/>
      <c r="AX164" s="448"/>
      <c r="AY164" s="448"/>
      <c r="AZ164" s="448"/>
      <c r="BA164" s="448"/>
      <c r="BB164" s="448"/>
      <c r="BC164" s="448"/>
      <c r="BD164" s="448"/>
      <c r="BE164" s="448"/>
      <c r="BF164" s="448"/>
      <c r="BG164" s="448"/>
      <c r="BH164" s="448"/>
      <c r="BI164" s="448"/>
      <c r="BJ164" s="448"/>
      <c r="BK164" s="448"/>
      <c r="BL164" s="448"/>
      <c r="BM164" s="448"/>
      <c r="BN164" s="448"/>
      <c r="BO164" s="448"/>
      <c r="BP164" s="448"/>
      <c r="BQ164" s="448"/>
      <c r="BR164" s="448"/>
      <c r="BS164" s="448"/>
      <c r="BT164" s="448"/>
    </row>
    <row r="165" spans="1:72" s="514" customFormat="1" ht="8.25" customHeight="1">
      <c r="A165" s="397"/>
      <c r="B165" s="398"/>
      <c r="C165" s="416"/>
      <c r="D165" s="399"/>
      <c r="E165" s="399"/>
      <c r="F165" s="409"/>
      <c r="G165" s="410"/>
      <c r="H165" s="448"/>
      <c r="I165" s="448"/>
      <c r="J165" s="448"/>
      <c r="K165" s="448"/>
      <c r="L165" s="448"/>
      <c r="M165" s="448"/>
      <c r="N165" s="448"/>
      <c r="O165" s="448"/>
      <c r="P165" s="448"/>
      <c r="Q165" s="448"/>
      <c r="R165" s="448"/>
      <c r="S165" s="448"/>
      <c r="T165" s="448"/>
      <c r="U165" s="448"/>
      <c r="V165" s="448"/>
      <c r="W165" s="448"/>
      <c r="X165" s="448"/>
      <c r="Y165" s="448"/>
      <c r="Z165" s="448"/>
      <c r="AA165" s="448"/>
      <c r="AB165" s="448"/>
      <c r="AC165" s="448"/>
      <c r="AD165" s="448"/>
      <c r="AE165" s="448"/>
      <c r="AF165" s="448"/>
      <c r="AG165" s="448"/>
      <c r="AH165" s="448"/>
      <c r="AI165" s="448"/>
      <c r="AJ165" s="448"/>
      <c r="AK165" s="448"/>
      <c r="AL165" s="448"/>
      <c r="AM165" s="448"/>
      <c r="AN165" s="448"/>
      <c r="AO165" s="448"/>
      <c r="AP165" s="448"/>
      <c r="AQ165" s="448"/>
      <c r="AR165" s="448"/>
      <c r="AS165" s="448"/>
      <c r="AT165" s="448"/>
      <c r="AU165" s="448"/>
      <c r="AV165" s="448"/>
      <c r="AW165" s="448"/>
      <c r="AX165" s="448"/>
      <c r="AY165" s="448"/>
      <c r="AZ165" s="448"/>
      <c r="BA165" s="448"/>
      <c r="BB165" s="448"/>
      <c r="BC165" s="448"/>
      <c r="BD165" s="448"/>
      <c r="BE165" s="448"/>
      <c r="BF165" s="448"/>
      <c r="BG165" s="448"/>
      <c r="BH165" s="448"/>
      <c r="BI165" s="448"/>
      <c r="BJ165" s="448"/>
      <c r="BK165" s="448"/>
      <c r="BL165" s="448"/>
      <c r="BM165" s="448"/>
      <c r="BN165" s="448"/>
      <c r="BO165" s="448"/>
      <c r="BP165" s="448"/>
      <c r="BQ165" s="448"/>
      <c r="BR165" s="448"/>
      <c r="BS165" s="448"/>
      <c r="BT165" s="448"/>
    </row>
    <row r="166" spans="1:72" s="514" customFormat="1" ht="18.75" customHeight="1">
      <c r="A166" s="397"/>
      <c r="B166" s="516" t="s">
        <v>23</v>
      </c>
      <c r="C166" s="399" t="s">
        <v>150</v>
      </c>
      <c r="D166" s="399" t="s">
        <v>157</v>
      </c>
      <c r="E166" s="405" t="s">
        <v>98</v>
      </c>
      <c r="F166" s="406" t="s">
        <v>98</v>
      </c>
      <c r="G166" s="407">
        <f>SUM(G168)</f>
        <v>15335</v>
      </c>
      <c r="H166" s="448"/>
      <c r="I166" s="448"/>
      <c r="J166" s="448"/>
      <c r="K166" s="448"/>
      <c r="L166" s="448"/>
      <c r="M166" s="448"/>
      <c r="N166" s="448"/>
      <c r="O166" s="448"/>
      <c r="P166" s="448"/>
      <c r="Q166" s="448"/>
      <c r="R166" s="448"/>
      <c r="S166" s="448"/>
      <c r="T166" s="448"/>
      <c r="U166" s="448"/>
      <c r="V166" s="448"/>
      <c r="W166" s="448"/>
      <c r="X166" s="448"/>
      <c r="Y166" s="448"/>
      <c r="Z166" s="448"/>
      <c r="AA166" s="448"/>
      <c r="AB166" s="448"/>
      <c r="AC166" s="448"/>
      <c r="AD166" s="448"/>
      <c r="AE166" s="448"/>
      <c r="AF166" s="448"/>
      <c r="AG166" s="448"/>
      <c r="AH166" s="448"/>
      <c r="AI166" s="448"/>
      <c r="AJ166" s="448"/>
      <c r="AK166" s="448"/>
      <c r="AL166" s="448"/>
      <c r="AM166" s="448"/>
      <c r="AN166" s="448"/>
      <c r="AO166" s="448"/>
      <c r="AP166" s="448"/>
      <c r="AQ166" s="448"/>
      <c r="AR166" s="448"/>
      <c r="AS166" s="448"/>
      <c r="AT166" s="448"/>
      <c r="AU166" s="448"/>
      <c r="AV166" s="448"/>
      <c r="AW166" s="448"/>
      <c r="AX166" s="448"/>
      <c r="AY166" s="448"/>
      <c r="AZ166" s="448"/>
      <c r="BA166" s="448"/>
      <c r="BB166" s="448"/>
      <c r="BC166" s="448"/>
      <c r="BD166" s="448"/>
      <c r="BE166" s="448"/>
      <c r="BF166" s="448"/>
      <c r="BG166" s="448"/>
      <c r="BH166" s="448"/>
      <c r="BI166" s="448"/>
      <c r="BJ166" s="448"/>
      <c r="BK166" s="448"/>
      <c r="BL166" s="448"/>
      <c r="BM166" s="448"/>
      <c r="BN166" s="448"/>
      <c r="BO166" s="448"/>
      <c r="BP166" s="448"/>
      <c r="BQ166" s="448"/>
      <c r="BR166" s="448"/>
      <c r="BS166" s="448"/>
      <c r="BT166" s="448"/>
    </row>
    <row r="167" spans="1:72" s="514" customFormat="1" ht="9" customHeight="1">
      <c r="A167" s="397"/>
      <c r="B167" s="398"/>
      <c r="C167" s="416"/>
      <c r="D167" s="399"/>
      <c r="E167" s="399"/>
      <c r="F167" s="409"/>
      <c r="G167" s="410"/>
      <c r="H167" s="448"/>
      <c r="I167" s="448"/>
      <c r="J167" s="448"/>
      <c r="K167" s="448"/>
      <c r="L167" s="448"/>
      <c r="M167" s="448"/>
      <c r="N167" s="448"/>
      <c r="O167" s="448"/>
      <c r="P167" s="448"/>
      <c r="Q167" s="448"/>
      <c r="R167" s="448"/>
      <c r="S167" s="448"/>
      <c r="T167" s="448"/>
      <c r="U167" s="448"/>
      <c r="V167" s="448"/>
      <c r="W167" s="448"/>
      <c r="X167" s="448"/>
      <c r="Y167" s="448"/>
      <c r="Z167" s="448"/>
      <c r="AA167" s="448"/>
      <c r="AB167" s="448"/>
      <c r="AC167" s="448"/>
      <c r="AD167" s="448"/>
      <c r="AE167" s="448"/>
      <c r="AF167" s="448"/>
      <c r="AG167" s="448"/>
      <c r="AH167" s="448"/>
      <c r="AI167" s="448"/>
      <c r="AJ167" s="448"/>
      <c r="AK167" s="448"/>
      <c r="AL167" s="448"/>
      <c r="AM167" s="448"/>
      <c r="AN167" s="448"/>
      <c r="AO167" s="448"/>
      <c r="AP167" s="448"/>
      <c r="AQ167" s="448"/>
      <c r="AR167" s="448"/>
      <c r="AS167" s="448"/>
      <c r="AT167" s="448"/>
      <c r="AU167" s="448"/>
      <c r="AV167" s="448"/>
      <c r="AW167" s="448"/>
      <c r="AX167" s="448"/>
      <c r="AY167" s="448"/>
      <c r="AZ167" s="448"/>
      <c r="BA167" s="448"/>
      <c r="BB167" s="448"/>
      <c r="BC167" s="448"/>
      <c r="BD167" s="448"/>
      <c r="BE167" s="448"/>
      <c r="BF167" s="448"/>
      <c r="BG167" s="448"/>
      <c r="BH167" s="448"/>
      <c r="BI167" s="448"/>
      <c r="BJ167" s="448"/>
      <c r="BK167" s="448"/>
      <c r="BL167" s="448"/>
      <c r="BM167" s="448"/>
      <c r="BN167" s="448"/>
      <c r="BO167" s="448"/>
      <c r="BP167" s="448"/>
      <c r="BQ167" s="448"/>
      <c r="BR167" s="448"/>
      <c r="BS167" s="448"/>
      <c r="BT167" s="448"/>
    </row>
    <row r="168" spans="1:72" s="514" customFormat="1" ht="15.75" customHeight="1">
      <c r="A168" s="397"/>
      <c r="B168" s="398"/>
      <c r="C168" s="416"/>
      <c r="D168" s="399"/>
      <c r="E168" s="399"/>
      <c r="F168" s="409"/>
      <c r="G168" s="515">
        <f>SUM(G169)</f>
        <v>15335</v>
      </c>
      <c r="H168" s="448"/>
      <c r="I168" s="448"/>
      <c r="J168" s="448"/>
      <c r="K168" s="448"/>
      <c r="L168" s="448"/>
      <c r="M168" s="448"/>
      <c r="N168" s="448"/>
      <c r="O168" s="448"/>
      <c r="P168" s="448"/>
      <c r="Q168" s="448"/>
      <c r="R168" s="448"/>
      <c r="S168" s="448"/>
      <c r="T168" s="448"/>
      <c r="U168" s="448"/>
      <c r="V168" s="448"/>
      <c r="W168" s="448"/>
      <c r="X168" s="448"/>
      <c r="Y168" s="448"/>
      <c r="Z168" s="448"/>
      <c r="AA168" s="448"/>
      <c r="AB168" s="448"/>
      <c r="AC168" s="448"/>
      <c r="AD168" s="448"/>
      <c r="AE168" s="448"/>
      <c r="AF168" s="448"/>
      <c r="AG168" s="448"/>
      <c r="AH168" s="448"/>
      <c r="AI168" s="448"/>
      <c r="AJ168" s="448"/>
      <c r="AK168" s="448"/>
      <c r="AL168" s="448"/>
      <c r="AM168" s="448"/>
      <c r="AN168" s="448"/>
      <c r="AO168" s="448"/>
      <c r="AP168" s="448"/>
      <c r="AQ168" s="448"/>
      <c r="AR168" s="448"/>
      <c r="AS168" s="448"/>
      <c r="AT168" s="448"/>
      <c r="AU168" s="448"/>
      <c r="AV168" s="448"/>
      <c r="AW168" s="448"/>
      <c r="AX168" s="448"/>
      <c r="AY168" s="448"/>
      <c r="AZ168" s="448"/>
      <c r="BA168" s="448"/>
      <c r="BB168" s="448"/>
      <c r="BC168" s="448"/>
      <c r="BD168" s="448"/>
      <c r="BE168" s="448"/>
      <c r="BF168" s="448"/>
      <c r="BG168" s="448"/>
      <c r="BH168" s="448"/>
      <c r="BI168" s="448"/>
      <c r="BJ168" s="448"/>
      <c r="BK168" s="448"/>
      <c r="BL168" s="448"/>
      <c r="BM168" s="448"/>
      <c r="BN168" s="448"/>
      <c r="BO168" s="448"/>
      <c r="BP168" s="448"/>
      <c r="BQ168" s="448"/>
      <c r="BR168" s="448"/>
      <c r="BS168" s="448"/>
      <c r="BT168" s="448"/>
    </row>
    <row r="169" spans="1:72" s="514" customFormat="1" ht="15.75" customHeight="1">
      <c r="A169" s="397"/>
      <c r="B169" s="398"/>
      <c r="C169" s="416"/>
      <c r="D169" s="399"/>
      <c r="E169" s="399" t="s">
        <v>24</v>
      </c>
      <c r="F169" s="409" t="s">
        <v>98</v>
      </c>
      <c r="G169" s="410">
        <f>2470+3297+3078+3295+3195+3306-3306</f>
        <v>15335</v>
      </c>
      <c r="H169" s="448"/>
      <c r="I169" s="448"/>
      <c r="J169" s="448"/>
      <c r="K169" s="448"/>
      <c r="L169" s="448"/>
      <c r="M169" s="448"/>
      <c r="N169" s="448"/>
      <c r="O169" s="448"/>
      <c r="P169" s="448"/>
      <c r="Q169" s="448"/>
      <c r="R169" s="448"/>
      <c r="S169" s="448"/>
      <c r="T169" s="448"/>
      <c r="U169" s="448"/>
      <c r="V169" s="448"/>
      <c r="W169" s="448"/>
      <c r="X169" s="448"/>
      <c r="Y169" s="448"/>
      <c r="Z169" s="448"/>
      <c r="AA169" s="448"/>
      <c r="AB169" s="448"/>
      <c r="AC169" s="448"/>
      <c r="AD169" s="448"/>
      <c r="AE169" s="448"/>
      <c r="AF169" s="448"/>
      <c r="AG169" s="448"/>
      <c r="AH169" s="448"/>
      <c r="AI169" s="448"/>
      <c r="AJ169" s="448"/>
      <c r="AK169" s="448"/>
      <c r="AL169" s="448"/>
      <c r="AM169" s="448"/>
      <c r="AN169" s="448"/>
      <c r="AO169" s="448"/>
      <c r="AP169" s="448"/>
      <c r="AQ169" s="448"/>
      <c r="AR169" s="448"/>
      <c r="AS169" s="448"/>
      <c r="AT169" s="448"/>
      <c r="AU169" s="448"/>
      <c r="AV169" s="448"/>
      <c r="AW169" s="448"/>
      <c r="AX169" s="448"/>
      <c r="AY169" s="448"/>
      <c r="AZ169" s="448"/>
      <c r="BA169" s="448"/>
      <c r="BB169" s="448"/>
      <c r="BC169" s="448"/>
      <c r="BD169" s="448"/>
      <c r="BE169" s="448"/>
      <c r="BF169" s="448"/>
      <c r="BG169" s="448"/>
      <c r="BH169" s="448"/>
      <c r="BI169" s="448"/>
      <c r="BJ169" s="448"/>
      <c r="BK169" s="448"/>
      <c r="BL169" s="448"/>
      <c r="BM169" s="448"/>
      <c r="BN169" s="448"/>
      <c r="BO169" s="448"/>
      <c r="BP169" s="448"/>
      <c r="BQ169" s="448"/>
      <c r="BR169" s="448"/>
      <c r="BS169" s="448"/>
      <c r="BT169" s="448"/>
    </row>
    <row r="170" spans="1:72" s="514" customFormat="1" ht="7.5" customHeight="1">
      <c r="A170" s="397"/>
      <c r="B170" s="398"/>
      <c r="C170" s="416"/>
      <c r="D170" s="399"/>
      <c r="E170" s="399"/>
      <c r="F170" s="409"/>
      <c r="G170" s="410"/>
      <c r="H170" s="448"/>
      <c r="I170" s="448"/>
      <c r="J170" s="448"/>
      <c r="K170" s="448"/>
      <c r="L170" s="448"/>
      <c r="M170" s="448"/>
      <c r="N170" s="448"/>
      <c r="O170" s="448"/>
      <c r="P170" s="448"/>
      <c r="Q170" s="448"/>
      <c r="R170" s="448"/>
      <c r="S170" s="448"/>
      <c r="T170" s="448"/>
      <c r="U170" s="448"/>
      <c r="V170" s="448"/>
      <c r="W170" s="448"/>
      <c r="X170" s="448"/>
      <c r="Y170" s="448"/>
      <c r="Z170" s="448"/>
      <c r="AA170" s="448"/>
      <c r="AB170" s="448"/>
      <c r="AC170" s="448"/>
      <c r="AD170" s="448"/>
      <c r="AE170" s="448"/>
      <c r="AF170" s="448"/>
      <c r="AG170" s="448"/>
      <c r="AH170" s="448"/>
      <c r="AI170" s="448"/>
      <c r="AJ170" s="448"/>
      <c r="AK170" s="448"/>
      <c r="AL170" s="448"/>
      <c r="AM170" s="448"/>
      <c r="AN170" s="448"/>
      <c r="AO170" s="448"/>
      <c r="AP170" s="448"/>
      <c r="AQ170" s="448"/>
      <c r="AR170" s="448"/>
      <c r="AS170" s="448"/>
      <c r="AT170" s="448"/>
      <c r="AU170" s="448"/>
      <c r="AV170" s="448"/>
      <c r="AW170" s="448"/>
      <c r="AX170" s="448"/>
      <c r="AY170" s="448"/>
      <c r="AZ170" s="448"/>
      <c r="BA170" s="448"/>
      <c r="BB170" s="448"/>
      <c r="BC170" s="448"/>
      <c r="BD170" s="448"/>
      <c r="BE170" s="448"/>
      <c r="BF170" s="448"/>
      <c r="BG170" s="448"/>
      <c r="BH170" s="448"/>
      <c r="BI170" s="448"/>
      <c r="BJ170" s="448"/>
      <c r="BK170" s="448"/>
      <c r="BL170" s="448"/>
      <c r="BM170" s="448"/>
      <c r="BN170" s="448"/>
      <c r="BO170" s="448"/>
      <c r="BP170" s="448"/>
      <c r="BQ170" s="448"/>
      <c r="BR170" s="448"/>
      <c r="BS170" s="448"/>
      <c r="BT170" s="448"/>
    </row>
    <row r="171" spans="1:72" s="514" customFormat="1" ht="24" customHeight="1">
      <c r="A171" s="397"/>
      <c r="B171" s="517" t="s">
        <v>26</v>
      </c>
      <c r="C171" s="399" t="s">
        <v>150</v>
      </c>
      <c r="D171" s="399" t="s">
        <v>157</v>
      </c>
      <c r="E171" s="405" t="s">
        <v>98</v>
      </c>
      <c r="F171" s="406" t="s">
        <v>98</v>
      </c>
      <c r="G171" s="407">
        <f>SUM(G173)</f>
        <v>17379</v>
      </c>
      <c r="H171" s="448"/>
      <c r="I171" s="448"/>
      <c r="J171" s="448"/>
      <c r="K171" s="448"/>
      <c r="L171" s="448"/>
      <c r="M171" s="448"/>
      <c r="N171" s="448"/>
      <c r="O171" s="448"/>
      <c r="P171" s="448"/>
      <c r="Q171" s="448"/>
      <c r="R171" s="448"/>
      <c r="S171" s="448"/>
      <c r="T171" s="448"/>
      <c r="U171" s="448"/>
      <c r="V171" s="448"/>
      <c r="W171" s="448"/>
      <c r="X171" s="448"/>
      <c r="Y171" s="448"/>
      <c r="Z171" s="448"/>
      <c r="AA171" s="448"/>
      <c r="AB171" s="448"/>
      <c r="AC171" s="448"/>
      <c r="AD171" s="448"/>
      <c r="AE171" s="448"/>
      <c r="AF171" s="448"/>
      <c r="AG171" s="448"/>
      <c r="AH171" s="448"/>
      <c r="AI171" s="448"/>
      <c r="AJ171" s="448"/>
      <c r="AK171" s="448"/>
      <c r="AL171" s="448"/>
      <c r="AM171" s="448"/>
      <c r="AN171" s="448"/>
      <c r="AO171" s="448"/>
      <c r="AP171" s="448"/>
      <c r="AQ171" s="448"/>
      <c r="AR171" s="448"/>
      <c r="AS171" s="448"/>
      <c r="AT171" s="448"/>
      <c r="AU171" s="448"/>
      <c r="AV171" s="448"/>
      <c r="AW171" s="448"/>
      <c r="AX171" s="448"/>
      <c r="AY171" s="448"/>
      <c r="AZ171" s="448"/>
      <c r="BA171" s="448"/>
      <c r="BB171" s="448"/>
      <c r="BC171" s="448"/>
      <c r="BD171" s="448"/>
      <c r="BE171" s="448"/>
      <c r="BF171" s="448"/>
      <c r="BG171" s="448"/>
      <c r="BH171" s="448"/>
      <c r="BI171" s="448"/>
      <c r="BJ171" s="448"/>
      <c r="BK171" s="448"/>
      <c r="BL171" s="448"/>
      <c r="BM171" s="448"/>
      <c r="BN171" s="448"/>
      <c r="BO171" s="448"/>
      <c r="BP171" s="448"/>
      <c r="BQ171" s="448"/>
      <c r="BR171" s="448"/>
      <c r="BS171" s="448"/>
      <c r="BT171" s="448"/>
    </row>
    <row r="172" spans="1:72" s="514" customFormat="1" ht="7.5" customHeight="1">
      <c r="A172" s="397"/>
      <c r="B172" s="398"/>
      <c r="C172" s="416"/>
      <c r="D172" s="399"/>
      <c r="E172" s="399"/>
      <c r="F172" s="409"/>
      <c r="G172" s="410"/>
      <c r="H172" s="448"/>
      <c r="I172" s="448"/>
      <c r="J172" s="448"/>
      <c r="K172" s="448"/>
      <c r="L172" s="448"/>
      <c r="M172" s="448"/>
      <c r="N172" s="448"/>
      <c r="O172" s="448"/>
      <c r="P172" s="448"/>
      <c r="Q172" s="448"/>
      <c r="R172" s="448"/>
      <c r="S172" s="448"/>
      <c r="T172" s="448"/>
      <c r="U172" s="448"/>
      <c r="V172" s="448"/>
      <c r="W172" s="448"/>
      <c r="X172" s="448"/>
      <c r="Y172" s="448"/>
      <c r="Z172" s="448"/>
      <c r="AA172" s="448"/>
      <c r="AB172" s="448"/>
      <c r="AC172" s="448"/>
      <c r="AD172" s="448"/>
      <c r="AE172" s="448"/>
      <c r="AF172" s="448"/>
      <c r="AG172" s="448"/>
      <c r="AH172" s="448"/>
      <c r="AI172" s="448"/>
      <c r="AJ172" s="448"/>
      <c r="AK172" s="448"/>
      <c r="AL172" s="448"/>
      <c r="AM172" s="448"/>
      <c r="AN172" s="448"/>
      <c r="AO172" s="448"/>
      <c r="AP172" s="448"/>
      <c r="AQ172" s="448"/>
      <c r="AR172" s="448"/>
      <c r="AS172" s="448"/>
      <c r="AT172" s="448"/>
      <c r="AU172" s="448"/>
      <c r="AV172" s="448"/>
      <c r="AW172" s="448"/>
      <c r="AX172" s="448"/>
      <c r="AY172" s="448"/>
      <c r="AZ172" s="448"/>
      <c r="BA172" s="448"/>
      <c r="BB172" s="448"/>
      <c r="BC172" s="448"/>
      <c r="BD172" s="448"/>
      <c r="BE172" s="448"/>
      <c r="BF172" s="448"/>
      <c r="BG172" s="448"/>
      <c r="BH172" s="448"/>
      <c r="BI172" s="448"/>
      <c r="BJ172" s="448"/>
      <c r="BK172" s="448"/>
      <c r="BL172" s="448"/>
      <c r="BM172" s="448"/>
      <c r="BN172" s="448"/>
      <c r="BO172" s="448"/>
      <c r="BP172" s="448"/>
      <c r="BQ172" s="448"/>
      <c r="BR172" s="448"/>
      <c r="BS172" s="448"/>
      <c r="BT172" s="448"/>
    </row>
    <row r="173" spans="1:72" s="514" customFormat="1" ht="15.75" customHeight="1">
      <c r="A173" s="397"/>
      <c r="B173" s="398"/>
      <c r="C173" s="416"/>
      <c r="D173" s="399"/>
      <c r="E173" s="399"/>
      <c r="F173" s="409"/>
      <c r="G173" s="515">
        <f>SUM(G174)</f>
        <v>17379</v>
      </c>
      <c r="H173" s="448"/>
      <c r="I173" s="448"/>
      <c r="J173" s="448"/>
      <c r="K173" s="448"/>
      <c r="L173" s="448"/>
      <c r="M173" s="448"/>
      <c r="N173" s="448"/>
      <c r="O173" s="448"/>
      <c r="P173" s="448"/>
      <c r="Q173" s="448"/>
      <c r="R173" s="448"/>
      <c r="S173" s="448"/>
      <c r="T173" s="448"/>
      <c r="U173" s="448"/>
      <c r="V173" s="448"/>
      <c r="W173" s="448"/>
      <c r="X173" s="448"/>
      <c r="Y173" s="448"/>
      <c r="Z173" s="448"/>
      <c r="AA173" s="448"/>
      <c r="AB173" s="448"/>
      <c r="AC173" s="448"/>
      <c r="AD173" s="448"/>
      <c r="AE173" s="448"/>
      <c r="AF173" s="448"/>
      <c r="AG173" s="448"/>
      <c r="AH173" s="448"/>
      <c r="AI173" s="448"/>
      <c r="AJ173" s="448"/>
      <c r="AK173" s="448"/>
      <c r="AL173" s="448"/>
      <c r="AM173" s="448"/>
      <c r="AN173" s="448"/>
      <c r="AO173" s="448"/>
      <c r="AP173" s="448"/>
      <c r="AQ173" s="448"/>
      <c r="AR173" s="448"/>
      <c r="AS173" s="448"/>
      <c r="AT173" s="448"/>
      <c r="AU173" s="448"/>
      <c r="AV173" s="448"/>
      <c r="AW173" s="448"/>
      <c r="AX173" s="448"/>
      <c r="AY173" s="448"/>
      <c r="AZ173" s="448"/>
      <c r="BA173" s="448"/>
      <c r="BB173" s="448"/>
      <c r="BC173" s="448"/>
      <c r="BD173" s="448"/>
      <c r="BE173" s="448"/>
      <c r="BF173" s="448"/>
      <c r="BG173" s="448"/>
      <c r="BH173" s="448"/>
      <c r="BI173" s="448"/>
      <c r="BJ173" s="448"/>
      <c r="BK173" s="448"/>
      <c r="BL173" s="448"/>
      <c r="BM173" s="448"/>
      <c r="BN173" s="448"/>
      <c r="BO173" s="448"/>
      <c r="BP173" s="448"/>
      <c r="BQ173" s="448"/>
      <c r="BR173" s="448"/>
      <c r="BS173" s="448"/>
      <c r="BT173" s="448"/>
    </row>
    <row r="174" spans="1:72" s="514" customFormat="1" ht="15.75" customHeight="1">
      <c r="A174" s="397"/>
      <c r="B174" s="398"/>
      <c r="C174" s="416"/>
      <c r="D174" s="399"/>
      <c r="E174" s="399" t="s">
        <v>24</v>
      </c>
      <c r="F174" s="409" t="s">
        <v>98</v>
      </c>
      <c r="G174" s="410">
        <f>3306+3204+3315+3321+4233</f>
        <v>17379</v>
      </c>
      <c r="H174" s="448"/>
      <c r="I174" s="448"/>
      <c r="J174" s="448"/>
      <c r="K174" s="448"/>
      <c r="L174" s="448"/>
      <c r="M174" s="448"/>
      <c r="N174" s="448"/>
      <c r="O174" s="448"/>
      <c r="P174" s="448"/>
      <c r="Q174" s="448"/>
      <c r="R174" s="448"/>
      <c r="S174" s="448"/>
      <c r="T174" s="448"/>
      <c r="U174" s="448"/>
      <c r="V174" s="448"/>
      <c r="W174" s="448"/>
      <c r="X174" s="448"/>
      <c r="Y174" s="448"/>
      <c r="Z174" s="448"/>
      <c r="AA174" s="448"/>
      <c r="AB174" s="448"/>
      <c r="AC174" s="448"/>
      <c r="AD174" s="448"/>
      <c r="AE174" s="448"/>
      <c r="AF174" s="448"/>
      <c r="AG174" s="448"/>
      <c r="AH174" s="448"/>
      <c r="AI174" s="448"/>
      <c r="AJ174" s="448"/>
      <c r="AK174" s="448"/>
      <c r="AL174" s="448"/>
      <c r="AM174" s="448"/>
      <c r="AN174" s="448"/>
      <c r="AO174" s="448"/>
      <c r="AP174" s="448"/>
      <c r="AQ174" s="448"/>
      <c r="AR174" s="448"/>
      <c r="AS174" s="448"/>
      <c r="AT174" s="448"/>
      <c r="AU174" s="448"/>
      <c r="AV174" s="448"/>
      <c r="AW174" s="448"/>
      <c r="AX174" s="448"/>
      <c r="AY174" s="448"/>
      <c r="AZ174" s="448"/>
      <c r="BA174" s="448"/>
      <c r="BB174" s="448"/>
      <c r="BC174" s="448"/>
      <c r="BD174" s="448"/>
      <c r="BE174" s="448"/>
      <c r="BF174" s="448"/>
      <c r="BG174" s="448"/>
      <c r="BH174" s="448"/>
      <c r="BI174" s="448"/>
      <c r="BJ174" s="448"/>
      <c r="BK174" s="448"/>
      <c r="BL174" s="448"/>
      <c r="BM174" s="448"/>
      <c r="BN174" s="448"/>
      <c r="BO174" s="448"/>
      <c r="BP174" s="448"/>
      <c r="BQ174" s="448"/>
      <c r="BR174" s="448"/>
      <c r="BS174" s="448"/>
      <c r="BT174" s="448"/>
    </row>
    <row r="175" spans="1:72" s="514" customFormat="1" ht="6.75" customHeight="1">
      <c r="A175" s="397"/>
      <c r="B175" s="398"/>
      <c r="C175" s="416"/>
      <c r="D175" s="399"/>
      <c r="E175" s="400"/>
      <c r="F175" s="402"/>
      <c r="G175" s="414"/>
      <c r="H175" s="448"/>
      <c r="I175" s="448"/>
      <c r="J175" s="448"/>
      <c r="K175" s="448"/>
      <c r="L175" s="448"/>
      <c r="M175" s="448"/>
      <c r="N175" s="448"/>
      <c r="O175" s="448"/>
      <c r="P175" s="448"/>
      <c r="Q175" s="448"/>
      <c r="R175" s="448"/>
      <c r="S175" s="448"/>
      <c r="T175" s="448"/>
      <c r="U175" s="448"/>
      <c r="V175" s="448"/>
      <c r="W175" s="448"/>
      <c r="X175" s="448"/>
      <c r="Y175" s="448"/>
      <c r="Z175" s="448"/>
      <c r="AA175" s="448"/>
      <c r="AB175" s="448"/>
      <c r="AC175" s="448"/>
      <c r="AD175" s="448"/>
      <c r="AE175" s="448"/>
      <c r="AF175" s="448"/>
      <c r="AG175" s="448"/>
      <c r="AH175" s="448"/>
      <c r="AI175" s="448"/>
      <c r="AJ175" s="448"/>
      <c r="AK175" s="448"/>
      <c r="AL175" s="448"/>
      <c r="AM175" s="448"/>
      <c r="AN175" s="448"/>
      <c r="AO175" s="448"/>
      <c r="AP175" s="448"/>
      <c r="AQ175" s="448"/>
      <c r="AR175" s="448"/>
      <c r="AS175" s="448"/>
      <c r="AT175" s="448"/>
      <c r="AU175" s="448"/>
      <c r="AV175" s="448"/>
      <c r="AW175" s="448"/>
      <c r="AX175" s="448"/>
      <c r="AY175" s="448"/>
      <c r="AZ175" s="448"/>
      <c r="BA175" s="448"/>
      <c r="BB175" s="448"/>
      <c r="BC175" s="448"/>
      <c r="BD175" s="448"/>
      <c r="BE175" s="448"/>
      <c r="BF175" s="448"/>
      <c r="BG175" s="448"/>
      <c r="BH175" s="448"/>
      <c r="BI175" s="448"/>
      <c r="BJ175" s="448"/>
      <c r="BK175" s="448"/>
      <c r="BL175" s="448"/>
      <c r="BM175" s="448"/>
      <c r="BN175" s="448"/>
      <c r="BO175" s="448"/>
      <c r="BP175" s="448"/>
      <c r="BQ175" s="448"/>
      <c r="BR175" s="448"/>
      <c r="BS175" s="448"/>
      <c r="BT175" s="448"/>
    </row>
    <row r="176" spans="1:72" s="514" customFormat="1" ht="18.75" customHeight="1">
      <c r="A176" s="397"/>
      <c r="B176" s="516" t="s">
        <v>37</v>
      </c>
      <c r="C176" s="399" t="s">
        <v>150</v>
      </c>
      <c r="D176" s="399" t="s">
        <v>158</v>
      </c>
      <c r="E176" s="400" t="s">
        <v>98</v>
      </c>
      <c r="F176" s="402" t="s">
        <v>98</v>
      </c>
      <c r="G176" s="401">
        <f>SUM(G178)</f>
        <v>238105.29</v>
      </c>
      <c r="H176" s="448"/>
      <c r="I176" s="448"/>
      <c r="J176" s="448"/>
      <c r="K176" s="448"/>
      <c r="L176" s="448"/>
      <c r="M176" s="448"/>
      <c r="N176" s="448"/>
      <c r="O176" s="448"/>
      <c r="P176" s="448"/>
      <c r="Q176" s="448"/>
      <c r="R176" s="448"/>
      <c r="S176" s="448"/>
      <c r="T176" s="448"/>
      <c r="U176" s="448"/>
      <c r="V176" s="448"/>
      <c r="W176" s="448"/>
      <c r="X176" s="448"/>
      <c r="Y176" s="448"/>
      <c r="Z176" s="448"/>
      <c r="AA176" s="448"/>
      <c r="AB176" s="448"/>
      <c r="AC176" s="448"/>
      <c r="AD176" s="448"/>
      <c r="AE176" s="448"/>
      <c r="AF176" s="448"/>
      <c r="AG176" s="448"/>
      <c r="AH176" s="448"/>
      <c r="AI176" s="448"/>
      <c r="AJ176" s="448"/>
      <c r="AK176" s="448"/>
      <c r="AL176" s="448"/>
      <c r="AM176" s="448"/>
      <c r="AN176" s="448"/>
      <c r="AO176" s="448"/>
      <c r="AP176" s="448"/>
      <c r="AQ176" s="448"/>
      <c r="AR176" s="448"/>
      <c r="AS176" s="448"/>
      <c r="AT176" s="448"/>
      <c r="AU176" s="448"/>
      <c r="AV176" s="448"/>
      <c r="AW176" s="448"/>
      <c r="AX176" s="448"/>
      <c r="AY176" s="448"/>
      <c r="AZ176" s="448"/>
      <c r="BA176" s="448"/>
      <c r="BB176" s="448"/>
      <c r="BC176" s="448"/>
      <c r="BD176" s="448"/>
      <c r="BE176" s="448"/>
      <c r="BF176" s="448"/>
      <c r="BG176" s="448"/>
      <c r="BH176" s="448"/>
      <c r="BI176" s="448"/>
      <c r="BJ176" s="448"/>
      <c r="BK176" s="448"/>
      <c r="BL176" s="448"/>
      <c r="BM176" s="448"/>
      <c r="BN176" s="448"/>
      <c r="BO176" s="448"/>
      <c r="BP176" s="448"/>
      <c r="BQ176" s="448"/>
      <c r="BR176" s="448"/>
      <c r="BS176" s="448"/>
      <c r="BT176" s="448"/>
    </row>
    <row r="177" spans="1:72" s="514" customFormat="1" ht="7.5" customHeight="1">
      <c r="A177" s="397"/>
      <c r="B177" s="398"/>
      <c r="C177" s="416"/>
      <c r="D177" s="399"/>
      <c r="E177" s="399"/>
      <c r="F177" s="409"/>
      <c r="G177" s="410"/>
      <c r="H177" s="448"/>
      <c r="I177" s="448"/>
      <c r="J177" s="448"/>
      <c r="K177" s="448"/>
      <c r="L177" s="448"/>
      <c r="M177" s="448"/>
      <c r="N177" s="448"/>
      <c r="O177" s="448"/>
      <c r="P177" s="448"/>
      <c r="Q177" s="448"/>
      <c r="R177" s="448"/>
      <c r="S177" s="448"/>
      <c r="T177" s="448"/>
      <c r="U177" s="448"/>
      <c r="V177" s="448"/>
      <c r="W177" s="448"/>
      <c r="X177" s="448"/>
      <c r="Y177" s="448"/>
      <c r="Z177" s="448"/>
      <c r="AA177" s="448"/>
      <c r="AB177" s="448"/>
      <c r="AC177" s="448"/>
      <c r="AD177" s="448"/>
      <c r="AE177" s="448"/>
      <c r="AF177" s="448"/>
      <c r="AG177" s="448"/>
      <c r="AH177" s="448"/>
      <c r="AI177" s="448"/>
      <c r="AJ177" s="448"/>
      <c r="AK177" s="448"/>
      <c r="AL177" s="448"/>
      <c r="AM177" s="448"/>
      <c r="AN177" s="448"/>
      <c r="AO177" s="448"/>
      <c r="AP177" s="448"/>
      <c r="AQ177" s="448"/>
      <c r="AR177" s="448"/>
      <c r="AS177" s="448"/>
      <c r="AT177" s="448"/>
      <c r="AU177" s="448"/>
      <c r="AV177" s="448"/>
      <c r="AW177" s="448"/>
      <c r="AX177" s="448"/>
      <c r="AY177" s="448"/>
      <c r="AZ177" s="448"/>
      <c r="BA177" s="448"/>
      <c r="BB177" s="448"/>
      <c r="BC177" s="448"/>
      <c r="BD177" s="448"/>
      <c r="BE177" s="448"/>
      <c r="BF177" s="448"/>
      <c r="BG177" s="448"/>
      <c r="BH177" s="448"/>
      <c r="BI177" s="448"/>
      <c r="BJ177" s="448"/>
      <c r="BK177" s="448"/>
      <c r="BL177" s="448"/>
      <c r="BM177" s="448"/>
      <c r="BN177" s="448"/>
      <c r="BO177" s="448"/>
      <c r="BP177" s="448"/>
      <c r="BQ177" s="448"/>
      <c r="BR177" s="448"/>
      <c r="BS177" s="448"/>
      <c r="BT177" s="448"/>
    </row>
    <row r="178" spans="1:72" s="514" customFormat="1" ht="15.75" customHeight="1">
      <c r="A178" s="397"/>
      <c r="B178" s="398"/>
      <c r="C178" s="416"/>
      <c r="D178" s="399"/>
      <c r="E178" s="399"/>
      <c r="F178" s="409"/>
      <c r="G178" s="515">
        <f>SUM(G179:G183)</f>
        <v>238105.29</v>
      </c>
      <c r="H178" s="448"/>
      <c r="I178" s="448"/>
      <c r="J178" s="448"/>
      <c r="K178" s="448"/>
      <c r="L178" s="448"/>
      <c r="M178" s="448"/>
      <c r="N178" s="448"/>
      <c r="O178" s="448"/>
      <c r="P178" s="448"/>
      <c r="Q178" s="448"/>
      <c r="R178" s="448"/>
      <c r="S178" s="448"/>
      <c r="T178" s="448"/>
      <c r="U178" s="448"/>
      <c r="V178" s="448"/>
      <c r="W178" s="448"/>
      <c r="X178" s="448"/>
      <c r="Y178" s="448"/>
      <c r="Z178" s="448"/>
      <c r="AA178" s="448"/>
      <c r="AB178" s="448"/>
      <c r="AC178" s="448"/>
      <c r="AD178" s="448"/>
      <c r="AE178" s="448"/>
      <c r="AF178" s="448"/>
      <c r="AG178" s="448"/>
      <c r="AH178" s="448"/>
      <c r="AI178" s="448"/>
      <c r="AJ178" s="448"/>
      <c r="AK178" s="448"/>
      <c r="AL178" s="448"/>
      <c r="AM178" s="448"/>
      <c r="AN178" s="448"/>
      <c r="AO178" s="448"/>
      <c r="AP178" s="448"/>
      <c r="AQ178" s="448"/>
      <c r="AR178" s="448"/>
      <c r="AS178" s="448"/>
      <c r="AT178" s="448"/>
      <c r="AU178" s="448"/>
      <c r="AV178" s="448"/>
      <c r="AW178" s="448"/>
      <c r="AX178" s="448"/>
      <c r="AY178" s="448"/>
      <c r="AZ178" s="448"/>
      <c r="BA178" s="448"/>
      <c r="BB178" s="448"/>
      <c r="BC178" s="448"/>
      <c r="BD178" s="448"/>
      <c r="BE178" s="448"/>
      <c r="BF178" s="448"/>
      <c r="BG178" s="448"/>
      <c r="BH178" s="448"/>
      <c r="BI178" s="448"/>
      <c r="BJ178" s="448"/>
      <c r="BK178" s="448"/>
      <c r="BL178" s="448"/>
      <c r="BM178" s="448"/>
      <c r="BN178" s="448"/>
      <c r="BO178" s="448"/>
      <c r="BP178" s="448"/>
      <c r="BQ178" s="448"/>
      <c r="BR178" s="448"/>
      <c r="BS178" s="448"/>
      <c r="BT178" s="448"/>
    </row>
    <row r="179" spans="1:72" s="514" customFormat="1" ht="15.75" customHeight="1">
      <c r="A179" s="397"/>
      <c r="B179" s="398"/>
      <c r="C179" s="416"/>
      <c r="D179" s="399"/>
      <c r="E179" s="399" t="s">
        <v>145</v>
      </c>
      <c r="F179" s="409" t="s">
        <v>98</v>
      </c>
      <c r="G179" s="410">
        <f>20008+22412+40171.18+20789-21586.78+19053+9831+20199+20653+13745+210.17+13157</f>
        <v>178641.57</v>
      </c>
      <c r="H179" s="448"/>
      <c r="I179" s="448"/>
      <c r="J179" s="448"/>
      <c r="K179" s="448"/>
      <c r="L179" s="448"/>
      <c r="M179" s="448"/>
      <c r="N179" s="448"/>
      <c r="O179" s="448"/>
      <c r="P179" s="448"/>
      <c r="Q179" s="448"/>
      <c r="R179" s="448"/>
      <c r="S179" s="448"/>
      <c r="T179" s="448"/>
      <c r="U179" s="448"/>
      <c r="V179" s="448"/>
      <c r="W179" s="448"/>
      <c r="X179" s="448"/>
      <c r="Y179" s="448"/>
      <c r="Z179" s="448"/>
      <c r="AA179" s="448"/>
      <c r="AB179" s="448"/>
      <c r="AC179" s="448"/>
      <c r="AD179" s="448"/>
      <c r="AE179" s="448"/>
      <c r="AF179" s="448"/>
      <c r="AG179" s="448"/>
      <c r="AH179" s="448"/>
      <c r="AI179" s="448"/>
      <c r="AJ179" s="448"/>
      <c r="AK179" s="448"/>
      <c r="AL179" s="448"/>
      <c r="AM179" s="448"/>
      <c r="AN179" s="448"/>
      <c r="AO179" s="448"/>
      <c r="AP179" s="448"/>
      <c r="AQ179" s="448"/>
      <c r="AR179" s="448"/>
      <c r="AS179" s="448"/>
      <c r="AT179" s="448"/>
      <c r="AU179" s="448"/>
      <c r="AV179" s="448"/>
      <c r="AW179" s="448"/>
      <c r="AX179" s="448"/>
      <c r="AY179" s="448"/>
      <c r="AZ179" s="448"/>
      <c r="BA179" s="448"/>
      <c r="BB179" s="448"/>
      <c r="BC179" s="448"/>
      <c r="BD179" s="448"/>
      <c r="BE179" s="448"/>
      <c r="BF179" s="448"/>
      <c r="BG179" s="448"/>
      <c r="BH179" s="448"/>
      <c r="BI179" s="448"/>
      <c r="BJ179" s="448"/>
      <c r="BK179" s="448"/>
      <c r="BL179" s="448"/>
      <c r="BM179" s="448"/>
      <c r="BN179" s="448"/>
      <c r="BO179" s="448"/>
      <c r="BP179" s="448"/>
      <c r="BQ179" s="448"/>
      <c r="BR179" s="448"/>
      <c r="BS179" s="448"/>
      <c r="BT179" s="448"/>
    </row>
    <row r="180" spans="1:72" s="514" customFormat="1" ht="15.75" customHeight="1">
      <c r="A180" s="397"/>
      <c r="B180" s="398"/>
      <c r="C180" s="416"/>
      <c r="D180" s="399"/>
      <c r="E180" s="399" t="s">
        <v>132</v>
      </c>
      <c r="F180" s="409" t="s">
        <v>98</v>
      </c>
      <c r="G180" s="410">
        <f>603</f>
        <v>603</v>
      </c>
      <c r="H180" s="448"/>
      <c r="I180" s="448"/>
      <c r="J180" s="448"/>
      <c r="K180" s="448"/>
      <c r="L180" s="448"/>
      <c r="M180" s="448"/>
      <c r="N180" s="448"/>
      <c r="O180" s="448"/>
      <c r="P180" s="448"/>
      <c r="Q180" s="448"/>
      <c r="R180" s="448"/>
      <c r="S180" s="448"/>
      <c r="T180" s="448"/>
      <c r="U180" s="448"/>
      <c r="V180" s="448"/>
      <c r="W180" s="448"/>
      <c r="X180" s="448"/>
      <c r="Y180" s="448"/>
      <c r="Z180" s="448"/>
      <c r="AA180" s="448"/>
      <c r="AB180" s="448"/>
      <c r="AC180" s="448"/>
      <c r="AD180" s="448"/>
      <c r="AE180" s="448"/>
      <c r="AF180" s="448"/>
      <c r="AG180" s="448"/>
      <c r="AH180" s="448"/>
      <c r="AI180" s="448"/>
      <c r="AJ180" s="448"/>
      <c r="AK180" s="448"/>
      <c r="AL180" s="448"/>
      <c r="AM180" s="448"/>
      <c r="AN180" s="448"/>
      <c r="AO180" s="448"/>
      <c r="AP180" s="448"/>
      <c r="AQ180" s="448"/>
      <c r="AR180" s="448"/>
      <c r="AS180" s="448"/>
      <c r="AT180" s="448"/>
      <c r="AU180" s="448"/>
      <c r="AV180" s="448"/>
      <c r="AW180" s="448"/>
      <c r="AX180" s="448"/>
      <c r="AY180" s="448"/>
      <c r="AZ180" s="448"/>
      <c r="BA180" s="448"/>
      <c r="BB180" s="448"/>
      <c r="BC180" s="448"/>
      <c r="BD180" s="448"/>
      <c r="BE180" s="448"/>
      <c r="BF180" s="448"/>
      <c r="BG180" s="448"/>
      <c r="BH180" s="448"/>
      <c r="BI180" s="448"/>
      <c r="BJ180" s="448"/>
      <c r="BK180" s="448"/>
      <c r="BL180" s="448"/>
      <c r="BM180" s="448"/>
      <c r="BN180" s="448"/>
      <c r="BO180" s="448"/>
      <c r="BP180" s="448"/>
      <c r="BQ180" s="448"/>
      <c r="BR180" s="448"/>
      <c r="BS180" s="448"/>
      <c r="BT180" s="448"/>
    </row>
    <row r="181" spans="1:72" s="514" customFormat="1" ht="15.75" customHeight="1">
      <c r="A181" s="397"/>
      <c r="B181" s="398"/>
      <c r="C181" s="416"/>
      <c r="D181" s="399"/>
      <c r="E181" s="399" t="s">
        <v>152</v>
      </c>
      <c r="F181" s="409" t="s">
        <v>98</v>
      </c>
      <c r="G181" s="410">
        <f>34551.24-2130+6303</f>
        <v>38724.239999999998</v>
      </c>
      <c r="H181" s="448"/>
      <c r="I181" s="448"/>
      <c r="J181" s="448"/>
      <c r="K181" s="448"/>
      <c r="L181" s="448"/>
      <c r="M181" s="448"/>
      <c r="N181" s="448"/>
      <c r="O181" s="448"/>
      <c r="P181" s="448"/>
      <c r="Q181" s="448"/>
      <c r="R181" s="448"/>
      <c r="S181" s="448"/>
      <c r="T181" s="448"/>
      <c r="U181" s="448"/>
      <c r="V181" s="448"/>
      <c r="W181" s="448"/>
      <c r="X181" s="448"/>
      <c r="Y181" s="448"/>
      <c r="Z181" s="448"/>
      <c r="AA181" s="448"/>
      <c r="AB181" s="448"/>
      <c r="AC181" s="448"/>
      <c r="AD181" s="448"/>
      <c r="AE181" s="448"/>
      <c r="AF181" s="448"/>
      <c r="AG181" s="448"/>
      <c r="AH181" s="448"/>
      <c r="AI181" s="448"/>
      <c r="AJ181" s="448"/>
      <c r="AK181" s="448"/>
      <c r="AL181" s="448"/>
      <c r="AM181" s="448"/>
      <c r="AN181" s="448"/>
      <c r="AO181" s="448"/>
      <c r="AP181" s="448"/>
      <c r="AQ181" s="448"/>
      <c r="AR181" s="448"/>
      <c r="AS181" s="448"/>
      <c r="AT181" s="448"/>
      <c r="AU181" s="448"/>
      <c r="AV181" s="448"/>
      <c r="AW181" s="448"/>
      <c r="AX181" s="448"/>
      <c r="AY181" s="448"/>
      <c r="AZ181" s="448"/>
      <c r="BA181" s="448"/>
      <c r="BB181" s="448"/>
      <c r="BC181" s="448"/>
      <c r="BD181" s="448"/>
      <c r="BE181" s="448"/>
      <c r="BF181" s="448"/>
      <c r="BG181" s="448"/>
      <c r="BH181" s="448"/>
      <c r="BI181" s="448"/>
      <c r="BJ181" s="448"/>
      <c r="BK181" s="448"/>
      <c r="BL181" s="448"/>
      <c r="BM181" s="448"/>
      <c r="BN181" s="448"/>
      <c r="BO181" s="448"/>
      <c r="BP181" s="448"/>
      <c r="BQ181" s="448"/>
      <c r="BR181" s="448"/>
      <c r="BS181" s="448"/>
      <c r="BT181" s="448"/>
    </row>
    <row r="182" spans="1:72" s="514" customFormat="1" ht="15.75" customHeight="1">
      <c r="A182" s="397"/>
      <c r="B182" s="398"/>
      <c r="C182" s="416"/>
      <c r="D182" s="399"/>
      <c r="E182" s="399" t="s">
        <v>118</v>
      </c>
      <c r="F182" s="409" t="s">
        <v>98</v>
      </c>
      <c r="G182" s="410">
        <f>7785.48-400+630</f>
        <v>8015.48</v>
      </c>
      <c r="H182" s="448"/>
      <c r="I182" s="448"/>
      <c r="J182" s="448"/>
      <c r="K182" s="448"/>
      <c r="L182" s="448"/>
      <c r="M182" s="448"/>
      <c r="N182" s="448"/>
      <c r="O182" s="448"/>
      <c r="P182" s="448"/>
      <c r="Q182" s="448"/>
      <c r="R182" s="448"/>
      <c r="S182" s="448"/>
      <c r="T182" s="448"/>
      <c r="U182" s="448"/>
      <c r="V182" s="448"/>
      <c r="W182" s="448"/>
      <c r="X182" s="448"/>
      <c r="Y182" s="448"/>
      <c r="Z182" s="448"/>
      <c r="AA182" s="448"/>
      <c r="AB182" s="448"/>
      <c r="AC182" s="448"/>
      <c r="AD182" s="448"/>
      <c r="AE182" s="448"/>
      <c r="AF182" s="448"/>
      <c r="AG182" s="448"/>
      <c r="AH182" s="448"/>
      <c r="AI182" s="448"/>
      <c r="AJ182" s="448"/>
      <c r="AK182" s="448"/>
      <c r="AL182" s="448"/>
      <c r="AM182" s="448"/>
      <c r="AN182" s="448"/>
      <c r="AO182" s="448"/>
      <c r="AP182" s="448"/>
      <c r="AQ182" s="448"/>
      <c r="AR182" s="448"/>
      <c r="AS182" s="448"/>
      <c r="AT182" s="448"/>
      <c r="AU182" s="448"/>
      <c r="AV182" s="448"/>
      <c r="AW182" s="448"/>
      <c r="AX182" s="448"/>
      <c r="AY182" s="448"/>
      <c r="AZ182" s="448"/>
      <c r="BA182" s="448"/>
      <c r="BB182" s="448"/>
      <c r="BC182" s="448"/>
      <c r="BD182" s="448"/>
      <c r="BE182" s="448"/>
      <c r="BF182" s="448"/>
      <c r="BG182" s="448"/>
      <c r="BH182" s="448"/>
      <c r="BI182" s="448"/>
      <c r="BJ182" s="448"/>
      <c r="BK182" s="448"/>
      <c r="BL182" s="448"/>
      <c r="BM182" s="448"/>
      <c r="BN182" s="448"/>
      <c r="BO182" s="448"/>
      <c r="BP182" s="448"/>
      <c r="BQ182" s="448"/>
      <c r="BR182" s="448"/>
      <c r="BS182" s="448"/>
      <c r="BT182" s="448"/>
    </row>
    <row r="183" spans="1:72" s="514" customFormat="1" ht="15.75" customHeight="1">
      <c r="A183" s="397"/>
      <c r="B183" s="398"/>
      <c r="C183" s="416"/>
      <c r="D183" s="399"/>
      <c r="E183" s="399" t="s">
        <v>119</v>
      </c>
      <c r="F183" s="409" t="s">
        <v>98</v>
      </c>
      <c r="G183" s="410">
        <f>12121</f>
        <v>12121</v>
      </c>
      <c r="H183" s="448"/>
      <c r="I183" s="448"/>
      <c r="J183" s="448"/>
      <c r="K183" s="448"/>
      <c r="L183" s="448"/>
      <c r="M183" s="448"/>
      <c r="N183" s="448"/>
      <c r="O183" s="448"/>
      <c r="P183" s="448"/>
      <c r="Q183" s="448"/>
      <c r="R183" s="448"/>
      <c r="S183" s="448"/>
      <c r="T183" s="448"/>
      <c r="U183" s="448"/>
      <c r="V183" s="448"/>
      <c r="W183" s="448"/>
      <c r="X183" s="448"/>
      <c r="Y183" s="448"/>
      <c r="Z183" s="448"/>
      <c r="AA183" s="448"/>
      <c r="AB183" s="448"/>
      <c r="AC183" s="448"/>
      <c r="AD183" s="448"/>
      <c r="AE183" s="448"/>
      <c r="AF183" s="448"/>
      <c r="AG183" s="448"/>
      <c r="AH183" s="448"/>
      <c r="AI183" s="448"/>
      <c r="AJ183" s="448"/>
      <c r="AK183" s="448"/>
      <c r="AL183" s="448"/>
      <c r="AM183" s="448"/>
      <c r="AN183" s="448"/>
      <c r="AO183" s="448"/>
      <c r="AP183" s="448"/>
      <c r="AQ183" s="448"/>
      <c r="AR183" s="448"/>
      <c r="AS183" s="448"/>
      <c r="AT183" s="448"/>
      <c r="AU183" s="448"/>
      <c r="AV183" s="448"/>
      <c r="AW183" s="448"/>
      <c r="AX183" s="448"/>
      <c r="AY183" s="448"/>
      <c r="AZ183" s="448"/>
      <c r="BA183" s="448"/>
      <c r="BB183" s="448"/>
      <c r="BC183" s="448"/>
      <c r="BD183" s="448"/>
      <c r="BE183" s="448"/>
      <c r="BF183" s="448"/>
      <c r="BG183" s="448"/>
      <c r="BH183" s="448"/>
      <c r="BI183" s="448"/>
      <c r="BJ183" s="448"/>
      <c r="BK183" s="448"/>
      <c r="BL183" s="448"/>
      <c r="BM183" s="448"/>
      <c r="BN183" s="448"/>
      <c r="BO183" s="448"/>
      <c r="BP183" s="448"/>
      <c r="BQ183" s="448"/>
      <c r="BR183" s="448"/>
      <c r="BS183" s="448"/>
      <c r="BT183" s="448"/>
    </row>
    <row r="184" spans="1:72" s="514" customFormat="1" ht="9.75" customHeight="1">
      <c r="A184" s="397"/>
      <c r="B184" s="398"/>
      <c r="C184" s="416"/>
      <c r="D184" s="399"/>
      <c r="E184" s="400"/>
      <c r="F184" s="402"/>
      <c r="G184" s="414"/>
      <c r="H184" s="448"/>
      <c r="I184" s="448"/>
      <c r="J184" s="448"/>
      <c r="K184" s="448"/>
      <c r="L184" s="448"/>
      <c r="M184" s="448"/>
      <c r="N184" s="448"/>
      <c r="O184" s="448"/>
      <c r="P184" s="448"/>
      <c r="Q184" s="448"/>
      <c r="R184" s="448"/>
      <c r="S184" s="448"/>
      <c r="T184" s="448"/>
      <c r="U184" s="448"/>
      <c r="V184" s="448"/>
      <c r="W184" s="448"/>
      <c r="X184" s="448"/>
      <c r="Y184" s="448"/>
      <c r="Z184" s="448"/>
      <c r="AA184" s="448"/>
      <c r="AB184" s="448"/>
      <c r="AC184" s="448"/>
      <c r="AD184" s="448"/>
      <c r="AE184" s="448"/>
      <c r="AF184" s="448"/>
      <c r="AG184" s="448"/>
      <c r="AH184" s="448"/>
      <c r="AI184" s="448"/>
      <c r="AJ184" s="448"/>
      <c r="AK184" s="448"/>
      <c r="AL184" s="448"/>
      <c r="AM184" s="448"/>
      <c r="AN184" s="448"/>
      <c r="AO184" s="448"/>
      <c r="AP184" s="448"/>
      <c r="AQ184" s="448"/>
      <c r="AR184" s="448"/>
      <c r="AS184" s="448"/>
      <c r="AT184" s="448"/>
      <c r="AU184" s="448"/>
      <c r="AV184" s="448"/>
      <c r="AW184" s="448"/>
      <c r="AX184" s="448"/>
      <c r="AY184" s="448"/>
      <c r="AZ184" s="448"/>
      <c r="BA184" s="448"/>
      <c r="BB184" s="448"/>
      <c r="BC184" s="448"/>
      <c r="BD184" s="448"/>
      <c r="BE184" s="448"/>
      <c r="BF184" s="448"/>
      <c r="BG184" s="448"/>
      <c r="BH184" s="448"/>
      <c r="BI184" s="448"/>
      <c r="BJ184" s="448"/>
      <c r="BK184" s="448"/>
      <c r="BL184" s="448"/>
      <c r="BM184" s="448"/>
      <c r="BN184" s="448"/>
      <c r="BO184" s="448"/>
      <c r="BP184" s="448"/>
      <c r="BQ184" s="448"/>
      <c r="BR184" s="448"/>
      <c r="BS184" s="448"/>
      <c r="BT184" s="448"/>
    </row>
    <row r="185" spans="1:72" s="514" customFormat="1" ht="20.25" customHeight="1">
      <c r="A185" s="397"/>
      <c r="B185" s="516" t="s">
        <v>23</v>
      </c>
      <c r="C185" s="399" t="s">
        <v>150</v>
      </c>
      <c r="D185" s="399" t="s">
        <v>158</v>
      </c>
      <c r="E185" s="400" t="s">
        <v>98</v>
      </c>
      <c r="F185" s="402" t="s">
        <v>98</v>
      </c>
      <c r="G185" s="401">
        <f>SUM(G187)</f>
        <v>26477</v>
      </c>
      <c r="H185" s="448"/>
      <c r="I185" s="448"/>
      <c r="J185" s="448"/>
      <c r="K185" s="448"/>
      <c r="L185" s="448"/>
      <c r="M185" s="448"/>
      <c r="N185" s="448"/>
      <c r="O185" s="448"/>
      <c r="P185" s="448"/>
      <c r="Q185" s="448"/>
      <c r="R185" s="448"/>
      <c r="S185" s="448"/>
      <c r="T185" s="448"/>
      <c r="U185" s="448"/>
      <c r="V185" s="448"/>
      <c r="W185" s="448"/>
      <c r="X185" s="448"/>
      <c r="Y185" s="448"/>
      <c r="Z185" s="448"/>
      <c r="AA185" s="448"/>
      <c r="AB185" s="448"/>
      <c r="AC185" s="448"/>
      <c r="AD185" s="448"/>
      <c r="AE185" s="448"/>
      <c r="AF185" s="448"/>
      <c r="AG185" s="448"/>
      <c r="AH185" s="448"/>
      <c r="AI185" s="448"/>
      <c r="AJ185" s="448"/>
      <c r="AK185" s="448"/>
      <c r="AL185" s="448"/>
      <c r="AM185" s="448"/>
      <c r="AN185" s="448"/>
      <c r="AO185" s="448"/>
      <c r="AP185" s="448"/>
      <c r="AQ185" s="448"/>
      <c r="AR185" s="448"/>
      <c r="AS185" s="448"/>
      <c r="AT185" s="448"/>
      <c r="AU185" s="448"/>
      <c r="AV185" s="448"/>
      <c r="AW185" s="448"/>
      <c r="AX185" s="448"/>
      <c r="AY185" s="448"/>
      <c r="AZ185" s="448"/>
      <c r="BA185" s="448"/>
      <c r="BB185" s="448"/>
      <c r="BC185" s="448"/>
      <c r="BD185" s="448"/>
      <c r="BE185" s="448"/>
      <c r="BF185" s="448"/>
      <c r="BG185" s="448"/>
      <c r="BH185" s="448"/>
      <c r="BI185" s="448"/>
      <c r="BJ185" s="448"/>
      <c r="BK185" s="448"/>
      <c r="BL185" s="448"/>
      <c r="BM185" s="448"/>
      <c r="BN185" s="448"/>
      <c r="BO185" s="448"/>
      <c r="BP185" s="448"/>
      <c r="BQ185" s="448"/>
      <c r="BR185" s="448"/>
      <c r="BS185" s="448"/>
      <c r="BT185" s="448"/>
    </row>
    <row r="186" spans="1:72" s="514" customFormat="1" ht="9.75" customHeight="1">
      <c r="A186" s="397"/>
      <c r="B186" s="398"/>
      <c r="C186" s="416"/>
      <c r="D186" s="399"/>
      <c r="E186" s="399"/>
      <c r="F186" s="409"/>
      <c r="G186" s="410"/>
      <c r="H186" s="448"/>
      <c r="I186" s="448"/>
      <c r="J186" s="448"/>
      <c r="K186" s="448"/>
      <c r="L186" s="448"/>
      <c r="M186" s="448"/>
      <c r="N186" s="448"/>
      <c r="O186" s="448"/>
      <c r="P186" s="448"/>
      <c r="Q186" s="448"/>
      <c r="R186" s="448"/>
      <c r="S186" s="448"/>
      <c r="T186" s="448"/>
      <c r="U186" s="448"/>
      <c r="V186" s="448"/>
      <c r="W186" s="448"/>
      <c r="X186" s="448"/>
      <c r="Y186" s="448"/>
      <c r="Z186" s="448"/>
      <c r="AA186" s="448"/>
      <c r="AB186" s="448"/>
      <c r="AC186" s="448"/>
      <c r="AD186" s="448"/>
      <c r="AE186" s="448"/>
      <c r="AF186" s="448"/>
      <c r="AG186" s="448"/>
      <c r="AH186" s="448"/>
      <c r="AI186" s="448"/>
      <c r="AJ186" s="448"/>
      <c r="AK186" s="448"/>
      <c r="AL186" s="448"/>
      <c r="AM186" s="448"/>
      <c r="AN186" s="448"/>
      <c r="AO186" s="448"/>
      <c r="AP186" s="448"/>
      <c r="AQ186" s="448"/>
      <c r="AR186" s="448"/>
      <c r="AS186" s="448"/>
      <c r="AT186" s="448"/>
      <c r="AU186" s="448"/>
      <c r="AV186" s="448"/>
      <c r="AW186" s="448"/>
      <c r="AX186" s="448"/>
      <c r="AY186" s="448"/>
      <c r="AZ186" s="448"/>
      <c r="BA186" s="448"/>
      <c r="BB186" s="448"/>
      <c r="BC186" s="448"/>
      <c r="BD186" s="448"/>
      <c r="BE186" s="448"/>
      <c r="BF186" s="448"/>
      <c r="BG186" s="448"/>
      <c r="BH186" s="448"/>
      <c r="BI186" s="448"/>
      <c r="BJ186" s="448"/>
      <c r="BK186" s="448"/>
      <c r="BL186" s="448"/>
      <c r="BM186" s="448"/>
      <c r="BN186" s="448"/>
      <c r="BO186" s="448"/>
      <c r="BP186" s="448"/>
      <c r="BQ186" s="448"/>
      <c r="BR186" s="448"/>
      <c r="BS186" s="448"/>
      <c r="BT186" s="448"/>
    </row>
    <row r="187" spans="1:72" s="514" customFormat="1" ht="15.75" customHeight="1">
      <c r="A187" s="397"/>
      <c r="B187" s="398"/>
      <c r="C187" s="416"/>
      <c r="D187" s="399"/>
      <c r="E187" s="399"/>
      <c r="F187" s="409"/>
      <c r="G187" s="515">
        <f>SUM(G188)</f>
        <v>26477</v>
      </c>
      <c r="H187" s="448"/>
      <c r="I187" s="448"/>
      <c r="J187" s="448"/>
      <c r="K187" s="448"/>
      <c r="L187" s="448"/>
      <c r="M187" s="448"/>
      <c r="N187" s="448"/>
      <c r="O187" s="448"/>
      <c r="P187" s="448"/>
      <c r="Q187" s="448"/>
      <c r="R187" s="448"/>
      <c r="S187" s="448"/>
      <c r="T187" s="448"/>
      <c r="U187" s="448"/>
      <c r="V187" s="448"/>
      <c r="W187" s="448"/>
      <c r="X187" s="448"/>
      <c r="Y187" s="448"/>
      <c r="Z187" s="448"/>
      <c r="AA187" s="448"/>
      <c r="AB187" s="448"/>
      <c r="AC187" s="448"/>
      <c r="AD187" s="448"/>
      <c r="AE187" s="448"/>
      <c r="AF187" s="448"/>
      <c r="AG187" s="448"/>
      <c r="AH187" s="448"/>
      <c r="AI187" s="448"/>
      <c r="AJ187" s="448"/>
      <c r="AK187" s="448"/>
      <c r="AL187" s="448"/>
      <c r="AM187" s="448"/>
      <c r="AN187" s="448"/>
      <c r="AO187" s="448"/>
      <c r="AP187" s="448"/>
      <c r="AQ187" s="448"/>
      <c r="AR187" s="448"/>
      <c r="AS187" s="448"/>
      <c r="AT187" s="448"/>
      <c r="AU187" s="448"/>
      <c r="AV187" s="448"/>
      <c r="AW187" s="448"/>
      <c r="AX187" s="448"/>
      <c r="AY187" s="448"/>
      <c r="AZ187" s="448"/>
      <c r="BA187" s="448"/>
      <c r="BB187" s="448"/>
      <c r="BC187" s="448"/>
      <c r="BD187" s="448"/>
      <c r="BE187" s="448"/>
      <c r="BF187" s="448"/>
      <c r="BG187" s="448"/>
      <c r="BH187" s="448"/>
      <c r="BI187" s="448"/>
      <c r="BJ187" s="448"/>
      <c r="BK187" s="448"/>
      <c r="BL187" s="448"/>
      <c r="BM187" s="448"/>
      <c r="BN187" s="448"/>
      <c r="BO187" s="448"/>
      <c r="BP187" s="448"/>
      <c r="BQ187" s="448"/>
      <c r="BR187" s="448"/>
      <c r="BS187" s="448"/>
      <c r="BT187" s="448"/>
    </row>
    <row r="188" spans="1:72" s="514" customFormat="1" ht="15.75" customHeight="1">
      <c r="A188" s="397"/>
      <c r="B188" s="398"/>
      <c r="C188" s="416"/>
      <c r="D188" s="399"/>
      <c r="E188" s="399" t="s">
        <v>24</v>
      </c>
      <c r="F188" s="409" t="s">
        <v>98</v>
      </c>
      <c r="G188" s="410">
        <f>4326+5679+5301+5672+5499+5688-5688</f>
        <v>26477</v>
      </c>
      <c r="H188" s="448"/>
      <c r="I188" s="448"/>
      <c r="J188" s="448"/>
      <c r="K188" s="448"/>
      <c r="L188" s="448"/>
      <c r="M188" s="448"/>
      <c r="N188" s="448"/>
      <c r="O188" s="448"/>
      <c r="P188" s="448"/>
      <c r="Q188" s="448"/>
      <c r="R188" s="448"/>
      <c r="S188" s="448"/>
      <c r="T188" s="448"/>
      <c r="U188" s="448"/>
      <c r="V188" s="448"/>
      <c r="W188" s="448"/>
      <c r="X188" s="448"/>
      <c r="Y188" s="448"/>
      <c r="Z188" s="448"/>
      <c r="AA188" s="448"/>
      <c r="AB188" s="448"/>
      <c r="AC188" s="448"/>
      <c r="AD188" s="448"/>
      <c r="AE188" s="448"/>
      <c r="AF188" s="448"/>
      <c r="AG188" s="448"/>
      <c r="AH188" s="448"/>
      <c r="AI188" s="448"/>
      <c r="AJ188" s="448"/>
      <c r="AK188" s="448"/>
      <c r="AL188" s="448"/>
      <c r="AM188" s="448"/>
      <c r="AN188" s="448"/>
      <c r="AO188" s="448"/>
      <c r="AP188" s="448"/>
      <c r="AQ188" s="448"/>
      <c r="AR188" s="448"/>
      <c r="AS188" s="448"/>
      <c r="AT188" s="448"/>
      <c r="AU188" s="448"/>
      <c r="AV188" s="448"/>
      <c r="AW188" s="448"/>
      <c r="AX188" s="448"/>
      <c r="AY188" s="448"/>
      <c r="AZ188" s="448"/>
      <c r="BA188" s="448"/>
      <c r="BB188" s="448"/>
      <c r="BC188" s="448"/>
      <c r="BD188" s="448"/>
      <c r="BE188" s="448"/>
      <c r="BF188" s="448"/>
      <c r="BG188" s="448"/>
      <c r="BH188" s="448"/>
      <c r="BI188" s="448"/>
      <c r="BJ188" s="448"/>
      <c r="BK188" s="448"/>
      <c r="BL188" s="448"/>
      <c r="BM188" s="448"/>
      <c r="BN188" s="448"/>
      <c r="BO188" s="448"/>
      <c r="BP188" s="448"/>
      <c r="BQ188" s="448"/>
      <c r="BR188" s="448"/>
      <c r="BS188" s="448"/>
      <c r="BT188" s="448"/>
    </row>
    <row r="189" spans="1:72" s="514" customFormat="1" ht="8.25" customHeight="1">
      <c r="A189" s="411"/>
      <c r="B189" s="412"/>
      <c r="C189" s="413"/>
      <c r="D189" s="400"/>
      <c r="E189" s="400"/>
      <c r="F189" s="402"/>
      <c r="G189" s="414"/>
      <c r="H189" s="448"/>
      <c r="I189" s="448"/>
      <c r="J189" s="448"/>
      <c r="K189" s="448"/>
      <c r="L189" s="448"/>
      <c r="M189" s="448"/>
      <c r="N189" s="448"/>
      <c r="O189" s="448"/>
      <c r="P189" s="448"/>
      <c r="Q189" s="448"/>
      <c r="R189" s="448"/>
      <c r="S189" s="448"/>
      <c r="T189" s="448"/>
      <c r="U189" s="448"/>
      <c r="V189" s="448"/>
      <c r="W189" s="448"/>
      <c r="X189" s="448"/>
      <c r="Y189" s="448"/>
      <c r="Z189" s="448"/>
      <c r="AA189" s="448"/>
      <c r="AB189" s="448"/>
      <c r="AC189" s="448"/>
      <c r="AD189" s="448"/>
      <c r="AE189" s="448"/>
      <c r="AF189" s="448"/>
      <c r="AG189" s="448"/>
      <c r="AH189" s="448"/>
      <c r="AI189" s="448"/>
      <c r="AJ189" s="448"/>
      <c r="AK189" s="448"/>
      <c r="AL189" s="448"/>
      <c r="AM189" s="448"/>
      <c r="AN189" s="448"/>
      <c r="AO189" s="448"/>
      <c r="AP189" s="448"/>
      <c r="AQ189" s="448"/>
      <c r="AR189" s="448"/>
      <c r="AS189" s="448"/>
      <c r="AT189" s="448"/>
      <c r="AU189" s="448"/>
      <c r="AV189" s="448"/>
      <c r="AW189" s="448"/>
      <c r="AX189" s="448"/>
      <c r="AY189" s="448"/>
      <c r="AZ189" s="448"/>
      <c r="BA189" s="448"/>
      <c r="BB189" s="448"/>
      <c r="BC189" s="448"/>
      <c r="BD189" s="448"/>
      <c r="BE189" s="448"/>
      <c r="BF189" s="448"/>
      <c r="BG189" s="448"/>
      <c r="BH189" s="448"/>
      <c r="BI189" s="448"/>
      <c r="BJ189" s="448"/>
      <c r="BK189" s="448"/>
      <c r="BL189" s="448"/>
      <c r="BM189" s="448"/>
      <c r="BN189" s="448"/>
      <c r="BO189" s="448"/>
      <c r="BP189" s="448"/>
      <c r="BQ189" s="448"/>
      <c r="BR189" s="448"/>
      <c r="BS189" s="448"/>
      <c r="BT189" s="448"/>
    </row>
    <row r="190" spans="1:72" s="514" customFormat="1" ht="24.75" customHeight="1">
      <c r="A190" s="397"/>
      <c r="B190" s="517" t="s">
        <v>26</v>
      </c>
      <c r="C190" s="399" t="s">
        <v>150</v>
      </c>
      <c r="D190" s="399" t="s">
        <v>158</v>
      </c>
      <c r="E190" s="400" t="s">
        <v>98</v>
      </c>
      <c r="F190" s="402" t="s">
        <v>98</v>
      </c>
      <c r="G190" s="401">
        <f>SUM(G192)</f>
        <v>29825</v>
      </c>
      <c r="H190" s="448"/>
      <c r="I190" s="448"/>
      <c r="J190" s="448"/>
      <c r="K190" s="448"/>
      <c r="L190" s="448"/>
      <c r="M190" s="448"/>
      <c r="N190" s="448"/>
      <c r="O190" s="448"/>
      <c r="P190" s="448"/>
      <c r="Q190" s="448"/>
      <c r="R190" s="448"/>
      <c r="S190" s="448"/>
      <c r="T190" s="448"/>
      <c r="U190" s="448"/>
      <c r="V190" s="448"/>
      <c r="W190" s="448"/>
      <c r="X190" s="448"/>
      <c r="Y190" s="448"/>
      <c r="Z190" s="448"/>
      <c r="AA190" s="448"/>
      <c r="AB190" s="448"/>
      <c r="AC190" s="448"/>
      <c r="AD190" s="448"/>
      <c r="AE190" s="448"/>
      <c r="AF190" s="448"/>
      <c r="AG190" s="448"/>
      <c r="AH190" s="448"/>
      <c r="AI190" s="448"/>
      <c r="AJ190" s="448"/>
      <c r="AK190" s="448"/>
      <c r="AL190" s="448"/>
      <c r="AM190" s="448"/>
      <c r="AN190" s="448"/>
      <c r="AO190" s="448"/>
      <c r="AP190" s="448"/>
      <c r="AQ190" s="448"/>
      <c r="AR190" s="448"/>
      <c r="AS190" s="448"/>
      <c r="AT190" s="448"/>
      <c r="AU190" s="448"/>
      <c r="AV190" s="448"/>
      <c r="AW190" s="448"/>
      <c r="AX190" s="448"/>
      <c r="AY190" s="448"/>
      <c r="AZ190" s="448"/>
      <c r="BA190" s="448"/>
      <c r="BB190" s="448"/>
      <c r="BC190" s="448"/>
      <c r="BD190" s="448"/>
      <c r="BE190" s="448"/>
      <c r="BF190" s="448"/>
      <c r="BG190" s="448"/>
      <c r="BH190" s="448"/>
      <c r="BI190" s="448"/>
      <c r="BJ190" s="448"/>
      <c r="BK190" s="448"/>
      <c r="BL190" s="448"/>
      <c r="BM190" s="448"/>
      <c r="BN190" s="448"/>
      <c r="BO190" s="448"/>
      <c r="BP190" s="448"/>
      <c r="BQ190" s="448"/>
      <c r="BR190" s="448"/>
      <c r="BS190" s="448"/>
      <c r="BT190" s="448"/>
    </row>
    <row r="191" spans="1:72" s="514" customFormat="1" ht="7.5" customHeight="1">
      <c r="A191" s="397"/>
      <c r="B191" s="398"/>
      <c r="C191" s="416"/>
      <c r="D191" s="399"/>
      <c r="E191" s="399"/>
      <c r="F191" s="409"/>
      <c r="G191" s="410"/>
      <c r="H191" s="448"/>
      <c r="I191" s="448"/>
      <c r="J191" s="448"/>
      <c r="K191" s="448"/>
      <c r="L191" s="448"/>
      <c r="M191" s="448"/>
      <c r="N191" s="448"/>
      <c r="O191" s="448"/>
      <c r="P191" s="448"/>
      <c r="Q191" s="448"/>
      <c r="R191" s="448"/>
      <c r="S191" s="448"/>
      <c r="T191" s="448"/>
      <c r="U191" s="448"/>
      <c r="V191" s="448"/>
      <c r="W191" s="448"/>
      <c r="X191" s="448"/>
      <c r="Y191" s="448"/>
      <c r="Z191" s="448"/>
      <c r="AA191" s="448"/>
      <c r="AB191" s="448"/>
      <c r="AC191" s="448"/>
      <c r="AD191" s="448"/>
      <c r="AE191" s="448"/>
      <c r="AF191" s="448"/>
      <c r="AG191" s="448"/>
      <c r="AH191" s="448"/>
      <c r="AI191" s="448"/>
      <c r="AJ191" s="448"/>
      <c r="AK191" s="448"/>
      <c r="AL191" s="448"/>
      <c r="AM191" s="448"/>
      <c r="AN191" s="448"/>
      <c r="AO191" s="448"/>
      <c r="AP191" s="448"/>
      <c r="AQ191" s="448"/>
      <c r="AR191" s="448"/>
      <c r="AS191" s="448"/>
      <c r="AT191" s="448"/>
      <c r="AU191" s="448"/>
      <c r="AV191" s="448"/>
      <c r="AW191" s="448"/>
      <c r="AX191" s="448"/>
      <c r="AY191" s="448"/>
      <c r="AZ191" s="448"/>
      <c r="BA191" s="448"/>
      <c r="BB191" s="448"/>
      <c r="BC191" s="448"/>
      <c r="BD191" s="448"/>
      <c r="BE191" s="448"/>
      <c r="BF191" s="448"/>
      <c r="BG191" s="448"/>
      <c r="BH191" s="448"/>
      <c r="BI191" s="448"/>
      <c r="BJ191" s="448"/>
      <c r="BK191" s="448"/>
      <c r="BL191" s="448"/>
      <c r="BM191" s="448"/>
      <c r="BN191" s="448"/>
      <c r="BO191" s="448"/>
      <c r="BP191" s="448"/>
      <c r="BQ191" s="448"/>
      <c r="BR191" s="448"/>
      <c r="BS191" s="448"/>
      <c r="BT191" s="448"/>
    </row>
    <row r="192" spans="1:72" s="514" customFormat="1" ht="15.75" customHeight="1">
      <c r="A192" s="397"/>
      <c r="B192" s="398"/>
      <c r="C192" s="416"/>
      <c r="D192" s="399"/>
      <c r="E192" s="399"/>
      <c r="F192" s="409"/>
      <c r="G192" s="515">
        <f>SUM(G193)</f>
        <v>29825</v>
      </c>
      <c r="H192" s="448"/>
      <c r="I192" s="448"/>
      <c r="J192" s="448"/>
      <c r="K192" s="448"/>
      <c r="L192" s="448"/>
      <c r="M192" s="448"/>
      <c r="N192" s="448"/>
      <c r="O192" s="448"/>
      <c r="P192" s="448"/>
      <c r="Q192" s="448"/>
      <c r="R192" s="448"/>
      <c r="S192" s="448"/>
      <c r="T192" s="448"/>
      <c r="U192" s="448"/>
      <c r="V192" s="448"/>
      <c r="W192" s="448"/>
      <c r="X192" s="448"/>
      <c r="Y192" s="448"/>
      <c r="Z192" s="448"/>
      <c r="AA192" s="448"/>
      <c r="AB192" s="448"/>
      <c r="AC192" s="448"/>
      <c r="AD192" s="448"/>
      <c r="AE192" s="448"/>
      <c r="AF192" s="448"/>
      <c r="AG192" s="448"/>
      <c r="AH192" s="448"/>
      <c r="AI192" s="448"/>
      <c r="AJ192" s="448"/>
      <c r="AK192" s="448"/>
      <c r="AL192" s="448"/>
      <c r="AM192" s="448"/>
      <c r="AN192" s="448"/>
      <c r="AO192" s="448"/>
      <c r="AP192" s="448"/>
      <c r="AQ192" s="448"/>
      <c r="AR192" s="448"/>
      <c r="AS192" s="448"/>
      <c r="AT192" s="448"/>
      <c r="AU192" s="448"/>
      <c r="AV192" s="448"/>
      <c r="AW192" s="448"/>
      <c r="AX192" s="448"/>
      <c r="AY192" s="448"/>
      <c r="AZ192" s="448"/>
      <c r="BA192" s="448"/>
      <c r="BB192" s="448"/>
      <c r="BC192" s="448"/>
      <c r="BD192" s="448"/>
      <c r="BE192" s="448"/>
      <c r="BF192" s="448"/>
      <c r="BG192" s="448"/>
      <c r="BH192" s="448"/>
      <c r="BI192" s="448"/>
      <c r="BJ192" s="448"/>
      <c r="BK192" s="448"/>
      <c r="BL192" s="448"/>
      <c r="BM192" s="448"/>
      <c r="BN192" s="448"/>
      <c r="BO192" s="448"/>
      <c r="BP192" s="448"/>
      <c r="BQ192" s="448"/>
      <c r="BR192" s="448"/>
      <c r="BS192" s="448"/>
      <c r="BT192" s="448"/>
    </row>
    <row r="193" spans="1:72" s="514" customFormat="1" ht="15.75" customHeight="1">
      <c r="A193" s="397"/>
      <c r="B193" s="398"/>
      <c r="C193" s="416"/>
      <c r="D193" s="399"/>
      <c r="E193" s="399" t="s">
        <v>24</v>
      </c>
      <c r="F193" s="409" t="s">
        <v>98</v>
      </c>
      <c r="G193" s="410">
        <f>5688+5510+5699+5708+7220</f>
        <v>29825</v>
      </c>
      <c r="H193" s="448"/>
      <c r="I193" s="448"/>
      <c r="J193" s="448"/>
      <c r="K193" s="448"/>
      <c r="L193" s="448"/>
      <c r="M193" s="448"/>
      <c r="N193" s="448"/>
      <c r="O193" s="448"/>
      <c r="P193" s="448"/>
      <c r="Q193" s="448"/>
      <c r="R193" s="448"/>
      <c r="S193" s="448"/>
      <c r="T193" s="448"/>
      <c r="U193" s="448"/>
      <c r="V193" s="448"/>
      <c r="W193" s="448"/>
      <c r="X193" s="448"/>
      <c r="Y193" s="448"/>
      <c r="Z193" s="448"/>
      <c r="AA193" s="448"/>
      <c r="AB193" s="448"/>
      <c r="AC193" s="448"/>
      <c r="AD193" s="448"/>
      <c r="AE193" s="448"/>
      <c r="AF193" s="448"/>
      <c r="AG193" s="448"/>
      <c r="AH193" s="448"/>
      <c r="AI193" s="448"/>
      <c r="AJ193" s="448"/>
      <c r="AK193" s="448"/>
      <c r="AL193" s="448"/>
      <c r="AM193" s="448"/>
      <c r="AN193" s="448"/>
      <c r="AO193" s="448"/>
      <c r="AP193" s="448"/>
      <c r="AQ193" s="448"/>
      <c r="AR193" s="448"/>
      <c r="AS193" s="448"/>
      <c r="AT193" s="448"/>
      <c r="AU193" s="448"/>
      <c r="AV193" s="448"/>
      <c r="AW193" s="448"/>
      <c r="AX193" s="448"/>
      <c r="AY193" s="448"/>
      <c r="AZ193" s="448"/>
      <c r="BA193" s="448"/>
      <c r="BB193" s="448"/>
      <c r="BC193" s="448"/>
      <c r="BD193" s="448"/>
      <c r="BE193" s="448"/>
      <c r="BF193" s="448"/>
      <c r="BG193" s="448"/>
      <c r="BH193" s="448"/>
      <c r="BI193" s="448"/>
      <c r="BJ193" s="448"/>
      <c r="BK193" s="448"/>
      <c r="BL193" s="448"/>
      <c r="BM193" s="448"/>
      <c r="BN193" s="448"/>
      <c r="BO193" s="448"/>
      <c r="BP193" s="448"/>
      <c r="BQ193" s="448"/>
      <c r="BR193" s="448"/>
      <c r="BS193" s="448"/>
      <c r="BT193" s="448"/>
    </row>
    <row r="194" spans="1:72" s="514" customFormat="1" ht="9" customHeight="1">
      <c r="A194" s="397"/>
      <c r="B194" s="398"/>
      <c r="C194" s="416"/>
      <c r="D194" s="399"/>
      <c r="E194" s="400"/>
      <c r="F194" s="402"/>
      <c r="G194" s="414"/>
      <c r="H194" s="448"/>
      <c r="I194" s="448"/>
      <c r="J194" s="448"/>
      <c r="K194" s="448"/>
      <c r="L194" s="448"/>
      <c r="M194" s="448"/>
      <c r="N194" s="448"/>
      <c r="O194" s="448"/>
      <c r="P194" s="448"/>
      <c r="Q194" s="448"/>
      <c r="R194" s="448"/>
      <c r="S194" s="448"/>
      <c r="T194" s="448"/>
      <c r="U194" s="448"/>
      <c r="V194" s="448"/>
      <c r="W194" s="448"/>
      <c r="X194" s="448"/>
      <c r="Y194" s="448"/>
      <c r="Z194" s="448"/>
      <c r="AA194" s="448"/>
      <c r="AB194" s="448"/>
      <c r="AC194" s="448"/>
      <c r="AD194" s="448"/>
      <c r="AE194" s="448"/>
      <c r="AF194" s="448"/>
      <c r="AG194" s="448"/>
      <c r="AH194" s="448"/>
      <c r="AI194" s="448"/>
      <c r="AJ194" s="448"/>
      <c r="AK194" s="448"/>
      <c r="AL194" s="448"/>
      <c r="AM194" s="448"/>
      <c r="AN194" s="448"/>
      <c r="AO194" s="448"/>
      <c r="AP194" s="448"/>
      <c r="AQ194" s="448"/>
      <c r="AR194" s="448"/>
      <c r="AS194" s="448"/>
      <c r="AT194" s="448"/>
      <c r="AU194" s="448"/>
      <c r="AV194" s="448"/>
      <c r="AW194" s="448"/>
      <c r="AX194" s="448"/>
      <c r="AY194" s="448"/>
      <c r="AZ194" s="448"/>
      <c r="BA194" s="448"/>
      <c r="BB194" s="448"/>
      <c r="BC194" s="448"/>
      <c r="BD194" s="448"/>
      <c r="BE194" s="448"/>
      <c r="BF194" s="448"/>
      <c r="BG194" s="448"/>
      <c r="BH194" s="448"/>
      <c r="BI194" s="448"/>
      <c r="BJ194" s="448"/>
      <c r="BK194" s="448"/>
      <c r="BL194" s="448"/>
      <c r="BM194" s="448"/>
      <c r="BN194" s="448"/>
      <c r="BO194" s="448"/>
      <c r="BP194" s="448"/>
      <c r="BQ194" s="448"/>
      <c r="BR194" s="448"/>
      <c r="BS194" s="448"/>
      <c r="BT194" s="448"/>
    </row>
    <row r="195" spans="1:72" s="514" customFormat="1" ht="21" customHeight="1">
      <c r="A195" s="397"/>
      <c r="B195" s="516" t="s">
        <v>37</v>
      </c>
      <c r="C195" s="399" t="s">
        <v>150</v>
      </c>
      <c r="D195" s="399" t="s">
        <v>159</v>
      </c>
      <c r="E195" s="400" t="s">
        <v>98</v>
      </c>
      <c r="F195" s="402" t="s">
        <v>98</v>
      </c>
      <c r="G195" s="401">
        <f>SUM(G197)</f>
        <v>131072.18</v>
      </c>
      <c r="H195" s="448"/>
      <c r="I195" s="448"/>
      <c r="J195" s="448"/>
      <c r="K195" s="448"/>
      <c r="L195" s="448"/>
      <c r="M195" s="448"/>
      <c r="N195" s="448"/>
      <c r="O195" s="448"/>
      <c r="P195" s="448"/>
      <c r="Q195" s="448"/>
      <c r="R195" s="448"/>
      <c r="S195" s="448"/>
      <c r="T195" s="448"/>
      <c r="U195" s="448"/>
      <c r="V195" s="448"/>
      <c r="W195" s="448"/>
      <c r="X195" s="448"/>
      <c r="Y195" s="448"/>
      <c r="Z195" s="448"/>
      <c r="AA195" s="448"/>
      <c r="AB195" s="448"/>
      <c r="AC195" s="448"/>
      <c r="AD195" s="448"/>
      <c r="AE195" s="448"/>
      <c r="AF195" s="448"/>
      <c r="AG195" s="448"/>
      <c r="AH195" s="448"/>
      <c r="AI195" s="448"/>
      <c r="AJ195" s="448"/>
      <c r="AK195" s="448"/>
      <c r="AL195" s="448"/>
      <c r="AM195" s="448"/>
      <c r="AN195" s="448"/>
      <c r="AO195" s="448"/>
      <c r="AP195" s="448"/>
      <c r="AQ195" s="448"/>
      <c r="AR195" s="448"/>
      <c r="AS195" s="448"/>
      <c r="AT195" s="448"/>
      <c r="AU195" s="448"/>
      <c r="AV195" s="448"/>
      <c r="AW195" s="448"/>
      <c r="AX195" s="448"/>
      <c r="AY195" s="448"/>
      <c r="AZ195" s="448"/>
      <c r="BA195" s="448"/>
      <c r="BB195" s="448"/>
      <c r="BC195" s="448"/>
      <c r="BD195" s="448"/>
      <c r="BE195" s="448"/>
      <c r="BF195" s="448"/>
      <c r="BG195" s="448"/>
      <c r="BH195" s="448"/>
      <c r="BI195" s="448"/>
      <c r="BJ195" s="448"/>
      <c r="BK195" s="448"/>
      <c r="BL195" s="448"/>
      <c r="BM195" s="448"/>
      <c r="BN195" s="448"/>
      <c r="BO195" s="448"/>
      <c r="BP195" s="448"/>
      <c r="BQ195" s="448"/>
      <c r="BR195" s="448"/>
      <c r="BS195" s="448"/>
      <c r="BT195" s="448"/>
    </row>
    <row r="196" spans="1:72" s="514" customFormat="1" ht="8.25" customHeight="1">
      <c r="A196" s="397"/>
      <c r="B196" s="398"/>
      <c r="C196" s="416"/>
      <c r="D196" s="399"/>
      <c r="E196" s="399"/>
      <c r="F196" s="409"/>
      <c r="G196" s="410"/>
      <c r="H196" s="448"/>
      <c r="I196" s="448"/>
      <c r="J196" s="448"/>
      <c r="K196" s="448"/>
      <c r="L196" s="448"/>
      <c r="M196" s="448"/>
      <c r="N196" s="448"/>
      <c r="O196" s="448"/>
      <c r="P196" s="448"/>
      <c r="Q196" s="448"/>
      <c r="R196" s="448"/>
      <c r="S196" s="448"/>
      <c r="T196" s="448"/>
      <c r="U196" s="448"/>
      <c r="V196" s="448"/>
      <c r="W196" s="448"/>
      <c r="X196" s="448"/>
      <c r="Y196" s="448"/>
      <c r="Z196" s="448"/>
      <c r="AA196" s="448"/>
      <c r="AB196" s="448"/>
      <c r="AC196" s="448"/>
      <c r="AD196" s="448"/>
      <c r="AE196" s="448"/>
      <c r="AF196" s="448"/>
      <c r="AG196" s="448"/>
      <c r="AH196" s="448"/>
      <c r="AI196" s="448"/>
      <c r="AJ196" s="448"/>
      <c r="AK196" s="448"/>
      <c r="AL196" s="448"/>
      <c r="AM196" s="448"/>
      <c r="AN196" s="448"/>
      <c r="AO196" s="448"/>
      <c r="AP196" s="448"/>
      <c r="AQ196" s="448"/>
      <c r="AR196" s="448"/>
      <c r="AS196" s="448"/>
      <c r="AT196" s="448"/>
      <c r="AU196" s="448"/>
      <c r="AV196" s="448"/>
      <c r="AW196" s="448"/>
      <c r="AX196" s="448"/>
      <c r="AY196" s="448"/>
      <c r="AZ196" s="448"/>
      <c r="BA196" s="448"/>
      <c r="BB196" s="448"/>
      <c r="BC196" s="448"/>
      <c r="BD196" s="448"/>
      <c r="BE196" s="448"/>
      <c r="BF196" s="448"/>
      <c r="BG196" s="448"/>
      <c r="BH196" s="448"/>
      <c r="BI196" s="448"/>
      <c r="BJ196" s="448"/>
      <c r="BK196" s="448"/>
      <c r="BL196" s="448"/>
      <c r="BM196" s="448"/>
      <c r="BN196" s="448"/>
      <c r="BO196" s="448"/>
      <c r="BP196" s="448"/>
      <c r="BQ196" s="448"/>
      <c r="BR196" s="448"/>
      <c r="BS196" s="448"/>
      <c r="BT196" s="448"/>
    </row>
    <row r="197" spans="1:72" s="514" customFormat="1" ht="15.75" customHeight="1">
      <c r="A197" s="397"/>
      <c r="B197" s="398"/>
      <c r="C197" s="416"/>
      <c r="D197" s="399"/>
      <c r="E197" s="399"/>
      <c r="F197" s="409"/>
      <c r="G197" s="515">
        <f>SUM(G198:G202)</f>
        <v>131072.18</v>
      </c>
      <c r="H197" s="448"/>
      <c r="I197" s="448"/>
      <c r="J197" s="448"/>
      <c r="K197" s="448"/>
      <c r="L197" s="448"/>
      <c r="M197" s="448"/>
      <c r="N197" s="448"/>
      <c r="O197" s="448"/>
      <c r="P197" s="448"/>
      <c r="Q197" s="448"/>
      <c r="R197" s="448"/>
      <c r="S197" s="448"/>
      <c r="T197" s="448"/>
      <c r="U197" s="448"/>
      <c r="V197" s="448"/>
      <c r="W197" s="448"/>
      <c r="X197" s="448"/>
      <c r="Y197" s="448"/>
      <c r="Z197" s="448"/>
      <c r="AA197" s="448"/>
      <c r="AB197" s="448"/>
      <c r="AC197" s="448"/>
      <c r="AD197" s="448"/>
      <c r="AE197" s="448"/>
      <c r="AF197" s="448"/>
      <c r="AG197" s="448"/>
      <c r="AH197" s="448"/>
      <c r="AI197" s="448"/>
      <c r="AJ197" s="448"/>
      <c r="AK197" s="448"/>
      <c r="AL197" s="448"/>
      <c r="AM197" s="448"/>
      <c r="AN197" s="448"/>
      <c r="AO197" s="448"/>
      <c r="AP197" s="448"/>
      <c r="AQ197" s="448"/>
      <c r="AR197" s="448"/>
      <c r="AS197" s="448"/>
      <c r="AT197" s="448"/>
      <c r="AU197" s="448"/>
      <c r="AV197" s="448"/>
      <c r="AW197" s="448"/>
      <c r="AX197" s="448"/>
      <c r="AY197" s="448"/>
      <c r="AZ197" s="448"/>
      <c r="BA197" s="448"/>
      <c r="BB197" s="448"/>
      <c r="BC197" s="448"/>
      <c r="BD197" s="448"/>
      <c r="BE197" s="448"/>
      <c r="BF197" s="448"/>
      <c r="BG197" s="448"/>
      <c r="BH197" s="448"/>
      <c r="BI197" s="448"/>
      <c r="BJ197" s="448"/>
      <c r="BK197" s="448"/>
      <c r="BL197" s="448"/>
      <c r="BM197" s="448"/>
      <c r="BN197" s="448"/>
      <c r="BO197" s="448"/>
      <c r="BP197" s="448"/>
      <c r="BQ197" s="448"/>
      <c r="BR197" s="448"/>
      <c r="BS197" s="448"/>
      <c r="BT197" s="448"/>
    </row>
    <row r="198" spans="1:72" s="514" customFormat="1" ht="15.75" customHeight="1">
      <c r="A198" s="397"/>
      <c r="B198" s="398"/>
      <c r="C198" s="416"/>
      <c r="D198" s="399"/>
      <c r="E198" s="399" t="s">
        <v>145</v>
      </c>
      <c r="F198" s="409" t="s">
        <v>98</v>
      </c>
      <c r="G198" s="410">
        <f>4033+13996+6078.82+13062-14028+13534+8294+13551+14012+7125+98.36+11716</f>
        <v>91472.180000000008</v>
      </c>
      <c r="H198" s="448"/>
      <c r="I198" s="448"/>
      <c r="J198" s="448"/>
      <c r="K198" s="448"/>
      <c r="L198" s="448"/>
      <c r="M198" s="448"/>
      <c r="N198" s="448"/>
      <c r="O198" s="448"/>
      <c r="P198" s="448"/>
      <c r="Q198" s="448"/>
      <c r="R198" s="448"/>
      <c r="S198" s="448"/>
      <c r="T198" s="448"/>
      <c r="U198" s="448"/>
      <c r="V198" s="448"/>
      <c r="W198" s="448"/>
      <c r="X198" s="448"/>
      <c r="Y198" s="448"/>
      <c r="Z198" s="448"/>
      <c r="AA198" s="448"/>
      <c r="AB198" s="448"/>
      <c r="AC198" s="448"/>
      <c r="AD198" s="448"/>
      <c r="AE198" s="448"/>
      <c r="AF198" s="448"/>
      <c r="AG198" s="448"/>
      <c r="AH198" s="448"/>
      <c r="AI198" s="448"/>
      <c r="AJ198" s="448"/>
      <c r="AK198" s="448"/>
      <c r="AL198" s="448"/>
      <c r="AM198" s="448"/>
      <c r="AN198" s="448"/>
      <c r="AO198" s="448"/>
      <c r="AP198" s="448"/>
      <c r="AQ198" s="448"/>
      <c r="AR198" s="448"/>
      <c r="AS198" s="448"/>
      <c r="AT198" s="448"/>
      <c r="AU198" s="448"/>
      <c r="AV198" s="448"/>
      <c r="AW198" s="448"/>
      <c r="AX198" s="448"/>
      <c r="AY198" s="448"/>
      <c r="AZ198" s="448"/>
      <c r="BA198" s="448"/>
      <c r="BB198" s="448"/>
      <c r="BC198" s="448"/>
      <c r="BD198" s="448"/>
      <c r="BE198" s="448"/>
      <c r="BF198" s="448"/>
      <c r="BG198" s="448"/>
      <c r="BH198" s="448"/>
      <c r="BI198" s="448"/>
      <c r="BJ198" s="448"/>
      <c r="BK198" s="448"/>
      <c r="BL198" s="448"/>
      <c r="BM198" s="448"/>
      <c r="BN198" s="448"/>
      <c r="BO198" s="448"/>
      <c r="BP198" s="448"/>
      <c r="BQ198" s="448"/>
      <c r="BR198" s="448"/>
      <c r="BS198" s="448"/>
      <c r="BT198" s="448"/>
    </row>
    <row r="199" spans="1:72" s="514" customFormat="1" ht="15.75" customHeight="1">
      <c r="A199" s="397"/>
      <c r="B199" s="398"/>
      <c r="C199" s="416"/>
      <c r="D199" s="399"/>
      <c r="E199" s="399" t="s">
        <v>132</v>
      </c>
      <c r="F199" s="409" t="s">
        <v>98</v>
      </c>
      <c r="G199" s="410">
        <f>200</f>
        <v>200</v>
      </c>
      <c r="H199" s="448"/>
      <c r="I199" s="448"/>
      <c r="J199" s="448"/>
      <c r="K199" s="448"/>
      <c r="L199" s="448"/>
      <c r="M199" s="448"/>
      <c r="N199" s="448"/>
      <c r="O199" s="448"/>
      <c r="P199" s="448"/>
      <c r="Q199" s="448"/>
      <c r="R199" s="448"/>
      <c r="S199" s="448"/>
      <c r="T199" s="448"/>
      <c r="U199" s="448"/>
      <c r="V199" s="448"/>
      <c r="W199" s="448"/>
      <c r="X199" s="448"/>
      <c r="Y199" s="448"/>
      <c r="Z199" s="448"/>
      <c r="AA199" s="448"/>
      <c r="AB199" s="448"/>
      <c r="AC199" s="448"/>
      <c r="AD199" s="448"/>
      <c r="AE199" s="448"/>
      <c r="AF199" s="448"/>
      <c r="AG199" s="448"/>
      <c r="AH199" s="448"/>
      <c r="AI199" s="448"/>
      <c r="AJ199" s="448"/>
      <c r="AK199" s="448"/>
      <c r="AL199" s="448"/>
      <c r="AM199" s="448"/>
      <c r="AN199" s="448"/>
      <c r="AO199" s="448"/>
      <c r="AP199" s="448"/>
      <c r="AQ199" s="448"/>
      <c r="AR199" s="448"/>
      <c r="AS199" s="448"/>
      <c r="AT199" s="448"/>
      <c r="AU199" s="448"/>
      <c r="AV199" s="448"/>
      <c r="AW199" s="448"/>
      <c r="AX199" s="448"/>
      <c r="AY199" s="448"/>
      <c r="AZ199" s="448"/>
      <c r="BA199" s="448"/>
      <c r="BB199" s="448"/>
      <c r="BC199" s="448"/>
      <c r="BD199" s="448"/>
      <c r="BE199" s="448"/>
      <c r="BF199" s="448"/>
      <c r="BG199" s="448"/>
      <c r="BH199" s="448"/>
      <c r="BI199" s="448"/>
      <c r="BJ199" s="448"/>
      <c r="BK199" s="448"/>
      <c r="BL199" s="448"/>
      <c r="BM199" s="448"/>
      <c r="BN199" s="448"/>
      <c r="BO199" s="448"/>
      <c r="BP199" s="448"/>
      <c r="BQ199" s="448"/>
      <c r="BR199" s="448"/>
      <c r="BS199" s="448"/>
      <c r="BT199" s="448"/>
    </row>
    <row r="200" spans="1:72" s="514" customFormat="1" ht="15.75" customHeight="1">
      <c r="A200" s="397"/>
      <c r="B200" s="398"/>
      <c r="C200" s="416"/>
      <c r="D200" s="399"/>
      <c r="E200" s="399" t="s">
        <v>152</v>
      </c>
      <c r="F200" s="409" t="s">
        <v>98</v>
      </c>
      <c r="G200" s="410">
        <f>23500+5600</f>
        <v>29100</v>
      </c>
      <c r="H200" s="448"/>
      <c r="I200" s="448"/>
      <c r="J200" s="448"/>
      <c r="K200" s="448"/>
      <c r="L200" s="448"/>
      <c r="M200" s="448"/>
      <c r="N200" s="448"/>
      <c r="O200" s="448"/>
      <c r="P200" s="448"/>
      <c r="Q200" s="448"/>
      <c r="R200" s="448"/>
      <c r="S200" s="448"/>
      <c r="T200" s="448"/>
      <c r="U200" s="448"/>
      <c r="V200" s="448"/>
      <c r="W200" s="448"/>
      <c r="X200" s="448"/>
      <c r="Y200" s="448"/>
      <c r="Z200" s="448"/>
      <c r="AA200" s="448"/>
      <c r="AB200" s="448"/>
      <c r="AC200" s="448"/>
      <c r="AD200" s="448"/>
      <c r="AE200" s="448"/>
      <c r="AF200" s="448"/>
      <c r="AG200" s="448"/>
      <c r="AH200" s="448"/>
      <c r="AI200" s="448"/>
      <c r="AJ200" s="448"/>
      <c r="AK200" s="448"/>
      <c r="AL200" s="448"/>
      <c r="AM200" s="448"/>
      <c r="AN200" s="448"/>
      <c r="AO200" s="448"/>
      <c r="AP200" s="448"/>
      <c r="AQ200" s="448"/>
      <c r="AR200" s="448"/>
      <c r="AS200" s="448"/>
      <c r="AT200" s="448"/>
      <c r="AU200" s="448"/>
      <c r="AV200" s="448"/>
      <c r="AW200" s="448"/>
      <c r="AX200" s="448"/>
      <c r="AY200" s="448"/>
      <c r="AZ200" s="448"/>
      <c r="BA200" s="448"/>
      <c r="BB200" s="448"/>
      <c r="BC200" s="448"/>
      <c r="BD200" s="448"/>
      <c r="BE200" s="448"/>
      <c r="BF200" s="448"/>
      <c r="BG200" s="448"/>
      <c r="BH200" s="448"/>
      <c r="BI200" s="448"/>
      <c r="BJ200" s="448"/>
      <c r="BK200" s="448"/>
      <c r="BL200" s="448"/>
      <c r="BM200" s="448"/>
      <c r="BN200" s="448"/>
      <c r="BO200" s="448"/>
      <c r="BP200" s="448"/>
      <c r="BQ200" s="448"/>
      <c r="BR200" s="448"/>
      <c r="BS200" s="448"/>
      <c r="BT200" s="448"/>
    </row>
    <row r="201" spans="1:72" s="514" customFormat="1" ht="15.75" customHeight="1">
      <c r="A201" s="397"/>
      <c r="B201" s="398"/>
      <c r="C201" s="416"/>
      <c r="D201" s="399"/>
      <c r="E201" s="399" t="s">
        <v>118</v>
      </c>
      <c r="F201" s="409" t="s">
        <v>98</v>
      </c>
      <c r="G201" s="410">
        <f>4500+1300</f>
        <v>5800</v>
      </c>
      <c r="H201" s="448"/>
      <c r="I201" s="448"/>
      <c r="J201" s="448"/>
      <c r="K201" s="448"/>
      <c r="L201" s="448"/>
      <c r="M201" s="448"/>
      <c r="N201" s="448"/>
      <c r="O201" s="448"/>
      <c r="P201" s="448"/>
      <c r="Q201" s="448"/>
      <c r="R201" s="448"/>
      <c r="S201" s="448"/>
      <c r="T201" s="448"/>
      <c r="U201" s="448"/>
      <c r="V201" s="448"/>
      <c r="W201" s="448"/>
      <c r="X201" s="448"/>
      <c r="Y201" s="448"/>
      <c r="Z201" s="448"/>
      <c r="AA201" s="448"/>
      <c r="AB201" s="448"/>
      <c r="AC201" s="448"/>
      <c r="AD201" s="448"/>
      <c r="AE201" s="448"/>
      <c r="AF201" s="448"/>
      <c r="AG201" s="448"/>
      <c r="AH201" s="448"/>
      <c r="AI201" s="448"/>
      <c r="AJ201" s="448"/>
      <c r="AK201" s="448"/>
      <c r="AL201" s="448"/>
      <c r="AM201" s="448"/>
      <c r="AN201" s="448"/>
      <c r="AO201" s="448"/>
      <c r="AP201" s="448"/>
      <c r="AQ201" s="448"/>
      <c r="AR201" s="448"/>
      <c r="AS201" s="448"/>
      <c r="AT201" s="448"/>
      <c r="AU201" s="448"/>
      <c r="AV201" s="448"/>
      <c r="AW201" s="448"/>
      <c r="AX201" s="448"/>
      <c r="AY201" s="448"/>
      <c r="AZ201" s="448"/>
      <c r="BA201" s="448"/>
      <c r="BB201" s="448"/>
      <c r="BC201" s="448"/>
      <c r="BD201" s="448"/>
      <c r="BE201" s="448"/>
      <c r="BF201" s="448"/>
      <c r="BG201" s="448"/>
      <c r="BH201" s="448"/>
      <c r="BI201" s="448"/>
      <c r="BJ201" s="448"/>
      <c r="BK201" s="448"/>
      <c r="BL201" s="448"/>
      <c r="BM201" s="448"/>
      <c r="BN201" s="448"/>
      <c r="BO201" s="448"/>
      <c r="BP201" s="448"/>
      <c r="BQ201" s="448"/>
      <c r="BR201" s="448"/>
      <c r="BS201" s="448"/>
      <c r="BT201" s="448"/>
    </row>
    <row r="202" spans="1:72" s="514" customFormat="1" ht="15.75" customHeight="1">
      <c r="A202" s="397"/>
      <c r="B202" s="398"/>
      <c r="C202" s="416"/>
      <c r="D202" s="399"/>
      <c r="E202" s="399" t="s">
        <v>119</v>
      </c>
      <c r="F202" s="409" t="s">
        <v>98</v>
      </c>
      <c r="G202" s="410">
        <f>4500</f>
        <v>4500</v>
      </c>
      <c r="H202" s="448"/>
      <c r="I202" s="448"/>
      <c r="J202" s="448"/>
      <c r="K202" s="448"/>
      <c r="L202" s="448"/>
      <c r="M202" s="448"/>
      <c r="N202" s="448"/>
      <c r="O202" s="448"/>
      <c r="P202" s="448"/>
      <c r="Q202" s="448"/>
      <c r="R202" s="448"/>
      <c r="S202" s="448"/>
      <c r="T202" s="448"/>
      <c r="U202" s="448"/>
      <c r="V202" s="448"/>
      <c r="W202" s="448"/>
      <c r="X202" s="448"/>
      <c r="Y202" s="448"/>
      <c r="Z202" s="448"/>
      <c r="AA202" s="448"/>
      <c r="AB202" s="448"/>
      <c r="AC202" s="448"/>
      <c r="AD202" s="448"/>
      <c r="AE202" s="448"/>
      <c r="AF202" s="448"/>
      <c r="AG202" s="448"/>
      <c r="AH202" s="448"/>
      <c r="AI202" s="448"/>
      <c r="AJ202" s="448"/>
      <c r="AK202" s="448"/>
      <c r="AL202" s="448"/>
      <c r="AM202" s="448"/>
      <c r="AN202" s="448"/>
      <c r="AO202" s="448"/>
      <c r="AP202" s="448"/>
      <c r="AQ202" s="448"/>
      <c r="AR202" s="448"/>
      <c r="AS202" s="448"/>
      <c r="AT202" s="448"/>
      <c r="AU202" s="448"/>
      <c r="AV202" s="448"/>
      <c r="AW202" s="448"/>
      <c r="AX202" s="448"/>
      <c r="AY202" s="448"/>
      <c r="AZ202" s="448"/>
      <c r="BA202" s="448"/>
      <c r="BB202" s="448"/>
      <c r="BC202" s="448"/>
      <c r="BD202" s="448"/>
      <c r="BE202" s="448"/>
      <c r="BF202" s="448"/>
      <c r="BG202" s="448"/>
      <c r="BH202" s="448"/>
      <c r="BI202" s="448"/>
      <c r="BJ202" s="448"/>
      <c r="BK202" s="448"/>
      <c r="BL202" s="448"/>
      <c r="BM202" s="448"/>
      <c r="BN202" s="448"/>
      <c r="BO202" s="448"/>
      <c r="BP202" s="448"/>
      <c r="BQ202" s="448"/>
      <c r="BR202" s="448"/>
      <c r="BS202" s="448"/>
      <c r="BT202" s="448"/>
    </row>
    <row r="203" spans="1:72" s="514" customFormat="1" ht="9" customHeight="1">
      <c r="A203" s="397"/>
      <c r="B203" s="398"/>
      <c r="C203" s="416"/>
      <c r="D203" s="399"/>
      <c r="E203" s="400"/>
      <c r="F203" s="402"/>
      <c r="G203" s="414"/>
      <c r="H203" s="448"/>
      <c r="I203" s="448"/>
      <c r="J203" s="448"/>
      <c r="K203" s="448"/>
      <c r="L203" s="448"/>
      <c r="M203" s="448"/>
      <c r="N203" s="448"/>
      <c r="O203" s="448"/>
      <c r="P203" s="448"/>
      <c r="Q203" s="448"/>
      <c r="R203" s="448"/>
      <c r="S203" s="448"/>
      <c r="T203" s="448"/>
      <c r="U203" s="448"/>
      <c r="V203" s="448"/>
      <c r="W203" s="448"/>
      <c r="X203" s="448"/>
      <c r="Y203" s="448"/>
      <c r="Z203" s="448"/>
      <c r="AA203" s="448"/>
      <c r="AB203" s="448"/>
      <c r="AC203" s="448"/>
      <c r="AD203" s="448"/>
      <c r="AE203" s="448"/>
      <c r="AF203" s="448"/>
      <c r="AG203" s="448"/>
      <c r="AH203" s="448"/>
      <c r="AI203" s="448"/>
      <c r="AJ203" s="448"/>
      <c r="AK203" s="448"/>
      <c r="AL203" s="448"/>
      <c r="AM203" s="448"/>
      <c r="AN203" s="448"/>
      <c r="AO203" s="448"/>
      <c r="AP203" s="448"/>
      <c r="AQ203" s="448"/>
      <c r="AR203" s="448"/>
      <c r="AS203" s="448"/>
      <c r="AT203" s="448"/>
      <c r="AU203" s="448"/>
      <c r="AV203" s="448"/>
      <c r="AW203" s="448"/>
      <c r="AX203" s="448"/>
      <c r="AY203" s="448"/>
      <c r="AZ203" s="448"/>
      <c r="BA203" s="448"/>
      <c r="BB203" s="448"/>
      <c r="BC203" s="448"/>
      <c r="BD203" s="448"/>
      <c r="BE203" s="448"/>
      <c r="BF203" s="448"/>
      <c r="BG203" s="448"/>
      <c r="BH203" s="448"/>
      <c r="BI203" s="448"/>
      <c r="BJ203" s="448"/>
      <c r="BK203" s="448"/>
      <c r="BL203" s="448"/>
      <c r="BM203" s="448"/>
      <c r="BN203" s="448"/>
      <c r="BO203" s="448"/>
      <c r="BP203" s="448"/>
      <c r="BQ203" s="448"/>
      <c r="BR203" s="448"/>
      <c r="BS203" s="448"/>
      <c r="BT203" s="448"/>
    </row>
    <row r="204" spans="1:72" s="514" customFormat="1" ht="15.75" customHeight="1">
      <c r="A204" s="397"/>
      <c r="B204" s="516" t="s">
        <v>37</v>
      </c>
      <c r="C204" s="399" t="s">
        <v>150</v>
      </c>
      <c r="D204" s="399" t="s">
        <v>160</v>
      </c>
      <c r="E204" s="400" t="s">
        <v>98</v>
      </c>
      <c r="F204" s="402" t="s">
        <v>98</v>
      </c>
      <c r="G204" s="401">
        <f>SUM(G206)</f>
        <v>16250.42</v>
      </c>
      <c r="H204" s="448"/>
      <c r="I204" s="448"/>
      <c r="J204" s="448"/>
      <c r="K204" s="448"/>
      <c r="L204" s="448"/>
      <c r="M204" s="448"/>
      <c r="N204" s="448"/>
      <c r="O204" s="448"/>
      <c r="P204" s="448"/>
      <c r="Q204" s="448"/>
      <c r="R204" s="448"/>
      <c r="S204" s="448"/>
      <c r="T204" s="448"/>
      <c r="U204" s="448"/>
      <c r="V204" s="448"/>
      <c r="W204" s="448"/>
      <c r="X204" s="448"/>
      <c r="Y204" s="448"/>
      <c r="Z204" s="448"/>
      <c r="AA204" s="448"/>
      <c r="AB204" s="448"/>
      <c r="AC204" s="448"/>
      <c r="AD204" s="448"/>
      <c r="AE204" s="448"/>
      <c r="AF204" s="448"/>
      <c r="AG204" s="448"/>
      <c r="AH204" s="448"/>
      <c r="AI204" s="448"/>
      <c r="AJ204" s="448"/>
      <c r="AK204" s="448"/>
      <c r="AL204" s="448"/>
      <c r="AM204" s="448"/>
      <c r="AN204" s="448"/>
      <c r="AO204" s="448"/>
      <c r="AP204" s="448"/>
      <c r="AQ204" s="448"/>
      <c r="AR204" s="448"/>
      <c r="AS204" s="448"/>
      <c r="AT204" s="448"/>
      <c r="AU204" s="448"/>
      <c r="AV204" s="448"/>
      <c r="AW204" s="448"/>
      <c r="AX204" s="448"/>
      <c r="AY204" s="448"/>
      <c r="AZ204" s="448"/>
      <c r="BA204" s="448"/>
      <c r="BB204" s="448"/>
      <c r="BC204" s="448"/>
      <c r="BD204" s="448"/>
      <c r="BE204" s="448"/>
      <c r="BF204" s="448"/>
      <c r="BG204" s="448"/>
      <c r="BH204" s="448"/>
      <c r="BI204" s="448"/>
      <c r="BJ204" s="448"/>
      <c r="BK204" s="448"/>
      <c r="BL204" s="448"/>
      <c r="BM204" s="448"/>
      <c r="BN204" s="448"/>
      <c r="BO204" s="448"/>
      <c r="BP204" s="448"/>
      <c r="BQ204" s="448"/>
      <c r="BR204" s="448"/>
      <c r="BS204" s="448"/>
      <c r="BT204" s="448"/>
    </row>
    <row r="205" spans="1:72" s="514" customFormat="1" ht="7.5" customHeight="1">
      <c r="A205" s="397"/>
      <c r="B205" s="398"/>
      <c r="C205" s="416"/>
      <c r="D205" s="399"/>
      <c r="E205" s="399"/>
      <c r="F205" s="409"/>
      <c r="G205" s="410"/>
      <c r="H205" s="448"/>
      <c r="I205" s="448"/>
      <c r="J205" s="448"/>
      <c r="K205" s="448"/>
      <c r="L205" s="448"/>
      <c r="M205" s="448"/>
      <c r="N205" s="448"/>
      <c r="O205" s="448"/>
      <c r="P205" s="448"/>
      <c r="Q205" s="448"/>
      <c r="R205" s="448"/>
      <c r="S205" s="448"/>
      <c r="T205" s="448"/>
      <c r="U205" s="448"/>
      <c r="V205" s="448"/>
      <c r="W205" s="448"/>
      <c r="X205" s="448"/>
      <c r="Y205" s="448"/>
      <c r="Z205" s="448"/>
      <c r="AA205" s="448"/>
      <c r="AB205" s="448"/>
      <c r="AC205" s="448"/>
      <c r="AD205" s="448"/>
      <c r="AE205" s="448"/>
      <c r="AF205" s="448"/>
      <c r="AG205" s="448"/>
      <c r="AH205" s="448"/>
      <c r="AI205" s="448"/>
      <c r="AJ205" s="448"/>
      <c r="AK205" s="448"/>
      <c r="AL205" s="448"/>
      <c r="AM205" s="448"/>
      <c r="AN205" s="448"/>
      <c r="AO205" s="448"/>
      <c r="AP205" s="448"/>
      <c r="AQ205" s="448"/>
      <c r="AR205" s="448"/>
      <c r="AS205" s="448"/>
      <c r="AT205" s="448"/>
      <c r="AU205" s="448"/>
      <c r="AV205" s="448"/>
      <c r="AW205" s="448"/>
      <c r="AX205" s="448"/>
      <c r="AY205" s="448"/>
      <c r="AZ205" s="448"/>
      <c r="BA205" s="448"/>
      <c r="BB205" s="448"/>
      <c r="BC205" s="448"/>
      <c r="BD205" s="448"/>
      <c r="BE205" s="448"/>
      <c r="BF205" s="448"/>
      <c r="BG205" s="448"/>
      <c r="BH205" s="448"/>
      <c r="BI205" s="448"/>
      <c r="BJ205" s="448"/>
      <c r="BK205" s="448"/>
      <c r="BL205" s="448"/>
      <c r="BM205" s="448"/>
      <c r="BN205" s="448"/>
      <c r="BO205" s="448"/>
      <c r="BP205" s="448"/>
      <c r="BQ205" s="448"/>
      <c r="BR205" s="448"/>
      <c r="BS205" s="448"/>
      <c r="BT205" s="448"/>
    </row>
    <row r="206" spans="1:72" s="514" customFormat="1" ht="15.75" customHeight="1">
      <c r="A206" s="397"/>
      <c r="B206" s="398"/>
      <c r="C206" s="416"/>
      <c r="D206" s="399"/>
      <c r="E206" s="399"/>
      <c r="F206" s="409"/>
      <c r="G206" s="515">
        <f>SUM(G207:G207)</f>
        <v>16250.42</v>
      </c>
      <c r="H206" s="448"/>
      <c r="I206" s="448"/>
      <c r="J206" s="448"/>
      <c r="K206" s="448"/>
      <c r="L206" s="448"/>
      <c r="M206" s="448"/>
      <c r="N206" s="448"/>
      <c r="O206" s="448"/>
      <c r="P206" s="448"/>
      <c r="Q206" s="448"/>
      <c r="R206" s="448"/>
      <c r="S206" s="448"/>
      <c r="T206" s="448"/>
      <c r="U206" s="448"/>
      <c r="V206" s="448"/>
      <c r="W206" s="448"/>
      <c r="X206" s="448"/>
      <c r="Y206" s="448"/>
      <c r="Z206" s="448"/>
      <c r="AA206" s="448"/>
      <c r="AB206" s="448"/>
      <c r="AC206" s="448"/>
      <c r="AD206" s="448"/>
      <c r="AE206" s="448"/>
      <c r="AF206" s="448"/>
      <c r="AG206" s="448"/>
      <c r="AH206" s="448"/>
      <c r="AI206" s="448"/>
      <c r="AJ206" s="448"/>
      <c r="AK206" s="448"/>
      <c r="AL206" s="448"/>
      <c r="AM206" s="448"/>
      <c r="AN206" s="448"/>
      <c r="AO206" s="448"/>
      <c r="AP206" s="448"/>
      <c r="AQ206" s="448"/>
      <c r="AR206" s="448"/>
      <c r="AS206" s="448"/>
      <c r="AT206" s="448"/>
      <c r="AU206" s="448"/>
      <c r="AV206" s="448"/>
      <c r="AW206" s="448"/>
      <c r="AX206" s="448"/>
      <c r="AY206" s="448"/>
      <c r="AZ206" s="448"/>
      <c r="BA206" s="448"/>
      <c r="BB206" s="448"/>
      <c r="BC206" s="448"/>
      <c r="BD206" s="448"/>
      <c r="BE206" s="448"/>
      <c r="BF206" s="448"/>
      <c r="BG206" s="448"/>
      <c r="BH206" s="448"/>
      <c r="BI206" s="448"/>
      <c r="BJ206" s="448"/>
      <c r="BK206" s="448"/>
      <c r="BL206" s="448"/>
      <c r="BM206" s="448"/>
      <c r="BN206" s="448"/>
      <c r="BO206" s="448"/>
      <c r="BP206" s="448"/>
      <c r="BQ206" s="448"/>
      <c r="BR206" s="448"/>
      <c r="BS206" s="448"/>
      <c r="BT206" s="448"/>
    </row>
    <row r="207" spans="1:72" s="514" customFormat="1" ht="15.75" customHeight="1">
      <c r="A207" s="397"/>
      <c r="B207" s="398"/>
      <c r="C207" s="416"/>
      <c r="D207" s="399"/>
      <c r="E207" s="399" t="s">
        <v>145</v>
      </c>
      <c r="F207" s="409" t="s">
        <v>98</v>
      </c>
      <c r="G207" s="410">
        <f>1064+1394+3594.42+1301+1392+1349+1396+1352+1180+2228</f>
        <v>16250.42</v>
      </c>
      <c r="H207" s="448"/>
      <c r="I207" s="448"/>
      <c r="J207" s="448"/>
      <c r="K207" s="448"/>
      <c r="L207" s="448"/>
      <c r="M207" s="448"/>
      <c r="N207" s="448"/>
      <c r="O207" s="448"/>
      <c r="P207" s="448"/>
      <c r="Q207" s="448"/>
      <c r="R207" s="448"/>
      <c r="S207" s="448"/>
      <c r="T207" s="448"/>
      <c r="U207" s="448"/>
      <c r="V207" s="448"/>
      <c r="W207" s="448"/>
      <c r="X207" s="448"/>
      <c r="Y207" s="448"/>
      <c r="Z207" s="448"/>
      <c r="AA207" s="448"/>
      <c r="AB207" s="448"/>
      <c r="AC207" s="448"/>
      <c r="AD207" s="448"/>
      <c r="AE207" s="448"/>
      <c r="AF207" s="448"/>
      <c r="AG207" s="448"/>
      <c r="AH207" s="448"/>
      <c r="AI207" s="448"/>
      <c r="AJ207" s="448"/>
      <c r="AK207" s="448"/>
      <c r="AL207" s="448"/>
      <c r="AM207" s="448"/>
      <c r="AN207" s="448"/>
      <c r="AO207" s="448"/>
      <c r="AP207" s="448"/>
      <c r="AQ207" s="448"/>
      <c r="AR207" s="448"/>
      <c r="AS207" s="448"/>
      <c r="AT207" s="448"/>
      <c r="AU207" s="448"/>
      <c r="AV207" s="448"/>
      <c r="AW207" s="448"/>
      <c r="AX207" s="448"/>
      <c r="AY207" s="448"/>
      <c r="AZ207" s="448"/>
      <c r="BA207" s="448"/>
      <c r="BB207" s="448"/>
      <c r="BC207" s="448"/>
      <c r="BD207" s="448"/>
      <c r="BE207" s="448"/>
      <c r="BF207" s="448"/>
      <c r="BG207" s="448"/>
      <c r="BH207" s="448"/>
      <c r="BI207" s="448"/>
      <c r="BJ207" s="448"/>
      <c r="BK207" s="448"/>
      <c r="BL207" s="448"/>
      <c r="BM207" s="448"/>
      <c r="BN207" s="448"/>
      <c r="BO207" s="448"/>
      <c r="BP207" s="448"/>
      <c r="BQ207" s="448"/>
      <c r="BR207" s="448"/>
      <c r="BS207" s="448"/>
      <c r="BT207" s="448"/>
    </row>
    <row r="208" spans="1:72" s="514" customFormat="1" ht="9" customHeight="1">
      <c r="A208" s="397"/>
      <c r="B208" s="398"/>
      <c r="C208" s="416"/>
      <c r="D208" s="399"/>
      <c r="E208" s="400"/>
      <c r="F208" s="402"/>
      <c r="G208" s="414"/>
      <c r="H208" s="448"/>
      <c r="I208" s="448"/>
      <c r="J208" s="448"/>
      <c r="K208" s="448"/>
      <c r="L208" s="448"/>
      <c r="M208" s="448"/>
      <c r="N208" s="448"/>
      <c r="O208" s="448"/>
      <c r="P208" s="448"/>
      <c r="Q208" s="448"/>
      <c r="R208" s="448"/>
      <c r="S208" s="448"/>
      <c r="T208" s="448"/>
      <c r="U208" s="448"/>
      <c r="V208" s="448"/>
      <c r="W208" s="448"/>
      <c r="X208" s="448"/>
      <c r="Y208" s="448"/>
      <c r="Z208" s="448"/>
      <c r="AA208" s="448"/>
      <c r="AB208" s="448"/>
      <c r="AC208" s="448"/>
      <c r="AD208" s="448"/>
      <c r="AE208" s="448"/>
      <c r="AF208" s="448"/>
      <c r="AG208" s="448"/>
      <c r="AH208" s="448"/>
      <c r="AI208" s="448"/>
      <c r="AJ208" s="448"/>
      <c r="AK208" s="448"/>
      <c r="AL208" s="448"/>
      <c r="AM208" s="448"/>
      <c r="AN208" s="448"/>
      <c r="AO208" s="448"/>
      <c r="AP208" s="448"/>
      <c r="AQ208" s="448"/>
      <c r="AR208" s="448"/>
      <c r="AS208" s="448"/>
      <c r="AT208" s="448"/>
      <c r="AU208" s="448"/>
      <c r="AV208" s="448"/>
      <c r="AW208" s="448"/>
      <c r="AX208" s="448"/>
      <c r="AY208" s="448"/>
      <c r="AZ208" s="448"/>
      <c r="BA208" s="448"/>
      <c r="BB208" s="448"/>
      <c r="BC208" s="448"/>
      <c r="BD208" s="448"/>
      <c r="BE208" s="448"/>
      <c r="BF208" s="448"/>
      <c r="BG208" s="448"/>
      <c r="BH208" s="448"/>
      <c r="BI208" s="448"/>
      <c r="BJ208" s="448"/>
      <c r="BK208" s="448"/>
      <c r="BL208" s="448"/>
      <c r="BM208" s="448"/>
      <c r="BN208" s="448"/>
      <c r="BO208" s="448"/>
      <c r="BP208" s="448"/>
      <c r="BQ208" s="448"/>
      <c r="BR208" s="448"/>
      <c r="BS208" s="448"/>
      <c r="BT208" s="448"/>
    </row>
    <row r="209" spans="1:72" s="514" customFormat="1" ht="15.75" customHeight="1">
      <c r="A209" s="397"/>
      <c r="B209" s="516" t="s">
        <v>37</v>
      </c>
      <c r="C209" s="399" t="s">
        <v>161</v>
      </c>
      <c r="D209" s="399" t="s">
        <v>162</v>
      </c>
      <c r="E209" s="400" t="s">
        <v>98</v>
      </c>
      <c r="F209" s="402" t="s">
        <v>98</v>
      </c>
      <c r="G209" s="401">
        <f>SUM(G211)</f>
        <v>41407.520000000004</v>
      </c>
      <c r="H209" s="448"/>
      <c r="I209" s="448"/>
      <c r="J209" s="448"/>
      <c r="K209" s="448"/>
      <c r="L209" s="448"/>
      <c r="M209" s="448"/>
      <c r="N209" s="448"/>
      <c r="O209" s="448"/>
      <c r="P209" s="448"/>
      <c r="Q209" s="448"/>
      <c r="R209" s="448"/>
      <c r="S209" s="448"/>
      <c r="T209" s="448"/>
      <c r="U209" s="448"/>
      <c r="V209" s="448"/>
      <c r="W209" s="448"/>
      <c r="X209" s="448"/>
      <c r="Y209" s="448"/>
      <c r="Z209" s="448"/>
      <c r="AA209" s="448"/>
      <c r="AB209" s="448"/>
      <c r="AC209" s="448"/>
      <c r="AD209" s="448"/>
      <c r="AE209" s="448"/>
      <c r="AF209" s="448"/>
      <c r="AG209" s="448"/>
      <c r="AH209" s="448"/>
      <c r="AI209" s="448"/>
      <c r="AJ209" s="448"/>
      <c r="AK209" s="448"/>
      <c r="AL209" s="448"/>
      <c r="AM209" s="448"/>
      <c r="AN209" s="448"/>
      <c r="AO209" s="448"/>
      <c r="AP209" s="448"/>
      <c r="AQ209" s="448"/>
      <c r="AR209" s="448"/>
      <c r="AS209" s="448"/>
      <c r="AT209" s="448"/>
      <c r="AU209" s="448"/>
      <c r="AV209" s="448"/>
      <c r="AW209" s="448"/>
      <c r="AX209" s="448"/>
      <c r="AY209" s="448"/>
      <c r="AZ209" s="448"/>
      <c r="BA209" s="448"/>
      <c r="BB209" s="448"/>
      <c r="BC209" s="448"/>
      <c r="BD209" s="448"/>
      <c r="BE209" s="448"/>
      <c r="BF209" s="448"/>
      <c r="BG209" s="448"/>
      <c r="BH209" s="448"/>
      <c r="BI209" s="448"/>
      <c r="BJ209" s="448"/>
      <c r="BK209" s="448"/>
      <c r="BL209" s="448"/>
      <c r="BM209" s="448"/>
      <c r="BN209" s="448"/>
      <c r="BO209" s="448"/>
      <c r="BP209" s="448"/>
      <c r="BQ209" s="448"/>
      <c r="BR209" s="448"/>
      <c r="BS209" s="448"/>
      <c r="BT209" s="448"/>
    </row>
    <row r="210" spans="1:72" s="514" customFormat="1" ht="7.5" customHeight="1">
      <c r="A210" s="397"/>
      <c r="B210" s="398"/>
      <c r="C210" s="416"/>
      <c r="D210" s="399"/>
      <c r="E210" s="399"/>
      <c r="F210" s="409"/>
      <c r="G210" s="410"/>
      <c r="H210" s="448"/>
      <c r="I210" s="448"/>
      <c r="J210" s="448"/>
      <c r="K210" s="448"/>
      <c r="L210" s="448"/>
      <c r="M210" s="448"/>
      <c r="N210" s="448"/>
      <c r="O210" s="448"/>
      <c r="P210" s="448"/>
      <c r="Q210" s="448"/>
      <c r="R210" s="448"/>
      <c r="S210" s="448"/>
      <c r="T210" s="448"/>
      <c r="U210" s="448"/>
      <c r="V210" s="448"/>
      <c r="W210" s="448"/>
      <c r="X210" s="448"/>
      <c r="Y210" s="448"/>
      <c r="Z210" s="448"/>
      <c r="AA210" s="448"/>
      <c r="AB210" s="448"/>
      <c r="AC210" s="448"/>
      <c r="AD210" s="448"/>
      <c r="AE210" s="448"/>
      <c r="AF210" s="448"/>
      <c r="AG210" s="448"/>
      <c r="AH210" s="448"/>
      <c r="AI210" s="448"/>
      <c r="AJ210" s="448"/>
      <c r="AK210" s="448"/>
      <c r="AL210" s="448"/>
      <c r="AM210" s="448"/>
      <c r="AN210" s="448"/>
      <c r="AO210" s="448"/>
      <c r="AP210" s="448"/>
      <c r="AQ210" s="448"/>
      <c r="AR210" s="448"/>
      <c r="AS210" s="448"/>
      <c r="AT210" s="448"/>
      <c r="AU210" s="448"/>
      <c r="AV210" s="448"/>
      <c r="AW210" s="448"/>
      <c r="AX210" s="448"/>
      <c r="AY210" s="448"/>
      <c r="AZ210" s="448"/>
      <c r="BA210" s="448"/>
      <c r="BB210" s="448"/>
      <c r="BC210" s="448"/>
      <c r="BD210" s="448"/>
      <c r="BE210" s="448"/>
      <c r="BF210" s="448"/>
      <c r="BG210" s="448"/>
      <c r="BH210" s="448"/>
      <c r="BI210" s="448"/>
      <c r="BJ210" s="448"/>
      <c r="BK210" s="448"/>
      <c r="BL210" s="448"/>
      <c r="BM210" s="448"/>
      <c r="BN210" s="448"/>
      <c r="BO210" s="448"/>
      <c r="BP210" s="448"/>
      <c r="BQ210" s="448"/>
      <c r="BR210" s="448"/>
      <c r="BS210" s="448"/>
      <c r="BT210" s="448"/>
    </row>
    <row r="211" spans="1:72" s="514" customFormat="1" ht="15.75" customHeight="1">
      <c r="A211" s="397"/>
      <c r="B211" s="398"/>
      <c r="C211" s="416"/>
      <c r="D211" s="399"/>
      <c r="E211" s="399"/>
      <c r="F211" s="409"/>
      <c r="G211" s="515">
        <f>SUM(G212:G214)</f>
        <v>41407.520000000004</v>
      </c>
      <c r="H211" s="448"/>
      <c r="I211" s="448"/>
      <c r="J211" s="448"/>
      <c r="K211" s="448"/>
      <c r="L211" s="448"/>
      <c r="M211" s="448"/>
      <c r="N211" s="448"/>
      <c r="O211" s="448"/>
      <c r="P211" s="448"/>
      <c r="Q211" s="448"/>
      <c r="R211" s="448"/>
      <c r="S211" s="448"/>
      <c r="T211" s="448"/>
      <c r="U211" s="448"/>
      <c r="V211" s="448"/>
      <c r="W211" s="448"/>
      <c r="X211" s="448"/>
      <c r="Y211" s="448"/>
      <c r="Z211" s="448"/>
      <c r="AA211" s="448"/>
      <c r="AB211" s="448"/>
      <c r="AC211" s="448"/>
      <c r="AD211" s="448"/>
      <c r="AE211" s="448"/>
      <c r="AF211" s="448"/>
      <c r="AG211" s="448"/>
      <c r="AH211" s="448"/>
      <c r="AI211" s="448"/>
      <c r="AJ211" s="448"/>
      <c r="AK211" s="448"/>
      <c r="AL211" s="448"/>
      <c r="AM211" s="448"/>
      <c r="AN211" s="448"/>
      <c r="AO211" s="448"/>
      <c r="AP211" s="448"/>
      <c r="AQ211" s="448"/>
      <c r="AR211" s="448"/>
      <c r="AS211" s="448"/>
      <c r="AT211" s="448"/>
      <c r="AU211" s="448"/>
      <c r="AV211" s="448"/>
      <c r="AW211" s="448"/>
      <c r="AX211" s="448"/>
      <c r="AY211" s="448"/>
      <c r="AZ211" s="448"/>
      <c r="BA211" s="448"/>
      <c r="BB211" s="448"/>
      <c r="BC211" s="448"/>
      <c r="BD211" s="448"/>
      <c r="BE211" s="448"/>
      <c r="BF211" s="448"/>
      <c r="BG211" s="448"/>
      <c r="BH211" s="448"/>
      <c r="BI211" s="448"/>
      <c r="BJ211" s="448"/>
      <c r="BK211" s="448"/>
      <c r="BL211" s="448"/>
      <c r="BM211" s="448"/>
      <c r="BN211" s="448"/>
      <c r="BO211" s="448"/>
      <c r="BP211" s="448"/>
      <c r="BQ211" s="448"/>
      <c r="BR211" s="448"/>
      <c r="BS211" s="448"/>
      <c r="BT211" s="448"/>
    </row>
    <row r="212" spans="1:72" s="514" customFormat="1" ht="15.75" customHeight="1">
      <c r="A212" s="397"/>
      <c r="B212" s="398"/>
      <c r="C212" s="416"/>
      <c r="D212" s="399"/>
      <c r="E212" s="399" t="s">
        <v>145</v>
      </c>
      <c r="F212" s="409" t="s">
        <v>98</v>
      </c>
      <c r="G212" s="410">
        <f>3597+4288+4767.72+3325+4667+5583+2407+31.8+5698</f>
        <v>34364.520000000004</v>
      </c>
      <c r="H212" s="448"/>
      <c r="I212" s="448"/>
      <c r="J212" s="448"/>
      <c r="K212" s="448"/>
      <c r="L212" s="448"/>
      <c r="M212" s="448"/>
      <c r="N212" s="448"/>
      <c r="O212" s="448"/>
      <c r="P212" s="448"/>
      <c r="Q212" s="448"/>
      <c r="R212" s="448"/>
      <c r="S212" s="448"/>
      <c r="T212" s="448"/>
      <c r="U212" s="448"/>
      <c r="V212" s="448"/>
      <c r="W212" s="448"/>
      <c r="X212" s="448"/>
      <c r="Y212" s="448"/>
      <c r="Z212" s="448"/>
      <c r="AA212" s="448"/>
      <c r="AB212" s="448"/>
      <c r="AC212" s="448"/>
      <c r="AD212" s="448"/>
      <c r="AE212" s="448"/>
      <c r="AF212" s="448"/>
      <c r="AG212" s="448"/>
      <c r="AH212" s="448"/>
      <c r="AI212" s="448"/>
      <c r="AJ212" s="448"/>
      <c r="AK212" s="448"/>
      <c r="AL212" s="448"/>
      <c r="AM212" s="448"/>
      <c r="AN212" s="448"/>
      <c r="AO212" s="448"/>
      <c r="AP212" s="448"/>
      <c r="AQ212" s="448"/>
      <c r="AR212" s="448"/>
      <c r="AS212" s="448"/>
      <c r="AT212" s="448"/>
      <c r="AU212" s="448"/>
      <c r="AV212" s="448"/>
      <c r="AW212" s="448"/>
      <c r="AX212" s="448"/>
      <c r="AY212" s="448"/>
      <c r="AZ212" s="448"/>
      <c r="BA212" s="448"/>
      <c r="BB212" s="448"/>
      <c r="BC212" s="448"/>
      <c r="BD212" s="448"/>
      <c r="BE212" s="448"/>
      <c r="BF212" s="448"/>
      <c r="BG212" s="448"/>
      <c r="BH212" s="448"/>
      <c r="BI212" s="448"/>
      <c r="BJ212" s="448"/>
      <c r="BK212" s="448"/>
      <c r="BL212" s="448"/>
      <c r="BM212" s="448"/>
      <c r="BN212" s="448"/>
      <c r="BO212" s="448"/>
      <c r="BP212" s="448"/>
      <c r="BQ212" s="448"/>
      <c r="BR212" s="448"/>
      <c r="BS212" s="448"/>
      <c r="BT212" s="448"/>
    </row>
    <row r="213" spans="1:72" s="514" customFormat="1" ht="15.75" customHeight="1">
      <c r="A213" s="397"/>
      <c r="B213" s="398"/>
      <c r="C213" s="416"/>
      <c r="D213" s="399"/>
      <c r="E213" s="399" t="s">
        <v>132</v>
      </c>
      <c r="F213" s="409" t="s">
        <v>98</v>
      </c>
      <c r="G213" s="410">
        <f>840</f>
        <v>840</v>
      </c>
      <c r="H213" s="448"/>
      <c r="I213" s="448"/>
      <c r="J213" s="448"/>
      <c r="K213" s="448"/>
      <c r="L213" s="448"/>
      <c r="M213" s="448"/>
      <c r="N213" s="448"/>
      <c r="O213" s="448"/>
      <c r="P213" s="448"/>
      <c r="Q213" s="448"/>
      <c r="R213" s="448"/>
      <c r="S213" s="448"/>
      <c r="T213" s="448"/>
      <c r="U213" s="448"/>
      <c r="V213" s="448"/>
      <c r="W213" s="448"/>
      <c r="X213" s="448"/>
      <c r="Y213" s="448"/>
      <c r="Z213" s="448"/>
      <c r="AA213" s="448"/>
      <c r="AB213" s="448"/>
      <c r="AC213" s="448"/>
      <c r="AD213" s="448"/>
      <c r="AE213" s="448"/>
      <c r="AF213" s="448"/>
      <c r="AG213" s="448"/>
      <c r="AH213" s="448"/>
      <c r="AI213" s="448"/>
      <c r="AJ213" s="448"/>
      <c r="AK213" s="448"/>
      <c r="AL213" s="448"/>
      <c r="AM213" s="448"/>
      <c r="AN213" s="448"/>
      <c r="AO213" s="448"/>
      <c r="AP213" s="448"/>
      <c r="AQ213" s="448"/>
      <c r="AR213" s="448"/>
      <c r="AS213" s="448"/>
      <c r="AT213" s="448"/>
      <c r="AU213" s="448"/>
      <c r="AV213" s="448"/>
      <c r="AW213" s="448"/>
      <c r="AX213" s="448"/>
      <c r="AY213" s="448"/>
      <c r="AZ213" s="448"/>
      <c r="BA213" s="448"/>
      <c r="BB213" s="448"/>
      <c r="BC213" s="448"/>
      <c r="BD213" s="448"/>
      <c r="BE213" s="448"/>
      <c r="BF213" s="448"/>
      <c r="BG213" s="448"/>
      <c r="BH213" s="448"/>
      <c r="BI213" s="448"/>
      <c r="BJ213" s="448"/>
      <c r="BK213" s="448"/>
      <c r="BL213" s="448"/>
      <c r="BM213" s="448"/>
      <c r="BN213" s="448"/>
      <c r="BO213" s="448"/>
      <c r="BP213" s="448"/>
      <c r="BQ213" s="448"/>
      <c r="BR213" s="448"/>
      <c r="BS213" s="448"/>
      <c r="BT213" s="448"/>
    </row>
    <row r="214" spans="1:72" s="514" customFormat="1" ht="15.75" customHeight="1">
      <c r="A214" s="397"/>
      <c r="B214" s="398"/>
      <c r="C214" s="416"/>
      <c r="D214" s="399"/>
      <c r="E214" s="399" t="s">
        <v>119</v>
      </c>
      <c r="F214" s="409" t="s">
        <v>98</v>
      </c>
      <c r="G214" s="410">
        <f>6203</f>
        <v>6203</v>
      </c>
      <c r="H214" s="448"/>
      <c r="I214" s="448"/>
      <c r="J214" s="448"/>
      <c r="K214" s="448"/>
      <c r="L214" s="448"/>
      <c r="M214" s="448"/>
      <c r="N214" s="448"/>
      <c r="O214" s="448"/>
      <c r="P214" s="448"/>
      <c r="Q214" s="448"/>
      <c r="R214" s="448"/>
      <c r="S214" s="448"/>
      <c r="T214" s="448"/>
      <c r="U214" s="448"/>
      <c r="V214" s="448"/>
      <c r="W214" s="448"/>
      <c r="X214" s="448"/>
      <c r="Y214" s="448"/>
      <c r="Z214" s="448"/>
      <c r="AA214" s="448"/>
      <c r="AB214" s="448"/>
      <c r="AC214" s="448"/>
      <c r="AD214" s="448"/>
      <c r="AE214" s="448"/>
      <c r="AF214" s="448"/>
      <c r="AG214" s="448"/>
      <c r="AH214" s="448"/>
      <c r="AI214" s="448"/>
      <c r="AJ214" s="448"/>
      <c r="AK214" s="448"/>
      <c r="AL214" s="448"/>
      <c r="AM214" s="448"/>
      <c r="AN214" s="448"/>
      <c r="AO214" s="448"/>
      <c r="AP214" s="448"/>
      <c r="AQ214" s="448"/>
      <c r="AR214" s="448"/>
      <c r="AS214" s="448"/>
      <c r="AT214" s="448"/>
      <c r="AU214" s="448"/>
      <c r="AV214" s="448"/>
      <c r="AW214" s="448"/>
      <c r="AX214" s="448"/>
      <c r="AY214" s="448"/>
      <c r="AZ214" s="448"/>
      <c r="BA214" s="448"/>
      <c r="BB214" s="448"/>
      <c r="BC214" s="448"/>
      <c r="BD214" s="448"/>
      <c r="BE214" s="448"/>
      <c r="BF214" s="448"/>
      <c r="BG214" s="448"/>
      <c r="BH214" s="448"/>
      <c r="BI214" s="448"/>
      <c r="BJ214" s="448"/>
      <c r="BK214" s="448"/>
      <c r="BL214" s="448"/>
      <c r="BM214" s="448"/>
      <c r="BN214" s="448"/>
      <c r="BO214" s="448"/>
      <c r="BP214" s="448"/>
      <c r="BQ214" s="448"/>
      <c r="BR214" s="448"/>
      <c r="BS214" s="448"/>
      <c r="BT214" s="448"/>
    </row>
    <row r="215" spans="1:72" s="514" customFormat="1" ht="9" customHeight="1">
      <c r="A215" s="397"/>
      <c r="B215" s="398"/>
      <c r="C215" s="416"/>
      <c r="D215" s="399"/>
      <c r="E215" s="400"/>
      <c r="F215" s="402"/>
      <c r="G215" s="414"/>
      <c r="H215" s="448"/>
      <c r="I215" s="448"/>
      <c r="J215" s="448"/>
      <c r="K215" s="448"/>
      <c r="L215" s="448"/>
      <c r="M215" s="448"/>
      <c r="N215" s="448"/>
      <c r="O215" s="448"/>
      <c r="P215" s="448"/>
      <c r="Q215" s="448"/>
      <c r="R215" s="448"/>
      <c r="S215" s="448"/>
      <c r="T215" s="448"/>
      <c r="U215" s="448"/>
      <c r="V215" s="448"/>
      <c r="W215" s="448"/>
      <c r="X215" s="448"/>
      <c r="Y215" s="448"/>
      <c r="Z215" s="448"/>
      <c r="AA215" s="448"/>
      <c r="AB215" s="448"/>
      <c r="AC215" s="448"/>
      <c r="AD215" s="448"/>
      <c r="AE215" s="448"/>
      <c r="AF215" s="448"/>
      <c r="AG215" s="448"/>
      <c r="AH215" s="448"/>
      <c r="AI215" s="448"/>
      <c r="AJ215" s="448"/>
      <c r="AK215" s="448"/>
      <c r="AL215" s="448"/>
      <c r="AM215" s="448"/>
      <c r="AN215" s="448"/>
      <c r="AO215" s="448"/>
      <c r="AP215" s="448"/>
      <c r="AQ215" s="448"/>
      <c r="AR215" s="448"/>
      <c r="AS215" s="448"/>
      <c r="AT215" s="448"/>
      <c r="AU215" s="448"/>
      <c r="AV215" s="448"/>
      <c r="AW215" s="448"/>
      <c r="AX215" s="448"/>
      <c r="AY215" s="448"/>
      <c r="AZ215" s="448"/>
      <c r="BA215" s="448"/>
      <c r="BB215" s="448"/>
      <c r="BC215" s="448"/>
      <c r="BD215" s="448"/>
      <c r="BE215" s="448"/>
      <c r="BF215" s="448"/>
      <c r="BG215" s="448"/>
      <c r="BH215" s="448"/>
      <c r="BI215" s="448"/>
      <c r="BJ215" s="448"/>
      <c r="BK215" s="448"/>
      <c r="BL215" s="448"/>
      <c r="BM215" s="448"/>
      <c r="BN215" s="448"/>
      <c r="BO215" s="448"/>
      <c r="BP215" s="448"/>
      <c r="BQ215" s="448"/>
      <c r="BR215" s="448"/>
      <c r="BS215" s="448"/>
      <c r="BT215" s="448"/>
    </row>
    <row r="216" spans="1:72" s="514" customFormat="1" ht="15.75" customHeight="1">
      <c r="A216" s="397"/>
      <c r="B216" s="516" t="s">
        <v>37</v>
      </c>
      <c r="C216" s="399" t="s">
        <v>161</v>
      </c>
      <c r="D216" s="399" t="s">
        <v>163</v>
      </c>
      <c r="E216" s="400" t="s">
        <v>98</v>
      </c>
      <c r="F216" s="402" t="s">
        <v>98</v>
      </c>
      <c r="G216" s="401">
        <f>SUM(G218)</f>
        <v>67992.88</v>
      </c>
      <c r="H216" s="448"/>
      <c r="I216" s="448"/>
      <c r="J216" s="448"/>
      <c r="K216" s="448"/>
      <c r="L216" s="448"/>
      <c r="M216" s="448"/>
      <c r="N216" s="448"/>
      <c r="O216" s="448"/>
      <c r="P216" s="448"/>
      <c r="Q216" s="448"/>
      <c r="R216" s="448"/>
      <c r="S216" s="448"/>
      <c r="T216" s="448"/>
      <c r="U216" s="448"/>
      <c r="V216" s="448"/>
      <c r="W216" s="448"/>
      <c r="X216" s="448"/>
      <c r="Y216" s="448"/>
      <c r="Z216" s="448"/>
      <c r="AA216" s="448"/>
      <c r="AB216" s="448"/>
      <c r="AC216" s="448"/>
      <c r="AD216" s="448"/>
      <c r="AE216" s="448"/>
      <c r="AF216" s="448"/>
      <c r="AG216" s="448"/>
      <c r="AH216" s="448"/>
      <c r="AI216" s="448"/>
      <c r="AJ216" s="448"/>
      <c r="AK216" s="448"/>
      <c r="AL216" s="448"/>
      <c r="AM216" s="448"/>
      <c r="AN216" s="448"/>
      <c r="AO216" s="448"/>
      <c r="AP216" s="448"/>
      <c r="AQ216" s="448"/>
      <c r="AR216" s="448"/>
      <c r="AS216" s="448"/>
      <c r="AT216" s="448"/>
      <c r="AU216" s="448"/>
      <c r="AV216" s="448"/>
      <c r="AW216" s="448"/>
      <c r="AX216" s="448"/>
      <c r="AY216" s="448"/>
      <c r="AZ216" s="448"/>
      <c r="BA216" s="448"/>
      <c r="BB216" s="448"/>
      <c r="BC216" s="448"/>
      <c r="BD216" s="448"/>
      <c r="BE216" s="448"/>
      <c r="BF216" s="448"/>
      <c r="BG216" s="448"/>
      <c r="BH216" s="448"/>
      <c r="BI216" s="448"/>
      <c r="BJ216" s="448"/>
      <c r="BK216" s="448"/>
      <c r="BL216" s="448"/>
      <c r="BM216" s="448"/>
      <c r="BN216" s="448"/>
      <c r="BO216" s="448"/>
      <c r="BP216" s="448"/>
      <c r="BQ216" s="448"/>
      <c r="BR216" s="448"/>
      <c r="BS216" s="448"/>
      <c r="BT216" s="448"/>
    </row>
    <row r="217" spans="1:72" s="514" customFormat="1" ht="8.25" customHeight="1">
      <c r="A217" s="397"/>
      <c r="B217" s="398"/>
      <c r="C217" s="416"/>
      <c r="D217" s="399"/>
      <c r="E217" s="399"/>
      <c r="F217" s="409"/>
      <c r="G217" s="410"/>
      <c r="H217" s="448"/>
      <c r="I217" s="448"/>
      <c r="J217" s="448"/>
      <c r="K217" s="448"/>
      <c r="L217" s="448"/>
      <c r="M217" s="448"/>
      <c r="N217" s="448"/>
      <c r="O217" s="448"/>
      <c r="P217" s="448"/>
      <c r="Q217" s="448"/>
      <c r="R217" s="448"/>
      <c r="S217" s="448"/>
      <c r="T217" s="448"/>
      <c r="U217" s="448"/>
      <c r="V217" s="448"/>
      <c r="W217" s="448"/>
      <c r="X217" s="448"/>
      <c r="Y217" s="448"/>
      <c r="Z217" s="448"/>
      <c r="AA217" s="448"/>
      <c r="AB217" s="448"/>
      <c r="AC217" s="448"/>
      <c r="AD217" s="448"/>
      <c r="AE217" s="448"/>
      <c r="AF217" s="448"/>
      <c r="AG217" s="448"/>
      <c r="AH217" s="448"/>
      <c r="AI217" s="448"/>
      <c r="AJ217" s="448"/>
      <c r="AK217" s="448"/>
      <c r="AL217" s="448"/>
      <c r="AM217" s="448"/>
      <c r="AN217" s="448"/>
      <c r="AO217" s="448"/>
      <c r="AP217" s="448"/>
      <c r="AQ217" s="448"/>
      <c r="AR217" s="448"/>
      <c r="AS217" s="448"/>
      <c r="AT217" s="448"/>
      <c r="AU217" s="448"/>
      <c r="AV217" s="448"/>
      <c r="AW217" s="448"/>
      <c r="AX217" s="448"/>
      <c r="AY217" s="448"/>
      <c r="AZ217" s="448"/>
      <c r="BA217" s="448"/>
      <c r="BB217" s="448"/>
      <c r="BC217" s="448"/>
      <c r="BD217" s="448"/>
      <c r="BE217" s="448"/>
      <c r="BF217" s="448"/>
      <c r="BG217" s="448"/>
      <c r="BH217" s="448"/>
      <c r="BI217" s="448"/>
      <c r="BJ217" s="448"/>
      <c r="BK217" s="448"/>
      <c r="BL217" s="448"/>
      <c r="BM217" s="448"/>
      <c r="BN217" s="448"/>
      <c r="BO217" s="448"/>
      <c r="BP217" s="448"/>
      <c r="BQ217" s="448"/>
      <c r="BR217" s="448"/>
      <c r="BS217" s="448"/>
      <c r="BT217" s="448"/>
    </row>
    <row r="218" spans="1:72" s="514" customFormat="1" ht="15.75" customHeight="1">
      <c r="A218" s="397"/>
      <c r="B218" s="398"/>
      <c r="C218" s="416"/>
      <c r="D218" s="399"/>
      <c r="E218" s="399"/>
      <c r="F218" s="409"/>
      <c r="G218" s="515">
        <f>SUM(G219:G221)</f>
        <v>67992.88</v>
      </c>
      <c r="H218" s="448"/>
      <c r="I218" s="448"/>
      <c r="J218" s="448"/>
      <c r="K218" s="448"/>
      <c r="L218" s="448"/>
      <c r="M218" s="448"/>
      <c r="N218" s="448"/>
      <c r="O218" s="448"/>
      <c r="P218" s="448"/>
      <c r="Q218" s="448"/>
      <c r="R218" s="448"/>
      <c r="S218" s="448"/>
      <c r="T218" s="448"/>
      <c r="U218" s="448"/>
      <c r="V218" s="448"/>
      <c r="W218" s="448"/>
      <c r="X218" s="448"/>
      <c r="Y218" s="448"/>
      <c r="Z218" s="448"/>
      <c r="AA218" s="448"/>
      <c r="AB218" s="448"/>
      <c r="AC218" s="448"/>
      <c r="AD218" s="448"/>
      <c r="AE218" s="448"/>
      <c r="AF218" s="448"/>
      <c r="AG218" s="448"/>
      <c r="AH218" s="448"/>
      <c r="AI218" s="448"/>
      <c r="AJ218" s="448"/>
      <c r="AK218" s="448"/>
      <c r="AL218" s="448"/>
      <c r="AM218" s="448"/>
      <c r="AN218" s="448"/>
      <c r="AO218" s="448"/>
      <c r="AP218" s="448"/>
      <c r="AQ218" s="448"/>
      <c r="AR218" s="448"/>
      <c r="AS218" s="448"/>
      <c r="AT218" s="448"/>
      <c r="AU218" s="448"/>
      <c r="AV218" s="448"/>
      <c r="AW218" s="448"/>
      <c r="AX218" s="448"/>
      <c r="AY218" s="448"/>
      <c r="AZ218" s="448"/>
      <c r="BA218" s="448"/>
      <c r="BB218" s="448"/>
      <c r="BC218" s="448"/>
      <c r="BD218" s="448"/>
      <c r="BE218" s="448"/>
      <c r="BF218" s="448"/>
      <c r="BG218" s="448"/>
      <c r="BH218" s="448"/>
      <c r="BI218" s="448"/>
      <c r="BJ218" s="448"/>
      <c r="BK218" s="448"/>
      <c r="BL218" s="448"/>
      <c r="BM218" s="448"/>
      <c r="BN218" s="448"/>
      <c r="BO218" s="448"/>
      <c r="BP218" s="448"/>
      <c r="BQ218" s="448"/>
      <c r="BR218" s="448"/>
      <c r="BS218" s="448"/>
      <c r="BT218" s="448"/>
    </row>
    <row r="219" spans="1:72" s="514" customFormat="1" ht="15.75" customHeight="1">
      <c r="A219" s="397"/>
      <c r="B219" s="398"/>
      <c r="C219" s="416"/>
      <c r="D219" s="399"/>
      <c r="E219" s="399" t="s">
        <v>145</v>
      </c>
      <c r="F219" s="409" t="s">
        <v>98</v>
      </c>
      <c r="G219" s="410">
        <f>6086+7919+8742.35+7388+7898+7643-1002+7643+6634+141.53</f>
        <v>59092.88</v>
      </c>
      <c r="H219" s="448"/>
      <c r="I219" s="448"/>
      <c r="J219" s="448"/>
      <c r="K219" s="448"/>
      <c r="L219" s="448"/>
      <c r="M219" s="448"/>
      <c r="N219" s="448"/>
      <c r="O219" s="448"/>
      <c r="P219" s="448"/>
      <c r="Q219" s="448"/>
      <c r="R219" s="448"/>
      <c r="S219" s="448"/>
      <c r="T219" s="448"/>
      <c r="U219" s="448"/>
      <c r="V219" s="448"/>
      <c r="W219" s="448"/>
      <c r="X219" s="448"/>
      <c r="Y219" s="448"/>
      <c r="Z219" s="448"/>
      <c r="AA219" s="448"/>
      <c r="AB219" s="448"/>
      <c r="AC219" s="448"/>
      <c r="AD219" s="448"/>
      <c r="AE219" s="448"/>
      <c r="AF219" s="448"/>
      <c r="AG219" s="448"/>
      <c r="AH219" s="448"/>
      <c r="AI219" s="448"/>
      <c r="AJ219" s="448"/>
      <c r="AK219" s="448"/>
      <c r="AL219" s="448"/>
      <c r="AM219" s="448"/>
      <c r="AN219" s="448"/>
      <c r="AO219" s="448"/>
      <c r="AP219" s="448"/>
      <c r="AQ219" s="448"/>
      <c r="AR219" s="448"/>
      <c r="AS219" s="448"/>
      <c r="AT219" s="448"/>
      <c r="AU219" s="448"/>
      <c r="AV219" s="448"/>
      <c r="AW219" s="448"/>
      <c r="AX219" s="448"/>
      <c r="AY219" s="448"/>
      <c r="AZ219" s="448"/>
      <c r="BA219" s="448"/>
      <c r="BB219" s="448"/>
      <c r="BC219" s="448"/>
      <c r="BD219" s="448"/>
      <c r="BE219" s="448"/>
      <c r="BF219" s="448"/>
      <c r="BG219" s="448"/>
      <c r="BH219" s="448"/>
      <c r="BI219" s="448"/>
      <c r="BJ219" s="448"/>
      <c r="BK219" s="448"/>
      <c r="BL219" s="448"/>
      <c r="BM219" s="448"/>
      <c r="BN219" s="448"/>
      <c r="BO219" s="448"/>
      <c r="BP219" s="448"/>
      <c r="BQ219" s="448"/>
      <c r="BR219" s="448"/>
      <c r="BS219" s="448"/>
      <c r="BT219" s="448"/>
    </row>
    <row r="220" spans="1:72" s="514" customFormat="1" ht="15.75" customHeight="1">
      <c r="A220" s="397"/>
      <c r="B220" s="398"/>
      <c r="C220" s="416"/>
      <c r="D220" s="399"/>
      <c r="E220" s="399" t="s">
        <v>132</v>
      </c>
      <c r="F220" s="409" t="s">
        <v>98</v>
      </c>
      <c r="G220" s="410">
        <f>400</f>
        <v>400</v>
      </c>
      <c r="H220" s="448"/>
      <c r="I220" s="448"/>
      <c r="J220" s="448"/>
      <c r="K220" s="448"/>
      <c r="L220" s="448"/>
      <c r="M220" s="448"/>
      <c r="N220" s="448"/>
      <c r="O220" s="448"/>
      <c r="P220" s="448"/>
      <c r="Q220" s="448"/>
      <c r="R220" s="448"/>
      <c r="S220" s="448"/>
      <c r="T220" s="448"/>
      <c r="U220" s="448"/>
      <c r="V220" s="448"/>
      <c r="W220" s="448"/>
      <c r="X220" s="448"/>
      <c r="Y220" s="448"/>
      <c r="Z220" s="448"/>
      <c r="AA220" s="448"/>
      <c r="AB220" s="448"/>
      <c r="AC220" s="448"/>
      <c r="AD220" s="448"/>
      <c r="AE220" s="448"/>
      <c r="AF220" s="448"/>
      <c r="AG220" s="448"/>
      <c r="AH220" s="448"/>
      <c r="AI220" s="448"/>
      <c r="AJ220" s="448"/>
      <c r="AK220" s="448"/>
      <c r="AL220" s="448"/>
      <c r="AM220" s="448"/>
      <c r="AN220" s="448"/>
      <c r="AO220" s="448"/>
      <c r="AP220" s="448"/>
      <c r="AQ220" s="448"/>
      <c r="AR220" s="448"/>
      <c r="AS220" s="448"/>
      <c r="AT220" s="448"/>
      <c r="AU220" s="448"/>
      <c r="AV220" s="448"/>
      <c r="AW220" s="448"/>
      <c r="AX220" s="448"/>
      <c r="AY220" s="448"/>
      <c r="AZ220" s="448"/>
      <c r="BA220" s="448"/>
      <c r="BB220" s="448"/>
      <c r="BC220" s="448"/>
      <c r="BD220" s="448"/>
      <c r="BE220" s="448"/>
      <c r="BF220" s="448"/>
      <c r="BG220" s="448"/>
      <c r="BH220" s="448"/>
      <c r="BI220" s="448"/>
      <c r="BJ220" s="448"/>
      <c r="BK220" s="448"/>
      <c r="BL220" s="448"/>
      <c r="BM220" s="448"/>
      <c r="BN220" s="448"/>
      <c r="BO220" s="448"/>
      <c r="BP220" s="448"/>
      <c r="BQ220" s="448"/>
      <c r="BR220" s="448"/>
      <c r="BS220" s="448"/>
      <c r="BT220" s="448"/>
    </row>
    <row r="221" spans="1:72" s="514" customFormat="1" ht="15.75" customHeight="1">
      <c r="A221" s="397"/>
      <c r="B221" s="398"/>
      <c r="C221" s="416"/>
      <c r="D221" s="399"/>
      <c r="E221" s="399" t="s">
        <v>119</v>
      </c>
      <c r="F221" s="409" t="s">
        <v>98</v>
      </c>
      <c r="G221" s="410">
        <f>8500</f>
        <v>8500</v>
      </c>
      <c r="H221" s="448"/>
      <c r="I221" s="448"/>
      <c r="J221" s="448"/>
      <c r="K221" s="448"/>
      <c r="L221" s="448"/>
      <c r="M221" s="448"/>
      <c r="N221" s="448"/>
      <c r="O221" s="448"/>
      <c r="P221" s="448"/>
      <c r="Q221" s="448"/>
      <c r="R221" s="448"/>
      <c r="S221" s="448"/>
      <c r="T221" s="448"/>
      <c r="U221" s="448"/>
      <c r="V221" s="448"/>
      <c r="W221" s="448"/>
      <c r="X221" s="448"/>
      <c r="Y221" s="448"/>
      <c r="Z221" s="448"/>
      <c r="AA221" s="448"/>
      <c r="AB221" s="448"/>
      <c r="AC221" s="448"/>
      <c r="AD221" s="448"/>
      <c r="AE221" s="448"/>
      <c r="AF221" s="448"/>
      <c r="AG221" s="448"/>
      <c r="AH221" s="448"/>
      <c r="AI221" s="448"/>
      <c r="AJ221" s="448"/>
      <c r="AK221" s="448"/>
      <c r="AL221" s="448"/>
      <c r="AM221" s="448"/>
      <c r="AN221" s="448"/>
      <c r="AO221" s="448"/>
      <c r="AP221" s="448"/>
      <c r="AQ221" s="448"/>
      <c r="AR221" s="448"/>
      <c r="AS221" s="448"/>
      <c r="AT221" s="448"/>
      <c r="AU221" s="448"/>
      <c r="AV221" s="448"/>
      <c r="AW221" s="448"/>
      <c r="AX221" s="448"/>
      <c r="AY221" s="448"/>
      <c r="AZ221" s="448"/>
      <c r="BA221" s="448"/>
      <c r="BB221" s="448"/>
      <c r="BC221" s="448"/>
      <c r="BD221" s="448"/>
      <c r="BE221" s="448"/>
      <c r="BF221" s="448"/>
      <c r="BG221" s="448"/>
      <c r="BH221" s="448"/>
      <c r="BI221" s="448"/>
      <c r="BJ221" s="448"/>
      <c r="BK221" s="448"/>
      <c r="BL221" s="448"/>
      <c r="BM221" s="448"/>
      <c r="BN221" s="448"/>
      <c r="BO221" s="448"/>
      <c r="BP221" s="448"/>
      <c r="BQ221" s="448"/>
      <c r="BR221" s="448"/>
      <c r="BS221" s="448"/>
      <c r="BT221" s="448"/>
    </row>
    <row r="222" spans="1:72" s="514" customFormat="1" ht="5.25" customHeight="1">
      <c r="A222" s="411"/>
      <c r="B222" s="412"/>
      <c r="C222" s="413"/>
      <c r="D222" s="400"/>
      <c r="E222" s="400"/>
      <c r="F222" s="402"/>
      <c r="G222" s="414"/>
      <c r="H222" s="448"/>
      <c r="I222" s="448"/>
      <c r="J222" s="448"/>
      <c r="K222" s="448"/>
      <c r="L222" s="448"/>
      <c r="M222" s="448"/>
      <c r="N222" s="448"/>
      <c r="O222" s="448"/>
      <c r="P222" s="448"/>
      <c r="Q222" s="448"/>
      <c r="R222" s="448"/>
      <c r="S222" s="448"/>
      <c r="T222" s="448"/>
      <c r="U222" s="448"/>
      <c r="V222" s="448"/>
      <c r="W222" s="448"/>
      <c r="X222" s="448"/>
      <c r="Y222" s="448"/>
      <c r="Z222" s="448"/>
      <c r="AA222" s="448"/>
      <c r="AB222" s="448"/>
      <c r="AC222" s="448"/>
      <c r="AD222" s="448"/>
      <c r="AE222" s="448"/>
      <c r="AF222" s="448"/>
      <c r="AG222" s="448"/>
      <c r="AH222" s="448"/>
      <c r="AI222" s="448"/>
      <c r="AJ222" s="448"/>
      <c r="AK222" s="448"/>
      <c r="AL222" s="448"/>
      <c r="AM222" s="448"/>
      <c r="AN222" s="448"/>
      <c r="AO222" s="448"/>
      <c r="AP222" s="448"/>
      <c r="AQ222" s="448"/>
      <c r="AR222" s="448"/>
      <c r="AS222" s="448"/>
      <c r="AT222" s="448"/>
      <c r="AU222" s="448"/>
      <c r="AV222" s="448"/>
      <c r="AW222" s="448"/>
      <c r="AX222" s="448"/>
      <c r="AY222" s="448"/>
      <c r="AZ222" s="448"/>
      <c r="BA222" s="448"/>
      <c r="BB222" s="448"/>
      <c r="BC222" s="448"/>
      <c r="BD222" s="448"/>
      <c r="BE222" s="448"/>
      <c r="BF222" s="448"/>
      <c r="BG222" s="448"/>
      <c r="BH222" s="448"/>
      <c r="BI222" s="448"/>
      <c r="BJ222" s="448"/>
      <c r="BK222" s="448"/>
      <c r="BL222" s="448"/>
      <c r="BM222" s="448"/>
      <c r="BN222" s="448"/>
      <c r="BO222" s="448"/>
      <c r="BP222" s="448"/>
      <c r="BQ222" s="448"/>
      <c r="BR222" s="448"/>
      <c r="BS222" s="448"/>
      <c r="BT222" s="448"/>
    </row>
    <row r="223" spans="1:72" s="514" customFormat="1" ht="15.75" customHeight="1">
      <c r="A223" s="397"/>
      <c r="B223" s="398"/>
      <c r="C223" s="399"/>
      <c r="D223" s="399"/>
      <c r="E223" s="400" t="s">
        <v>107</v>
      </c>
      <c r="F223" s="401">
        <f>85.52+10.46+270.69+254.55+109.7+194.71+62.69+139.62+170.91+386.57+15.67+386.57+203.73</f>
        <v>2291.3900000000003</v>
      </c>
      <c r="G223" s="402" t="s">
        <v>98</v>
      </c>
      <c r="H223" s="448"/>
      <c r="I223" s="448"/>
      <c r="J223" s="448"/>
      <c r="K223" s="448"/>
      <c r="L223" s="448"/>
      <c r="M223" s="448"/>
      <c r="N223" s="448"/>
      <c r="O223" s="448"/>
      <c r="P223" s="448"/>
      <c r="Q223" s="448"/>
      <c r="R223" s="448"/>
      <c r="S223" s="448"/>
      <c r="T223" s="448"/>
      <c r="U223" s="448"/>
      <c r="V223" s="448"/>
      <c r="W223" s="448"/>
      <c r="X223" s="448"/>
      <c r="Y223" s="448"/>
      <c r="Z223" s="448"/>
      <c r="AA223" s="448"/>
      <c r="AB223" s="448"/>
      <c r="AC223" s="448"/>
      <c r="AD223" s="448"/>
      <c r="AE223" s="448"/>
      <c r="AF223" s="448"/>
      <c r="AG223" s="448"/>
      <c r="AH223" s="448"/>
      <c r="AI223" s="448"/>
      <c r="AJ223" s="448"/>
      <c r="AK223" s="448"/>
      <c r="AL223" s="448"/>
      <c r="AM223" s="448"/>
      <c r="AN223" s="448"/>
      <c r="AO223" s="448"/>
      <c r="AP223" s="448"/>
      <c r="AQ223" s="448"/>
      <c r="AR223" s="448"/>
      <c r="AS223" s="448"/>
      <c r="AT223" s="448"/>
      <c r="AU223" s="448"/>
      <c r="AV223" s="448"/>
      <c r="AW223" s="448"/>
      <c r="AX223" s="448"/>
      <c r="AY223" s="448"/>
      <c r="AZ223" s="448"/>
      <c r="BA223" s="448"/>
      <c r="BB223" s="448"/>
      <c r="BC223" s="448"/>
      <c r="BD223" s="448"/>
      <c r="BE223" s="448"/>
      <c r="BF223" s="448"/>
      <c r="BG223" s="448"/>
      <c r="BH223" s="448"/>
      <c r="BI223" s="448"/>
      <c r="BJ223" s="448"/>
      <c r="BK223" s="448"/>
      <c r="BL223" s="448"/>
      <c r="BM223" s="448"/>
      <c r="BN223" s="448"/>
      <c r="BO223" s="448"/>
      <c r="BP223" s="448"/>
      <c r="BQ223" s="448"/>
      <c r="BR223" s="448"/>
      <c r="BS223" s="448"/>
      <c r="BT223" s="448"/>
    </row>
    <row r="224" spans="1:72" s="514" customFormat="1" ht="60" customHeight="1">
      <c r="A224" s="403" t="s">
        <v>164</v>
      </c>
      <c r="B224" s="415" t="s">
        <v>165</v>
      </c>
      <c r="C224" s="399" t="s">
        <v>166</v>
      </c>
      <c r="D224" s="399" t="s">
        <v>167</v>
      </c>
      <c r="E224" s="405" t="s">
        <v>98</v>
      </c>
      <c r="F224" s="406" t="s">
        <v>98</v>
      </c>
      <c r="G224" s="422">
        <f>SUM(G226)</f>
        <v>2195.4100000000003</v>
      </c>
      <c r="H224" s="448"/>
      <c r="I224" s="522"/>
      <c r="J224" s="448"/>
      <c r="K224" s="448"/>
      <c r="L224" s="448"/>
      <c r="M224" s="448"/>
      <c r="N224" s="448"/>
      <c r="O224" s="448"/>
      <c r="P224" s="448"/>
      <c r="Q224" s="448"/>
      <c r="R224" s="448"/>
      <c r="S224" s="448"/>
      <c r="T224" s="448"/>
      <c r="U224" s="448"/>
      <c r="V224" s="448"/>
      <c r="W224" s="448"/>
      <c r="X224" s="448"/>
      <c r="Y224" s="448"/>
      <c r="Z224" s="448"/>
      <c r="AA224" s="448"/>
      <c r="AB224" s="448"/>
      <c r="AC224" s="448"/>
      <c r="AD224" s="448"/>
      <c r="AE224" s="448"/>
      <c r="AF224" s="448"/>
      <c r="AG224" s="448"/>
      <c r="AH224" s="448"/>
      <c r="AI224" s="448"/>
      <c r="AJ224" s="448"/>
      <c r="AK224" s="448"/>
      <c r="AL224" s="448"/>
      <c r="AM224" s="448"/>
      <c r="AN224" s="448"/>
      <c r="AO224" s="448"/>
      <c r="AP224" s="448"/>
      <c r="AQ224" s="448"/>
      <c r="AR224" s="448"/>
      <c r="AS224" s="448"/>
      <c r="AT224" s="448"/>
      <c r="AU224" s="448"/>
      <c r="AV224" s="448"/>
      <c r="AW224" s="448"/>
      <c r="AX224" s="448"/>
      <c r="AY224" s="448"/>
      <c r="AZ224" s="448"/>
      <c r="BA224" s="448"/>
      <c r="BB224" s="448"/>
      <c r="BC224" s="448"/>
      <c r="BD224" s="448"/>
      <c r="BE224" s="448"/>
      <c r="BF224" s="448"/>
      <c r="BG224" s="448"/>
      <c r="BH224" s="448"/>
      <c r="BI224" s="448"/>
      <c r="BJ224" s="448"/>
      <c r="BK224" s="448"/>
      <c r="BL224" s="448"/>
      <c r="BM224" s="448"/>
      <c r="BN224" s="448"/>
      <c r="BO224" s="448"/>
      <c r="BP224" s="448"/>
      <c r="BQ224" s="448"/>
      <c r="BR224" s="448"/>
      <c r="BS224" s="448"/>
      <c r="BT224" s="448"/>
    </row>
    <row r="225" spans="1:16135" s="514" customFormat="1" ht="5.25" customHeight="1">
      <c r="A225" s="403"/>
      <c r="B225" s="408"/>
      <c r="C225" s="399"/>
      <c r="D225" s="399"/>
      <c r="E225" s="399"/>
      <c r="F225" s="409"/>
      <c r="G225" s="515"/>
      <c r="H225" s="448"/>
      <c r="I225" s="448"/>
      <c r="J225" s="448"/>
      <c r="K225" s="448"/>
      <c r="L225" s="448"/>
      <c r="M225" s="448"/>
      <c r="N225" s="448"/>
      <c r="O225" s="448"/>
      <c r="P225" s="448"/>
      <c r="Q225" s="448"/>
      <c r="R225" s="448"/>
      <c r="S225" s="448"/>
      <c r="T225" s="448"/>
      <c r="U225" s="448"/>
      <c r="V225" s="448"/>
      <c r="W225" s="448"/>
      <c r="X225" s="448"/>
      <c r="Y225" s="448"/>
      <c r="Z225" s="448"/>
      <c r="AA225" s="448"/>
      <c r="AB225" s="448"/>
      <c r="AC225" s="448"/>
      <c r="AD225" s="448"/>
      <c r="AE225" s="448"/>
      <c r="AF225" s="448"/>
      <c r="AG225" s="448"/>
      <c r="AH225" s="448"/>
      <c r="AI225" s="448"/>
      <c r="AJ225" s="448"/>
      <c r="AK225" s="448"/>
      <c r="AL225" s="448"/>
      <c r="AM225" s="448"/>
      <c r="AN225" s="448"/>
      <c r="AO225" s="448"/>
      <c r="AP225" s="448"/>
      <c r="AQ225" s="448"/>
      <c r="AR225" s="448"/>
      <c r="AS225" s="448"/>
      <c r="AT225" s="448"/>
      <c r="AU225" s="448"/>
      <c r="AV225" s="448"/>
      <c r="AW225" s="448"/>
      <c r="AX225" s="448"/>
      <c r="AY225" s="448"/>
      <c r="AZ225" s="448"/>
      <c r="BA225" s="448"/>
      <c r="BB225" s="448"/>
      <c r="BC225" s="448"/>
      <c r="BD225" s="448"/>
      <c r="BE225" s="448"/>
      <c r="BF225" s="448"/>
      <c r="BG225" s="448"/>
      <c r="BH225" s="448"/>
      <c r="BI225" s="448"/>
      <c r="BJ225" s="448"/>
      <c r="BK225" s="448"/>
      <c r="BL225" s="448"/>
      <c r="BM225" s="448"/>
      <c r="BN225" s="448"/>
      <c r="BO225" s="448"/>
      <c r="BP225" s="448"/>
      <c r="BQ225" s="448"/>
      <c r="BR225" s="448"/>
      <c r="BS225" s="448"/>
      <c r="BT225" s="448"/>
    </row>
    <row r="226" spans="1:16135" s="514" customFormat="1" ht="15.75" customHeight="1">
      <c r="A226" s="403"/>
      <c r="B226" s="516" t="s">
        <v>168</v>
      </c>
      <c r="C226" s="399"/>
      <c r="D226" s="399"/>
      <c r="E226" s="399"/>
      <c r="F226" s="409"/>
      <c r="G226" s="515">
        <f>SUM(G227:G228)</f>
        <v>2195.4100000000003</v>
      </c>
      <c r="H226" s="448"/>
      <c r="I226" s="448"/>
      <c r="J226" s="448"/>
      <c r="K226" s="448"/>
      <c r="L226" s="448"/>
      <c r="M226" s="448"/>
      <c r="N226" s="448"/>
      <c r="O226" s="448"/>
      <c r="P226" s="448"/>
      <c r="Q226" s="448"/>
      <c r="R226" s="448"/>
      <c r="S226" s="448"/>
      <c r="T226" s="448"/>
      <c r="U226" s="448"/>
      <c r="V226" s="448"/>
      <c r="W226" s="448"/>
      <c r="X226" s="448"/>
      <c r="Y226" s="448"/>
      <c r="Z226" s="448"/>
      <c r="AA226" s="448"/>
      <c r="AB226" s="448"/>
      <c r="AC226" s="448"/>
      <c r="AD226" s="448"/>
      <c r="AE226" s="448"/>
      <c r="AF226" s="448"/>
      <c r="AG226" s="448"/>
      <c r="AH226" s="448"/>
      <c r="AI226" s="448"/>
      <c r="AJ226" s="448"/>
      <c r="AK226" s="448"/>
      <c r="AL226" s="448"/>
      <c r="AM226" s="448"/>
      <c r="AN226" s="448"/>
      <c r="AO226" s="448"/>
      <c r="AP226" s="448"/>
      <c r="AQ226" s="448"/>
      <c r="AR226" s="448"/>
      <c r="AS226" s="448"/>
      <c r="AT226" s="448"/>
      <c r="AU226" s="448"/>
      <c r="AV226" s="448"/>
      <c r="AW226" s="448"/>
      <c r="AX226" s="448"/>
      <c r="AY226" s="448"/>
      <c r="AZ226" s="448"/>
      <c r="BA226" s="448"/>
      <c r="BB226" s="448"/>
      <c r="BC226" s="448"/>
      <c r="BD226" s="448"/>
      <c r="BE226" s="448"/>
      <c r="BF226" s="448"/>
      <c r="BG226" s="448"/>
      <c r="BH226" s="448"/>
      <c r="BI226" s="448"/>
      <c r="BJ226" s="448"/>
      <c r="BK226" s="448"/>
      <c r="BL226" s="448"/>
      <c r="BM226" s="448"/>
      <c r="BN226" s="448"/>
      <c r="BO226" s="448"/>
      <c r="BP226" s="448"/>
      <c r="BQ226" s="448"/>
      <c r="BR226" s="448"/>
      <c r="BS226" s="448"/>
      <c r="BT226" s="448"/>
    </row>
    <row r="227" spans="1:16135" s="514" customFormat="1" ht="15.75" customHeight="1">
      <c r="A227" s="403"/>
      <c r="B227" s="516"/>
      <c r="C227" s="416"/>
      <c r="D227" s="399"/>
      <c r="E227" s="399" t="s">
        <v>117</v>
      </c>
      <c r="F227" s="409" t="s">
        <v>98</v>
      </c>
      <c r="G227" s="410">
        <f>226.25+304.45+215.62+116.95+143.16+336.94+494.47</f>
        <v>1837.8400000000001</v>
      </c>
      <c r="H227" s="448"/>
      <c r="I227" s="448"/>
      <c r="J227" s="448"/>
      <c r="K227" s="448"/>
      <c r="L227" s="448"/>
      <c r="M227" s="448"/>
      <c r="N227" s="448"/>
      <c r="O227" s="448"/>
      <c r="P227" s="448"/>
      <c r="Q227" s="448"/>
      <c r="R227" s="448"/>
      <c r="S227" s="448"/>
      <c r="T227" s="448"/>
      <c r="U227" s="448"/>
      <c r="V227" s="448"/>
      <c r="W227" s="448"/>
      <c r="X227" s="448"/>
      <c r="Y227" s="448"/>
      <c r="Z227" s="448"/>
      <c r="AA227" s="448"/>
      <c r="AB227" s="448"/>
      <c r="AC227" s="448"/>
      <c r="AD227" s="448"/>
      <c r="AE227" s="448"/>
      <c r="AF227" s="448"/>
      <c r="AG227" s="448"/>
      <c r="AH227" s="448"/>
      <c r="AI227" s="448"/>
      <c r="AJ227" s="448"/>
      <c r="AK227" s="448"/>
      <c r="AL227" s="448"/>
      <c r="AM227" s="448"/>
      <c r="AN227" s="448"/>
      <c r="AO227" s="448"/>
      <c r="AP227" s="448"/>
      <c r="AQ227" s="448"/>
      <c r="AR227" s="448"/>
      <c r="AS227" s="448"/>
      <c r="AT227" s="448"/>
      <c r="AU227" s="448"/>
      <c r="AV227" s="448"/>
      <c r="AW227" s="448"/>
      <c r="AX227" s="448"/>
      <c r="AY227" s="448"/>
      <c r="AZ227" s="448"/>
      <c r="BA227" s="448"/>
      <c r="BB227" s="448"/>
      <c r="BC227" s="448"/>
      <c r="BD227" s="448"/>
      <c r="BE227" s="448"/>
      <c r="BF227" s="448"/>
      <c r="BG227" s="448"/>
      <c r="BH227" s="448"/>
      <c r="BI227" s="448"/>
      <c r="BJ227" s="448"/>
      <c r="BK227" s="448"/>
      <c r="BL227" s="448"/>
      <c r="BM227" s="448"/>
      <c r="BN227" s="448"/>
      <c r="BO227" s="448"/>
      <c r="BP227" s="448"/>
      <c r="BQ227" s="448"/>
      <c r="BR227" s="448"/>
      <c r="BS227" s="448"/>
      <c r="BT227" s="448"/>
    </row>
    <row r="228" spans="1:16135" s="514" customFormat="1" ht="15.75" customHeight="1">
      <c r="A228" s="403"/>
      <c r="B228" s="516"/>
      <c r="C228" s="416"/>
      <c r="D228" s="399"/>
      <c r="E228" s="399" t="s">
        <v>118</v>
      </c>
      <c r="F228" s="409" t="s">
        <v>98</v>
      </c>
      <c r="G228" s="410">
        <f>44.44+59.8+41.78+22.67+27.75+65.3+95.83</f>
        <v>357.57</v>
      </c>
      <c r="H228" s="448"/>
      <c r="I228" s="448"/>
      <c r="J228" s="448"/>
      <c r="K228" s="448"/>
      <c r="L228" s="448"/>
      <c r="M228" s="448"/>
      <c r="N228" s="448"/>
      <c r="O228" s="448"/>
      <c r="P228" s="448"/>
      <c r="Q228" s="448"/>
      <c r="R228" s="448"/>
      <c r="S228" s="448"/>
      <c r="T228" s="448"/>
      <c r="U228" s="448"/>
      <c r="V228" s="448"/>
      <c r="W228" s="448"/>
      <c r="X228" s="448"/>
      <c r="Y228" s="448"/>
      <c r="Z228" s="448"/>
      <c r="AA228" s="448"/>
      <c r="AB228" s="448"/>
      <c r="AC228" s="448"/>
      <c r="AD228" s="448"/>
      <c r="AE228" s="448"/>
      <c r="AF228" s="448"/>
      <c r="AG228" s="448"/>
      <c r="AH228" s="448"/>
      <c r="AI228" s="448"/>
      <c r="AJ228" s="448"/>
      <c r="AK228" s="448"/>
      <c r="AL228" s="448"/>
      <c r="AM228" s="448"/>
      <c r="AN228" s="448"/>
      <c r="AO228" s="448"/>
      <c r="AP228" s="448"/>
      <c r="AQ228" s="448"/>
      <c r="AR228" s="448"/>
      <c r="AS228" s="448"/>
      <c r="AT228" s="448"/>
      <c r="AU228" s="448"/>
      <c r="AV228" s="448"/>
      <c r="AW228" s="448"/>
      <c r="AX228" s="448"/>
      <c r="AY228" s="448"/>
      <c r="AZ228" s="448"/>
      <c r="BA228" s="448"/>
      <c r="BB228" s="448"/>
      <c r="BC228" s="448"/>
      <c r="BD228" s="448"/>
      <c r="BE228" s="448"/>
      <c r="BF228" s="448"/>
      <c r="BG228" s="448"/>
      <c r="BH228" s="448"/>
      <c r="BI228" s="448"/>
      <c r="BJ228" s="448"/>
      <c r="BK228" s="448"/>
      <c r="BL228" s="448"/>
      <c r="BM228" s="448"/>
      <c r="BN228" s="448"/>
      <c r="BO228" s="448"/>
      <c r="BP228" s="448"/>
      <c r="BQ228" s="448"/>
      <c r="BR228" s="448"/>
      <c r="BS228" s="448"/>
      <c r="BT228" s="448"/>
    </row>
    <row r="229" spans="1:16135" s="514" customFormat="1" ht="6" customHeight="1">
      <c r="A229" s="423"/>
      <c r="B229" s="518"/>
      <c r="C229" s="413"/>
      <c r="D229" s="400"/>
      <c r="E229" s="400"/>
      <c r="F229" s="402"/>
      <c r="G229" s="414"/>
      <c r="H229" s="448"/>
      <c r="I229" s="448"/>
      <c r="J229" s="448"/>
      <c r="K229" s="448"/>
      <c r="L229" s="448"/>
      <c r="M229" s="448"/>
      <c r="N229" s="448"/>
      <c r="O229" s="448"/>
      <c r="P229" s="448"/>
      <c r="Q229" s="448"/>
      <c r="R229" s="448"/>
      <c r="S229" s="448"/>
      <c r="T229" s="448"/>
      <c r="U229" s="448"/>
      <c r="V229" s="448"/>
      <c r="W229" s="448"/>
      <c r="X229" s="448"/>
      <c r="Y229" s="448"/>
      <c r="Z229" s="448"/>
      <c r="AA229" s="448"/>
      <c r="AB229" s="448"/>
      <c r="AC229" s="448"/>
      <c r="AD229" s="448"/>
      <c r="AE229" s="448"/>
      <c r="AF229" s="448"/>
      <c r="AG229" s="448"/>
      <c r="AH229" s="448"/>
      <c r="AI229" s="448"/>
      <c r="AJ229" s="448"/>
      <c r="AK229" s="448"/>
      <c r="AL229" s="448"/>
      <c r="AM229" s="448"/>
      <c r="AN229" s="448"/>
      <c r="AO229" s="448"/>
      <c r="AP229" s="448"/>
      <c r="AQ229" s="448"/>
      <c r="AR229" s="448"/>
      <c r="AS229" s="448"/>
      <c r="AT229" s="448"/>
      <c r="AU229" s="448"/>
      <c r="AV229" s="448"/>
      <c r="AW229" s="448"/>
      <c r="AX229" s="448"/>
      <c r="AY229" s="448"/>
      <c r="AZ229" s="448"/>
      <c r="BA229" s="448"/>
      <c r="BB229" s="448"/>
      <c r="BC229" s="448"/>
      <c r="BD229" s="448"/>
      <c r="BE229" s="448"/>
      <c r="BF229" s="448"/>
      <c r="BG229" s="448"/>
      <c r="BH229" s="448"/>
      <c r="BI229" s="448"/>
      <c r="BJ229" s="448"/>
      <c r="BK229" s="448"/>
      <c r="BL229" s="448"/>
      <c r="BM229" s="448"/>
      <c r="BN229" s="448"/>
      <c r="BO229" s="448"/>
      <c r="BP229" s="448"/>
      <c r="BQ229" s="448"/>
      <c r="BR229" s="448"/>
      <c r="BS229" s="448"/>
      <c r="BT229" s="448"/>
    </row>
    <row r="230" spans="1:16135" s="514" customFormat="1" ht="15.75" customHeight="1">
      <c r="A230" s="397"/>
      <c r="B230" s="398"/>
      <c r="C230" s="399"/>
      <c r="D230" s="399"/>
      <c r="E230" s="400" t="s">
        <v>107</v>
      </c>
      <c r="F230" s="401">
        <f>10000</f>
        <v>10000</v>
      </c>
      <c r="G230" s="402" t="s">
        <v>98</v>
      </c>
      <c r="H230" s="448"/>
      <c r="I230" s="448"/>
      <c r="J230" s="448"/>
      <c r="K230" s="448"/>
      <c r="L230" s="448"/>
      <c r="M230" s="448"/>
      <c r="N230" s="448"/>
      <c r="O230" s="448"/>
      <c r="P230" s="448"/>
      <c r="Q230" s="448"/>
      <c r="R230" s="448"/>
      <c r="S230" s="448"/>
      <c r="T230" s="448"/>
      <c r="U230" s="448"/>
      <c r="V230" s="448"/>
      <c r="W230" s="448"/>
      <c r="X230" s="448"/>
      <c r="Y230" s="448"/>
      <c r="Z230" s="448"/>
      <c r="AA230" s="448"/>
      <c r="AB230" s="448"/>
      <c r="AC230" s="448"/>
      <c r="AD230" s="448"/>
      <c r="AE230" s="448"/>
      <c r="AF230" s="448"/>
      <c r="AG230" s="448"/>
      <c r="AH230" s="448"/>
      <c r="AI230" s="448"/>
      <c r="AJ230" s="448"/>
      <c r="AK230" s="448"/>
      <c r="AL230" s="448"/>
      <c r="AM230" s="448"/>
      <c r="AN230" s="448"/>
      <c r="AO230" s="448"/>
      <c r="AP230" s="448"/>
      <c r="AQ230" s="448"/>
      <c r="AR230" s="448"/>
      <c r="AS230" s="448"/>
      <c r="AT230" s="448"/>
      <c r="AU230" s="448"/>
      <c r="AV230" s="448"/>
      <c r="AW230" s="448"/>
      <c r="AX230" s="448"/>
      <c r="AY230" s="448"/>
      <c r="AZ230" s="448"/>
      <c r="BA230" s="448"/>
      <c r="BB230" s="448"/>
      <c r="BC230" s="448"/>
      <c r="BD230" s="448"/>
      <c r="BE230" s="448"/>
      <c r="BF230" s="448"/>
      <c r="BG230" s="448"/>
      <c r="BH230" s="448"/>
      <c r="BI230" s="448"/>
      <c r="BJ230" s="448"/>
      <c r="BK230" s="448"/>
      <c r="BL230" s="448"/>
      <c r="BM230" s="448"/>
      <c r="BN230" s="448"/>
      <c r="BO230" s="448"/>
      <c r="BP230" s="448"/>
      <c r="BQ230" s="448"/>
      <c r="BR230" s="448"/>
      <c r="BS230" s="448"/>
      <c r="BT230" s="448"/>
    </row>
    <row r="231" spans="1:16135" s="514" customFormat="1" ht="15.75" customHeight="1">
      <c r="A231" s="403" t="s">
        <v>169</v>
      </c>
      <c r="B231" s="415" t="s">
        <v>170</v>
      </c>
      <c r="C231" s="399" t="s">
        <v>161</v>
      </c>
      <c r="D231" s="399" t="s">
        <v>171</v>
      </c>
      <c r="E231" s="405" t="s">
        <v>98</v>
      </c>
      <c r="F231" s="406" t="s">
        <v>98</v>
      </c>
      <c r="G231" s="407">
        <f>SUM(G233)</f>
        <v>10000</v>
      </c>
      <c r="H231" s="448"/>
      <c r="I231" s="448"/>
      <c r="J231" s="448"/>
      <c r="K231" s="448"/>
      <c r="L231" s="448"/>
      <c r="M231" s="448"/>
      <c r="N231" s="448"/>
      <c r="O231" s="448"/>
      <c r="P231" s="448"/>
      <c r="Q231" s="448"/>
      <c r="R231" s="448"/>
      <c r="S231" s="448"/>
      <c r="T231" s="448"/>
      <c r="U231" s="448"/>
      <c r="V231" s="448"/>
      <c r="W231" s="448"/>
      <c r="X231" s="448"/>
      <c r="Y231" s="448"/>
      <c r="Z231" s="448"/>
      <c r="AA231" s="448"/>
      <c r="AB231" s="448"/>
      <c r="AC231" s="448"/>
      <c r="AD231" s="448"/>
      <c r="AE231" s="448"/>
      <c r="AF231" s="448"/>
      <c r="AG231" s="448"/>
      <c r="AH231" s="448"/>
      <c r="AI231" s="448"/>
      <c r="AJ231" s="448"/>
      <c r="AK231" s="448"/>
      <c r="AL231" s="448"/>
      <c r="AM231" s="448"/>
      <c r="AN231" s="448"/>
      <c r="AO231" s="448"/>
      <c r="AP231" s="448"/>
      <c r="AQ231" s="448"/>
      <c r="AR231" s="448"/>
      <c r="AS231" s="448"/>
      <c r="AT231" s="448"/>
      <c r="AU231" s="448"/>
      <c r="AV231" s="448"/>
      <c r="AW231" s="448"/>
      <c r="AX231" s="448"/>
      <c r="AY231" s="448"/>
      <c r="AZ231" s="448"/>
      <c r="BA231" s="448"/>
      <c r="BB231" s="448"/>
      <c r="BC231" s="448"/>
      <c r="BD231" s="448"/>
      <c r="BE231" s="448"/>
      <c r="BF231" s="448"/>
      <c r="BG231" s="448"/>
      <c r="BH231" s="448"/>
      <c r="BI231" s="448"/>
      <c r="BJ231" s="448"/>
      <c r="BK231" s="448"/>
      <c r="BL231" s="448"/>
      <c r="BM231" s="448"/>
      <c r="BN231" s="448"/>
      <c r="BO231" s="448"/>
      <c r="BP231" s="448"/>
      <c r="BQ231" s="448"/>
      <c r="BR231" s="448"/>
      <c r="BS231" s="448"/>
      <c r="BT231" s="448"/>
    </row>
    <row r="232" spans="1:16135" s="514" customFormat="1" ht="7.5" customHeight="1">
      <c r="A232" s="397"/>
      <c r="B232" s="408"/>
      <c r="C232" s="399"/>
      <c r="D232" s="399"/>
      <c r="E232" s="399"/>
      <c r="F232" s="409"/>
      <c r="G232" s="515"/>
      <c r="H232" s="448"/>
      <c r="I232" s="448"/>
      <c r="J232" s="448"/>
      <c r="K232" s="448"/>
      <c r="L232" s="448"/>
      <c r="M232" s="448"/>
      <c r="N232" s="448"/>
      <c r="O232" s="448"/>
      <c r="P232" s="448"/>
      <c r="Q232" s="448"/>
      <c r="R232" s="448"/>
      <c r="S232" s="448"/>
      <c r="T232" s="448"/>
      <c r="U232" s="448"/>
      <c r="V232" s="448"/>
      <c r="W232" s="448"/>
      <c r="X232" s="448"/>
      <c r="Y232" s="448"/>
      <c r="Z232" s="448"/>
      <c r="AA232" s="448"/>
      <c r="AB232" s="448"/>
      <c r="AC232" s="448"/>
      <c r="AD232" s="448"/>
      <c r="AE232" s="448"/>
      <c r="AF232" s="448"/>
      <c r="AG232" s="448"/>
      <c r="AH232" s="448"/>
      <c r="AI232" s="448"/>
      <c r="AJ232" s="448"/>
      <c r="AK232" s="448"/>
      <c r="AL232" s="448"/>
      <c r="AM232" s="448"/>
      <c r="AN232" s="448"/>
      <c r="AO232" s="448"/>
      <c r="AP232" s="448"/>
      <c r="AQ232" s="448"/>
      <c r="AR232" s="448"/>
      <c r="AS232" s="448"/>
      <c r="AT232" s="448"/>
      <c r="AU232" s="448"/>
      <c r="AV232" s="448"/>
      <c r="AW232" s="448"/>
      <c r="AX232" s="448"/>
      <c r="AY232" s="448"/>
      <c r="AZ232" s="448"/>
      <c r="BA232" s="448"/>
      <c r="BB232" s="448"/>
      <c r="BC232" s="448"/>
      <c r="BD232" s="448"/>
      <c r="BE232" s="448"/>
      <c r="BF232" s="448"/>
      <c r="BG232" s="448"/>
      <c r="BH232" s="448"/>
      <c r="BI232" s="448"/>
      <c r="BJ232" s="448"/>
      <c r="BK232" s="448"/>
      <c r="BL232" s="448"/>
      <c r="BM232" s="448"/>
      <c r="BN232" s="448"/>
      <c r="BO232" s="448"/>
      <c r="BP232" s="448"/>
      <c r="BQ232" s="448"/>
      <c r="BR232" s="448"/>
      <c r="BS232" s="448"/>
      <c r="BT232" s="448"/>
    </row>
    <row r="233" spans="1:16135" s="514" customFormat="1" ht="25.5" customHeight="1">
      <c r="A233" s="397"/>
      <c r="B233" s="517" t="s">
        <v>26</v>
      </c>
      <c r="C233" s="399"/>
      <c r="D233" s="399"/>
      <c r="E233" s="399"/>
      <c r="F233" s="409"/>
      <c r="G233" s="515">
        <f>SUM(G234:G234)</f>
        <v>10000</v>
      </c>
      <c r="H233" s="448"/>
      <c r="I233" s="448"/>
      <c r="J233" s="448"/>
      <c r="K233" s="448"/>
      <c r="L233" s="448"/>
      <c r="M233" s="448"/>
      <c r="N233" s="448"/>
      <c r="O233" s="448"/>
      <c r="P233" s="448"/>
      <c r="Q233" s="448"/>
      <c r="R233" s="448"/>
      <c r="S233" s="448"/>
      <c r="T233" s="448"/>
      <c r="U233" s="448"/>
      <c r="V233" s="448"/>
      <c r="W233" s="448"/>
      <c r="X233" s="448"/>
      <c r="Y233" s="448"/>
      <c r="Z233" s="448"/>
      <c r="AA233" s="448"/>
      <c r="AB233" s="448"/>
      <c r="AC233" s="448"/>
      <c r="AD233" s="448"/>
      <c r="AE233" s="448"/>
      <c r="AF233" s="448"/>
      <c r="AG233" s="448"/>
      <c r="AH233" s="448"/>
      <c r="AI233" s="448"/>
      <c r="AJ233" s="448"/>
      <c r="AK233" s="448"/>
      <c r="AL233" s="448"/>
      <c r="AM233" s="448"/>
      <c r="AN233" s="448"/>
      <c r="AO233" s="448"/>
      <c r="AP233" s="448"/>
      <c r="AQ233" s="448"/>
      <c r="AR233" s="448"/>
      <c r="AS233" s="448"/>
      <c r="AT233" s="448"/>
      <c r="AU233" s="448"/>
      <c r="AV233" s="448"/>
      <c r="AW233" s="448"/>
      <c r="AX233" s="448"/>
      <c r="AY233" s="448"/>
      <c r="AZ233" s="448"/>
      <c r="BA233" s="448"/>
      <c r="BB233" s="448"/>
      <c r="BC233" s="448"/>
      <c r="BD233" s="448"/>
      <c r="BE233" s="448"/>
      <c r="BF233" s="448"/>
      <c r="BG233" s="448"/>
      <c r="BH233" s="448"/>
      <c r="BI233" s="448"/>
      <c r="BJ233" s="448"/>
      <c r="BK233" s="448"/>
      <c r="BL233" s="448"/>
      <c r="BM233" s="448"/>
      <c r="BN233" s="448"/>
      <c r="BO233" s="448"/>
      <c r="BP233" s="448"/>
      <c r="BQ233" s="448"/>
      <c r="BR233" s="448"/>
      <c r="BS233" s="448"/>
      <c r="BT233" s="448"/>
    </row>
    <row r="234" spans="1:16135" s="514" customFormat="1" ht="15.75" customHeight="1">
      <c r="A234" s="397"/>
      <c r="B234" s="398"/>
      <c r="C234" s="416"/>
      <c r="D234" s="399"/>
      <c r="E234" s="399" t="s">
        <v>112</v>
      </c>
      <c r="F234" s="409" t="s">
        <v>98</v>
      </c>
      <c r="G234" s="410">
        <f>10000</f>
        <v>10000</v>
      </c>
      <c r="H234" s="448"/>
      <c r="I234" s="448"/>
      <c r="J234" s="448"/>
      <c r="K234" s="448"/>
      <c r="L234" s="448"/>
      <c r="M234" s="448"/>
      <c r="N234" s="448"/>
      <c r="O234" s="448"/>
      <c r="P234" s="448"/>
      <c r="Q234" s="448"/>
      <c r="R234" s="448"/>
      <c r="S234" s="448"/>
      <c r="T234" s="448"/>
      <c r="U234" s="448"/>
      <c r="V234" s="448"/>
      <c r="W234" s="448"/>
      <c r="X234" s="448"/>
      <c r="Y234" s="448"/>
      <c r="Z234" s="448"/>
      <c r="AA234" s="448"/>
      <c r="AB234" s="448"/>
      <c r="AC234" s="448"/>
      <c r="AD234" s="448"/>
      <c r="AE234" s="448"/>
      <c r="AF234" s="448"/>
      <c r="AG234" s="448"/>
      <c r="AH234" s="448"/>
      <c r="AI234" s="448"/>
      <c r="AJ234" s="448"/>
      <c r="AK234" s="448"/>
      <c r="AL234" s="448"/>
      <c r="AM234" s="448"/>
      <c r="AN234" s="448"/>
      <c r="AO234" s="448"/>
      <c r="AP234" s="448"/>
      <c r="AQ234" s="448"/>
      <c r="AR234" s="448"/>
      <c r="AS234" s="448"/>
      <c r="AT234" s="448"/>
      <c r="AU234" s="448"/>
      <c r="AV234" s="448"/>
      <c r="AW234" s="448"/>
      <c r="AX234" s="448"/>
      <c r="AY234" s="448"/>
      <c r="AZ234" s="448"/>
      <c r="BA234" s="448"/>
      <c r="BB234" s="448"/>
      <c r="BC234" s="448"/>
      <c r="BD234" s="448"/>
      <c r="BE234" s="448"/>
      <c r="BF234" s="448"/>
      <c r="BG234" s="448"/>
      <c r="BH234" s="448"/>
      <c r="BI234" s="448"/>
      <c r="BJ234" s="448"/>
      <c r="BK234" s="448"/>
      <c r="BL234" s="448"/>
      <c r="BM234" s="448"/>
      <c r="BN234" s="448"/>
      <c r="BO234" s="448"/>
      <c r="BP234" s="448"/>
      <c r="BQ234" s="448"/>
      <c r="BR234" s="448"/>
      <c r="BS234" s="448"/>
      <c r="BT234" s="448"/>
    </row>
    <row r="235" spans="1:16135" s="514" customFormat="1" ht="6.75" customHeight="1">
      <c r="A235" s="411"/>
      <c r="B235" s="412"/>
      <c r="C235" s="413"/>
      <c r="D235" s="400"/>
      <c r="E235" s="400"/>
      <c r="F235" s="402"/>
      <c r="G235" s="414"/>
      <c r="H235" s="448"/>
      <c r="I235" s="448"/>
      <c r="J235" s="448"/>
      <c r="K235" s="448"/>
      <c r="L235" s="448"/>
      <c r="M235" s="448"/>
      <c r="N235" s="448"/>
      <c r="O235" s="448"/>
      <c r="P235" s="448"/>
      <c r="Q235" s="448"/>
      <c r="R235" s="448"/>
      <c r="S235" s="448"/>
      <c r="T235" s="448"/>
      <c r="U235" s="448"/>
      <c r="V235" s="448"/>
      <c r="W235" s="448"/>
      <c r="X235" s="448"/>
      <c r="Y235" s="448"/>
      <c r="Z235" s="448"/>
      <c r="AA235" s="448"/>
      <c r="AB235" s="448"/>
      <c r="AC235" s="448"/>
      <c r="AD235" s="448"/>
      <c r="AE235" s="448"/>
      <c r="AF235" s="448"/>
      <c r="AG235" s="448"/>
      <c r="AH235" s="448"/>
      <c r="AI235" s="448"/>
      <c r="AJ235" s="448"/>
      <c r="AK235" s="448"/>
      <c r="AL235" s="448"/>
      <c r="AM235" s="448"/>
      <c r="AN235" s="448"/>
      <c r="AO235" s="448"/>
      <c r="AP235" s="448"/>
      <c r="AQ235" s="448"/>
      <c r="AR235" s="448"/>
      <c r="AS235" s="448"/>
      <c r="AT235" s="448"/>
      <c r="AU235" s="448"/>
      <c r="AV235" s="448"/>
      <c r="AW235" s="448"/>
      <c r="AX235" s="448"/>
      <c r="AY235" s="448"/>
      <c r="AZ235" s="448"/>
      <c r="BA235" s="448"/>
      <c r="BB235" s="448"/>
      <c r="BC235" s="448"/>
      <c r="BD235" s="448"/>
      <c r="BE235" s="448"/>
      <c r="BF235" s="448"/>
      <c r="BG235" s="448"/>
      <c r="BH235" s="448"/>
      <c r="BI235" s="448"/>
      <c r="BJ235" s="448"/>
      <c r="BK235" s="448"/>
      <c r="BL235" s="448"/>
      <c r="BM235" s="448"/>
      <c r="BN235" s="448"/>
      <c r="BO235" s="448"/>
      <c r="BP235" s="448"/>
      <c r="BQ235" s="448"/>
      <c r="BR235" s="448"/>
      <c r="BS235" s="448"/>
      <c r="BT235" s="448"/>
    </row>
    <row r="236" spans="1:16135" s="393" customFormat="1" ht="23.25" customHeight="1">
      <c r="A236" s="523"/>
      <c r="B236" s="524" t="s">
        <v>172</v>
      </c>
      <c r="C236" s="525"/>
      <c r="D236" s="526"/>
      <c r="E236" s="527"/>
      <c r="F236" s="527">
        <f>SUM(F12,F18,F27,F35,F43,F53,F61,F67,F76,F223,F230)</f>
        <v>4645314.38</v>
      </c>
      <c r="G236" s="527">
        <f>SUM(G13,G19,G28,G36,G44,G54,G62,G68,G79,G224,G231)</f>
        <v>5080732.7699999996</v>
      </c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  <c r="AU236" s="392"/>
      <c r="AV236" s="392"/>
      <c r="AW236" s="392"/>
      <c r="AX236" s="392"/>
      <c r="AY236" s="392"/>
      <c r="AZ236" s="392"/>
      <c r="BA236" s="392"/>
      <c r="BB236" s="392"/>
      <c r="BC236" s="392"/>
      <c r="BD236" s="392"/>
      <c r="BE236" s="392"/>
      <c r="BF236" s="392"/>
      <c r="BG236" s="392"/>
      <c r="BH236" s="392"/>
      <c r="BI236" s="392"/>
      <c r="BJ236" s="392"/>
      <c r="BK236" s="392"/>
      <c r="BL236" s="392"/>
      <c r="BM236" s="392"/>
      <c r="BN236" s="392"/>
      <c r="BO236" s="392"/>
      <c r="BP236" s="392"/>
      <c r="BQ236" s="392"/>
      <c r="BR236" s="392"/>
      <c r="BS236" s="392"/>
      <c r="BT236" s="392"/>
    </row>
    <row r="238" spans="1:16135" s="449" customFormat="1">
      <c r="A238" s="528"/>
      <c r="B238" s="494"/>
      <c r="C238" s="494"/>
      <c r="D238" s="494"/>
      <c r="E238" s="494"/>
      <c r="F238" s="424"/>
      <c r="G238" s="424"/>
      <c r="I238" s="425"/>
      <c r="BY238" s="494"/>
      <c r="BZ238" s="494"/>
      <c r="CA238" s="494"/>
      <c r="CB238" s="494"/>
      <c r="CC238" s="494"/>
      <c r="CD238" s="494"/>
      <c r="CE238" s="494"/>
      <c r="CF238" s="494"/>
      <c r="CG238" s="494"/>
      <c r="CH238" s="494"/>
      <c r="CI238" s="494"/>
      <c r="CJ238" s="494"/>
      <c r="CK238" s="494"/>
      <c r="CL238" s="494"/>
      <c r="CM238" s="494"/>
      <c r="CN238" s="494"/>
      <c r="CO238" s="494"/>
      <c r="CP238" s="494"/>
      <c r="CQ238" s="494"/>
      <c r="CR238" s="494"/>
      <c r="CS238" s="494"/>
      <c r="CT238" s="494"/>
      <c r="CU238" s="494"/>
      <c r="CV238" s="494"/>
      <c r="CW238" s="494"/>
      <c r="CX238" s="494"/>
      <c r="CY238" s="494"/>
      <c r="CZ238" s="494"/>
      <c r="DA238" s="494"/>
      <c r="DB238" s="494"/>
      <c r="DC238" s="494"/>
      <c r="DD238" s="494"/>
      <c r="DE238" s="494"/>
      <c r="DF238" s="494"/>
      <c r="DG238" s="494"/>
      <c r="DH238" s="494"/>
      <c r="DI238" s="494"/>
      <c r="DJ238" s="494"/>
      <c r="DK238" s="494"/>
      <c r="DL238" s="494"/>
      <c r="DM238" s="494"/>
      <c r="DN238" s="494"/>
      <c r="DO238" s="494"/>
      <c r="DP238" s="494"/>
      <c r="DQ238" s="494"/>
      <c r="DR238" s="494"/>
      <c r="DS238" s="494"/>
      <c r="DT238" s="494"/>
      <c r="DU238" s="494"/>
      <c r="DV238" s="494"/>
      <c r="DW238" s="494"/>
      <c r="DX238" s="494"/>
      <c r="DY238" s="494"/>
      <c r="DZ238" s="494"/>
      <c r="EA238" s="494"/>
      <c r="EB238" s="494"/>
      <c r="EC238" s="494"/>
      <c r="ED238" s="494"/>
      <c r="EE238" s="494"/>
      <c r="EF238" s="494"/>
      <c r="EG238" s="494"/>
      <c r="EH238" s="494"/>
      <c r="EI238" s="494"/>
      <c r="EJ238" s="494"/>
      <c r="EK238" s="494"/>
      <c r="EL238" s="494"/>
      <c r="EM238" s="494"/>
      <c r="EN238" s="494"/>
      <c r="EO238" s="494"/>
      <c r="EP238" s="494"/>
      <c r="EQ238" s="494"/>
      <c r="ER238" s="494"/>
      <c r="ES238" s="494"/>
      <c r="ET238" s="494"/>
      <c r="EU238" s="494"/>
      <c r="EV238" s="494"/>
      <c r="EW238" s="494"/>
      <c r="EX238" s="494"/>
      <c r="EY238" s="494"/>
      <c r="EZ238" s="494"/>
      <c r="FA238" s="494"/>
      <c r="FB238" s="494"/>
      <c r="FC238" s="494"/>
      <c r="FD238" s="494"/>
      <c r="FE238" s="494"/>
      <c r="FF238" s="494"/>
      <c r="FG238" s="494"/>
      <c r="FH238" s="494"/>
      <c r="FI238" s="494"/>
      <c r="FJ238" s="494"/>
      <c r="FK238" s="494"/>
      <c r="FL238" s="494"/>
      <c r="FM238" s="494"/>
      <c r="FN238" s="494"/>
      <c r="FO238" s="494"/>
      <c r="FP238" s="494"/>
      <c r="FQ238" s="494"/>
      <c r="FR238" s="494"/>
      <c r="FS238" s="494"/>
      <c r="FT238" s="494"/>
      <c r="FU238" s="494"/>
      <c r="FV238" s="494"/>
      <c r="FW238" s="494"/>
      <c r="FX238" s="494"/>
      <c r="FY238" s="494"/>
      <c r="FZ238" s="494"/>
      <c r="GA238" s="494"/>
      <c r="GB238" s="494"/>
      <c r="GC238" s="494"/>
      <c r="GD238" s="494"/>
      <c r="GE238" s="494"/>
      <c r="GF238" s="494"/>
      <c r="GG238" s="494"/>
      <c r="GH238" s="494"/>
      <c r="GI238" s="494"/>
      <c r="GJ238" s="494"/>
      <c r="GK238" s="494"/>
      <c r="GL238" s="494"/>
      <c r="GM238" s="494"/>
      <c r="GN238" s="494"/>
      <c r="GO238" s="494"/>
      <c r="GP238" s="494"/>
      <c r="GQ238" s="494"/>
      <c r="GR238" s="494"/>
      <c r="GS238" s="494"/>
      <c r="GT238" s="494"/>
      <c r="GU238" s="494"/>
      <c r="GV238" s="494"/>
      <c r="GW238" s="494"/>
      <c r="GX238" s="494"/>
      <c r="GY238" s="494"/>
      <c r="GZ238" s="494"/>
      <c r="HA238" s="494"/>
      <c r="HB238" s="494"/>
      <c r="HC238" s="494"/>
      <c r="HD238" s="494"/>
      <c r="HE238" s="494"/>
      <c r="HF238" s="494"/>
      <c r="HG238" s="494"/>
      <c r="HH238" s="494"/>
      <c r="HI238" s="494"/>
      <c r="HJ238" s="494"/>
      <c r="HK238" s="494"/>
      <c r="HL238" s="494"/>
      <c r="HM238" s="494"/>
      <c r="HN238" s="494"/>
      <c r="HO238" s="494"/>
      <c r="HP238" s="494"/>
      <c r="HQ238" s="494"/>
      <c r="HR238" s="494"/>
      <c r="HS238" s="494"/>
      <c r="HT238" s="494"/>
      <c r="HU238" s="494"/>
      <c r="HV238" s="494"/>
      <c r="HW238" s="494"/>
      <c r="HX238" s="494"/>
      <c r="HY238" s="494"/>
      <c r="HZ238" s="494"/>
      <c r="IA238" s="494"/>
      <c r="IB238" s="494"/>
      <c r="IC238" s="494"/>
      <c r="ID238" s="494"/>
      <c r="IE238" s="494"/>
      <c r="IF238" s="494"/>
      <c r="IG238" s="494"/>
      <c r="IH238" s="494"/>
      <c r="II238" s="494"/>
      <c r="IJ238" s="494"/>
      <c r="IK238" s="494"/>
      <c r="IL238" s="494"/>
      <c r="IM238" s="494"/>
      <c r="IN238" s="494"/>
      <c r="IO238" s="494"/>
      <c r="IP238" s="494"/>
      <c r="IQ238" s="494"/>
      <c r="IR238" s="494"/>
      <c r="IS238" s="494"/>
      <c r="IT238" s="494"/>
      <c r="IU238" s="494"/>
      <c r="IV238" s="494"/>
      <c r="IW238" s="494"/>
      <c r="IX238" s="494"/>
      <c r="IY238" s="494"/>
      <c r="IZ238" s="494"/>
      <c r="JA238" s="494"/>
      <c r="JB238" s="494"/>
      <c r="JC238" s="494"/>
      <c r="JD238" s="494"/>
      <c r="JE238" s="494"/>
      <c r="JF238" s="494"/>
      <c r="JG238" s="494"/>
      <c r="JH238" s="494"/>
      <c r="JI238" s="494"/>
      <c r="JJ238" s="494"/>
      <c r="JK238" s="494"/>
      <c r="JL238" s="494"/>
      <c r="JM238" s="494"/>
      <c r="JN238" s="494"/>
      <c r="JO238" s="494"/>
      <c r="JP238" s="494"/>
      <c r="JQ238" s="494"/>
      <c r="JR238" s="494"/>
      <c r="JS238" s="494"/>
      <c r="JT238" s="494"/>
      <c r="JU238" s="494"/>
      <c r="JV238" s="494"/>
      <c r="JW238" s="494"/>
      <c r="JX238" s="494"/>
      <c r="JY238" s="494"/>
      <c r="JZ238" s="494"/>
      <c r="KA238" s="494"/>
      <c r="KB238" s="494"/>
      <c r="KC238" s="494"/>
      <c r="KD238" s="494"/>
      <c r="KE238" s="494"/>
      <c r="KF238" s="494"/>
      <c r="KG238" s="494"/>
      <c r="KH238" s="494"/>
      <c r="KI238" s="494"/>
      <c r="KJ238" s="494"/>
      <c r="KK238" s="494"/>
      <c r="KL238" s="494"/>
      <c r="KM238" s="494"/>
      <c r="KN238" s="494"/>
      <c r="KO238" s="494"/>
      <c r="KP238" s="494"/>
      <c r="KQ238" s="494"/>
      <c r="KR238" s="494"/>
      <c r="KS238" s="494"/>
      <c r="KT238" s="494"/>
      <c r="KU238" s="494"/>
      <c r="KV238" s="494"/>
      <c r="KW238" s="494"/>
      <c r="KX238" s="494"/>
      <c r="KY238" s="494"/>
      <c r="KZ238" s="494"/>
      <c r="LA238" s="494"/>
      <c r="LB238" s="494"/>
      <c r="LC238" s="494"/>
      <c r="LD238" s="494"/>
      <c r="LE238" s="494"/>
      <c r="LF238" s="494"/>
      <c r="LG238" s="494"/>
      <c r="LH238" s="494"/>
      <c r="LI238" s="494"/>
      <c r="LJ238" s="494"/>
      <c r="LK238" s="494"/>
      <c r="LL238" s="494"/>
      <c r="LM238" s="494"/>
      <c r="LN238" s="494"/>
      <c r="LO238" s="494"/>
      <c r="LP238" s="494"/>
      <c r="LQ238" s="494"/>
      <c r="LR238" s="494"/>
      <c r="LS238" s="494"/>
      <c r="LT238" s="494"/>
      <c r="LU238" s="494"/>
      <c r="LV238" s="494"/>
      <c r="LW238" s="494"/>
      <c r="LX238" s="494"/>
      <c r="LY238" s="494"/>
      <c r="LZ238" s="494"/>
      <c r="MA238" s="494"/>
      <c r="MB238" s="494"/>
      <c r="MC238" s="494"/>
      <c r="MD238" s="494"/>
      <c r="ME238" s="494"/>
      <c r="MF238" s="494"/>
      <c r="MG238" s="494"/>
      <c r="MH238" s="494"/>
      <c r="MI238" s="494"/>
      <c r="MJ238" s="494"/>
      <c r="MK238" s="494"/>
      <c r="ML238" s="494"/>
      <c r="MM238" s="494"/>
      <c r="MN238" s="494"/>
      <c r="MO238" s="494"/>
      <c r="MP238" s="494"/>
      <c r="MQ238" s="494"/>
      <c r="MR238" s="494"/>
      <c r="MS238" s="494"/>
      <c r="MT238" s="494"/>
      <c r="MU238" s="494"/>
      <c r="MV238" s="494"/>
      <c r="MW238" s="494"/>
      <c r="MX238" s="494"/>
      <c r="MY238" s="494"/>
      <c r="MZ238" s="494"/>
      <c r="NA238" s="494"/>
      <c r="NB238" s="494"/>
      <c r="NC238" s="494"/>
      <c r="ND238" s="494"/>
      <c r="NE238" s="494"/>
      <c r="NF238" s="494"/>
      <c r="NG238" s="494"/>
      <c r="NH238" s="494"/>
      <c r="NI238" s="494"/>
      <c r="NJ238" s="494"/>
      <c r="NK238" s="494"/>
      <c r="NL238" s="494"/>
      <c r="NM238" s="494"/>
      <c r="NN238" s="494"/>
      <c r="NO238" s="494"/>
      <c r="NP238" s="494"/>
      <c r="NQ238" s="494"/>
      <c r="NR238" s="494"/>
      <c r="NS238" s="494"/>
      <c r="NT238" s="494"/>
      <c r="NU238" s="494"/>
      <c r="NV238" s="494"/>
      <c r="NW238" s="494"/>
      <c r="NX238" s="494"/>
      <c r="NY238" s="494"/>
      <c r="NZ238" s="494"/>
      <c r="OA238" s="494"/>
      <c r="OB238" s="494"/>
      <c r="OC238" s="494"/>
      <c r="OD238" s="494"/>
      <c r="OE238" s="494"/>
      <c r="OF238" s="494"/>
      <c r="OG238" s="494"/>
      <c r="OH238" s="494"/>
      <c r="OI238" s="494"/>
      <c r="OJ238" s="494"/>
      <c r="OK238" s="494"/>
      <c r="OL238" s="494"/>
      <c r="OM238" s="494"/>
      <c r="ON238" s="494"/>
      <c r="OO238" s="494"/>
      <c r="OP238" s="494"/>
      <c r="OQ238" s="494"/>
      <c r="OR238" s="494"/>
      <c r="OS238" s="494"/>
      <c r="OT238" s="494"/>
      <c r="OU238" s="494"/>
      <c r="OV238" s="494"/>
      <c r="OW238" s="494"/>
      <c r="OX238" s="494"/>
      <c r="OY238" s="494"/>
      <c r="OZ238" s="494"/>
      <c r="PA238" s="494"/>
      <c r="PB238" s="494"/>
      <c r="PC238" s="494"/>
      <c r="PD238" s="494"/>
      <c r="PE238" s="494"/>
      <c r="PF238" s="494"/>
      <c r="PG238" s="494"/>
      <c r="PH238" s="494"/>
      <c r="PI238" s="494"/>
      <c r="PJ238" s="494"/>
      <c r="PK238" s="494"/>
      <c r="PL238" s="494"/>
      <c r="PM238" s="494"/>
      <c r="PN238" s="494"/>
      <c r="PO238" s="494"/>
      <c r="PP238" s="494"/>
      <c r="PQ238" s="494"/>
      <c r="PR238" s="494"/>
      <c r="PS238" s="494"/>
      <c r="PT238" s="494"/>
      <c r="PU238" s="494"/>
      <c r="PV238" s="494"/>
      <c r="PW238" s="494"/>
      <c r="PX238" s="494"/>
      <c r="PY238" s="494"/>
      <c r="PZ238" s="494"/>
      <c r="QA238" s="494"/>
      <c r="QB238" s="494"/>
      <c r="QC238" s="494"/>
      <c r="QD238" s="494"/>
      <c r="QE238" s="494"/>
      <c r="QF238" s="494"/>
      <c r="QG238" s="494"/>
      <c r="QH238" s="494"/>
      <c r="QI238" s="494"/>
      <c r="QJ238" s="494"/>
      <c r="QK238" s="494"/>
      <c r="QL238" s="494"/>
      <c r="QM238" s="494"/>
      <c r="QN238" s="494"/>
      <c r="QO238" s="494"/>
      <c r="QP238" s="494"/>
      <c r="QQ238" s="494"/>
      <c r="QR238" s="494"/>
      <c r="QS238" s="494"/>
      <c r="QT238" s="494"/>
      <c r="QU238" s="494"/>
      <c r="QV238" s="494"/>
      <c r="QW238" s="494"/>
      <c r="QX238" s="494"/>
      <c r="QY238" s="494"/>
      <c r="QZ238" s="494"/>
      <c r="RA238" s="494"/>
      <c r="RB238" s="494"/>
      <c r="RC238" s="494"/>
      <c r="RD238" s="494"/>
      <c r="RE238" s="494"/>
      <c r="RF238" s="494"/>
      <c r="RG238" s="494"/>
      <c r="RH238" s="494"/>
      <c r="RI238" s="494"/>
      <c r="RJ238" s="494"/>
      <c r="RK238" s="494"/>
      <c r="RL238" s="494"/>
      <c r="RM238" s="494"/>
      <c r="RN238" s="494"/>
      <c r="RO238" s="494"/>
      <c r="RP238" s="494"/>
      <c r="RQ238" s="494"/>
      <c r="RR238" s="494"/>
      <c r="RS238" s="494"/>
      <c r="RT238" s="494"/>
      <c r="RU238" s="494"/>
      <c r="RV238" s="494"/>
      <c r="RW238" s="494"/>
      <c r="RX238" s="494"/>
      <c r="RY238" s="494"/>
      <c r="RZ238" s="494"/>
      <c r="SA238" s="494"/>
      <c r="SB238" s="494"/>
      <c r="SC238" s="494"/>
      <c r="SD238" s="494"/>
      <c r="SE238" s="494"/>
      <c r="SF238" s="494"/>
      <c r="SG238" s="494"/>
      <c r="SH238" s="494"/>
      <c r="SI238" s="494"/>
      <c r="SJ238" s="494"/>
      <c r="SK238" s="494"/>
      <c r="SL238" s="494"/>
      <c r="SM238" s="494"/>
      <c r="SN238" s="494"/>
      <c r="SO238" s="494"/>
      <c r="SP238" s="494"/>
      <c r="SQ238" s="494"/>
      <c r="SR238" s="494"/>
      <c r="SS238" s="494"/>
      <c r="ST238" s="494"/>
      <c r="SU238" s="494"/>
      <c r="SV238" s="494"/>
      <c r="SW238" s="494"/>
      <c r="SX238" s="494"/>
      <c r="SY238" s="494"/>
      <c r="SZ238" s="494"/>
      <c r="TA238" s="494"/>
      <c r="TB238" s="494"/>
      <c r="TC238" s="494"/>
      <c r="TD238" s="494"/>
      <c r="TE238" s="494"/>
      <c r="TF238" s="494"/>
      <c r="TG238" s="494"/>
      <c r="TH238" s="494"/>
      <c r="TI238" s="494"/>
      <c r="TJ238" s="494"/>
      <c r="TK238" s="494"/>
      <c r="TL238" s="494"/>
      <c r="TM238" s="494"/>
      <c r="TN238" s="494"/>
      <c r="TO238" s="494"/>
      <c r="TP238" s="494"/>
      <c r="TQ238" s="494"/>
      <c r="TR238" s="494"/>
      <c r="TS238" s="494"/>
      <c r="TT238" s="494"/>
      <c r="TU238" s="494"/>
      <c r="TV238" s="494"/>
      <c r="TW238" s="494"/>
      <c r="TX238" s="494"/>
      <c r="TY238" s="494"/>
      <c r="TZ238" s="494"/>
      <c r="UA238" s="494"/>
      <c r="UB238" s="494"/>
      <c r="UC238" s="494"/>
      <c r="UD238" s="494"/>
      <c r="UE238" s="494"/>
      <c r="UF238" s="494"/>
      <c r="UG238" s="494"/>
      <c r="UH238" s="494"/>
      <c r="UI238" s="494"/>
      <c r="UJ238" s="494"/>
      <c r="UK238" s="494"/>
      <c r="UL238" s="494"/>
      <c r="UM238" s="494"/>
      <c r="UN238" s="494"/>
      <c r="UO238" s="494"/>
      <c r="UP238" s="494"/>
      <c r="UQ238" s="494"/>
      <c r="UR238" s="494"/>
      <c r="US238" s="494"/>
      <c r="UT238" s="494"/>
      <c r="UU238" s="494"/>
      <c r="UV238" s="494"/>
      <c r="UW238" s="494"/>
      <c r="UX238" s="494"/>
      <c r="UY238" s="494"/>
      <c r="UZ238" s="494"/>
      <c r="VA238" s="494"/>
      <c r="VB238" s="494"/>
      <c r="VC238" s="494"/>
      <c r="VD238" s="494"/>
      <c r="VE238" s="494"/>
      <c r="VF238" s="494"/>
      <c r="VG238" s="494"/>
      <c r="VH238" s="494"/>
      <c r="VI238" s="494"/>
      <c r="VJ238" s="494"/>
      <c r="VK238" s="494"/>
      <c r="VL238" s="494"/>
      <c r="VM238" s="494"/>
      <c r="VN238" s="494"/>
      <c r="VO238" s="494"/>
      <c r="VP238" s="494"/>
      <c r="VQ238" s="494"/>
      <c r="VR238" s="494"/>
      <c r="VS238" s="494"/>
      <c r="VT238" s="494"/>
      <c r="VU238" s="494"/>
      <c r="VV238" s="494"/>
      <c r="VW238" s="494"/>
      <c r="VX238" s="494"/>
      <c r="VY238" s="494"/>
      <c r="VZ238" s="494"/>
      <c r="WA238" s="494"/>
      <c r="WB238" s="494"/>
      <c r="WC238" s="494"/>
      <c r="WD238" s="494"/>
      <c r="WE238" s="494"/>
      <c r="WF238" s="494"/>
      <c r="WG238" s="494"/>
      <c r="WH238" s="494"/>
      <c r="WI238" s="494"/>
      <c r="WJ238" s="494"/>
      <c r="WK238" s="494"/>
      <c r="WL238" s="494"/>
      <c r="WM238" s="494"/>
      <c r="WN238" s="494"/>
      <c r="WO238" s="494"/>
      <c r="WP238" s="494"/>
      <c r="WQ238" s="494"/>
      <c r="WR238" s="494"/>
      <c r="WS238" s="494"/>
      <c r="WT238" s="494"/>
      <c r="WU238" s="494"/>
      <c r="WV238" s="494"/>
      <c r="WW238" s="494"/>
      <c r="WX238" s="494"/>
      <c r="WY238" s="494"/>
      <c r="WZ238" s="494"/>
      <c r="XA238" s="494"/>
      <c r="XB238" s="494"/>
      <c r="XC238" s="494"/>
      <c r="XD238" s="494"/>
      <c r="XE238" s="494"/>
      <c r="XF238" s="494"/>
      <c r="XG238" s="494"/>
      <c r="XH238" s="494"/>
      <c r="XI238" s="494"/>
      <c r="XJ238" s="494"/>
      <c r="XK238" s="494"/>
      <c r="XL238" s="494"/>
      <c r="XM238" s="494"/>
      <c r="XN238" s="494"/>
      <c r="XO238" s="494"/>
      <c r="XP238" s="494"/>
      <c r="XQ238" s="494"/>
      <c r="XR238" s="494"/>
      <c r="XS238" s="494"/>
      <c r="XT238" s="494"/>
      <c r="XU238" s="494"/>
      <c r="XV238" s="494"/>
      <c r="XW238" s="494"/>
      <c r="XX238" s="494"/>
      <c r="XY238" s="494"/>
      <c r="XZ238" s="494"/>
      <c r="YA238" s="494"/>
      <c r="YB238" s="494"/>
      <c r="YC238" s="494"/>
      <c r="YD238" s="494"/>
      <c r="YE238" s="494"/>
      <c r="YF238" s="494"/>
      <c r="YG238" s="494"/>
      <c r="YH238" s="494"/>
      <c r="YI238" s="494"/>
      <c r="YJ238" s="494"/>
      <c r="YK238" s="494"/>
      <c r="YL238" s="494"/>
      <c r="YM238" s="494"/>
      <c r="YN238" s="494"/>
      <c r="YO238" s="494"/>
      <c r="YP238" s="494"/>
      <c r="YQ238" s="494"/>
      <c r="YR238" s="494"/>
      <c r="YS238" s="494"/>
      <c r="YT238" s="494"/>
      <c r="YU238" s="494"/>
      <c r="YV238" s="494"/>
      <c r="YW238" s="494"/>
      <c r="YX238" s="494"/>
      <c r="YY238" s="494"/>
      <c r="YZ238" s="494"/>
      <c r="ZA238" s="494"/>
      <c r="ZB238" s="494"/>
      <c r="ZC238" s="494"/>
      <c r="ZD238" s="494"/>
      <c r="ZE238" s="494"/>
      <c r="ZF238" s="494"/>
      <c r="ZG238" s="494"/>
      <c r="ZH238" s="494"/>
      <c r="ZI238" s="494"/>
      <c r="ZJ238" s="494"/>
      <c r="ZK238" s="494"/>
      <c r="ZL238" s="494"/>
      <c r="ZM238" s="494"/>
      <c r="ZN238" s="494"/>
      <c r="ZO238" s="494"/>
      <c r="ZP238" s="494"/>
      <c r="ZQ238" s="494"/>
      <c r="ZR238" s="494"/>
      <c r="ZS238" s="494"/>
      <c r="ZT238" s="494"/>
      <c r="ZU238" s="494"/>
      <c r="ZV238" s="494"/>
      <c r="ZW238" s="494"/>
      <c r="ZX238" s="494"/>
      <c r="ZY238" s="494"/>
      <c r="ZZ238" s="494"/>
      <c r="AAA238" s="494"/>
      <c r="AAB238" s="494"/>
      <c r="AAC238" s="494"/>
      <c r="AAD238" s="494"/>
      <c r="AAE238" s="494"/>
      <c r="AAF238" s="494"/>
      <c r="AAG238" s="494"/>
      <c r="AAH238" s="494"/>
      <c r="AAI238" s="494"/>
      <c r="AAJ238" s="494"/>
      <c r="AAK238" s="494"/>
      <c r="AAL238" s="494"/>
      <c r="AAM238" s="494"/>
      <c r="AAN238" s="494"/>
      <c r="AAO238" s="494"/>
      <c r="AAP238" s="494"/>
      <c r="AAQ238" s="494"/>
      <c r="AAR238" s="494"/>
      <c r="AAS238" s="494"/>
      <c r="AAT238" s="494"/>
      <c r="AAU238" s="494"/>
      <c r="AAV238" s="494"/>
      <c r="AAW238" s="494"/>
      <c r="AAX238" s="494"/>
      <c r="AAY238" s="494"/>
      <c r="AAZ238" s="494"/>
      <c r="ABA238" s="494"/>
      <c r="ABB238" s="494"/>
      <c r="ABC238" s="494"/>
      <c r="ABD238" s="494"/>
      <c r="ABE238" s="494"/>
      <c r="ABF238" s="494"/>
      <c r="ABG238" s="494"/>
      <c r="ABH238" s="494"/>
      <c r="ABI238" s="494"/>
      <c r="ABJ238" s="494"/>
      <c r="ABK238" s="494"/>
      <c r="ABL238" s="494"/>
      <c r="ABM238" s="494"/>
      <c r="ABN238" s="494"/>
      <c r="ABO238" s="494"/>
      <c r="ABP238" s="494"/>
      <c r="ABQ238" s="494"/>
      <c r="ABR238" s="494"/>
      <c r="ABS238" s="494"/>
      <c r="ABT238" s="494"/>
      <c r="ABU238" s="494"/>
      <c r="ABV238" s="494"/>
      <c r="ABW238" s="494"/>
      <c r="ABX238" s="494"/>
      <c r="ABY238" s="494"/>
      <c r="ABZ238" s="494"/>
      <c r="ACA238" s="494"/>
      <c r="ACB238" s="494"/>
      <c r="ACC238" s="494"/>
      <c r="ACD238" s="494"/>
      <c r="ACE238" s="494"/>
      <c r="ACF238" s="494"/>
      <c r="ACG238" s="494"/>
      <c r="ACH238" s="494"/>
      <c r="ACI238" s="494"/>
      <c r="ACJ238" s="494"/>
      <c r="ACK238" s="494"/>
      <c r="ACL238" s="494"/>
      <c r="ACM238" s="494"/>
      <c r="ACN238" s="494"/>
      <c r="ACO238" s="494"/>
      <c r="ACP238" s="494"/>
      <c r="ACQ238" s="494"/>
      <c r="ACR238" s="494"/>
      <c r="ACS238" s="494"/>
      <c r="ACT238" s="494"/>
      <c r="ACU238" s="494"/>
      <c r="ACV238" s="494"/>
      <c r="ACW238" s="494"/>
      <c r="ACX238" s="494"/>
      <c r="ACY238" s="494"/>
      <c r="ACZ238" s="494"/>
      <c r="ADA238" s="494"/>
      <c r="ADB238" s="494"/>
      <c r="ADC238" s="494"/>
      <c r="ADD238" s="494"/>
      <c r="ADE238" s="494"/>
      <c r="ADF238" s="494"/>
      <c r="ADG238" s="494"/>
      <c r="ADH238" s="494"/>
      <c r="ADI238" s="494"/>
      <c r="ADJ238" s="494"/>
      <c r="ADK238" s="494"/>
      <c r="ADL238" s="494"/>
      <c r="ADM238" s="494"/>
      <c r="ADN238" s="494"/>
      <c r="ADO238" s="494"/>
      <c r="ADP238" s="494"/>
      <c r="ADQ238" s="494"/>
      <c r="ADR238" s="494"/>
      <c r="ADS238" s="494"/>
      <c r="ADT238" s="494"/>
      <c r="ADU238" s="494"/>
      <c r="ADV238" s="494"/>
      <c r="ADW238" s="494"/>
      <c r="ADX238" s="494"/>
      <c r="ADY238" s="494"/>
      <c r="ADZ238" s="494"/>
      <c r="AEA238" s="494"/>
      <c r="AEB238" s="494"/>
      <c r="AEC238" s="494"/>
      <c r="AED238" s="494"/>
      <c r="AEE238" s="494"/>
      <c r="AEF238" s="494"/>
      <c r="AEG238" s="494"/>
      <c r="AEH238" s="494"/>
      <c r="AEI238" s="494"/>
      <c r="AEJ238" s="494"/>
      <c r="AEK238" s="494"/>
      <c r="AEL238" s="494"/>
      <c r="AEM238" s="494"/>
      <c r="AEN238" s="494"/>
      <c r="AEO238" s="494"/>
      <c r="AEP238" s="494"/>
      <c r="AEQ238" s="494"/>
      <c r="AER238" s="494"/>
      <c r="AES238" s="494"/>
      <c r="AET238" s="494"/>
      <c r="AEU238" s="494"/>
      <c r="AEV238" s="494"/>
      <c r="AEW238" s="494"/>
      <c r="AEX238" s="494"/>
      <c r="AEY238" s="494"/>
      <c r="AEZ238" s="494"/>
      <c r="AFA238" s="494"/>
      <c r="AFB238" s="494"/>
      <c r="AFC238" s="494"/>
      <c r="AFD238" s="494"/>
      <c r="AFE238" s="494"/>
      <c r="AFF238" s="494"/>
      <c r="AFG238" s="494"/>
      <c r="AFH238" s="494"/>
      <c r="AFI238" s="494"/>
      <c r="AFJ238" s="494"/>
      <c r="AFK238" s="494"/>
      <c r="AFL238" s="494"/>
      <c r="AFM238" s="494"/>
      <c r="AFN238" s="494"/>
      <c r="AFO238" s="494"/>
      <c r="AFP238" s="494"/>
      <c r="AFQ238" s="494"/>
      <c r="AFR238" s="494"/>
      <c r="AFS238" s="494"/>
      <c r="AFT238" s="494"/>
      <c r="AFU238" s="494"/>
      <c r="AFV238" s="494"/>
      <c r="AFW238" s="494"/>
      <c r="AFX238" s="494"/>
      <c r="AFY238" s="494"/>
      <c r="AFZ238" s="494"/>
      <c r="AGA238" s="494"/>
      <c r="AGB238" s="494"/>
      <c r="AGC238" s="494"/>
      <c r="AGD238" s="494"/>
      <c r="AGE238" s="494"/>
      <c r="AGF238" s="494"/>
      <c r="AGG238" s="494"/>
      <c r="AGH238" s="494"/>
      <c r="AGI238" s="494"/>
      <c r="AGJ238" s="494"/>
      <c r="AGK238" s="494"/>
      <c r="AGL238" s="494"/>
      <c r="AGM238" s="494"/>
      <c r="AGN238" s="494"/>
      <c r="AGO238" s="494"/>
      <c r="AGP238" s="494"/>
      <c r="AGQ238" s="494"/>
      <c r="AGR238" s="494"/>
      <c r="AGS238" s="494"/>
      <c r="AGT238" s="494"/>
      <c r="AGU238" s="494"/>
      <c r="AGV238" s="494"/>
      <c r="AGW238" s="494"/>
      <c r="AGX238" s="494"/>
      <c r="AGY238" s="494"/>
      <c r="AGZ238" s="494"/>
      <c r="AHA238" s="494"/>
      <c r="AHB238" s="494"/>
      <c r="AHC238" s="494"/>
      <c r="AHD238" s="494"/>
      <c r="AHE238" s="494"/>
      <c r="AHF238" s="494"/>
      <c r="AHG238" s="494"/>
      <c r="AHH238" s="494"/>
      <c r="AHI238" s="494"/>
      <c r="AHJ238" s="494"/>
      <c r="AHK238" s="494"/>
      <c r="AHL238" s="494"/>
      <c r="AHM238" s="494"/>
      <c r="AHN238" s="494"/>
      <c r="AHO238" s="494"/>
      <c r="AHP238" s="494"/>
      <c r="AHQ238" s="494"/>
      <c r="AHR238" s="494"/>
      <c r="AHS238" s="494"/>
      <c r="AHT238" s="494"/>
      <c r="AHU238" s="494"/>
      <c r="AHV238" s="494"/>
      <c r="AHW238" s="494"/>
      <c r="AHX238" s="494"/>
      <c r="AHY238" s="494"/>
      <c r="AHZ238" s="494"/>
      <c r="AIA238" s="494"/>
      <c r="AIB238" s="494"/>
      <c r="AIC238" s="494"/>
      <c r="AID238" s="494"/>
      <c r="AIE238" s="494"/>
      <c r="AIF238" s="494"/>
      <c r="AIG238" s="494"/>
      <c r="AIH238" s="494"/>
      <c r="AII238" s="494"/>
      <c r="AIJ238" s="494"/>
      <c r="AIK238" s="494"/>
      <c r="AIL238" s="494"/>
      <c r="AIM238" s="494"/>
      <c r="AIN238" s="494"/>
      <c r="AIO238" s="494"/>
      <c r="AIP238" s="494"/>
      <c r="AIQ238" s="494"/>
      <c r="AIR238" s="494"/>
      <c r="AIS238" s="494"/>
      <c r="AIT238" s="494"/>
      <c r="AIU238" s="494"/>
      <c r="AIV238" s="494"/>
      <c r="AIW238" s="494"/>
      <c r="AIX238" s="494"/>
      <c r="AIY238" s="494"/>
      <c r="AIZ238" s="494"/>
      <c r="AJA238" s="494"/>
      <c r="AJB238" s="494"/>
      <c r="AJC238" s="494"/>
      <c r="AJD238" s="494"/>
      <c r="AJE238" s="494"/>
      <c r="AJF238" s="494"/>
      <c r="AJG238" s="494"/>
      <c r="AJH238" s="494"/>
      <c r="AJI238" s="494"/>
      <c r="AJJ238" s="494"/>
      <c r="AJK238" s="494"/>
      <c r="AJL238" s="494"/>
      <c r="AJM238" s="494"/>
      <c r="AJN238" s="494"/>
      <c r="AJO238" s="494"/>
      <c r="AJP238" s="494"/>
      <c r="AJQ238" s="494"/>
      <c r="AJR238" s="494"/>
      <c r="AJS238" s="494"/>
      <c r="AJT238" s="494"/>
      <c r="AJU238" s="494"/>
      <c r="AJV238" s="494"/>
      <c r="AJW238" s="494"/>
      <c r="AJX238" s="494"/>
      <c r="AJY238" s="494"/>
      <c r="AJZ238" s="494"/>
      <c r="AKA238" s="494"/>
      <c r="AKB238" s="494"/>
      <c r="AKC238" s="494"/>
      <c r="AKD238" s="494"/>
      <c r="AKE238" s="494"/>
      <c r="AKF238" s="494"/>
      <c r="AKG238" s="494"/>
      <c r="AKH238" s="494"/>
      <c r="AKI238" s="494"/>
      <c r="AKJ238" s="494"/>
      <c r="AKK238" s="494"/>
      <c r="AKL238" s="494"/>
      <c r="AKM238" s="494"/>
      <c r="AKN238" s="494"/>
      <c r="AKO238" s="494"/>
      <c r="AKP238" s="494"/>
      <c r="AKQ238" s="494"/>
      <c r="AKR238" s="494"/>
      <c r="AKS238" s="494"/>
      <c r="AKT238" s="494"/>
      <c r="AKU238" s="494"/>
      <c r="AKV238" s="494"/>
      <c r="AKW238" s="494"/>
      <c r="AKX238" s="494"/>
      <c r="AKY238" s="494"/>
      <c r="AKZ238" s="494"/>
      <c r="ALA238" s="494"/>
      <c r="ALB238" s="494"/>
      <c r="ALC238" s="494"/>
      <c r="ALD238" s="494"/>
      <c r="ALE238" s="494"/>
      <c r="ALF238" s="494"/>
      <c r="ALG238" s="494"/>
      <c r="ALH238" s="494"/>
      <c r="ALI238" s="494"/>
      <c r="ALJ238" s="494"/>
      <c r="ALK238" s="494"/>
      <c r="ALL238" s="494"/>
      <c r="ALM238" s="494"/>
      <c r="ALN238" s="494"/>
      <c r="ALO238" s="494"/>
      <c r="ALP238" s="494"/>
      <c r="ALQ238" s="494"/>
      <c r="ALR238" s="494"/>
      <c r="ALS238" s="494"/>
      <c r="ALT238" s="494"/>
      <c r="ALU238" s="494"/>
      <c r="ALV238" s="494"/>
      <c r="ALW238" s="494"/>
      <c r="ALX238" s="494"/>
      <c r="ALY238" s="494"/>
      <c r="ALZ238" s="494"/>
      <c r="AMA238" s="494"/>
      <c r="AMB238" s="494"/>
      <c r="AMC238" s="494"/>
      <c r="AMD238" s="494"/>
      <c r="AME238" s="494"/>
      <c r="AMF238" s="494"/>
      <c r="AMG238" s="494"/>
      <c r="AMH238" s="494"/>
      <c r="AMI238" s="494"/>
      <c r="AMJ238" s="494"/>
      <c r="AMK238" s="494"/>
      <c r="AML238" s="494"/>
      <c r="AMM238" s="494"/>
      <c r="AMN238" s="494"/>
      <c r="AMO238" s="494"/>
      <c r="AMP238" s="494"/>
      <c r="AMQ238" s="494"/>
      <c r="AMR238" s="494"/>
      <c r="AMS238" s="494"/>
      <c r="AMT238" s="494"/>
      <c r="AMU238" s="494"/>
      <c r="AMV238" s="494"/>
      <c r="AMW238" s="494"/>
      <c r="AMX238" s="494"/>
      <c r="AMY238" s="494"/>
      <c r="AMZ238" s="494"/>
      <c r="ANA238" s="494"/>
      <c r="ANB238" s="494"/>
      <c r="ANC238" s="494"/>
      <c r="AND238" s="494"/>
      <c r="ANE238" s="494"/>
      <c r="ANF238" s="494"/>
      <c r="ANG238" s="494"/>
      <c r="ANH238" s="494"/>
      <c r="ANI238" s="494"/>
      <c r="ANJ238" s="494"/>
      <c r="ANK238" s="494"/>
      <c r="ANL238" s="494"/>
      <c r="ANM238" s="494"/>
      <c r="ANN238" s="494"/>
      <c r="ANO238" s="494"/>
      <c r="ANP238" s="494"/>
      <c r="ANQ238" s="494"/>
      <c r="ANR238" s="494"/>
      <c r="ANS238" s="494"/>
      <c r="ANT238" s="494"/>
      <c r="ANU238" s="494"/>
      <c r="ANV238" s="494"/>
      <c r="ANW238" s="494"/>
      <c r="ANX238" s="494"/>
      <c r="ANY238" s="494"/>
      <c r="ANZ238" s="494"/>
      <c r="AOA238" s="494"/>
      <c r="AOB238" s="494"/>
      <c r="AOC238" s="494"/>
      <c r="AOD238" s="494"/>
      <c r="AOE238" s="494"/>
      <c r="AOF238" s="494"/>
      <c r="AOG238" s="494"/>
      <c r="AOH238" s="494"/>
      <c r="AOI238" s="494"/>
      <c r="AOJ238" s="494"/>
      <c r="AOK238" s="494"/>
      <c r="AOL238" s="494"/>
      <c r="AOM238" s="494"/>
      <c r="AON238" s="494"/>
      <c r="AOO238" s="494"/>
      <c r="AOP238" s="494"/>
      <c r="AOQ238" s="494"/>
      <c r="AOR238" s="494"/>
      <c r="AOS238" s="494"/>
      <c r="AOT238" s="494"/>
      <c r="AOU238" s="494"/>
      <c r="AOV238" s="494"/>
      <c r="AOW238" s="494"/>
      <c r="AOX238" s="494"/>
      <c r="AOY238" s="494"/>
      <c r="AOZ238" s="494"/>
      <c r="APA238" s="494"/>
      <c r="APB238" s="494"/>
      <c r="APC238" s="494"/>
      <c r="APD238" s="494"/>
      <c r="APE238" s="494"/>
      <c r="APF238" s="494"/>
      <c r="APG238" s="494"/>
      <c r="APH238" s="494"/>
      <c r="API238" s="494"/>
      <c r="APJ238" s="494"/>
      <c r="APK238" s="494"/>
      <c r="APL238" s="494"/>
      <c r="APM238" s="494"/>
      <c r="APN238" s="494"/>
      <c r="APO238" s="494"/>
      <c r="APP238" s="494"/>
      <c r="APQ238" s="494"/>
      <c r="APR238" s="494"/>
      <c r="APS238" s="494"/>
      <c r="APT238" s="494"/>
      <c r="APU238" s="494"/>
      <c r="APV238" s="494"/>
      <c r="APW238" s="494"/>
      <c r="APX238" s="494"/>
      <c r="APY238" s="494"/>
      <c r="APZ238" s="494"/>
      <c r="AQA238" s="494"/>
      <c r="AQB238" s="494"/>
      <c r="AQC238" s="494"/>
      <c r="AQD238" s="494"/>
      <c r="AQE238" s="494"/>
      <c r="AQF238" s="494"/>
      <c r="AQG238" s="494"/>
      <c r="AQH238" s="494"/>
      <c r="AQI238" s="494"/>
      <c r="AQJ238" s="494"/>
      <c r="AQK238" s="494"/>
      <c r="AQL238" s="494"/>
      <c r="AQM238" s="494"/>
      <c r="AQN238" s="494"/>
      <c r="AQO238" s="494"/>
      <c r="AQP238" s="494"/>
      <c r="AQQ238" s="494"/>
      <c r="AQR238" s="494"/>
      <c r="AQS238" s="494"/>
      <c r="AQT238" s="494"/>
      <c r="AQU238" s="494"/>
      <c r="AQV238" s="494"/>
      <c r="AQW238" s="494"/>
      <c r="AQX238" s="494"/>
      <c r="AQY238" s="494"/>
      <c r="AQZ238" s="494"/>
      <c r="ARA238" s="494"/>
      <c r="ARB238" s="494"/>
      <c r="ARC238" s="494"/>
      <c r="ARD238" s="494"/>
      <c r="ARE238" s="494"/>
      <c r="ARF238" s="494"/>
      <c r="ARG238" s="494"/>
      <c r="ARH238" s="494"/>
      <c r="ARI238" s="494"/>
      <c r="ARJ238" s="494"/>
      <c r="ARK238" s="494"/>
      <c r="ARL238" s="494"/>
      <c r="ARM238" s="494"/>
      <c r="ARN238" s="494"/>
      <c r="ARO238" s="494"/>
      <c r="ARP238" s="494"/>
      <c r="ARQ238" s="494"/>
      <c r="ARR238" s="494"/>
      <c r="ARS238" s="494"/>
      <c r="ART238" s="494"/>
      <c r="ARU238" s="494"/>
      <c r="ARV238" s="494"/>
      <c r="ARW238" s="494"/>
      <c r="ARX238" s="494"/>
      <c r="ARY238" s="494"/>
      <c r="ARZ238" s="494"/>
      <c r="ASA238" s="494"/>
      <c r="ASB238" s="494"/>
      <c r="ASC238" s="494"/>
      <c r="ASD238" s="494"/>
      <c r="ASE238" s="494"/>
      <c r="ASF238" s="494"/>
      <c r="ASG238" s="494"/>
      <c r="ASH238" s="494"/>
      <c r="ASI238" s="494"/>
      <c r="ASJ238" s="494"/>
      <c r="ASK238" s="494"/>
      <c r="ASL238" s="494"/>
      <c r="ASM238" s="494"/>
      <c r="ASN238" s="494"/>
      <c r="ASO238" s="494"/>
      <c r="ASP238" s="494"/>
      <c r="ASQ238" s="494"/>
      <c r="ASR238" s="494"/>
      <c r="ASS238" s="494"/>
      <c r="AST238" s="494"/>
      <c r="ASU238" s="494"/>
      <c r="ASV238" s="494"/>
      <c r="ASW238" s="494"/>
      <c r="ASX238" s="494"/>
      <c r="ASY238" s="494"/>
      <c r="ASZ238" s="494"/>
      <c r="ATA238" s="494"/>
      <c r="ATB238" s="494"/>
      <c r="ATC238" s="494"/>
      <c r="ATD238" s="494"/>
      <c r="ATE238" s="494"/>
      <c r="ATF238" s="494"/>
      <c r="ATG238" s="494"/>
      <c r="ATH238" s="494"/>
      <c r="ATI238" s="494"/>
      <c r="ATJ238" s="494"/>
      <c r="ATK238" s="494"/>
      <c r="ATL238" s="494"/>
      <c r="ATM238" s="494"/>
      <c r="ATN238" s="494"/>
      <c r="ATO238" s="494"/>
      <c r="ATP238" s="494"/>
      <c r="ATQ238" s="494"/>
      <c r="ATR238" s="494"/>
      <c r="ATS238" s="494"/>
      <c r="ATT238" s="494"/>
      <c r="ATU238" s="494"/>
      <c r="ATV238" s="494"/>
      <c r="ATW238" s="494"/>
      <c r="ATX238" s="494"/>
      <c r="ATY238" s="494"/>
      <c r="ATZ238" s="494"/>
      <c r="AUA238" s="494"/>
      <c r="AUB238" s="494"/>
      <c r="AUC238" s="494"/>
      <c r="AUD238" s="494"/>
      <c r="AUE238" s="494"/>
      <c r="AUF238" s="494"/>
      <c r="AUG238" s="494"/>
      <c r="AUH238" s="494"/>
      <c r="AUI238" s="494"/>
      <c r="AUJ238" s="494"/>
      <c r="AUK238" s="494"/>
      <c r="AUL238" s="494"/>
      <c r="AUM238" s="494"/>
      <c r="AUN238" s="494"/>
      <c r="AUO238" s="494"/>
      <c r="AUP238" s="494"/>
      <c r="AUQ238" s="494"/>
      <c r="AUR238" s="494"/>
      <c r="AUS238" s="494"/>
      <c r="AUT238" s="494"/>
      <c r="AUU238" s="494"/>
      <c r="AUV238" s="494"/>
      <c r="AUW238" s="494"/>
      <c r="AUX238" s="494"/>
      <c r="AUY238" s="494"/>
      <c r="AUZ238" s="494"/>
      <c r="AVA238" s="494"/>
      <c r="AVB238" s="494"/>
      <c r="AVC238" s="494"/>
      <c r="AVD238" s="494"/>
      <c r="AVE238" s="494"/>
      <c r="AVF238" s="494"/>
      <c r="AVG238" s="494"/>
      <c r="AVH238" s="494"/>
      <c r="AVI238" s="494"/>
      <c r="AVJ238" s="494"/>
      <c r="AVK238" s="494"/>
      <c r="AVL238" s="494"/>
      <c r="AVM238" s="494"/>
      <c r="AVN238" s="494"/>
      <c r="AVO238" s="494"/>
      <c r="AVP238" s="494"/>
      <c r="AVQ238" s="494"/>
      <c r="AVR238" s="494"/>
      <c r="AVS238" s="494"/>
      <c r="AVT238" s="494"/>
      <c r="AVU238" s="494"/>
      <c r="AVV238" s="494"/>
      <c r="AVW238" s="494"/>
      <c r="AVX238" s="494"/>
      <c r="AVY238" s="494"/>
      <c r="AVZ238" s="494"/>
      <c r="AWA238" s="494"/>
      <c r="AWB238" s="494"/>
      <c r="AWC238" s="494"/>
      <c r="AWD238" s="494"/>
      <c r="AWE238" s="494"/>
      <c r="AWF238" s="494"/>
      <c r="AWG238" s="494"/>
      <c r="AWH238" s="494"/>
      <c r="AWI238" s="494"/>
      <c r="AWJ238" s="494"/>
      <c r="AWK238" s="494"/>
      <c r="AWL238" s="494"/>
      <c r="AWM238" s="494"/>
      <c r="AWN238" s="494"/>
      <c r="AWO238" s="494"/>
      <c r="AWP238" s="494"/>
      <c r="AWQ238" s="494"/>
      <c r="AWR238" s="494"/>
      <c r="AWS238" s="494"/>
      <c r="AWT238" s="494"/>
      <c r="AWU238" s="494"/>
      <c r="AWV238" s="494"/>
      <c r="AWW238" s="494"/>
      <c r="AWX238" s="494"/>
      <c r="AWY238" s="494"/>
      <c r="AWZ238" s="494"/>
      <c r="AXA238" s="494"/>
      <c r="AXB238" s="494"/>
      <c r="AXC238" s="494"/>
      <c r="AXD238" s="494"/>
      <c r="AXE238" s="494"/>
      <c r="AXF238" s="494"/>
      <c r="AXG238" s="494"/>
      <c r="AXH238" s="494"/>
      <c r="AXI238" s="494"/>
      <c r="AXJ238" s="494"/>
      <c r="AXK238" s="494"/>
      <c r="AXL238" s="494"/>
      <c r="AXM238" s="494"/>
      <c r="AXN238" s="494"/>
      <c r="AXO238" s="494"/>
      <c r="AXP238" s="494"/>
      <c r="AXQ238" s="494"/>
      <c r="AXR238" s="494"/>
      <c r="AXS238" s="494"/>
      <c r="AXT238" s="494"/>
      <c r="AXU238" s="494"/>
      <c r="AXV238" s="494"/>
      <c r="AXW238" s="494"/>
      <c r="AXX238" s="494"/>
      <c r="AXY238" s="494"/>
      <c r="AXZ238" s="494"/>
      <c r="AYA238" s="494"/>
      <c r="AYB238" s="494"/>
      <c r="AYC238" s="494"/>
      <c r="AYD238" s="494"/>
      <c r="AYE238" s="494"/>
      <c r="AYF238" s="494"/>
      <c r="AYG238" s="494"/>
      <c r="AYH238" s="494"/>
      <c r="AYI238" s="494"/>
      <c r="AYJ238" s="494"/>
      <c r="AYK238" s="494"/>
      <c r="AYL238" s="494"/>
      <c r="AYM238" s="494"/>
      <c r="AYN238" s="494"/>
      <c r="AYO238" s="494"/>
      <c r="AYP238" s="494"/>
      <c r="AYQ238" s="494"/>
      <c r="AYR238" s="494"/>
      <c r="AYS238" s="494"/>
      <c r="AYT238" s="494"/>
      <c r="AYU238" s="494"/>
      <c r="AYV238" s="494"/>
      <c r="AYW238" s="494"/>
      <c r="AYX238" s="494"/>
      <c r="AYY238" s="494"/>
      <c r="AYZ238" s="494"/>
      <c r="AZA238" s="494"/>
      <c r="AZB238" s="494"/>
      <c r="AZC238" s="494"/>
      <c r="AZD238" s="494"/>
      <c r="AZE238" s="494"/>
      <c r="AZF238" s="494"/>
      <c r="AZG238" s="494"/>
      <c r="AZH238" s="494"/>
      <c r="AZI238" s="494"/>
      <c r="AZJ238" s="494"/>
      <c r="AZK238" s="494"/>
      <c r="AZL238" s="494"/>
      <c r="AZM238" s="494"/>
      <c r="AZN238" s="494"/>
      <c r="AZO238" s="494"/>
      <c r="AZP238" s="494"/>
      <c r="AZQ238" s="494"/>
      <c r="AZR238" s="494"/>
      <c r="AZS238" s="494"/>
      <c r="AZT238" s="494"/>
      <c r="AZU238" s="494"/>
      <c r="AZV238" s="494"/>
      <c r="AZW238" s="494"/>
      <c r="AZX238" s="494"/>
      <c r="AZY238" s="494"/>
      <c r="AZZ238" s="494"/>
      <c r="BAA238" s="494"/>
      <c r="BAB238" s="494"/>
      <c r="BAC238" s="494"/>
      <c r="BAD238" s="494"/>
      <c r="BAE238" s="494"/>
      <c r="BAF238" s="494"/>
      <c r="BAG238" s="494"/>
      <c r="BAH238" s="494"/>
      <c r="BAI238" s="494"/>
      <c r="BAJ238" s="494"/>
      <c r="BAK238" s="494"/>
      <c r="BAL238" s="494"/>
      <c r="BAM238" s="494"/>
      <c r="BAN238" s="494"/>
      <c r="BAO238" s="494"/>
      <c r="BAP238" s="494"/>
      <c r="BAQ238" s="494"/>
      <c r="BAR238" s="494"/>
      <c r="BAS238" s="494"/>
      <c r="BAT238" s="494"/>
      <c r="BAU238" s="494"/>
      <c r="BAV238" s="494"/>
      <c r="BAW238" s="494"/>
      <c r="BAX238" s="494"/>
      <c r="BAY238" s="494"/>
      <c r="BAZ238" s="494"/>
      <c r="BBA238" s="494"/>
      <c r="BBB238" s="494"/>
      <c r="BBC238" s="494"/>
      <c r="BBD238" s="494"/>
      <c r="BBE238" s="494"/>
      <c r="BBF238" s="494"/>
      <c r="BBG238" s="494"/>
      <c r="BBH238" s="494"/>
      <c r="BBI238" s="494"/>
      <c r="BBJ238" s="494"/>
      <c r="BBK238" s="494"/>
      <c r="BBL238" s="494"/>
      <c r="BBM238" s="494"/>
      <c r="BBN238" s="494"/>
      <c r="BBO238" s="494"/>
      <c r="BBP238" s="494"/>
      <c r="BBQ238" s="494"/>
      <c r="BBR238" s="494"/>
      <c r="BBS238" s="494"/>
      <c r="BBT238" s="494"/>
      <c r="BBU238" s="494"/>
      <c r="BBV238" s="494"/>
      <c r="BBW238" s="494"/>
      <c r="BBX238" s="494"/>
      <c r="BBY238" s="494"/>
      <c r="BBZ238" s="494"/>
      <c r="BCA238" s="494"/>
      <c r="BCB238" s="494"/>
      <c r="BCC238" s="494"/>
      <c r="BCD238" s="494"/>
      <c r="BCE238" s="494"/>
      <c r="BCF238" s="494"/>
      <c r="BCG238" s="494"/>
      <c r="BCH238" s="494"/>
      <c r="BCI238" s="494"/>
      <c r="BCJ238" s="494"/>
      <c r="BCK238" s="494"/>
      <c r="BCL238" s="494"/>
      <c r="BCM238" s="494"/>
      <c r="BCN238" s="494"/>
      <c r="BCO238" s="494"/>
      <c r="BCP238" s="494"/>
      <c r="BCQ238" s="494"/>
      <c r="BCR238" s="494"/>
      <c r="BCS238" s="494"/>
      <c r="BCT238" s="494"/>
      <c r="BCU238" s="494"/>
      <c r="BCV238" s="494"/>
      <c r="BCW238" s="494"/>
      <c r="BCX238" s="494"/>
      <c r="BCY238" s="494"/>
      <c r="BCZ238" s="494"/>
      <c r="BDA238" s="494"/>
      <c r="BDB238" s="494"/>
      <c r="BDC238" s="494"/>
      <c r="BDD238" s="494"/>
      <c r="BDE238" s="494"/>
      <c r="BDF238" s="494"/>
      <c r="BDG238" s="494"/>
      <c r="BDH238" s="494"/>
      <c r="BDI238" s="494"/>
      <c r="BDJ238" s="494"/>
      <c r="BDK238" s="494"/>
      <c r="BDL238" s="494"/>
      <c r="BDM238" s="494"/>
      <c r="BDN238" s="494"/>
      <c r="BDO238" s="494"/>
      <c r="BDP238" s="494"/>
      <c r="BDQ238" s="494"/>
      <c r="BDR238" s="494"/>
      <c r="BDS238" s="494"/>
      <c r="BDT238" s="494"/>
      <c r="BDU238" s="494"/>
      <c r="BDV238" s="494"/>
      <c r="BDW238" s="494"/>
      <c r="BDX238" s="494"/>
      <c r="BDY238" s="494"/>
      <c r="BDZ238" s="494"/>
      <c r="BEA238" s="494"/>
      <c r="BEB238" s="494"/>
      <c r="BEC238" s="494"/>
      <c r="BED238" s="494"/>
      <c r="BEE238" s="494"/>
      <c r="BEF238" s="494"/>
      <c r="BEG238" s="494"/>
      <c r="BEH238" s="494"/>
      <c r="BEI238" s="494"/>
      <c r="BEJ238" s="494"/>
      <c r="BEK238" s="494"/>
      <c r="BEL238" s="494"/>
      <c r="BEM238" s="494"/>
      <c r="BEN238" s="494"/>
      <c r="BEO238" s="494"/>
      <c r="BEP238" s="494"/>
      <c r="BEQ238" s="494"/>
      <c r="BER238" s="494"/>
      <c r="BES238" s="494"/>
      <c r="BET238" s="494"/>
      <c r="BEU238" s="494"/>
      <c r="BEV238" s="494"/>
      <c r="BEW238" s="494"/>
      <c r="BEX238" s="494"/>
      <c r="BEY238" s="494"/>
      <c r="BEZ238" s="494"/>
      <c r="BFA238" s="494"/>
      <c r="BFB238" s="494"/>
      <c r="BFC238" s="494"/>
      <c r="BFD238" s="494"/>
      <c r="BFE238" s="494"/>
      <c r="BFF238" s="494"/>
      <c r="BFG238" s="494"/>
      <c r="BFH238" s="494"/>
      <c r="BFI238" s="494"/>
      <c r="BFJ238" s="494"/>
      <c r="BFK238" s="494"/>
      <c r="BFL238" s="494"/>
      <c r="BFM238" s="494"/>
      <c r="BFN238" s="494"/>
      <c r="BFO238" s="494"/>
      <c r="BFP238" s="494"/>
      <c r="BFQ238" s="494"/>
      <c r="BFR238" s="494"/>
      <c r="BFS238" s="494"/>
      <c r="BFT238" s="494"/>
      <c r="BFU238" s="494"/>
      <c r="BFV238" s="494"/>
      <c r="BFW238" s="494"/>
      <c r="BFX238" s="494"/>
      <c r="BFY238" s="494"/>
      <c r="BFZ238" s="494"/>
      <c r="BGA238" s="494"/>
      <c r="BGB238" s="494"/>
      <c r="BGC238" s="494"/>
      <c r="BGD238" s="494"/>
      <c r="BGE238" s="494"/>
      <c r="BGF238" s="494"/>
      <c r="BGG238" s="494"/>
      <c r="BGH238" s="494"/>
      <c r="BGI238" s="494"/>
      <c r="BGJ238" s="494"/>
      <c r="BGK238" s="494"/>
      <c r="BGL238" s="494"/>
      <c r="BGM238" s="494"/>
      <c r="BGN238" s="494"/>
      <c r="BGO238" s="494"/>
      <c r="BGP238" s="494"/>
      <c r="BGQ238" s="494"/>
      <c r="BGR238" s="494"/>
      <c r="BGS238" s="494"/>
      <c r="BGT238" s="494"/>
      <c r="BGU238" s="494"/>
      <c r="BGV238" s="494"/>
      <c r="BGW238" s="494"/>
      <c r="BGX238" s="494"/>
      <c r="BGY238" s="494"/>
      <c r="BGZ238" s="494"/>
      <c r="BHA238" s="494"/>
      <c r="BHB238" s="494"/>
      <c r="BHC238" s="494"/>
      <c r="BHD238" s="494"/>
      <c r="BHE238" s="494"/>
      <c r="BHF238" s="494"/>
      <c r="BHG238" s="494"/>
      <c r="BHH238" s="494"/>
      <c r="BHI238" s="494"/>
      <c r="BHJ238" s="494"/>
      <c r="BHK238" s="494"/>
      <c r="BHL238" s="494"/>
      <c r="BHM238" s="494"/>
      <c r="BHN238" s="494"/>
      <c r="BHO238" s="494"/>
      <c r="BHP238" s="494"/>
      <c r="BHQ238" s="494"/>
      <c r="BHR238" s="494"/>
      <c r="BHS238" s="494"/>
      <c r="BHT238" s="494"/>
      <c r="BHU238" s="494"/>
      <c r="BHV238" s="494"/>
      <c r="BHW238" s="494"/>
      <c r="BHX238" s="494"/>
      <c r="BHY238" s="494"/>
      <c r="BHZ238" s="494"/>
      <c r="BIA238" s="494"/>
      <c r="BIB238" s="494"/>
      <c r="BIC238" s="494"/>
      <c r="BID238" s="494"/>
      <c r="BIE238" s="494"/>
      <c r="BIF238" s="494"/>
      <c r="BIG238" s="494"/>
      <c r="BIH238" s="494"/>
      <c r="BII238" s="494"/>
      <c r="BIJ238" s="494"/>
      <c r="BIK238" s="494"/>
      <c r="BIL238" s="494"/>
      <c r="BIM238" s="494"/>
      <c r="BIN238" s="494"/>
      <c r="BIO238" s="494"/>
      <c r="BIP238" s="494"/>
      <c r="BIQ238" s="494"/>
      <c r="BIR238" s="494"/>
      <c r="BIS238" s="494"/>
      <c r="BIT238" s="494"/>
      <c r="BIU238" s="494"/>
      <c r="BIV238" s="494"/>
      <c r="BIW238" s="494"/>
      <c r="BIX238" s="494"/>
      <c r="BIY238" s="494"/>
      <c r="BIZ238" s="494"/>
      <c r="BJA238" s="494"/>
      <c r="BJB238" s="494"/>
      <c r="BJC238" s="494"/>
      <c r="BJD238" s="494"/>
      <c r="BJE238" s="494"/>
      <c r="BJF238" s="494"/>
      <c r="BJG238" s="494"/>
      <c r="BJH238" s="494"/>
      <c r="BJI238" s="494"/>
      <c r="BJJ238" s="494"/>
      <c r="BJK238" s="494"/>
      <c r="BJL238" s="494"/>
      <c r="BJM238" s="494"/>
      <c r="BJN238" s="494"/>
      <c r="BJO238" s="494"/>
      <c r="BJP238" s="494"/>
      <c r="BJQ238" s="494"/>
      <c r="BJR238" s="494"/>
      <c r="BJS238" s="494"/>
      <c r="BJT238" s="494"/>
      <c r="BJU238" s="494"/>
      <c r="BJV238" s="494"/>
      <c r="BJW238" s="494"/>
      <c r="BJX238" s="494"/>
      <c r="BJY238" s="494"/>
      <c r="BJZ238" s="494"/>
      <c r="BKA238" s="494"/>
      <c r="BKB238" s="494"/>
      <c r="BKC238" s="494"/>
      <c r="BKD238" s="494"/>
      <c r="BKE238" s="494"/>
      <c r="BKF238" s="494"/>
      <c r="BKG238" s="494"/>
      <c r="BKH238" s="494"/>
      <c r="BKI238" s="494"/>
      <c r="BKJ238" s="494"/>
      <c r="BKK238" s="494"/>
      <c r="BKL238" s="494"/>
      <c r="BKM238" s="494"/>
      <c r="BKN238" s="494"/>
      <c r="BKO238" s="494"/>
      <c r="BKP238" s="494"/>
      <c r="BKQ238" s="494"/>
      <c r="BKR238" s="494"/>
      <c r="BKS238" s="494"/>
      <c r="BKT238" s="494"/>
      <c r="BKU238" s="494"/>
      <c r="BKV238" s="494"/>
      <c r="BKW238" s="494"/>
      <c r="BKX238" s="494"/>
      <c r="BKY238" s="494"/>
      <c r="BKZ238" s="494"/>
      <c r="BLA238" s="494"/>
      <c r="BLB238" s="494"/>
      <c r="BLC238" s="494"/>
      <c r="BLD238" s="494"/>
      <c r="BLE238" s="494"/>
      <c r="BLF238" s="494"/>
      <c r="BLG238" s="494"/>
      <c r="BLH238" s="494"/>
      <c r="BLI238" s="494"/>
      <c r="BLJ238" s="494"/>
      <c r="BLK238" s="494"/>
      <c r="BLL238" s="494"/>
      <c r="BLM238" s="494"/>
      <c r="BLN238" s="494"/>
      <c r="BLO238" s="494"/>
      <c r="BLP238" s="494"/>
      <c r="BLQ238" s="494"/>
      <c r="BLR238" s="494"/>
      <c r="BLS238" s="494"/>
      <c r="BLT238" s="494"/>
      <c r="BLU238" s="494"/>
      <c r="BLV238" s="494"/>
      <c r="BLW238" s="494"/>
      <c r="BLX238" s="494"/>
      <c r="BLY238" s="494"/>
      <c r="BLZ238" s="494"/>
      <c r="BMA238" s="494"/>
      <c r="BMB238" s="494"/>
      <c r="BMC238" s="494"/>
      <c r="BMD238" s="494"/>
      <c r="BME238" s="494"/>
      <c r="BMF238" s="494"/>
      <c r="BMG238" s="494"/>
      <c r="BMH238" s="494"/>
      <c r="BMI238" s="494"/>
      <c r="BMJ238" s="494"/>
      <c r="BMK238" s="494"/>
      <c r="BML238" s="494"/>
      <c r="BMM238" s="494"/>
      <c r="BMN238" s="494"/>
      <c r="BMO238" s="494"/>
      <c r="BMP238" s="494"/>
      <c r="BMQ238" s="494"/>
      <c r="BMR238" s="494"/>
      <c r="BMS238" s="494"/>
      <c r="BMT238" s="494"/>
      <c r="BMU238" s="494"/>
      <c r="BMV238" s="494"/>
      <c r="BMW238" s="494"/>
      <c r="BMX238" s="494"/>
      <c r="BMY238" s="494"/>
      <c r="BMZ238" s="494"/>
      <c r="BNA238" s="494"/>
      <c r="BNB238" s="494"/>
      <c r="BNC238" s="494"/>
      <c r="BND238" s="494"/>
      <c r="BNE238" s="494"/>
      <c r="BNF238" s="494"/>
      <c r="BNG238" s="494"/>
      <c r="BNH238" s="494"/>
      <c r="BNI238" s="494"/>
      <c r="BNJ238" s="494"/>
      <c r="BNK238" s="494"/>
      <c r="BNL238" s="494"/>
      <c r="BNM238" s="494"/>
      <c r="BNN238" s="494"/>
      <c r="BNO238" s="494"/>
      <c r="BNP238" s="494"/>
      <c r="BNQ238" s="494"/>
      <c r="BNR238" s="494"/>
      <c r="BNS238" s="494"/>
      <c r="BNT238" s="494"/>
      <c r="BNU238" s="494"/>
      <c r="BNV238" s="494"/>
      <c r="BNW238" s="494"/>
      <c r="BNX238" s="494"/>
      <c r="BNY238" s="494"/>
      <c r="BNZ238" s="494"/>
      <c r="BOA238" s="494"/>
      <c r="BOB238" s="494"/>
      <c r="BOC238" s="494"/>
      <c r="BOD238" s="494"/>
      <c r="BOE238" s="494"/>
      <c r="BOF238" s="494"/>
      <c r="BOG238" s="494"/>
      <c r="BOH238" s="494"/>
      <c r="BOI238" s="494"/>
      <c r="BOJ238" s="494"/>
      <c r="BOK238" s="494"/>
      <c r="BOL238" s="494"/>
      <c r="BOM238" s="494"/>
      <c r="BON238" s="494"/>
      <c r="BOO238" s="494"/>
      <c r="BOP238" s="494"/>
      <c r="BOQ238" s="494"/>
      <c r="BOR238" s="494"/>
      <c r="BOS238" s="494"/>
      <c r="BOT238" s="494"/>
      <c r="BOU238" s="494"/>
      <c r="BOV238" s="494"/>
      <c r="BOW238" s="494"/>
      <c r="BOX238" s="494"/>
      <c r="BOY238" s="494"/>
      <c r="BOZ238" s="494"/>
      <c r="BPA238" s="494"/>
      <c r="BPB238" s="494"/>
      <c r="BPC238" s="494"/>
      <c r="BPD238" s="494"/>
      <c r="BPE238" s="494"/>
      <c r="BPF238" s="494"/>
      <c r="BPG238" s="494"/>
      <c r="BPH238" s="494"/>
      <c r="BPI238" s="494"/>
      <c r="BPJ238" s="494"/>
      <c r="BPK238" s="494"/>
      <c r="BPL238" s="494"/>
      <c r="BPM238" s="494"/>
      <c r="BPN238" s="494"/>
      <c r="BPO238" s="494"/>
      <c r="BPP238" s="494"/>
      <c r="BPQ238" s="494"/>
      <c r="BPR238" s="494"/>
      <c r="BPS238" s="494"/>
      <c r="BPT238" s="494"/>
      <c r="BPU238" s="494"/>
      <c r="BPV238" s="494"/>
      <c r="BPW238" s="494"/>
      <c r="BPX238" s="494"/>
      <c r="BPY238" s="494"/>
      <c r="BPZ238" s="494"/>
      <c r="BQA238" s="494"/>
      <c r="BQB238" s="494"/>
      <c r="BQC238" s="494"/>
      <c r="BQD238" s="494"/>
      <c r="BQE238" s="494"/>
      <c r="BQF238" s="494"/>
      <c r="BQG238" s="494"/>
      <c r="BQH238" s="494"/>
      <c r="BQI238" s="494"/>
      <c r="BQJ238" s="494"/>
      <c r="BQK238" s="494"/>
      <c r="BQL238" s="494"/>
      <c r="BQM238" s="494"/>
      <c r="BQN238" s="494"/>
      <c r="BQO238" s="494"/>
      <c r="BQP238" s="494"/>
      <c r="BQQ238" s="494"/>
      <c r="BQR238" s="494"/>
      <c r="BQS238" s="494"/>
      <c r="BQT238" s="494"/>
      <c r="BQU238" s="494"/>
      <c r="BQV238" s="494"/>
      <c r="BQW238" s="494"/>
      <c r="BQX238" s="494"/>
      <c r="BQY238" s="494"/>
      <c r="BQZ238" s="494"/>
      <c r="BRA238" s="494"/>
      <c r="BRB238" s="494"/>
      <c r="BRC238" s="494"/>
      <c r="BRD238" s="494"/>
      <c r="BRE238" s="494"/>
      <c r="BRF238" s="494"/>
      <c r="BRG238" s="494"/>
      <c r="BRH238" s="494"/>
      <c r="BRI238" s="494"/>
      <c r="BRJ238" s="494"/>
      <c r="BRK238" s="494"/>
      <c r="BRL238" s="494"/>
      <c r="BRM238" s="494"/>
      <c r="BRN238" s="494"/>
      <c r="BRO238" s="494"/>
      <c r="BRP238" s="494"/>
      <c r="BRQ238" s="494"/>
      <c r="BRR238" s="494"/>
      <c r="BRS238" s="494"/>
      <c r="BRT238" s="494"/>
      <c r="BRU238" s="494"/>
      <c r="BRV238" s="494"/>
      <c r="BRW238" s="494"/>
      <c r="BRX238" s="494"/>
      <c r="BRY238" s="494"/>
      <c r="BRZ238" s="494"/>
      <c r="BSA238" s="494"/>
      <c r="BSB238" s="494"/>
      <c r="BSC238" s="494"/>
      <c r="BSD238" s="494"/>
      <c r="BSE238" s="494"/>
      <c r="BSF238" s="494"/>
      <c r="BSG238" s="494"/>
      <c r="BSH238" s="494"/>
      <c r="BSI238" s="494"/>
      <c r="BSJ238" s="494"/>
      <c r="BSK238" s="494"/>
      <c r="BSL238" s="494"/>
      <c r="BSM238" s="494"/>
      <c r="BSN238" s="494"/>
      <c r="BSO238" s="494"/>
      <c r="BSP238" s="494"/>
      <c r="BSQ238" s="494"/>
      <c r="BSR238" s="494"/>
      <c r="BSS238" s="494"/>
      <c r="BST238" s="494"/>
      <c r="BSU238" s="494"/>
      <c r="BSV238" s="494"/>
      <c r="BSW238" s="494"/>
      <c r="BSX238" s="494"/>
      <c r="BSY238" s="494"/>
      <c r="BSZ238" s="494"/>
      <c r="BTA238" s="494"/>
      <c r="BTB238" s="494"/>
      <c r="BTC238" s="494"/>
      <c r="BTD238" s="494"/>
      <c r="BTE238" s="494"/>
      <c r="BTF238" s="494"/>
      <c r="BTG238" s="494"/>
      <c r="BTH238" s="494"/>
      <c r="BTI238" s="494"/>
      <c r="BTJ238" s="494"/>
      <c r="BTK238" s="494"/>
      <c r="BTL238" s="494"/>
      <c r="BTM238" s="494"/>
      <c r="BTN238" s="494"/>
      <c r="BTO238" s="494"/>
      <c r="BTP238" s="494"/>
      <c r="BTQ238" s="494"/>
      <c r="BTR238" s="494"/>
      <c r="BTS238" s="494"/>
      <c r="BTT238" s="494"/>
      <c r="BTU238" s="494"/>
      <c r="BTV238" s="494"/>
      <c r="BTW238" s="494"/>
      <c r="BTX238" s="494"/>
      <c r="BTY238" s="494"/>
      <c r="BTZ238" s="494"/>
      <c r="BUA238" s="494"/>
      <c r="BUB238" s="494"/>
      <c r="BUC238" s="494"/>
      <c r="BUD238" s="494"/>
      <c r="BUE238" s="494"/>
      <c r="BUF238" s="494"/>
      <c r="BUG238" s="494"/>
      <c r="BUH238" s="494"/>
      <c r="BUI238" s="494"/>
      <c r="BUJ238" s="494"/>
      <c r="BUK238" s="494"/>
      <c r="BUL238" s="494"/>
      <c r="BUM238" s="494"/>
      <c r="BUN238" s="494"/>
      <c r="BUO238" s="494"/>
      <c r="BUP238" s="494"/>
      <c r="BUQ238" s="494"/>
      <c r="BUR238" s="494"/>
      <c r="BUS238" s="494"/>
      <c r="BUT238" s="494"/>
      <c r="BUU238" s="494"/>
      <c r="BUV238" s="494"/>
      <c r="BUW238" s="494"/>
      <c r="BUX238" s="494"/>
      <c r="BUY238" s="494"/>
      <c r="BUZ238" s="494"/>
      <c r="BVA238" s="494"/>
      <c r="BVB238" s="494"/>
      <c r="BVC238" s="494"/>
      <c r="BVD238" s="494"/>
      <c r="BVE238" s="494"/>
      <c r="BVF238" s="494"/>
      <c r="BVG238" s="494"/>
      <c r="BVH238" s="494"/>
      <c r="BVI238" s="494"/>
      <c r="BVJ238" s="494"/>
      <c r="BVK238" s="494"/>
      <c r="BVL238" s="494"/>
      <c r="BVM238" s="494"/>
      <c r="BVN238" s="494"/>
      <c r="BVO238" s="494"/>
      <c r="BVP238" s="494"/>
      <c r="BVQ238" s="494"/>
      <c r="BVR238" s="494"/>
      <c r="BVS238" s="494"/>
      <c r="BVT238" s="494"/>
      <c r="BVU238" s="494"/>
      <c r="BVV238" s="494"/>
      <c r="BVW238" s="494"/>
      <c r="BVX238" s="494"/>
      <c r="BVY238" s="494"/>
      <c r="BVZ238" s="494"/>
      <c r="BWA238" s="494"/>
      <c r="BWB238" s="494"/>
      <c r="BWC238" s="494"/>
      <c r="BWD238" s="494"/>
      <c r="BWE238" s="494"/>
      <c r="BWF238" s="494"/>
      <c r="BWG238" s="494"/>
      <c r="BWH238" s="494"/>
      <c r="BWI238" s="494"/>
      <c r="BWJ238" s="494"/>
      <c r="BWK238" s="494"/>
      <c r="BWL238" s="494"/>
      <c r="BWM238" s="494"/>
      <c r="BWN238" s="494"/>
      <c r="BWO238" s="494"/>
      <c r="BWP238" s="494"/>
      <c r="BWQ238" s="494"/>
      <c r="BWR238" s="494"/>
      <c r="BWS238" s="494"/>
      <c r="BWT238" s="494"/>
      <c r="BWU238" s="494"/>
      <c r="BWV238" s="494"/>
      <c r="BWW238" s="494"/>
      <c r="BWX238" s="494"/>
      <c r="BWY238" s="494"/>
      <c r="BWZ238" s="494"/>
      <c r="BXA238" s="494"/>
      <c r="BXB238" s="494"/>
      <c r="BXC238" s="494"/>
      <c r="BXD238" s="494"/>
      <c r="BXE238" s="494"/>
      <c r="BXF238" s="494"/>
      <c r="BXG238" s="494"/>
      <c r="BXH238" s="494"/>
      <c r="BXI238" s="494"/>
      <c r="BXJ238" s="494"/>
      <c r="BXK238" s="494"/>
      <c r="BXL238" s="494"/>
      <c r="BXM238" s="494"/>
      <c r="BXN238" s="494"/>
      <c r="BXO238" s="494"/>
      <c r="BXP238" s="494"/>
      <c r="BXQ238" s="494"/>
      <c r="BXR238" s="494"/>
      <c r="BXS238" s="494"/>
      <c r="BXT238" s="494"/>
      <c r="BXU238" s="494"/>
      <c r="BXV238" s="494"/>
      <c r="BXW238" s="494"/>
      <c r="BXX238" s="494"/>
      <c r="BXY238" s="494"/>
      <c r="BXZ238" s="494"/>
      <c r="BYA238" s="494"/>
      <c r="BYB238" s="494"/>
      <c r="BYC238" s="494"/>
      <c r="BYD238" s="494"/>
      <c r="BYE238" s="494"/>
      <c r="BYF238" s="494"/>
      <c r="BYG238" s="494"/>
      <c r="BYH238" s="494"/>
      <c r="BYI238" s="494"/>
      <c r="BYJ238" s="494"/>
      <c r="BYK238" s="494"/>
      <c r="BYL238" s="494"/>
      <c r="BYM238" s="494"/>
      <c r="BYN238" s="494"/>
      <c r="BYO238" s="494"/>
      <c r="BYP238" s="494"/>
      <c r="BYQ238" s="494"/>
      <c r="BYR238" s="494"/>
      <c r="BYS238" s="494"/>
      <c r="BYT238" s="494"/>
      <c r="BYU238" s="494"/>
      <c r="BYV238" s="494"/>
      <c r="BYW238" s="494"/>
      <c r="BYX238" s="494"/>
      <c r="BYY238" s="494"/>
      <c r="BYZ238" s="494"/>
      <c r="BZA238" s="494"/>
      <c r="BZB238" s="494"/>
      <c r="BZC238" s="494"/>
      <c r="BZD238" s="494"/>
      <c r="BZE238" s="494"/>
      <c r="BZF238" s="494"/>
      <c r="BZG238" s="494"/>
      <c r="BZH238" s="494"/>
      <c r="BZI238" s="494"/>
      <c r="BZJ238" s="494"/>
      <c r="BZK238" s="494"/>
      <c r="BZL238" s="494"/>
      <c r="BZM238" s="494"/>
      <c r="BZN238" s="494"/>
      <c r="BZO238" s="494"/>
      <c r="BZP238" s="494"/>
      <c r="BZQ238" s="494"/>
      <c r="BZR238" s="494"/>
      <c r="BZS238" s="494"/>
      <c r="BZT238" s="494"/>
      <c r="BZU238" s="494"/>
      <c r="BZV238" s="494"/>
      <c r="BZW238" s="494"/>
      <c r="BZX238" s="494"/>
      <c r="BZY238" s="494"/>
      <c r="BZZ238" s="494"/>
      <c r="CAA238" s="494"/>
      <c r="CAB238" s="494"/>
      <c r="CAC238" s="494"/>
      <c r="CAD238" s="494"/>
      <c r="CAE238" s="494"/>
      <c r="CAF238" s="494"/>
      <c r="CAG238" s="494"/>
      <c r="CAH238" s="494"/>
      <c r="CAI238" s="494"/>
      <c r="CAJ238" s="494"/>
      <c r="CAK238" s="494"/>
      <c r="CAL238" s="494"/>
      <c r="CAM238" s="494"/>
      <c r="CAN238" s="494"/>
      <c r="CAO238" s="494"/>
      <c r="CAP238" s="494"/>
      <c r="CAQ238" s="494"/>
      <c r="CAR238" s="494"/>
      <c r="CAS238" s="494"/>
      <c r="CAT238" s="494"/>
      <c r="CAU238" s="494"/>
      <c r="CAV238" s="494"/>
      <c r="CAW238" s="494"/>
      <c r="CAX238" s="494"/>
      <c r="CAY238" s="494"/>
      <c r="CAZ238" s="494"/>
      <c r="CBA238" s="494"/>
      <c r="CBB238" s="494"/>
      <c r="CBC238" s="494"/>
      <c r="CBD238" s="494"/>
      <c r="CBE238" s="494"/>
      <c r="CBF238" s="494"/>
      <c r="CBG238" s="494"/>
      <c r="CBH238" s="494"/>
      <c r="CBI238" s="494"/>
      <c r="CBJ238" s="494"/>
      <c r="CBK238" s="494"/>
      <c r="CBL238" s="494"/>
      <c r="CBM238" s="494"/>
      <c r="CBN238" s="494"/>
      <c r="CBO238" s="494"/>
      <c r="CBP238" s="494"/>
      <c r="CBQ238" s="494"/>
      <c r="CBR238" s="494"/>
      <c r="CBS238" s="494"/>
      <c r="CBT238" s="494"/>
      <c r="CBU238" s="494"/>
      <c r="CBV238" s="494"/>
      <c r="CBW238" s="494"/>
      <c r="CBX238" s="494"/>
      <c r="CBY238" s="494"/>
      <c r="CBZ238" s="494"/>
      <c r="CCA238" s="494"/>
      <c r="CCB238" s="494"/>
      <c r="CCC238" s="494"/>
      <c r="CCD238" s="494"/>
      <c r="CCE238" s="494"/>
      <c r="CCF238" s="494"/>
      <c r="CCG238" s="494"/>
      <c r="CCH238" s="494"/>
      <c r="CCI238" s="494"/>
      <c r="CCJ238" s="494"/>
      <c r="CCK238" s="494"/>
      <c r="CCL238" s="494"/>
      <c r="CCM238" s="494"/>
      <c r="CCN238" s="494"/>
      <c r="CCO238" s="494"/>
      <c r="CCP238" s="494"/>
      <c r="CCQ238" s="494"/>
      <c r="CCR238" s="494"/>
      <c r="CCS238" s="494"/>
      <c r="CCT238" s="494"/>
      <c r="CCU238" s="494"/>
      <c r="CCV238" s="494"/>
      <c r="CCW238" s="494"/>
      <c r="CCX238" s="494"/>
      <c r="CCY238" s="494"/>
      <c r="CCZ238" s="494"/>
      <c r="CDA238" s="494"/>
      <c r="CDB238" s="494"/>
      <c r="CDC238" s="494"/>
      <c r="CDD238" s="494"/>
      <c r="CDE238" s="494"/>
      <c r="CDF238" s="494"/>
      <c r="CDG238" s="494"/>
      <c r="CDH238" s="494"/>
      <c r="CDI238" s="494"/>
      <c r="CDJ238" s="494"/>
      <c r="CDK238" s="494"/>
      <c r="CDL238" s="494"/>
      <c r="CDM238" s="494"/>
      <c r="CDN238" s="494"/>
      <c r="CDO238" s="494"/>
      <c r="CDP238" s="494"/>
      <c r="CDQ238" s="494"/>
      <c r="CDR238" s="494"/>
      <c r="CDS238" s="494"/>
      <c r="CDT238" s="494"/>
      <c r="CDU238" s="494"/>
      <c r="CDV238" s="494"/>
      <c r="CDW238" s="494"/>
      <c r="CDX238" s="494"/>
      <c r="CDY238" s="494"/>
      <c r="CDZ238" s="494"/>
      <c r="CEA238" s="494"/>
      <c r="CEB238" s="494"/>
      <c r="CEC238" s="494"/>
      <c r="CED238" s="494"/>
      <c r="CEE238" s="494"/>
      <c r="CEF238" s="494"/>
      <c r="CEG238" s="494"/>
      <c r="CEH238" s="494"/>
      <c r="CEI238" s="494"/>
      <c r="CEJ238" s="494"/>
      <c r="CEK238" s="494"/>
      <c r="CEL238" s="494"/>
      <c r="CEM238" s="494"/>
      <c r="CEN238" s="494"/>
      <c r="CEO238" s="494"/>
      <c r="CEP238" s="494"/>
      <c r="CEQ238" s="494"/>
      <c r="CER238" s="494"/>
      <c r="CES238" s="494"/>
      <c r="CET238" s="494"/>
      <c r="CEU238" s="494"/>
      <c r="CEV238" s="494"/>
      <c r="CEW238" s="494"/>
      <c r="CEX238" s="494"/>
      <c r="CEY238" s="494"/>
      <c r="CEZ238" s="494"/>
      <c r="CFA238" s="494"/>
      <c r="CFB238" s="494"/>
      <c r="CFC238" s="494"/>
      <c r="CFD238" s="494"/>
      <c r="CFE238" s="494"/>
      <c r="CFF238" s="494"/>
      <c r="CFG238" s="494"/>
      <c r="CFH238" s="494"/>
      <c r="CFI238" s="494"/>
      <c r="CFJ238" s="494"/>
      <c r="CFK238" s="494"/>
      <c r="CFL238" s="494"/>
      <c r="CFM238" s="494"/>
      <c r="CFN238" s="494"/>
      <c r="CFO238" s="494"/>
      <c r="CFP238" s="494"/>
      <c r="CFQ238" s="494"/>
      <c r="CFR238" s="494"/>
      <c r="CFS238" s="494"/>
      <c r="CFT238" s="494"/>
      <c r="CFU238" s="494"/>
      <c r="CFV238" s="494"/>
      <c r="CFW238" s="494"/>
      <c r="CFX238" s="494"/>
      <c r="CFY238" s="494"/>
      <c r="CFZ238" s="494"/>
      <c r="CGA238" s="494"/>
      <c r="CGB238" s="494"/>
      <c r="CGC238" s="494"/>
      <c r="CGD238" s="494"/>
      <c r="CGE238" s="494"/>
      <c r="CGF238" s="494"/>
      <c r="CGG238" s="494"/>
      <c r="CGH238" s="494"/>
      <c r="CGI238" s="494"/>
      <c r="CGJ238" s="494"/>
      <c r="CGK238" s="494"/>
      <c r="CGL238" s="494"/>
      <c r="CGM238" s="494"/>
      <c r="CGN238" s="494"/>
      <c r="CGO238" s="494"/>
      <c r="CGP238" s="494"/>
      <c r="CGQ238" s="494"/>
      <c r="CGR238" s="494"/>
      <c r="CGS238" s="494"/>
      <c r="CGT238" s="494"/>
      <c r="CGU238" s="494"/>
      <c r="CGV238" s="494"/>
      <c r="CGW238" s="494"/>
      <c r="CGX238" s="494"/>
      <c r="CGY238" s="494"/>
      <c r="CGZ238" s="494"/>
      <c r="CHA238" s="494"/>
      <c r="CHB238" s="494"/>
      <c r="CHC238" s="494"/>
      <c r="CHD238" s="494"/>
      <c r="CHE238" s="494"/>
      <c r="CHF238" s="494"/>
      <c r="CHG238" s="494"/>
      <c r="CHH238" s="494"/>
      <c r="CHI238" s="494"/>
      <c r="CHJ238" s="494"/>
      <c r="CHK238" s="494"/>
      <c r="CHL238" s="494"/>
      <c r="CHM238" s="494"/>
      <c r="CHN238" s="494"/>
      <c r="CHO238" s="494"/>
      <c r="CHP238" s="494"/>
      <c r="CHQ238" s="494"/>
      <c r="CHR238" s="494"/>
      <c r="CHS238" s="494"/>
      <c r="CHT238" s="494"/>
      <c r="CHU238" s="494"/>
      <c r="CHV238" s="494"/>
      <c r="CHW238" s="494"/>
      <c r="CHX238" s="494"/>
      <c r="CHY238" s="494"/>
      <c r="CHZ238" s="494"/>
      <c r="CIA238" s="494"/>
      <c r="CIB238" s="494"/>
      <c r="CIC238" s="494"/>
      <c r="CID238" s="494"/>
      <c r="CIE238" s="494"/>
      <c r="CIF238" s="494"/>
      <c r="CIG238" s="494"/>
      <c r="CIH238" s="494"/>
      <c r="CII238" s="494"/>
      <c r="CIJ238" s="494"/>
      <c r="CIK238" s="494"/>
      <c r="CIL238" s="494"/>
      <c r="CIM238" s="494"/>
      <c r="CIN238" s="494"/>
      <c r="CIO238" s="494"/>
      <c r="CIP238" s="494"/>
      <c r="CIQ238" s="494"/>
      <c r="CIR238" s="494"/>
      <c r="CIS238" s="494"/>
      <c r="CIT238" s="494"/>
      <c r="CIU238" s="494"/>
      <c r="CIV238" s="494"/>
      <c r="CIW238" s="494"/>
      <c r="CIX238" s="494"/>
      <c r="CIY238" s="494"/>
      <c r="CIZ238" s="494"/>
      <c r="CJA238" s="494"/>
      <c r="CJB238" s="494"/>
      <c r="CJC238" s="494"/>
      <c r="CJD238" s="494"/>
      <c r="CJE238" s="494"/>
      <c r="CJF238" s="494"/>
      <c r="CJG238" s="494"/>
      <c r="CJH238" s="494"/>
      <c r="CJI238" s="494"/>
      <c r="CJJ238" s="494"/>
      <c r="CJK238" s="494"/>
      <c r="CJL238" s="494"/>
      <c r="CJM238" s="494"/>
      <c r="CJN238" s="494"/>
      <c r="CJO238" s="494"/>
      <c r="CJP238" s="494"/>
      <c r="CJQ238" s="494"/>
      <c r="CJR238" s="494"/>
      <c r="CJS238" s="494"/>
      <c r="CJT238" s="494"/>
      <c r="CJU238" s="494"/>
      <c r="CJV238" s="494"/>
      <c r="CJW238" s="494"/>
      <c r="CJX238" s="494"/>
      <c r="CJY238" s="494"/>
      <c r="CJZ238" s="494"/>
      <c r="CKA238" s="494"/>
      <c r="CKB238" s="494"/>
      <c r="CKC238" s="494"/>
      <c r="CKD238" s="494"/>
      <c r="CKE238" s="494"/>
      <c r="CKF238" s="494"/>
      <c r="CKG238" s="494"/>
      <c r="CKH238" s="494"/>
      <c r="CKI238" s="494"/>
      <c r="CKJ238" s="494"/>
      <c r="CKK238" s="494"/>
      <c r="CKL238" s="494"/>
      <c r="CKM238" s="494"/>
      <c r="CKN238" s="494"/>
      <c r="CKO238" s="494"/>
      <c r="CKP238" s="494"/>
      <c r="CKQ238" s="494"/>
      <c r="CKR238" s="494"/>
      <c r="CKS238" s="494"/>
      <c r="CKT238" s="494"/>
      <c r="CKU238" s="494"/>
      <c r="CKV238" s="494"/>
      <c r="CKW238" s="494"/>
      <c r="CKX238" s="494"/>
      <c r="CKY238" s="494"/>
      <c r="CKZ238" s="494"/>
      <c r="CLA238" s="494"/>
      <c r="CLB238" s="494"/>
      <c r="CLC238" s="494"/>
      <c r="CLD238" s="494"/>
      <c r="CLE238" s="494"/>
      <c r="CLF238" s="494"/>
      <c r="CLG238" s="494"/>
      <c r="CLH238" s="494"/>
      <c r="CLI238" s="494"/>
      <c r="CLJ238" s="494"/>
      <c r="CLK238" s="494"/>
      <c r="CLL238" s="494"/>
      <c r="CLM238" s="494"/>
      <c r="CLN238" s="494"/>
      <c r="CLO238" s="494"/>
      <c r="CLP238" s="494"/>
      <c r="CLQ238" s="494"/>
      <c r="CLR238" s="494"/>
      <c r="CLS238" s="494"/>
      <c r="CLT238" s="494"/>
      <c r="CLU238" s="494"/>
      <c r="CLV238" s="494"/>
      <c r="CLW238" s="494"/>
      <c r="CLX238" s="494"/>
      <c r="CLY238" s="494"/>
      <c r="CLZ238" s="494"/>
      <c r="CMA238" s="494"/>
      <c r="CMB238" s="494"/>
      <c r="CMC238" s="494"/>
      <c r="CMD238" s="494"/>
      <c r="CME238" s="494"/>
      <c r="CMF238" s="494"/>
      <c r="CMG238" s="494"/>
      <c r="CMH238" s="494"/>
      <c r="CMI238" s="494"/>
      <c r="CMJ238" s="494"/>
      <c r="CMK238" s="494"/>
      <c r="CML238" s="494"/>
      <c r="CMM238" s="494"/>
      <c r="CMN238" s="494"/>
      <c r="CMO238" s="494"/>
      <c r="CMP238" s="494"/>
      <c r="CMQ238" s="494"/>
      <c r="CMR238" s="494"/>
      <c r="CMS238" s="494"/>
      <c r="CMT238" s="494"/>
      <c r="CMU238" s="494"/>
      <c r="CMV238" s="494"/>
      <c r="CMW238" s="494"/>
      <c r="CMX238" s="494"/>
      <c r="CMY238" s="494"/>
      <c r="CMZ238" s="494"/>
      <c r="CNA238" s="494"/>
      <c r="CNB238" s="494"/>
      <c r="CNC238" s="494"/>
      <c r="CND238" s="494"/>
      <c r="CNE238" s="494"/>
      <c r="CNF238" s="494"/>
      <c r="CNG238" s="494"/>
      <c r="CNH238" s="494"/>
      <c r="CNI238" s="494"/>
      <c r="CNJ238" s="494"/>
      <c r="CNK238" s="494"/>
      <c r="CNL238" s="494"/>
      <c r="CNM238" s="494"/>
      <c r="CNN238" s="494"/>
      <c r="CNO238" s="494"/>
      <c r="CNP238" s="494"/>
      <c r="CNQ238" s="494"/>
      <c r="CNR238" s="494"/>
      <c r="CNS238" s="494"/>
      <c r="CNT238" s="494"/>
      <c r="CNU238" s="494"/>
      <c r="CNV238" s="494"/>
      <c r="CNW238" s="494"/>
      <c r="CNX238" s="494"/>
      <c r="CNY238" s="494"/>
      <c r="CNZ238" s="494"/>
      <c r="COA238" s="494"/>
      <c r="COB238" s="494"/>
      <c r="COC238" s="494"/>
      <c r="COD238" s="494"/>
      <c r="COE238" s="494"/>
      <c r="COF238" s="494"/>
      <c r="COG238" s="494"/>
      <c r="COH238" s="494"/>
      <c r="COI238" s="494"/>
      <c r="COJ238" s="494"/>
      <c r="COK238" s="494"/>
      <c r="COL238" s="494"/>
      <c r="COM238" s="494"/>
      <c r="CON238" s="494"/>
      <c r="COO238" s="494"/>
      <c r="COP238" s="494"/>
      <c r="COQ238" s="494"/>
      <c r="COR238" s="494"/>
      <c r="COS238" s="494"/>
      <c r="COT238" s="494"/>
      <c r="COU238" s="494"/>
      <c r="COV238" s="494"/>
      <c r="COW238" s="494"/>
      <c r="COX238" s="494"/>
      <c r="COY238" s="494"/>
      <c r="COZ238" s="494"/>
      <c r="CPA238" s="494"/>
      <c r="CPB238" s="494"/>
      <c r="CPC238" s="494"/>
      <c r="CPD238" s="494"/>
      <c r="CPE238" s="494"/>
      <c r="CPF238" s="494"/>
      <c r="CPG238" s="494"/>
      <c r="CPH238" s="494"/>
      <c r="CPI238" s="494"/>
      <c r="CPJ238" s="494"/>
      <c r="CPK238" s="494"/>
      <c r="CPL238" s="494"/>
      <c r="CPM238" s="494"/>
      <c r="CPN238" s="494"/>
      <c r="CPO238" s="494"/>
      <c r="CPP238" s="494"/>
      <c r="CPQ238" s="494"/>
      <c r="CPR238" s="494"/>
      <c r="CPS238" s="494"/>
      <c r="CPT238" s="494"/>
      <c r="CPU238" s="494"/>
      <c r="CPV238" s="494"/>
      <c r="CPW238" s="494"/>
      <c r="CPX238" s="494"/>
      <c r="CPY238" s="494"/>
      <c r="CPZ238" s="494"/>
      <c r="CQA238" s="494"/>
      <c r="CQB238" s="494"/>
      <c r="CQC238" s="494"/>
      <c r="CQD238" s="494"/>
      <c r="CQE238" s="494"/>
      <c r="CQF238" s="494"/>
      <c r="CQG238" s="494"/>
      <c r="CQH238" s="494"/>
      <c r="CQI238" s="494"/>
      <c r="CQJ238" s="494"/>
      <c r="CQK238" s="494"/>
      <c r="CQL238" s="494"/>
      <c r="CQM238" s="494"/>
      <c r="CQN238" s="494"/>
      <c r="CQO238" s="494"/>
      <c r="CQP238" s="494"/>
      <c r="CQQ238" s="494"/>
      <c r="CQR238" s="494"/>
      <c r="CQS238" s="494"/>
      <c r="CQT238" s="494"/>
      <c r="CQU238" s="494"/>
      <c r="CQV238" s="494"/>
      <c r="CQW238" s="494"/>
      <c r="CQX238" s="494"/>
      <c r="CQY238" s="494"/>
      <c r="CQZ238" s="494"/>
      <c r="CRA238" s="494"/>
      <c r="CRB238" s="494"/>
      <c r="CRC238" s="494"/>
      <c r="CRD238" s="494"/>
      <c r="CRE238" s="494"/>
      <c r="CRF238" s="494"/>
      <c r="CRG238" s="494"/>
      <c r="CRH238" s="494"/>
      <c r="CRI238" s="494"/>
      <c r="CRJ238" s="494"/>
      <c r="CRK238" s="494"/>
      <c r="CRL238" s="494"/>
      <c r="CRM238" s="494"/>
      <c r="CRN238" s="494"/>
      <c r="CRO238" s="494"/>
      <c r="CRP238" s="494"/>
      <c r="CRQ238" s="494"/>
      <c r="CRR238" s="494"/>
      <c r="CRS238" s="494"/>
      <c r="CRT238" s="494"/>
      <c r="CRU238" s="494"/>
      <c r="CRV238" s="494"/>
      <c r="CRW238" s="494"/>
      <c r="CRX238" s="494"/>
      <c r="CRY238" s="494"/>
      <c r="CRZ238" s="494"/>
      <c r="CSA238" s="494"/>
      <c r="CSB238" s="494"/>
      <c r="CSC238" s="494"/>
      <c r="CSD238" s="494"/>
      <c r="CSE238" s="494"/>
      <c r="CSF238" s="494"/>
      <c r="CSG238" s="494"/>
      <c r="CSH238" s="494"/>
      <c r="CSI238" s="494"/>
      <c r="CSJ238" s="494"/>
      <c r="CSK238" s="494"/>
      <c r="CSL238" s="494"/>
      <c r="CSM238" s="494"/>
      <c r="CSN238" s="494"/>
      <c r="CSO238" s="494"/>
      <c r="CSP238" s="494"/>
      <c r="CSQ238" s="494"/>
      <c r="CSR238" s="494"/>
      <c r="CSS238" s="494"/>
      <c r="CST238" s="494"/>
      <c r="CSU238" s="494"/>
      <c r="CSV238" s="494"/>
      <c r="CSW238" s="494"/>
      <c r="CSX238" s="494"/>
      <c r="CSY238" s="494"/>
      <c r="CSZ238" s="494"/>
      <c r="CTA238" s="494"/>
      <c r="CTB238" s="494"/>
      <c r="CTC238" s="494"/>
      <c r="CTD238" s="494"/>
      <c r="CTE238" s="494"/>
      <c r="CTF238" s="494"/>
      <c r="CTG238" s="494"/>
      <c r="CTH238" s="494"/>
      <c r="CTI238" s="494"/>
      <c r="CTJ238" s="494"/>
      <c r="CTK238" s="494"/>
      <c r="CTL238" s="494"/>
      <c r="CTM238" s="494"/>
      <c r="CTN238" s="494"/>
      <c r="CTO238" s="494"/>
      <c r="CTP238" s="494"/>
      <c r="CTQ238" s="494"/>
      <c r="CTR238" s="494"/>
      <c r="CTS238" s="494"/>
      <c r="CTT238" s="494"/>
      <c r="CTU238" s="494"/>
      <c r="CTV238" s="494"/>
      <c r="CTW238" s="494"/>
      <c r="CTX238" s="494"/>
      <c r="CTY238" s="494"/>
      <c r="CTZ238" s="494"/>
      <c r="CUA238" s="494"/>
      <c r="CUB238" s="494"/>
      <c r="CUC238" s="494"/>
      <c r="CUD238" s="494"/>
      <c r="CUE238" s="494"/>
      <c r="CUF238" s="494"/>
      <c r="CUG238" s="494"/>
      <c r="CUH238" s="494"/>
      <c r="CUI238" s="494"/>
      <c r="CUJ238" s="494"/>
      <c r="CUK238" s="494"/>
      <c r="CUL238" s="494"/>
      <c r="CUM238" s="494"/>
      <c r="CUN238" s="494"/>
      <c r="CUO238" s="494"/>
      <c r="CUP238" s="494"/>
      <c r="CUQ238" s="494"/>
      <c r="CUR238" s="494"/>
      <c r="CUS238" s="494"/>
      <c r="CUT238" s="494"/>
      <c r="CUU238" s="494"/>
      <c r="CUV238" s="494"/>
      <c r="CUW238" s="494"/>
      <c r="CUX238" s="494"/>
      <c r="CUY238" s="494"/>
      <c r="CUZ238" s="494"/>
      <c r="CVA238" s="494"/>
      <c r="CVB238" s="494"/>
      <c r="CVC238" s="494"/>
      <c r="CVD238" s="494"/>
      <c r="CVE238" s="494"/>
      <c r="CVF238" s="494"/>
      <c r="CVG238" s="494"/>
      <c r="CVH238" s="494"/>
      <c r="CVI238" s="494"/>
      <c r="CVJ238" s="494"/>
      <c r="CVK238" s="494"/>
      <c r="CVL238" s="494"/>
      <c r="CVM238" s="494"/>
      <c r="CVN238" s="494"/>
      <c r="CVO238" s="494"/>
      <c r="CVP238" s="494"/>
      <c r="CVQ238" s="494"/>
      <c r="CVR238" s="494"/>
      <c r="CVS238" s="494"/>
      <c r="CVT238" s="494"/>
      <c r="CVU238" s="494"/>
      <c r="CVV238" s="494"/>
      <c r="CVW238" s="494"/>
      <c r="CVX238" s="494"/>
      <c r="CVY238" s="494"/>
      <c r="CVZ238" s="494"/>
      <c r="CWA238" s="494"/>
      <c r="CWB238" s="494"/>
      <c r="CWC238" s="494"/>
      <c r="CWD238" s="494"/>
      <c r="CWE238" s="494"/>
      <c r="CWF238" s="494"/>
      <c r="CWG238" s="494"/>
      <c r="CWH238" s="494"/>
      <c r="CWI238" s="494"/>
      <c r="CWJ238" s="494"/>
      <c r="CWK238" s="494"/>
      <c r="CWL238" s="494"/>
      <c r="CWM238" s="494"/>
      <c r="CWN238" s="494"/>
      <c r="CWO238" s="494"/>
      <c r="CWP238" s="494"/>
      <c r="CWQ238" s="494"/>
      <c r="CWR238" s="494"/>
      <c r="CWS238" s="494"/>
      <c r="CWT238" s="494"/>
      <c r="CWU238" s="494"/>
      <c r="CWV238" s="494"/>
      <c r="CWW238" s="494"/>
      <c r="CWX238" s="494"/>
      <c r="CWY238" s="494"/>
      <c r="CWZ238" s="494"/>
      <c r="CXA238" s="494"/>
      <c r="CXB238" s="494"/>
      <c r="CXC238" s="494"/>
      <c r="CXD238" s="494"/>
      <c r="CXE238" s="494"/>
      <c r="CXF238" s="494"/>
      <c r="CXG238" s="494"/>
      <c r="CXH238" s="494"/>
      <c r="CXI238" s="494"/>
      <c r="CXJ238" s="494"/>
      <c r="CXK238" s="494"/>
      <c r="CXL238" s="494"/>
      <c r="CXM238" s="494"/>
      <c r="CXN238" s="494"/>
      <c r="CXO238" s="494"/>
      <c r="CXP238" s="494"/>
      <c r="CXQ238" s="494"/>
      <c r="CXR238" s="494"/>
      <c r="CXS238" s="494"/>
      <c r="CXT238" s="494"/>
      <c r="CXU238" s="494"/>
      <c r="CXV238" s="494"/>
      <c r="CXW238" s="494"/>
      <c r="CXX238" s="494"/>
      <c r="CXY238" s="494"/>
      <c r="CXZ238" s="494"/>
      <c r="CYA238" s="494"/>
      <c r="CYB238" s="494"/>
      <c r="CYC238" s="494"/>
      <c r="CYD238" s="494"/>
      <c r="CYE238" s="494"/>
      <c r="CYF238" s="494"/>
      <c r="CYG238" s="494"/>
      <c r="CYH238" s="494"/>
      <c r="CYI238" s="494"/>
      <c r="CYJ238" s="494"/>
      <c r="CYK238" s="494"/>
      <c r="CYL238" s="494"/>
      <c r="CYM238" s="494"/>
      <c r="CYN238" s="494"/>
      <c r="CYO238" s="494"/>
      <c r="CYP238" s="494"/>
      <c r="CYQ238" s="494"/>
      <c r="CYR238" s="494"/>
      <c r="CYS238" s="494"/>
      <c r="CYT238" s="494"/>
      <c r="CYU238" s="494"/>
      <c r="CYV238" s="494"/>
      <c r="CYW238" s="494"/>
      <c r="CYX238" s="494"/>
      <c r="CYY238" s="494"/>
      <c r="CYZ238" s="494"/>
      <c r="CZA238" s="494"/>
      <c r="CZB238" s="494"/>
      <c r="CZC238" s="494"/>
      <c r="CZD238" s="494"/>
      <c r="CZE238" s="494"/>
      <c r="CZF238" s="494"/>
      <c r="CZG238" s="494"/>
      <c r="CZH238" s="494"/>
      <c r="CZI238" s="494"/>
      <c r="CZJ238" s="494"/>
      <c r="CZK238" s="494"/>
      <c r="CZL238" s="494"/>
      <c r="CZM238" s="494"/>
      <c r="CZN238" s="494"/>
      <c r="CZO238" s="494"/>
      <c r="CZP238" s="494"/>
      <c r="CZQ238" s="494"/>
      <c r="CZR238" s="494"/>
      <c r="CZS238" s="494"/>
      <c r="CZT238" s="494"/>
      <c r="CZU238" s="494"/>
      <c r="CZV238" s="494"/>
      <c r="CZW238" s="494"/>
      <c r="CZX238" s="494"/>
      <c r="CZY238" s="494"/>
      <c r="CZZ238" s="494"/>
      <c r="DAA238" s="494"/>
      <c r="DAB238" s="494"/>
      <c r="DAC238" s="494"/>
      <c r="DAD238" s="494"/>
      <c r="DAE238" s="494"/>
      <c r="DAF238" s="494"/>
      <c r="DAG238" s="494"/>
      <c r="DAH238" s="494"/>
      <c r="DAI238" s="494"/>
      <c r="DAJ238" s="494"/>
      <c r="DAK238" s="494"/>
      <c r="DAL238" s="494"/>
      <c r="DAM238" s="494"/>
      <c r="DAN238" s="494"/>
      <c r="DAO238" s="494"/>
      <c r="DAP238" s="494"/>
      <c r="DAQ238" s="494"/>
      <c r="DAR238" s="494"/>
      <c r="DAS238" s="494"/>
      <c r="DAT238" s="494"/>
      <c r="DAU238" s="494"/>
      <c r="DAV238" s="494"/>
      <c r="DAW238" s="494"/>
      <c r="DAX238" s="494"/>
      <c r="DAY238" s="494"/>
      <c r="DAZ238" s="494"/>
      <c r="DBA238" s="494"/>
      <c r="DBB238" s="494"/>
      <c r="DBC238" s="494"/>
      <c r="DBD238" s="494"/>
      <c r="DBE238" s="494"/>
      <c r="DBF238" s="494"/>
      <c r="DBG238" s="494"/>
      <c r="DBH238" s="494"/>
      <c r="DBI238" s="494"/>
      <c r="DBJ238" s="494"/>
      <c r="DBK238" s="494"/>
      <c r="DBL238" s="494"/>
      <c r="DBM238" s="494"/>
      <c r="DBN238" s="494"/>
      <c r="DBO238" s="494"/>
      <c r="DBP238" s="494"/>
      <c r="DBQ238" s="494"/>
      <c r="DBR238" s="494"/>
      <c r="DBS238" s="494"/>
      <c r="DBT238" s="494"/>
      <c r="DBU238" s="494"/>
      <c r="DBV238" s="494"/>
      <c r="DBW238" s="494"/>
      <c r="DBX238" s="494"/>
      <c r="DBY238" s="494"/>
      <c r="DBZ238" s="494"/>
      <c r="DCA238" s="494"/>
      <c r="DCB238" s="494"/>
      <c r="DCC238" s="494"/>
      <c r="DCD238" s="494"/>
      <c r="DCE238" s="494"/>
      <c r="DCF238" s="494"/>
      <c r="DCG238" s="494"/>
      <c r="DCH238" s="494"/>
      <c r="DCI238" s="494"/>
      <c r="DCJ238" s="494"/>
      <c r="DCK238" s="494"/>
      <c r="DCL238" s="494"/>
      <c r="DCM238" s="494"/>
      <c r="DCN238" s="494"/>
      <c r="DCO238" s="494"/>
      <c r="DCP238" s="494"/>
      <c r="DCQ238" s="494"/>
      <c r="DCR238" s="494"/>
      <c r="DCS238" s="494"/>
      <c r="DCT238" s="494"/>
      <c r="DCU238" s="494"/>
      <c r="DCV238" s="494"/>
      <c r="DCW238" s="494"/>
      <c r="DCX238" s="494"/>
      <c r="DCY238" s="494"/>
      <c r="DCZ238" s="494"/>
      <c r="DDA238" s="494"/>
      <c r="DDB238" s="494"/>
      <c r="DDC238" s="494"/>
      <c r="DDD238" s="494"/>
      <c r="DDE238" s="494"/>
      <c r="DDF238" s="494"/>
      <c r="DDG238" s="494"/>
      <c r="DDH238" s="494"/>
      <c r="DDI238" s="494"/>
      <c r="DDJ238" s="494"/>
      <c r="DDK238" s="494"/>
      <c r="DDL238" s="494"/>
      <c r="DDM238" s="494"/>
      <c r="DDN238" s="494"/>
      <c r="DDO238" s="494"/>
      <c r="DDP238" s="494"/>
      <c r="DDQ238" s="494"/>
      <c r="DDR238" s="494"/>
      <c r="DDS238" s="494"/>
      <c r="DDT238" s="494"/>
      <c r="DDU238" s="494"/>
      <c r="DDV238" s="494"/>
      <c r="DDW238" s="494"/>
      <c r="DDX238" s="494"/>
      <c r="DDY238" s="494"/>
      <c r="DDZ238" s="494"/>
      <c r="DEA238" s="494"/>
      <c r="DEB238" s="494"/>
      <c r="DEC238" s="494"/>
      <c r="DED238" s="494"/>
      <c r="DEE238" s="494"/>
      <c r="DEF238" s="494"/>
      <c r="DEG238" s="494"/>
      <c r="DEH238" s="494"/>
      <c r="DEI238" s="494"/>
      <c r="DEJ238" s="494"/>
      <c r="DEK238" s="494"/>
      <c r="DEL238" s="494"/>
      <c r="DEM238" s="494"/>
      <c r="DEN238" s="494"/>
      <c r="DEO238" s="494"/>
      <c r="DEP238" s="494"/>
      <c r="DEQ238" s="494"/>
      <c r="DER238" s="494"/>
      <c r="DES238" s="494"/>
      <c r="DET238" s="494"/>
      <c r="DEU238" s="494"/>
      <c r="DEV238" s="494"/>
      <c r="DEW238" s="494"/>
      <c r="DEX238" s="494"/>
      <c r="DEY238" s="494"/>
      <c r="DEZ238" s="494"/>
      <c r="DFA238" s="494"/>
      <c r="DFB238" s="494"/>
      <c r="DFC238" s="494"/>
      <c r="DFD238" s="494"/>
      <c r="DFE238" s="494"/>
      <c r="DFF238" s="494"/>
      <c r="DFG238" s="494"/>
      <c r="DFH238" s="494"/>
      <c r="DFI238" s="494"/>
      <c r="DFJ238" s="494"/>
      <c r="DFK238" s="494"/>
      <c r="DFL238" s="494"/>
      <c r="DFM238" s="494"/>
      <c r="DFN238" s="494"/>
      <c r="DFO238" s="494"/>
      <c r="DFP238" s="494"/>
      <c r="DFQ238" s="494"/>
      <c r="DFR238" s="494"/>
      <c r="DFS238" s="494"/>
      <c r="DFT238" s="494"/>
      <c r="DFU238" s="494"/>
      <c r="DFV238" s="494"/>
      <c r="DFW238" s="494"/>
      <c r="DFX238" s="494"/>
      <c r="DFY238" s="494"/>
      <c r="DFZ238" s="494"/>
      <c r="DGA238" s="494"/>
      <c r="DGB238" s="494"/>
      <c r="DGC238" s="494"/>
      <c r="DGD238" s="494"/>
      <c r="DGE238" s="494"/>
      <c r="DGF238" s="494"/>
      <c r="DGG238" s="494"/>
      <c r="DGH238" s="494"/>
      <c r="DGI238" s="494"/>
      <c r="DGJ238" s="494"/>
      <c r="DGK238" s="494"/>
      <c r="DGL238" s="494"/>
      <c r="DGM238" s="494"/>
      <c r="DGN238" s="494"/>
      <c r="DGO238" s="494"/>
      <c r="DGP238" s="494"/>
      <c r="DGQ238" s="494"/>
      <c r="DGR238" s="494"/>
      <c r="DGS238" s="494"/>
      <c r="DGT238" s="494"/>
      <c r="DGU238" s="494"/>
      <c r="DGV238" s="494"/>
      <c r="DGW238" s="494"/>
      <c r="DGX238" s="494"/>
      <c r="DGY238" s="494"/>
      <c r="DGZ238" s="494"/>
      <c r="DHA238" s="494"/>
      <c r="DHB238" s="494"/>
      <c r="DHC238" s="494"/>
      <c r="DHD238" s="494"/>
      <c r="DHE238" s="494"/>
      <c r="DHF238" s="494"/>
      <c r="DHG238" s="494"/>
      <c r="DHH238" s="494"/>
      <c r="DHI238" s="494"/>
      <c r="DHJ238" s="494"/>
      <c r="DHK238" s="494"/>
      <c r="DHL238" s="494"/>
      <c r="DHM238" s="494"/>
      <c r="DHN238" s="494"/>
      <c r="DHO238" s="494"/>
      <c r="DHP238" s="494"/>
      <c r="DHQ238" s="494"/>
      <c r="DHR238" s="494"/>
      <c r="DHS238" s="494"/>
      <c r="DHT238" s="494"/>
      <c r="DHU238" s="494"/>
      <c r="DHV238" s="494"/>
      <c r="DHW238" s="494"/>
      <c r="DHX238" s="494"/>
      <c r="DHY238" s="494"/>
      <c r="DHZ238" s="494"/>
      <c r="DIA238" s="494"/>
      <c r="DIB238" s="494"/>
      <c r="DIC238" s="494"/>
      <c r="DID238" s="494"/>
      <c r="DIE238" s="494"/>
      <c r="DIF238" s="494"/>
      <c r="DIG238" s="494"/>
      <c r="DIH238" s="494"/>
      <c r="DII238" s="494"/>
      <c r="DIJ238" s="494"/>
      <c r="DIK238" s="494"/>
      <c r="DIL238" s="494"/>
      <c r="DIM238" s="494"/>
      <c r="DIN238" s="494"/>
      <c r="DIO238" s="494"/>
      <c r="DIP238" s="494"/>
      <c r="DIQ238" s="494"/>
      <c r="DIR238" s="494"/>
      <c r="DIS238" s="494"/>
      <c r="DIT238" s="494"/>
      <c r="DIU238" s="494"/>
      <c r="DIV238" s="494"/>
      <c r="DIW238" s="494"/>
      <c r="DIX238" s="494"/>
      <c r="DIY238" s="494"/>
      <c r="DIZ238" s="494"/>
      <c r="DJA238" s="494"/>
      <c r="DJB238" s="494"/>
      <c r="DJC238" s="494"/>
      <c r="DJD238" s="494"/>
      <c r="DJE238" s="494"/>
      <c r="DJF238" s="494"/>
      <c r="DJG238" s="494"/>
      <c r="DJH238" s="494"/>
      <c r="DJI238" s="494"/>
      <c r="DJJ238" s="494"/>
      <c r="DJK238" s="494"/>
      <c r="DJL238" s="494"/>
      <c r="DJM238" s="494"/>
      <c r="DJN238" s="494"/>
      <c r="DJO238" s="494"/>
      <c r="DJP238" s="494"/>
      <c r="DJQ238" s="494"/>
      <c r="DJR238" s="494"/>
      <c r="DJS238" s="494"/>
      <c r="DJT238" s="494"/>
      <c r="DJU238" s="494"/>
      <c r="DJV238" s="494"/>
      <c r="DJW238" s="494"/>
      <c r="DJX238" s="494"/>
      <c r="DJY238" s="494"/>
      <c r="DJZ238" s="494"/>
      <c r="DKA238" s="494"/>
      <c r="DKB238" s="494"/>
      <c r="DKC238" s="494"/>
      <c r="DKD238" s="494"/>
      <c r="DKE238" s="494"/>
      <c r="DKF238" s="494"/>
      <c r="DKG238" s="494"/>
      <c r="DKH238" s="494"/>
      <c r="DKI238" s="494"/>
      <c r="DKJ238" s="494"/>
      <c r="DKK238" s="494"/>
      <c r="DKL238" s="494"/>
      <c r="DKM238" s="494"/>
      <c r="DKN238" s="494"/>
      <c r="DKO238" s="494"/>
      <c r="DKP238" s="494"/>
      <c r="DKQ238" s="494"/>
      <c r="DKR238" s="494"/>
      <c r="DKS238" s="494"/>
      <c r="DKT238" s="494"/>
      <c r="DKU238" s="494"/>
      <c r="DKV238" s="494"/>
      <c r="DKW238" s="494"/>
      <c r="DKX238" s="494"/>
      <c r="DKY238" s="494"/>
      <c r="DKZ238" s="494"/>
      <c r="DLA238" s="494"/>
      <c r="DLB238" s="494"/>
      <c r="DLC238" s="494"/>
      <c r="DLD238" s="494"/>
      <c r="DLE238" s="494"/>
      <c r="DLF238" s="494"/>
      <c r="DLG238" s="494"/>
      <c r="DLH238" s="494"/>
      <c r="DLI238" s="494"/>
      <c r="DLJ238" s="494"/>
      <c r="DLK238" s="494"/>
      <c r="DLL238" s="494"/>
      <c r="DLM238" s="494"/>
      <c r="DLN238" s="494"/>
      <c r="DLO238" s="494"/>
      <c r="DLP238" s="494"/>
      <c r="DLQ238" s="494"/>
      <c r="DLR238" s="494"/>
      <c r="DLS238" s="494"/>
      <c r="DLT238" s="494"/>
      <c r="DLU238" s="494"/>
      <c r="DLV238" s="494"/>
      <c r="DLW238" s="494"/>
      <c r="DLX238" s="494"/>
      <c r="DLY238" s="494"/>
      <c r="DLZ238" s="494"/>
      <c r="DMA238" s="494"/>
      <c r="DMB238" s="494"/>
      <c r="DMC238" s="494"/>
      <c r="DMD238" s="494"/>
      <c r="DME238" s="494"/>
      <c r="DMF238" s="494"/>
      <c r="DMG238" s="494"/>
      <c r="DMH238" s="494"/>
      <c r="DMI238" s="494"/>
      <c r="DMJ238" s="494"/>
      <c r="DMK238" s="494"/>
      <c r="DML238" s="494"/>
      <c r="DMM238" s="494"/>
      <c r="DMN238" s="494"/>
      <c r="DMO238" s="494"/>
      <c r="DMP238" s="494"/>
      <c r="DMQ238" s="494"/>
      <c r="DMR238" s="494"/>
      <c r="DMS238" s="494"/>
      <c r="DMT238" s="494"/>
      <c r="DMU238" s="494"/>
      <c r="DMV238" s="494"/>
      <c r="DMW238" s="494"/>
      <c r="DMX238" s="494"/>
      <c r="DMY238" s="494"/>
      <c r="DMZ238" s="494"/>
      <c r="DNA238" s="494"/>
      <c r="DNB238" s="494"/>
      <c r="DNC238" s="494"/>
      <c r="DND238" s="494"/>
      <c r="DNE238" s="494"/>
      <c r="DNF238" s="494"/>
      <c r="DNG238" s="494"/>
      <c r="DNH238" s="494"/>
      <c r="DNI238" s="494"/>
      <c r="DNJ238" s="494"/>
      <c r="DNK238" s="494"/>
      <c r="DNL238" s="494"/>
      <c r="DNM238" s="494"/>
      <c r="DNN238" s="494"/>
      <c r="DNO238" s="494"/>
      <c r="DNP238" s="494"/>
      <c r="DNQ238" s="494"/>
      <c r="DNR238" s="494"/>
      <c r="DNS238" s="494"/>
      <c r="DNT238" s="494"/>
      <c r="DNU238" s="494"/>
      <c r="DNV238" s="494"/>
      <c r="DNW238" s="494"/>
      <c r="DNX238" s="494"/>
      <c r="DNY238" s="494"/>
      <c r="DNZ238" s="494"/>
      <c r="DOA238" s="494"/>
      <c r="DOB238" s="494"/>
      <c r="DOC238" s="494"/>
      <c r="DOD238" s="494"/>
      <c r="DOE238" s="494"/>
      <c r="DOF238" s="494"/>
      <c r="DOG238" s="494"/>
      <c r="DOH238" s="494"/>
      <c r="DOI238" s="494"/>
      <c r="DOJ238" s="494"/>
      <c r="DOK238" s="494"/>
      <c r="DOL238" s="494"/>
      <c r="DOM238" s="494"/>
      <c r="DON238" s="494"/>
      <c r="DOO238" s="494"/>
      <c r="DOP238" s="494"/>
      <c r="DOQ238" s="494"/>
      <c r="DOR238" s="494"/>
      <c r="DOS238" s="494"/>
      <c r="DOT238" s="494"/>
      <c r="DOU238" s="494"/>
      <c r="DOV238" s="494"/>
      <c r="DOW238" s="494"/>
      <c r="DOX238" s="494"/>
      <c r="DOY238" s="494"/>
      <c r="DOZ238" s="494"/>
      <c r="DPA238" s="494"/>
      <c r="DPB238" s="494"/>
      <c r="DPC238" s="494"/>
      <c r="DPD238" s="494"/>
      <c r="DPE238" s="494"/>
      <c r="DPF238" s="494"/>
      <c r="DPG238" s="494"/>
      <c r="DPH238" s="494"/>
      <c r="DPI238" s="494"/>
      <c r="DPJ238" s="494"/>
      <c r="DPK238" s="494"/>
      <c r="DPL238" s="494"/>
      <c r="DPM238" s="494"/>
      <c r="DPN238" s="494"/>
      <c r="DPO238" s="494"/>
      <c r="DPP238" s="494"/>
      <c r="DPQ238" s="494"/>
      <c r="DPR238" s="494"/>
      <c r="DPS238" s="494"/>
      <c r="DPT238" s="494"/>
      <c r="DPU238" s="494"/>
      <c r="DPV238" s="494"/>
      <c r="DPW238" s="494"/>
      <c r="DPX238" s="494"/>
      <c r="DPY238" s="494"/>
      <c r="DPZ238" s="494"/>
      <c r="DQA238" s="494"/>
      <c r="DQB238" s="494"/>
      <c r="DQC238" s="494"/>
      <c r="DQD238" s="494"/>
      <c r="DQE238" s="494"/>
      <c r="DQF238" s="494"/>
      <c r="DQG238" s="494"/>
      <c r="DQH238" s="494"/>
      <c r="DQI238" s="494"/>
      <c r="DQJ238" s="494"/>
      <c r="DQK238" s="494"/>
      <c r="DQL238" s="494"/>
      <c r="DQM238" s="494"/>
      <c r="DQN238" s="494"/>
      <c r="DQO238" s="494"/>
      <c r="DQP238" s="494"/>
      <c r="DQQ238" s="494"/>
      <c r="DQR238" s="494"/>
      <c r="DQS238" s="494"/>
      <c r="DQT238" s="494"/>
      <c r="DQU238" s="494"/>
      <c r="DQV238" s="494"/>
      <c r="DQW238" s="494"/>
      <c r="DQX238" s="494"/>
      <c r="DQY238" s="494"/>
      <c r="DQZ238" s="494"/>
      <c r="DRA238" s="494"/>
      <c r="DRB238" s="494"/>
      <c r="DRC238" s="494"/>
      <c r="DRD238" s="494"/>
      <c r="DRE238" s="494"/>
      <c r="DRF238" s="494"/>
      <c r="DRG238" s="494"/>
      <c r="DRH238" s="494"/>
      <c r="DRI238" s="494"/>
      <c r="DRJ238" s="494"/>
      <c r="DRK238" s="494"/>
      <c r="DRL238" s="494"/>
      <c r="DRM238" s="494"/>
      <c r="DRN238" s="494"/>
      <c r="DRO238" s="494"/>
      <c r="DRP238" s="494"/>
      <c r="DRQ238" s="494"/>
      <c r="DRR238" s="494"/>
      <c r="DRS238" s="494"/>
      <c r="DRT238" s="494"/>
      <c r="DRU238" s="494"/>
      <c r="DRV238" s="494"/>
      <c r="DRW238" s="494"/>
      <c r="DRX238" s="494"/>
      <c r="DRY238" s="494"/>
      <c r="DRZ238" s="494"/>
      <c r="DSA238" s="494"/>
      <c r="DSB238" s="494"/>
      <c r="DSC238" s="494"/>
      <c r="DSD238" s="494"/>
      <c r="DSE238" s="494"/>
      <c r="DSF238" s="494"/>
      <c r="DSG238" s="494"/>
      <c r="DSH238" s="494"/>
      <c r="DSI238" s="494"/>
      <c r="DSJ238" s="494"/>
      <c r="DSK238" s="494"/>
      <c r="DSL238" s="494"/>
      <c r="DSM238" s="494"/>
      <c r="DSN238" s="494"/>
      <c r="DSO238" s="494"/>
      <c r="DSP238" s="494"/>
      <c r="DSQ238" s="494"/>
      <c r="DSR238" s="494"/>
      <c r="DSS238" s="494"/>
      <c r="DST238" s="494"/>
      <c r="DSU238" s="494"/>
      <c r="DSV238" s="494"/>
      <c r="DSW238" s="494"/>
      <c r="DSX238" s="494"/>
      <c r="DSY238" s="494"/>
      <c r="DSZ238" s="494"/>
      <c r="DTA238" s="494"/>
      <c r="DTB238" s="494"/>
      <c r="DTC238" s="494"/>
      <c r="DTD238" s="494"/>
      <c r="DTE238" s="494"/>
      <c r="DTF238" s="494"/>
      <c r="DTG238" s="494"/>
      <c r="DTH238" s="494"/>
      <c r="DTI238" s="494"/>
      <c r="DTJ238" s="494"/>
      <c r="DTK238" s="494"/>
      <c r="DTL238" s="494"/>
      <c r="DTM238" s="494"/>
      <c r="DTN238" s="494"/>
      <c r="DTO238" s="494"/>
      <c r="DTP238" s="494"/>
      <c r="DTQ238" s="494"/>
      <c r="DTR238" s="494"/>
      <c r="DTS238" s="494"/>
      <c r="DTT238" s="494"/>
      <c r="DTU238" s="494"/>
      <c r="DTV238" s="494"/>
      <c r="DTW238" s="494"/>
      <c r="DTX238" s="494"/>
      <c r="DTY238" s="494"/>
      <c r="DTZ238" s="494"/>
      <c r="DUA238" s="494"/>
      <c r="DUB238" s="494"/>
      <c r="DUC238" s="494"/>
      <c r="DUD238" s="494"/>
      <c r="DUE238" s="494"/>
      <c r="DUF238" s="494"/>
      <c r="DUG238" s="494"/>
      <c r="DUH238" s="494"/>
      <c r="DUI238" s="494"/>
      <c r="DUJ238" s="494"/>
      <c r="DUK238" s="494"/>
      <c r="DUL238" s="494"/>
      <c r="DUM238" s="494"/>
      <c r="DUN238" s="494"/>
      <c r="DUO238" s="494"/>
      <c r="DUP238" s="494"/>
      <c r="DUQ238" s="494"/>
      <c r="DUR238" s="494"/>
      <c r="DUS238" s="494"/>
      <c r="DUT238" s="494"/>
      <c r="DUU238" s="494"/>
      <c r="DUV238" s="494"/>
      <c r="DUW238" s="494"/>
      <c r="DUX238" s="494"/>
      <c r="DUY238" s="494"/>
      <c r="DUZ238" s="494"/>
      <c r="DVA238" s="494"/>
      <c r="DVB238" s="494"/>
      <c r="DVC238" s="494"/>
      <c r="DVD238" s="494"/>
      <c r="DVE238" s="494"/>
      <c r="DVF238" s="494"/>
      <c r="DVG238" s="494"/>
      <c r="DVH238" s="494"/>
      <c r="DVI238" s="494"/>
      <c r="DVJ238" s="494"/>
      <c r="DVK238" s="494"/>
      <c r="DVL238" s="494"/>
      <c r="DVM238" s="494"/>
      <c r="DVN238" s="494"/>
      <c r="DVO238" s="494"/>
      <c r="DVP238" s="494"/>
      <c r="DVQ238" s="494"/>
      <c r="DVR238" s="494"/>
      <c r="DVS238" s="494"/>
      <c r="DVT238" s="494"/>
      <c r="DVU238" s="494"/>
      <c r="DVV238" s="494"/>
      <c r="DVW238" s="494"/>
      <c r="DVX238" s="494"/>
      <c r="DVY238" s="494"/>
      <c r="DVZ238" s="494"/>
      <c r="DWA238" s="494"/>
      <c r="DWB238" s="494"/>
      <c r="DWC238" s="494"/>
      <c r="DWD238" s="494"/>
      <c r="DWE238" s="494"/>
      <c r="DWF238" s="494"/>
      <c r="DWG238" s="494"/>
      <c r="DWH238" s="494"/>
      <c r="DWI238" s="494"/>
      <c r="DWJ238" s="494"/>
      <c r="DWK238" s="494"/>
      <c r="DWL238" s="494"/>
      <c r="DWM238" s="494"/>
      <c r="DWN238" s="494"/>
      <c r="DWO238" s="494"/>
      <c r="DWP238" s="494"/>
      <c r="DWQ238" s="494"/>
      <c r="DWR238" s="494"/>
      <c r="DWS238" s="494"/>
      <c r="DWT238" s="494"/>
      <c r="DWU238" s="494"/>
      <c r="DWV238" s="494"/>
      <c r="DWW238" s="494"/>
      <c r="DWX238" s="494"/>
      <c r="DWY238" s="494"/>
      <c r="DWZ238" s="494"/>
      <c r="DXA238" s="494"/>
      <c r="DXB238" s="494"/>
      <c r="DXC238" s="494"/>
      <c r="DXD238" s="494"/>
      <c r="DXE238" s="494"/>
      <c r="DXF238" s="494"/>
      <c r="DXG238" s="494"/>
      <c r="DXH238" s="494"/>
      <c r="DXI238" s="494"/>
      <c r="DXJ238" s="494"/>
      <c r="DXK238" s="494"/>
      <c r="DXL238" s="494"/>
      <c r="DXM238" s="494"/>
      <c r="DXN238" s="494"/>
      <c r="DXO238" s="494"/>
      <c r="DXP238" s="494"/>
      <c r="DXQ238" s="494"/>
      <c r="DXR238" s="494"/>
      <c r="DXS238" s="494"/>
      <c r="DXT238" s="494"/>
      <c r="DXU238" s="494"/>
      <c r="DXV238" s="494"/>
      <c r="DXW238" s="494"/>
      <c r="DXX238" s="494"/>
      <c r="DXY238" s="494"/>
      <c r="DXZ238" s="494"/>
      <c r="DYA238" s="494"/>
      <c r="DYB238" s="494"/>
      <c r="DYC238" s="494"/>
      <c r="DYD238" s="494"/>
      <c r="DYE238" s="494"/>
      <c r="DYF238" s="494"/>
      <c r="DYG238" s="494"/>
      <c r="DYH238" s="494"/>
      <c r="DYI238" s="494"/>
      <c r="DYJ238" s="494"/>
      <c r="DYK238" s="494"/>
      <c r="DYL238" s="494"/>
      <c r="DYM238" s="494"/>
      <c r="DYN238" s="494"/>
      <c r="DYO238" s="494"/>
      <c r="DYP238" s="494"/>
      <c r="DYQ238" s="494"/>
      <c r="DYR238" s="494"/>
      <c r="DYS238" s="494"/>
      <c r="DYT238" s="494"/>
      <c r="DYU238" s="494"/>
      <c r="DYV238" s="494"/>
      <c r="DYW238" s="494"/>
      <c r="DYX238" s="494"/>
      <c r="DYY238" s="494"/>
      <c r="DYZ238" s="494"/>
      <c r="DZA238" s="494"/>
      <c r="DZB238" s="494"/>
      <c r="DZC238" s="494"/>
      <c r="DZD238" s="494"/>
      <c r="DZE238" s="494"/>
      <c r="DZF238" s="494"/>
      <c r="DZG238" s="494"/>
      <c r="DZH238" s="494"/>
      <c r="DZI238" s="494"/>
      <c r="DZJ238" s="494"/>
      <c r="DZK238" s="494"/>
      <c r="DZL238" s="494"/>
      <c r="DZM238" s="494"/>
      <c r="DZN238" s="494"/>
      <c r="DZO238" s="494"/>
      <c r="DZP238" s="494"/>
      <c r="DZQ238" s="494"/>
      <c r="DZR238" s="494"/>
      <c r="DZS238" s="494"/>
      <c r="DZT238" s="494"/>
      <c r="DZU238" s="494"/>
      <c r="DZV238" s="494"/>
      <c r="DZW238" s="494"/>
      <c r="DZX238" s="494"/>
      <c r="DZY238" s="494"/>
      <c r="DZZ238" s="494"/>
      <c r="EAA238" s="494"/>
      <c r="EAB238" s="494"/>
      <c r="EAC238" s="494"/>
      <c r="EAD238" s="494"/>
      <c r="EAE238" s="494"/>
      <c r="EAF238" s="494"/>
      <c r="EAG238" s="494"/>
      <c r="EAH238" s="494"/>
      <c r="EAI238" s="494"/>
      <c r="EAJ238" s="494"/>
      <c r="EAK238" s="494"/>
      <c r="EAL238" s="494"/>
      <c r="EAM238" s="494"/>
      <c r="EAN238" s="494"/>
      <c r="EAO238" s="494"/>
      <c r="EAP238" s="494"/>
      <c r="EAQ238" s="494"/>
      <c r="EAR238" s="494"/>
      <c r="EAS238" s="494"/>
      <c r="EAT238" s="494"/>
      <c r="EAU238" s="494"/>
      <c r="EAV238" s="494"/>
      <c r="EAW238" s="494"/>
      <c r="EAX238" s="494"/>
      <c r="EAY238" s="494"/>
      <c r="EAZ238" s="494"/>
      <c r="EBA238" s="494"/>
      <c r="EBB238" s="494"/>
      <c r="EBC238" s="494"/>
      <c r="EBD238" s="494"/>
      <c r="EBE238" s="494"/>
      <c r="EBF238" s="494"/>
      <c r="EBG238" s="494"/>
      <c r="EBH238" s="494"/>
      <c r="EBI238" s="494"/>
      <c r="EBJ238" s="494"/>
      <c r="EBK238" s="494"/>
      <c r="EBL238" s="494"/>
      <c r="EBM238" s="494"/>
      <c r="EBN238" s="494"/>
      <c r="EBO238" s="494"/>
      <c r="EBP238" s="494"/>
      <c r="EBQ238" s="494"/>
      <c r="EBR238" s="494"/>
      <c r="EBS238" s="494"/>
      <c r="EBT238" s="494"/>
      <c r="EBU238" s="494"/>
      <c r="EBV238" s="494"/>
      <c r="EBW238" s="494"/>
      <c r="EBX238" s="494"/>
      <c r="EBY238" s="494"/>
      <c r="EBZ238" s="494"/>
      <c r="ECA238" s="494"/>
      <c r="ECB238" s="494"/>
      <c r="ECC238" s="494"/>
      <c r="ECD238" s="494"/>
      <c r="ECE238" s="494"/>
      <c r="ECF238" s="494"/>
      <c r="ECG238" s="494"/>
      <c r="ECH238" s="494"/>
      <c r="ECI238" s="494"/>
      <c r="ECJ238" s="494"/>
      <c r="ECK238" s="494"/>
      <c r="ECL238" s="494"/>
      <c r="ECM238" s="494"/>
      <c r="ECN238" s="494"/>
      <c r="ECO238" s="494"/>
      <c r="ECP238" s="494"/>
      <c r="ECQ238" s="494"/>
      <c r="ECR238" s="494"/>
      <c r="ECS238" s="494"/>
      <c r="ECT238" s="494"/>
      <c r="ECU238" s="494"/>
      <c r="ECV238" s="494"/>
      <c r="ECW238" s="494"/>
      <c r="ECX238" s="494"/>
      <c r="ECY238" s="494"/>
      <c r="ECZ238" s="494"/>
      <c r="EDA238" s="494"/>
      <c r="EDB238" s="494"/>
      <c r="EDC238" s="494"/>
      <c r="EDD238" s="494"/>
      <c r="EDE238" s="494"/>
      <c r="EDF238" s="494"/>
      <c r="EDG238" s="494"/>
      <c r="EDH238" s="494"/>
      <c r="EDI238" s="494"/>
      <c r="EDJ238" s="494"/>
      <c r="EDK238" s="494"/>
      <c r="EDL238" s="494"/>
      <c r="EDM238" s="494"/>
      <c r="EDN238" s="494"/>
      <c r="EDO238" s="494"/>
      <c r="EDP238" s="494"/>
      <c r="EDQ238" s="494"/>
      <c r="EDR238" s="494"/>
      <c r="EDS238" s="494"/>
      <c r="EDT238" s="494"/>
      <c r="EDU238" s="494"/>
      <c r="EDV238" s="494"/>
      <c r="EDW238" s="494"/>
      <c r="EDX238" s="494"/>
      <c r="EDY238" s="494"/>
      <c r="EDZ238" s="494"/>
      <c r="EEA238" s="494"/>
      <c r="EEB238" s="494"/>
      <c r="EEC238" s="494"/>
      <c r="EED238" s="494"/>
      <c r="EEE238" s="494"/>
      <c r="EEF238" s="494"/>
      <c r="EEG238" s="494"/>
      <c r="EEH238" s="494"/>
      <c r="EEI238" s="494"/>
      <c r="EEJ238" s="494"/>
      <c r="EEK238" s="494"/>
      <c r="EEL238" s="494"/>
      <c r="EEM238" s="494"/>
      <c r="EEN238" s="494"/>
      <c r="EEO238" s="494"/>
      <c r="EEP238" s="494"/>
      <c r="EEQ238" s="494"/>
      <c r="EER238" s="494"/>
      <c r="EES238" s="494"/>
      <c r="EET238" s="494"/>
      <c r="EEU238" s="494"/>
      <c r="EEV238" s="494"/>
      <c r="EEW238" s="494"/>
      <c r="EEX238" s="494"/>
      <c r="EEY238" s="494"/>
      <c r="EEZ238" s="494"/>
      <c r="EFA238" s="494"/>
      <c r="EFB238" s="494"/>
      <c r="EFC238" s="494"/>
      <c r="EFD238" s="494"/>
      <c r="EFE238" s="494"/>
      <c r="EFF238" s="494"/>
      <c r="EFG238" s="494"/>
      <c r="EFH238" s="494"/>
      <c r="EFI238" s="494"/>
      <c r="EFJ238" s="494"/>
      <c r="EFK238" s="494"/>
      <c r="EFL238" s="494"/>
      <c r="EFM238" s="494"/>
      <c r="EFN238" s="494"/>
      <c r="EFO238" s="494"/>
      <c r="EFP238" s="494"/>
      <c r="EFQ238" s="494"/>
      <c r="EFR238" s="494"/>
      <c r="EFS238" s="494"/>
      <c r="EFT238" s="494"/>
      <c r="EFU238" s="494"/>
      <c r="EFV238" s="494"/>
      <c r="EFW238" s="494"/>
      <c r="EFX238" s="494"/>
      <c r="EFY238" s="494"/>
      <c r="EFZ238" s="494"/>
      <c r="EGA238" s="494"/>
      <c r="EGB238" s="494"/>
      <c r="EGC238" s="494"/>
      <c r="EGD238" s="494"/>
      <c r="EGE238" s="494"/>
      <c r="EGF238" s="494"/>
      <c r="EGG238" s="494"/>
      <c r="EGH238" s="494"/>
      <c r="EGI238" s="494"/>
      <c r="EGJ238" s="494"/>
      <c r="EGK238" s="494"/>
      <c r="EGL238" s="494"/>
      <c r="EGM238" s="494"/>
      <c r="EGN238" s="494"/>
      <c r="EGO238" s="494"/>
      <c r="EGP238" s="494"/>
      <c r="EGQ238" s="494"/>
      <c r="EGR238" s="494"/>
      <c r="EGS238" s="494"/>
      <c r="EGT238" s="494"/>
      <c r="EGU238" s="494"/>
      <c r="EGV238" s="494"/>
      <c r="EGW238" s="494"/>
      <c r="EGX238" s="494"/>
      <c r="EGY238" s="494"/>
      <c r="EGZ238" s="494"/>
      <c r="EHA238" s="494"/>
      <c r="EHB238" s="494"/>
      <c r="EHC238" s="494"/>
      <c r="EHD238" s="494"/>
      <c r="EHE238" s="494"/>
      <c r="EHF238" s="494"/>
      <c r="EHG238" s="494"/>
      <c r="EHH238" s="494"/>
      <c r="EHI238" s="494"/>
      <c r="EHJ238" s="494"/>
      <c r="EHK238" s="494"/>
      <c r="EHL238" s="494"/>
      <c r="EHM238" s="494"/>
      <c r="EHN238" s="494"/>
      <c r="EHO238" s="494"/>
      <c r="EHP238" s="494"/>
      <c r="EHQ238" s="494"/>
      <c r="EHR238" s="494"/>
      <c r="EHS238" s="494"/>
      <c r="EHT238" s="494"/>
      <c r="EHU238" s="494"/>
      <c r="EHV238" s="494"/>
      <c r="EHW238" s="494"/>
      <c r="EHX238" s="494"/>
      <c r="EHY238" s="494"/>
      <c r="EHZ238" s="494"/>
      <c r="EIA238" s="494"/>
      <c r="EIB238" s="494"/>
      <c r="EIC238" s="494"/>
      <c r="EID238" s="494"/>
      <c r="EIE238" s="494"/>
      <c r="EIF238" s="494"/>
      <c r="EIG238" s="494"/>
      <c r="EIH238" s="494"/>
      <c r="EII238" s="494"/>
      <c r="EIJ238" s="494"/>
      <c r="EIK238" s="494"/>
      <c r="EIL238" s="494"/>
      <c r="EIM238" s="494"/>
      <c r="EIN238" s="494"/>
      <c r="EIO238" s="494"/>
      <c r="EIP238" s="494"/>
      <c r="EIQ238" s="494"/>
      <c r="EIR238" s="494"/>
      <c r="EIS238" s="494"/>
      <c r="EIT238" s="494"/>
      <c r="EIU238" s="494"/>
      <c r="EIV238" s="494"/>
      <c r="EIW238" s="494"/>
      <c r="EIX238" s="494"/>
      <c r="EIY238" s="494"/>
      <c r="EIZ238" s="494"/>
      <c r="EJA238" s="494"/>
      <c r="EJB238" s="494"/>
      <c r="EJC238" s="494"/>
      <c r="EJD238" s="494"/>
      <c r="EJE238" s="494"/>
      <c r="EJF238" s="494"/>
      <c r="EJG238" s="494"/>
      <c r="EJH238" s="494"/>
      <c r="EJI238" s="494"/>
      <c r="EJJ238" s="494"/>
      <c r="EJK238" s="494"/>
      <c r="EJL238" s="494"/>
      <c r="EJM238" s="494"/>
      <c r="EJN238" s="494"/>
      <c r="EJO238" s="494"/>
      <c r="EJP238" s="494"/>
      <c r="EJQ238" s="494"/>
      <c r="EJR238" s="494"/>
      <c r="EJS238" s="494"/>
      <c r="EJT238" s="494"/>
      <c r="EJU238" s="494"/>
      <c r="EJV238" s="494"/>
      <c r="EJW238" s="494"/>
      <c r="EJX238" s="494"/>
      <c r="EJY238" s="494"/>
      <c r="EJZ238" s="494"/>
      <c r="EKA238" s="494"/>
      <c r="EKB238" s="494"/>
      <c r="EKC238" s="494"/>
      <c r="EKD238" s="494"/>
      <c r="EKE238" s="494"/>
      <c r="EKF238" s="494"/>
      <c r="EKG238" s="494"/>
      <c r="EKH238" s="494"/>
      <c r="EKI238" s="494"/>
      <c r="EKJ238" s="494"/>
      <c r="EKK238" s="494"/>
      <c r="EKL238" s="494"/>
      <c r="EKM238" s="494"/>
      <c r="EKN238" s="494"/>
      <c r="EKO238" s="494"/>
      <c r="EKP238" s="494"/>
      <c r="EKQ238" s="494"/>
      <c r="EKR238" s="494"/>
      <c r="EKS238" s="494"/>
      <c r="EKT238" s="494"/>
      <c r="EKU238" s="494"/>
      <c r="EKV238" s="494"/>
      <c r="EKW238" s="494"/>
      <c r="EKX238" s="494"/>
      <c r="EKY238" s="494"/>
      <c r="EKZ238" s="494"/>
      <c r="ELA238" s="494"/>
      <c r="ELB238" s="494"/>
      <c r="ELC238" s="494"/>
      <c r="ELD238" s="494"/>
      <c r="ELE238" s="494"/>
      <c r="ELF238" s="494"/>
      <c r="ELG238" s="494"/>
      <c r="ELH238" s="494"/>
      <c r="ELI238" s="494"/>
      <c r="ELJ238" s="494"/>
      <c r="ELK238" s="494"/>
      <c r="ELL238" s="494"/>
      <c r="ELM238" s="494"/>
      <c r="ELN238" s="494"/>
      <c r="ELO238" s="494"/>
      <c r="ELP238" s="494"/>
      <c r="ELQ238" s="494"/>
      <c r="ELR238" s="494"/>
      <c r="ELS238" s="494"/>
      <c r="ELT238" s="494"/>
      <c r="ELU238" s="494"/>
      <c r="ELV238" s="494"/>
      <c r="ELW238" s="494"/>
      <c r="ELX238" s="494"/>
      <c r="ELY238" s="494"/>
      <c r="ELZ238" s="494"/>
      <c r="EMA238" s="494"/>
      <c r="EMB238" s="494"/>
      <c r="EMC238" s="494"/>
      <c r="EMD238" s="494"/>
      <c r="EME238" s="494"/>
      <c r="EMF238" s="494"/>
      <c r="EMG238" s="494"/>
      <c r="EMH238" s="494"/>
      <c r="EMI238" s="494"/>
      <c r="EMJ238" s="494"/>
      <c r="EMK238" s="494"/>
      <c r="EML238" s="494"/>
      <c r="EMM238" s="494"/>
      <c r="EMN238" s="494"/>
      <c r="EMO238" s="494"/>
      <c r="EMP238" s="494"/>
      <c r="EMQ238" s="494"/>
      <c r="EMR238" s="494"/>
      <c r="EMS238" s="494"/>
      <c r="EMT238" s="494"/>
      <c r="EMU238" s="494"/>
      <c r="EMV238" s="494"/>
      <c r="EMW238" s="494"/>
      <c r="EMX238" s="494"/>
      <c r="EMY238" s="494"/>
      <c r="EMZ238" s="494"/>
      <c r="ENA238" s="494"/>
      <c r="ENB238" s="494"/>
      <c r="ENC238" s="494"/>
      <c r="END238" s="494"/>
      <c r="ENE238" s="494"/>
      <c r="ENF238" s="494"/>
      <c r="ENG238" s="494"/>
      <c r="ENH238" s="494"/>
      <c r="ENI238" s="494"/>
      <c r="ENJ238" s="494"/>
      <c r="ENK238" s="494"/>
      <c r="ENL238" s="494"/>
      <c r="ENM238" s="494"/>
      <c r="ENN238" s="494"/>
      <c r="ENO238" s="494"/>
      <c r="ENP238" s="494"/>
      <c r="ENQ238" s="494"/>
      <c r="ENR238" s="494"/>
      <c r="ENS238" s="494"/>
      <c r="ENT238" s="494"/>
      <c r="ENU238" s="494"/>
      <c r="ENV238" s="494"/>
      <c r="ENW238" s="494"/>
      <c r="ENX238" s="494"/>
      <c r="ENY238" s="494"/>
      <c r="ENZ238" s="494"/>
      <c r="EOA238" s="494"/>
      <c r="EOB238" s="494"/>
      <c r="EOC238" s="494"/>
      <c r="EOD238" s="494"/>
      <c r="EOE238" s="494"/>
      <c r="EOF238" s="494"/>
      <c r="EOG238" s="494"/>
      <c r="EOH238" s="494"/>
      <c r="EOI238" s="494"/>
      <c r="EOJ238" s="494"/>
      <c r="EOK238" s="494"/>
      <c r="EOL238" s="494"/>
      <c r="EOM238" s="494"/>
      <c r="EON238" s="494"/>
      <c r="EOO238" s="494"/>
      <c r="EOP238" s="494"/>
      <c r="EOQ238" s="494"/>
      <c r="EOR238" s="494"/>
      <c r="EOS238" s="494"/>
      <c r="EOT238" s="494"/>
      <c r="EOU238" s="494"/>
      <c r="EOV238" s="494"/>
      <c r="EOW238" s="494"/>
      <c r="EOX238" s="494"/>
      <c r="EOY238" s="494"/>
      <c r="EOZ238" s="494"/>
      <c r="EPA238" s="494"/>
      <c r="EPB238" s="494"/>
      <c r="EPC238" s="494"/>
      <c r="EPD238" s="494"/>
      <c r="EPE238" s="494"/>
      <c r="EPF238" s="494"/>
      <c r="EPG238" s="494"/>
      <c r="EPH238" s="494"/>
      <c r="EPI238" s="494"/>
      <c r="EPJ238" s="494"/>
      <c r="EPK238" s="494"/>
      <c r="EPL238" s="494"/>
      <c r="EPM238" s="494"/>
      <c r="EPN238" s="494"/>
      <c r="EPO238" s="494"/>
      <c r="EPP238" s="494"/>
      <c r="EPQ238" s="494"/>
      <c r="EPR238" s="494"/>
      <c r="EPS238" s="494"/>
      <c r="EPT238" s="494"/>
      <c r="EPU238" s="494"/>
      <c r="EPV238" s="494"/>
      <c r="EPW238" s="494"/>
      <c r="EPX238" s="494"/>
      <c r="EPY238" s="494"/>
      <c r="EPZ238" s="494"/>
      <c r="EQA238" s="494"/>
      <c r="EQB238" s="494"/>
      <c r="EQC238" s="494"/>
      <c r="EQD238" s="494"/>
      <c r="EQE238" s="494"/>
      <c r="EQF238" s="494"/>
      <c r="EQG238" s="494"/>
      <c r="EQH238" s="494"/>
      <c r="EQI238" s="494"/>
      <c r="EQJ238" s="494"/>
      <c r="EQK238" s="494"/>
      <c r="EQL238" s="494"/>
      <c r="EQM238" s="494"/>
      <c r="EQN238" s="494"/>
      <c r="EQO238" s="494"/>
      <c r="EQP238" s="494"/>
      <c r="EQQ238" s="494"/>
      <c r="EQR238" s="494"/>
      <c r="EQS238" s="494"/>
      <c r="EQT238" s="494"/>
      <c r="EQU238" s="494"/>
      <c r="EQV238" s="494"/>
      <c r="EQW238" s="494"/>
      <c r="EQX238" s="494"/>
      <c r="EQY238" s="494"/>
      <c r="EQZ238" s="494"/>
      <c r="ERA238" s="494"/>
      <c r="ERB238" s="494"/>
      <c r="ERC238" s="494"/>
      <c r="ERD238" s="494"/>
      <c r="ERE238" s="494"/>
      <c r="ERF238" s="494"/>
      <c r="ERG238" s="494"/>
      <c r="ERH238" s="494"/>
      <c r="ERI238" s="494"/>
      <c r="ERJ238" s="494"/>
      <c r="ERK238" s="494"/>
      <c r="ERL238" s="494"/>
      <c r="ERM238" s="494"/>
      <c r="ERN238" s="494"/>
      <c r="ERO238" s="494"/>
      <c r="ERP238" s="494"/>
      <c r="ERQ238" s="494"/>
      <c r="ERR238" s="494"/>
      <c r="ERS238" s="494"/>
      <c r="ERT238" s="494"/>
      <c r="ERU238" s="494"/>
      <c r="ERV238" s="494"/>
      <c r="ERW238" s="494"/>
      <c r="ERX238" s="494"/>
      <c r="ERY238" s="494"/>
      <c r="ERZ238" s="494"/>
      <c r="ESA238" s="494"/>
      <c r="ESB238" s="494"/>
      <c r="ESC238" s="494"/>
      <c r="ESD238" s="494"/>
      <c r="ESE238" s="494"/>
      <c r="ESF238" s="494"/>
      <c r="ESG238" s="494"/>
      <c r="ESH238" s="494"/>
      <c r="ESI238" s="494"/>
      <c r="ESJ238" s="494"/>
      <c r="ESK238" s="494"/>
      <c r="ESL238" s="494"/>
      <c r="ESM238" s="494"/>
      <c r="ESN238" s="494"/>
      <c r="ESO238" s="494"/>
      <c r="ESP238" s="494"/>
      <c r="ESQ238" s="494"/>
      <c r="ESR238" s="494"/>
      <c r="ESS238" s="494"/>
      <c r="EST238" s="494"/>
      <c r="ESU238" s="494"/>
      <c r="ESV238" s="494"/>
      <c r="ESW238" s="494"/>
      <c r="ESX238" s="494"/>
      <c r="ESY238" s="494"/>
      <c r="ESZ238" s="494"/>
      <c r="ETA238" s="494"/>
      <c r="ETB238" s="494"/>
      <c r="ETC238" s="494"/>
      <c r="ETD238" s="494"/>
      <c r="ETE238" s="494"/>
      <c r="ETF238" s="494"/>
      <c r="ETG238" s="494"/>
      <c r="ETH238" s="494"/>
      <c r="ETI238" s="494"/>
      <c r="ETJ238" s="494"/>
      <c r="ETK238" s="494"/>
      <c r="ETL238" s="494"/>
      <c r="ETM238" s="494"/>
      <c r="ETN238" s="494"/>
      <c r="ETO238" s="494"/>
      <c r="ETP238" s="494"/>
      <c r="ETQ238" s="494"/>
      <c r="ETR238" s="494"/>
      <c r="ETS238" s="494"/>
      <c r="ETT238" s="494"/>
      <c r="ETU238" s="494"/>
      <c r="ETV238" s="494"/>
      <c r="ETW238" s="494"/>
      <c r="ETX238" s="494"/>
      <c r="ETY238" s="494"/>
      <c r="ETZ238" s="494"/>
      <c r="EUA238" s="494"/>
      <c r="EUB238" s="494"/>
      <c r="EUC238" s="494"/>
      <c r="EUD238" s="494"/>
      <c r="EUE238" s="494"/>
      <c r="EUF238" s="494"/>
      <c r="EUG238" s="494"/>
      <c r="EUH238" s="494"/>
      <c r="EUI238" s="494"/>
      <c r="EUJ238" s="494"/>
      <c r="EUK238" s="494"/>
      <c r="EUL238" s="494"/>
      <c r="EUM238" s="494"/>
      <c r="EUN238" s="494"/>
      <c r="EUO238" s="494"/>
      <c r="EUP238" s="494"/>
      <c r="EUQ238" s="494"/>
      <c r="EUR238" s="494"/>
      <c r="EUS238" s="494"/>
      <c r="EUT238" s="494"/>
      <c r="EUU238" s="494"/>
      <c r="EUV238" s="494"/>
      <c r="EUW238" s="494"/>
      <c r="EUX238" s="494"/>
      <c r="EUY238" s="494"/>
      <c r="EUZ238" s="494"/>
      <c r="EVA238" s="494"/>
      <c r="EVB238" s="494"/>
      <c r="EVC238" s="494"/>
      <c r="EVD238" s="494"/>
      <c r="EVE238" s="494"/>
      <c r="EVF238" s="494"/>
      <c r="EVG238" s="494"/>
      <c r="EVH238" s="494"/>
      <c r="EVI238" s="494"/>
      <c r="EVJ238" s="494"/>
      <c r="EVK238" s="494"/>
      <c r="EVL238" s="494"/>
      <c r="EVM238" s="494"/>
      <c r="EVN238" s="494"/>
      <c r="EVO238" s="494"/>
      <c r="EVP238" s="494"/>
      <c r="EVQ238" s="494"/>
      <c r="EVR238" s="494"/>
      <c r="EVS238" s="494"/>
      <c r="EVT238" s="494"/>
      <c r="EVU238" s="494"/>
      <c r="EVV238" s="494"/>
      <c r="EVW238" s="494"/>
      <c r="EVX238" s="494"/>
      <c r="EVY238" s="494"/>
      <c r="EVZ238" s="494"/>
      <c r="EWA238" s="494"/>
      <c r="EWB238" s="494"/>
      <c r="EWC238" s="494"/>
      <c r="EWD238" s="494"/>
      <c r="EWE238" s="494"/>
      <c r="EWF238" s="494"/>
      <c r="EWG238" s="494"/>
      <c r="EWH238" s="494"/>
      <c r="EWI238" s="494"/>
      <c r="EWJ238" s="494"/>
      <c r="EWK238" s="494"/>
      <c r="EWL238" s="494"/>
      <c r="EWM238" s="494"/>
      <c r="EWN238" s="494"/>
      <c r="EWO238" s="494"/>
      <c r="EWP238" s="494"/>
      <c r="EWQ238" s="494"/>
      <c r="EWR238" s="494"/>
      <c r="EWS238" s="494"/>
      <c r="EWT238" s="494"/>
      <c r="EWU238" s="494"/>
      <c r="EWV238" s="494"/>
      <c r="EWW238" s="494"/>
      <c r="EWX238" s="494"/>
      <c r="EWY238" s="494"/>
      <c r="EWZ238" s="494"/>
      <c r="EXA238" s="494"/>
      <c r="EXB238" s="494"/>
      <c r="EXC238" s="494"/>
      <c r="EXD238" s="494"/>
      <c r="EXE238" s="494"/>
      <c r="EXF238" s="494"/>
      <c r="EXG238" s="494"/>
      <c r="EXH238" s="494"/>
      <c r="EXI238" s="494"/>
      <c r="EXJ238" s="494"/>
      <c r="EXK238" s="494"/>
      <c r="EXL238" s="494"/>
      <c r="EXM238" s="494"/>
      <c r="EXN238" s="494"/>
      <c r="EXO238" s="494"/>
      <c r="EXP238" s="494"/>
      <c r="EXQ238" s="494"/>
      <c r="EXR238" s="494"/>
      <c r="EXS238" s="494"/>
      <c r="EXT238" s="494"/>
      <c r="EXU238" s="494"/>
      <c r="EXV238" s="494"/>
      <c r="EXW238" s="494"/>
      <c r="EXX238" s="494"/>
      <c r="EXY238" s="494"/>
      <c r="EXZ238" s="494"/>
      <c r="EYA238" s="494"/>
      <c r="EYB238" s="494"/>
      <c r="EYC238" s="494"/>
      <c r="EYD238" s="494"/>
      <c r="EYE238" s="494"/>
      <c r="EYF238" s="494"/>
      <c r="EYG238" s="494"/>
      <c r="EYH238" s="494"/>
      <c r="EYI238" s="494"/>
      <c r="EYJ238" s="494"/>
      <c r="EYK238" s="494"/>
      <c r="EYL238" s="494"/>
      <c r="EYM238" s="494"/>
      <c r="EYN238" s="494"/>
      <c r="EYO238" s="494"/>
      <c r="EYP238" s="494"/>
      <c r="EYQ238" s="494"/>
      <c r="EYR238" s="494"/>
      <c r="EYS238" s="494"/>
      <c r="EYT238" s="494"/>
      <c r="EYU238" s="494"/>
      <c r="EYV238" s="494"/>
      <c r="EYW238" s="494"/>
      <c r="EYX238" s="494"/>
      <c r="EYY238" s="494"/>
      <c r="EYZ238" s="494"/>
      <c r="EZA238" s="494"/>
      <c r="EZB238" s="494"/>
      <c r="EZC238" s="494"/>
      <c r="EZD238" s="494"/>
      <c r="EZE238" s="494"/>
      <c r="EZF238" s="494"/>
      <c r="EZG238" s="494"/>
      <c r="EZH238" s="494"/>
      <c r="EZI238" s="494"/>
      <c r="EZJ238" s="494"/>
      <c r="EZK238" s="494"/>
      <c r="EZL238" s="494"/>
      <c r="EZM238" s="494"/>
      <c r="EZN238" s="494"/>
      <c r="EZO238" s="494"/>
      <c r="EZP238" s="494"/>
      <c r="EZQ238" s="494"/>
      <c r="EZR238" s="494"/>
      <c r="EZS238" s="494"/>
      <c r="EZT238" s="494"/>
      <c r="EZU238" s="494"/>
      <c r="EZV238" s="494"/>
      <c r="EZW238" s="494"/>
      <c r="EZX238" s="494"/>
      <c r="EZY238" s="494"/>
      <c r="EZZ238" s="494"/>
      <c r="FAA238" s="494"/>
      <c r="FAB238" s="494"/>
      <c r="FAC238" s="494"/>
      <c r="FAD238" s="494"/>
      <c r="FAE238" s="494"/>
      <c r="FAF238" s="494"/>
      <c r="FAG238" s="494"/>
      <c r="FAH238" s="494"/>
      <c r="FAI238" s="494"/>
      <c r="FAJ238" s="494"/>
      <c r="FAK238" s="494"/>
      <c r="FAL238" s="494"/>
      <c r="FAM238" s="494"/>
      <c r="FAN238" s="494"/>
      <c r="FAO238" s="494"/>
      <c r="FAP238" s="494"/>
      <c r="FAQ238" s="494"/>
      <c r="FAR238" s="494"/>
      <c r="FAS238" s="494"/>
      <c r="FAT238" s="494"/>
      <c r="FAU238" s="494"/>
      <c r="FAV238" s="494"/>
      <c r="FAW238" s="494"/>
      <c r="FAX238" s="494"/>
      <c r="FAY238" s="494"/>
      <c r="FAZ238" s="494"/>
      <c r="FBA238" s="494"/>
      <c r="FBB238" s="494"/>
      <c r="FBC238" s="494"/>
      <c r="FBD238" s="494"/>
      <c r="FBE238" s="494"/>
      <c r="FBF238" s="494"/>
      <c r="FBG238" s="494"/>
      <c r="FBH238" s="494"/>
      <c r="FBI238" s="494"/>
      <c r="FBJ238" s="494"/>
      <c r="FBK238" s="494"/>
      <c r="FBL238" s="494"/>
      <c r="FBM238" s="494"/>
      <c r="FBN238" s="494"/>
      <c r="FBO238" s="494"/>
      <c r="FBP238" s="494"/>
      <c r="FBQ238" s="494"/>
      <c r="FBR238" s="494"/>
      <c r="FBS238" s="494"/>
      <c r="FBT238" s="494"/>
      <c r="FBU238" s="494"/>
      <c r="FBV238" s="494"/>
      <c r="FBW238" s="494"/>
      <c r="FBX238" s="494"/>
      <c r="FBY238" s="494"/>
      <c r="FBZ238" s="494"/>
      <c r="FCA238" s="494"/>
      <c r="FCB238" s="494"/>
      <c r="FCC238" s="494"/>
      <c r="FCD238" s="494"/>
      <c r="FCE238" s="494"/>
      <c r="FCF238" s="494"/>
      <c r="FCG238" s="494"/>
      <c r="FCH238" s="494"/>
      <c r="FCI238" s="494"/>
      <c r="FCJ238" s="494"/>
      <c r="FCK238" s="494"/>
      <c r="FCL238" s="494"/>
      <c r="FCM238" s="494"/>
      <c r="FCN238" s="494"/>
      <c r="FCO238" s="494"/>
      <c r="FCP238" s="494"/>
      <c r="FCQ238" s="494"/>
      <c r="FCR238" s="494"/>
      <c r="FCS238" s="494"/>
      <c r="FCT238" s="494"/>
      <c r="FCU238" s="494"/>
      <c r="FCV238" s="494"/>
      <c r="FCW238" s="494"/>
      <c r="FCX238" s="494"/>
      <c r="FCY238" s="494"/>
      <c r="FCZ238" s="494"/>
      <c r="FDA238" s="494"/>
      <c r="FDB238" s="494"/>
      <c r="FDC238" s="494"/>
      <c r="FDD238" s="494"/>
      <c r="FDE238" s="494"/>
      <c r="FDF238" s="494"/>
      <c r="FDG238" s="494"/>
      <c r="FDH238" s="494"/>
      <c r="FDI238" s="494"/>
      <c r="FDJ238" s="494"/>
      <c r="FDK238" s="494"/>
      <c r="FDL238" s="494"/>
      <c r="FDM238" s="494"/>
      <c r="FDN238" s="494"/>
      <c r="FDO238" s="494"/>
      <c r="FDP238" s="494"/>
      <c r="FDQ238" s="494"/>
      <c r="FDR238" s="494"/>
      <c r="FDS238" s="494"/>
      <c r="FDT238" s="494"/>
      <c r="FDU238" s="494"/>
      <c r="FDV238" s="494"/>
      <c r="FDW238" s="494"/>
      <c r="FDX238" s="494"/>
      <c r="FDY238" s="494"/>
      <c r="FDZ238" s="494"/>
      <c r="FEA238" s="494"/>
      <c r="FEB238" s="494"/>
      <c r="FEC238" s="494"/>
      <c r="FED238" s="494"/>
      <c r="FEE238" s="494"/>
      <c r="FEF238" s="494"/>
      <c r="FEG238" s="494"/>
      <c r="FEH238" s="494"/>
      <c r="FEI238" s="494"/>
      <c r="FEJ238" s="494"/>
      <c r="FEK238" s="494"/>
      <c r="FEL238" s="494"/>
      <c r="FEM238" s="494"/>
      <c r="FEN238" s="494"/>
      <c r="FEO238" s="494"/>
      <c r="FEP238" s="494"/>
      <c r="FEQ238" s="494"/>
      <c r="FER238" s="494"/>
      <c r="FES238" s="494"/>
      <c r="FET238" s="494"/>
      <c r="FEU238" s="494"/>
      <c r="FEV238" s="494"/>
      <c r="FEW238" s="494"/>
      <c r="FEX238" s="494"/>
      <c r="FEY238" s="494"/>
      <c r="FEZ238" s="494"/>
      <c r="FFA238" s="494"/>
      <c r="FFB238" s="494"/>
      <c r="FFC238" s="494"/>
      <c r="FFD238" s="494"/>
      <c r="FFE238" s="494"/>
      <c r="FFF238" s="494"/>
      <c r="FFG238" s="494"/>
      <c r="FFH238" s="494"/>
      <c r="FFI238" s="494"/>
      <c r="FFJ238" s="494"/>
      <c r="FFK238" s="494"/>
      <c r="FFL238" s="494"/>
      <c r="FFM238" s="494"/>
      <c r="FFN238" s="494"/>
      <c r="FFO238" s="494"/>
      <c r="FFP238" s="494"/>
      <c r="FFQ238" s="494"/>
      <c r="FFR238" s="494"/>
      <c r="FFS238" s="494"/>
      <c r="FFT238" s="494"/>
      <c r="FFU238" s="494"/>
      <c r="FFV238" s="494"/>
      <c r="FFW238" s="494"/>
      <c r="FFX238" s="494"/>
      <c r="FFY238" s="494"/>
      <c r="FFZ238" s="494"/>
      <c r="FGA238" s="494"/>
      <c r="FGB238" s="494"/>
      <c r="FGC238" s="494"/>
      <c r="FGD238" s="494"/>
      <c r="FGE238" s="494"/>
      <c r="FGF238" s="494"/>
      <c r="FGG238" s="494"/>
      <c r="FGH238" s="494"/>
      <c r="FGI238" s="494"/>
      <c r="FGJ238" s="494"/>
      <c r="FGK238" s="494"/>
      <c r="FGL238" s="494"/>
      <c r="FGM238" s="494"/>
      <c r="FGN238" s="494"/>
      <c r="FGO238" s="494"/>
      <c r="FGP238" s="494"/>
      <c r="FGQ238" s="494"/>
      <c r="FGR238" s="494"/>
      <c r="FGS238" s="494"/>
      <c r="FGT238" s="494"/>
      <c r="FGU238" s="494"/>
      <c r="FGV238" s="494"/>
      <c r="FGW238" s="494"/>
      <c r="FGX238" s="494"/>
      <c r="FGY238" s="494"/>
      <c r="FGZ238" s="494"/>
      <c r="FHA238" s="494"/>
      <c r="FHB238" s="494"/>
      <c r="FHC238" s="494"/>
      <c r="FHD238" s="494"/>
      <c r="FHE238" s="494"/>
      <c r="FHF238" s="494"/>
      <c r="FHG238" s="494"/>
      <c r="FHH238" s="494"/>
      <c r="FHI238" s="494"/>
      <c r="FHJ238" s="494"/>
      <c r="FHK238" s="494"/>
      <c r="FHL238" s="494"/>
      <c r="FHM238" s="494"/>
      <c r="FHN238" s="494"/>
      <c r="FHO238" s="494"/>
      <c r="FHP238" s="494"/>
      <c r="FHQ238" s="494"/>
      <c r="FHR238" s="494"/>
      <c r="FHS238" s="494"/>
      <c r="FHT238" s="494"/>
      <c r="FHU238" s="494"/>
      <c r="FHV238" s="494"/>
      <c r="FHW238" s="494"/>
      <c r="FHX238" s="494"/>
      <c r="FHY238" s="494"/>
      <c r="FHZ238" s="494"/>
      <c r="FIA238" s="494"/>
      <c r="FIB238" s="494"/>
      <c r="FIC238" s="494"/>
      <c r="FID238" s="494"/>
      <c r="FIE238" s="494"/>
      <c r="FIF238" s="494"/>
      <c r="FIG238" s="494"/>
      <c r="FIH238" s="494"/>
      <c r="FII238" s="494"/>
      <c r="FIJ238" s="494"/>
      <c r="FIK238" s="494"/>
      <c r="FIL238" s="494"/>
      <c r="FIM238" s="494"/>
      <c r="FIN238" s="494"/>
      <c r="FIO238" s="494"/>
      <c r="FIP238" s="494"/>
      <c r="FIQ238" s="494"/>
      <c r="FIR238" s="494"/>
      <c r="FIS238" s="494"/>
      <c r="FIT238" s="494"/>
      <c r="FIU238" s="494"/>
      <c r="FIV238" s="494"/>
      <c r="FIW238" s="494"/>
      <c r="FIX238" s="494"/>
      <c r="FIY238" s="494"/>
      <c r="FIZ238" s="494"/>
      <c r="FJA238" s="494"/>
      <c r="FJB238" s="494"/>
      <c r="FJC238" s="494"/>
      <c r="FJD238" s="494"/>
      <c r="FJE238" s="494"/>
      <c r="FJF238" s="494"/>
      <c r="FJG238" s="494"/>
      <c r="FJH238" s="494"/>
      <c r="FJI238" s="494"/>
      <c r="FJJ238" s="494"/>
      <c r="FJK238" s="494"/>
      <c r="FJL238" s="494"/>
      <c r="FJM238" s="494"/>
      <c r="FJN238" s="494"/>
      <c r="FJO238" s="494"/>
      <c r="FJP238" s="494"/>
      <c r="FJQ238" s="494"/>
      <c r="FJR238" s="494"/>
      <c r="FJS238" s="494"/>
      <c r="FJT238" s="494"/>
      <c r="FJU238" s="494"/>
      <c r="FJV238" s="494"/>
      <c r="FJW238" s="494"/>
      <c r="FJX238" s="494"/>
      <c r="FJY238" s="494"/>
      <c r="FJZ238" s="494"/>
      <c r="FKA238" s="494"/>
      <c r="FKB238" s="494"/>
      <c r="FKC238" s="494"/>
      <c r="FKD238" s="494"/>
      <c r="FKE238" s="494"/>
      <c r="FKF238" s="494"/>
      <c r="FKG238" s="494"/>
      <c r="FKH238" s="494"/>
      <c r="FKI238" s="494"/>
      <c r="FKJ238" s="494"/>
      <c r="FKK238" s="494"/>
      <c r="FKL238" s="494"/>
      <c r="FKM238" s="494"/>
      <c r="FKN238" s="494"/>
      <c r="FKO238" s="494"/>
      <c r="FKP238" s="494"/>
      <c r="FKQ238" s="494"/>
      <c r="FKR238" s="494"/>
      <c r="FKS238" s="494"/>
      <c r="FKT238" s="494"/>
      <c r="FKU238" s="494"/>
      <c r="FKV238" s="494"/>
      <c r="FKW238" s="494"/>
      <c r="FKX238" s="494"/>
      <c r="FKY238" s="494"/>
      <c r="FKZ238" s="494"/>
      <c r="FLA238" s="494"/>
      <c r="FLB238" s="494"/>
      <c r="FLC238" s="494"/>
      <c r="FLD238" s="494"/>
      <c r="FLE238" s="494"/>
      <c r="FLF238" s="494"/>
      <c r="FLG238" s="494"/>
      <c r="FLH238" s="494"/>
      <c r="FLI238" s="494"/>
      <c r="FLJ238" s="494"/>
      <c r="FLK238" s="494"/>
      <c r="FLL238" s="494"/>
      <c r="FLM238" s="494"/>
      <c r="FLN238" s="494"/>
      <c r="FLO238" s="494"/>
      <c r="FLP238" s="494"/>
      <c r="FLQ238" s="494"/>
      <c r="FLR238" s="494"/>
      <c r="FLS238" s="494"/>
      <c r="FLT238" s="494"/>
      <c r="FLU238" s="494"/>
      <c r="FLV238" s="494"/>
      <c r="FLW238" s="494"/>
      <c r="FLX238" s="494"/>
      <c r="FLY238" s="494"/>
      <c r="FLZ238" s="494"/>
      <c r="FMA238" s="494"/>
      <c r="FMB238" s="494"/>
      <c r="FMC238" s="494"/>
      <c r="FMD238" s="494"/>
      <c r="FME238" s="494"/>
      <c r="FMF238" s="494"/>
      <c r="FMG238" s="494"/>
      <c r="FMH238" s="494"/>
      <c r="FMI238" s="494"/>
      <c r="FMJ238" s="494"/>
      <c r="FMK238" s="494"/>
      <c r="FML238" s="494"/>
      <c r="FMM238" s="494"/>
      <c r="FMN238" s="494"/>
      <c r="FMO238" s="494"/>
      <c r="FMP238" s="494"/>
      <c r="FMQ238" s="494"/>
      <c r="FMR238" s="494"/>
      <c r="FMS238" s="494"/>
      <c r="FMT238" s="494"/>
      <c r="FMU238" s="494"/>
      <c r="FMV238" s="494"/>
      <c r="FMW238" s="494"/>
      <c r="FMX238" s="494"/>
      <c r="FMY238" s="494"/>
      <c r="FMZ238" s="494"/>
      <c r="FNA238" s="494"/>
      <c r="FNB238" s="494"/>
      <c r="FNC238" s="494"/>
      <c r="FND238" s="494"/>
      <c r="FNE238" s="494"/>
      <c r="FNF238" s="494"/>
      <c r="FNG238" s="494"/>
      <c r="FNH238" s="494"/>
      <c r="FNI238" s="494"/>
      <c r="FNJ238" s="494"/>
      <c r="FNK238" s="494"/>
      <c r="FNL238" s="494"/>
      <c r="FNM238" s="494"/>
      <c r="FNN238" s="494"/>
      <c r="FNO238" s="494"/>
      <c r="FNP238" s="494"/>
      <c r="FNQ238" s="494"/>
      <c r="FNR238" s="494"/>
      <c r="FNS238" s="494"/>
      <c r="FNT238" s="494"/>
      <c r="FNU238" s="494"/>
      <c r="FNV238" s="494"/>
      <c r="FNW238" s="494"/>
      <c r="FNX238" s="494"/>
      <c r="FNY238" s="494"/>
      <c r="FNZ238" s="494"/>
      <c r="FOA238" s="494"/>
      <c r="FOB238" s="494"/>
      <c r="FOC238" s="494"/>
      <c r="FOD238" s="494"/>
      <c r="FOE238" s="494"/>
      <c r="FOF238" s="494"/>
      <c r="FOG238" s="494"/>
      <c r="FOH238" s="494"/>
      <c r="FOI238" s="494"/>
      <c r="FOJ238" s="494"/>
      <c r="FOK238" s="494"/>
      <c r="FOL238" s="494"/>
      <c r="FOM238" s="494"/>
      <c r="FON238" s="494"/>
      <c r="FOO238" s="494"/>
      <c r="FOP238" s="494"/>
      <c r="FOQ238" s="494"/>
      <c r="FOR238" s="494"/>
      <c r="FOS238" s="494"/>
      <c r="FOT238" s="494"/>
      <c r="FOU238" s="494"/>
      <c r="FOV238" s="494"/>
      <c r="FOW238" s="494"/>
      <c r="FOX238" s="494"/>
      <c r="FOY238" s="494"/>
      <c r="FOZ238" s="494"/>
      <c r="FPA238" s="494"/>
      <c r="FPB238" s="494"/>
      <c r="FPC238" s="494"/>
      <c r="FPD238" s="494"/>
      <c r="FPE238" s="494"/>
      <c r="FPF238" s="494"/>
      <c r="FPG238" s="494"/>
      <c r="FPH238" s="494"/>
      <c r="FPI238" s="494"/>
      <c r="FPJ238" s="494"/>
      <c r="FPK238" s="494"/>
      <c r="FPL238" s="494"/>
      <c r="FPM238" s="494"/>
      <c r="FPN238" s="494"/>
      <c r="FPO238" s="494"/>
      <c r="FPP238" s="494"/>
      <c r="FPQ238" s="494"/>
      <c r="FPR238" s="494"/>
      <c r="FPS238" s="494"/>
      <c r="FPT238" s="494"/>
      <c r="FPU238" s="494"/>
      <c r="FPV238" s="494"/>
      <c r="FPW238" s="494"/>
      <c r="FPX238" s="494"/>
      <c r="FPY238" s="494"/>
      <c r="FPZ238" s="494"/>
      <c r="FQA238" s="494"/>
      <c r="FQB238" s="494"/>
      <c r="FQC238" s="494"/>
      <c r="FQD238" s="494"/>
      <c r="FQE238" s="494"/>
      <c r="FQF238" s="494"/>
      <c r="FQG238" s="494"/>
      <c r="FQH238" s="494"/>
      <c r="FQI238" s="494"/>
      <c r="FQJ238" s="494"/>
      <c r="FQK238" s="494"/>
      <c r="FQL238" s="494"/>
      <c r="FQM238" s="494"/>
      <c r="FQN238" s="494"/>
      <c r="FQO238" s="494"/>
      <c r="FQP238" s="494"/>
      <c r="FQQ238" s="494"/>
      <c r="FQR238" s="494"/>
      <c r="FQS238" s="494"/>
      <c r="FQT238" s="494"/>
      <c r="FQU238" s="494"/>
      <c r="FQV238" s="494"/>
      <c r="FQW238" s="494"/>
      <c r="FQX238" s="494"/>
      <c r="FQY238" s="494"/>
      <c r="FQZ238" s="494"/>
      <c r="FRA238" s="494"/>
      <c r="FRB238" s="494"/>
      <c r="FRC238" s="494"/>
      <c r="FRD238" s="494"/>
      <c r="FRE238" s="494"/>
      <c r="FRF238" s="494"/>
      <c r="FRG238" s="494"/>
      <c r="FRH238" s="494"/>
      <c r="FRI238" s="494"/>
      <c r="FRJ238" s="494"/>
      <c r="FRK238" s="494"/>
      <c r="FRL238" s="494"/>
      <c r="FRM238" s="494"/>
      <c r="FRN238" s="494"/>
      <c r="FRO238" s="494"/>
      <c r="FRP238" s="494"/>
      <c r="FRQ238" s="494"/>
      <c r="FRR238" s="494"/>
      <c r="FRS238" s="494"/>
      <c r="FRT238" s="494"/>
      <c r="FRU238" s="494"/>
      <c r="FRV238" s="494"/>
      <c r="FRW238" s="494"/>
      <c r="FRX238" s="494"/>
      <c r="FRY238" s="494"/>
      <c r="FRZ238" s="494"/>
      <c r="FSA238" s="494"/>
      <c r="FSB238" s="494"/>
      <c r="FSC238" s="494"/>
      <c r="FSD238" s="494"/>
      <c r="FSE238" s="494"/>
      <c r="FSF238" s="494"/>
      <c r="FSG238" s="494"/>
      <c r="FSH238" s="494"/>
      <c r="FSI238" s="494"/>
      <c r="FSJ238" s="494"/>
      <c r="FSK238" s="494"/>
      <c r="FSL238" s="494"/>
      <c r="FSM238" s="494"/>
      <c r="FSN238" s="494"/>
      <c r="FSO238" s="494"/>
      <c r="FSP238" s="494"/>
      <c r="FSQ238" s="494"/>
      <c r="FSR238" s="494"/>
      <c r="FSS238" s="494"/>
      <c r="FST238" s="494"/>
      <c r="FSU238" s="494"/>
      <c r="FSV238" s="494"/>
      <c r="FSW238" s="494"/>
      <c r="FSX238" s="494"/>
      <c r="FSY238" s="494"/>
      <c r="FSZ238" s="494"/>
      <c r="FTA238" s="494"/>
      <c r="FTB238" s="494"/>
      <c r="FTC238" s="494"/>
      <c r="FTD238" s="494"/>
      <c r="FTE238" s="494"/>
      <c r="FTF238" s="494"/>
      <c r="FTG238" s="494"/>
      <c r="FTH238" s="494"/>
      <c r="FTI238" s="494"/>
      <c r="FTJ238" s="494"/>
      <c r="FTK238" s="494"/>
      <c r="FTL238" s="494"/>
      <c r="FTM238" s="494"/>
      <c r="FTN238" s="494"/>
      <c r="FTO238" s="494"/>
      <c r="FTP238" s="494"/>
      <c r="FTQ238" s="494"/>
      <c r="FTR238" s="494"/>
      <c r="FTS238" s="494"/>
      <c r="FTT238" s="494"/>
      <c r="FTU238" s="494"/>
      <c r="FTV238" s="494"/>
      <c r="FTW238" s="494"/>
      <c r="FTX238" s="494"/>
      <c r="FTY238" s="494"/>
      <c r="FTZ238" s="494"/>
      <c r="FUA238" s="494"/>
      <c r="FUB238" s="494"/>
      <c r="FUC238" s="494"/>
      <c r="FUD238" s="494"/>
      <c r="FUE238" s="494"/>
      <c r="FUF238" s="494"/>
      <c r="FUG238" s="494"/>
      <c r="FUH238" s="494"/>
      <c r="FUI238" s="494"/>
      <c r="FUJ238" s="494"/>
      <c r="FUK238" s="494"/>
      <c r="FUL238" s="494"/>
      <c r="FUM238" s="494"/>
      <c r="FUN238" s="494"/>
      <c r="FUO238" s="494"/>
      <c r="FUP238" s="494"/>
      <c r="FUQ238" s="494"/>
      <c r="FUR238" s="494"/>
      <c r="FUS238" s="494"/>
      <c r="FUT238" s="494"/>
      <c r="FUU238" s="494"/>
      <c r="FUV238" s="494"/>
      <c r="FUW238" s="494"/>
      <c r="FUX238" s="494"/>
      <c r="FUY238" s="494"/>
      <c r="FUZ238" s="494"/>
      <c r="FVA238" s="494"/>
      <c r="FVB238" s="494"/>
      <c r="FVC238" s="494"/>
      <c r="FVD238" s="494"/>
      <c r="FVE238" s="494"/>
      <c r="FVF238" s="494"/>
      <c r="FVG238" s="494"/>
      <c r="FVH238" s="494"/>
      <c r="FVI238" s="494"/>
      <c r="FVJ238" s="494"/>
      <c r="FVK238" s="494"/>
      <c r="FVL238" s="494"/>
      <c r="FVM238" s="494"/>
      <c r="FVN238" s="494"/>
      <c r="FVO238" s="494"/>
      <c r="FVP238" s="494"/>
      <c r="FVQ238" s="494"/>
      <c r="FVR238" s="494"/>
      <c r="FVS238" s="494"/>
      <c r="FVT238" s="494"/>
      <c r="FVU238" s="494"/>
      <c r="FVV238" s="494"/>
      <c r="FVW238" s="494"/>
      <c r="FVX238" s="494"/>
      <c r="FVY238" s="494"/>
      <c r="FVZ238" s="494"/>
      <c r="FWA238" s="494"/>
      <c r="FWB238" s="494"/>
      <c r="FWC238" s="494"/>
      <c r="FWD238" s="494"/>
      <c r="FWE238" s="494"/>
      <c r="FWF238" s="494"/>
      <c r="FWG238" s="494"/>
      <c r="FWH238" s="494"/>
      <c r="FWI238" s="494"/>
      <c r="FWJ238" s="494"/>
      <c r="FWK238" s="494"/>
      <c r="FWL238" s="494"/>
      <c r="FWM238" s="494"/>
      <c r="FWN238" s="494"/>
      <c r="FWO238" s="494"/>
      <c r="FWP238" s="494"/>
      <c r="FWQ238" s="494"/>
      <c r="FWR238" s="494"/>
      <c r="FWS238" s="494"/>
      <c r="FWT238" s="494"/>
      <c r="FWU238" s="494"/>
      <c r="FWV238" s="494"/>
      <c r="FWW238" s="494"/>
      <c r="FWX238" s="494"/>
      <c r="FWY238" s="494"/>
      <c r="FWZ238" s="494"/>
      <c r="FXA238" s="494"/>
      <c r="FXB238" s="494"/>
      <c r="FXC238" s="494"/>
      <c r="FXD238" s="494"/>
      <c r="FXE238" s="494"/>
      <c r="FXF238" s="494"/>
      <c r="FXG238" s="494"/>
      <c r="FXH238" s="494"/>
      <c r="FXI238" s="494"/>
      <c r="FXJ238" s="494"/>
      <c r="FXK238" s="494"/>
      <c r="FXL238" s="494"/>
      <c r="FXM238" s="494"/>
      <c r="FXN238" s="494"/>
      <c r="FXO238" s="494"/>
      <c r="FXP238" s="494"/>
      <c r="FXQ238" s="494"/>
      <c r="FXR238" s="494"/>
      <c r="FXS238" s="494"/>
      <c r="FXT238" s="494"/>
      <c r="FXU238" s="494"/>
      <c r="FXV238" s="494"/>
      <c r="FXW238" s="494"/>
      <c r="FXX238" s="494"/>
      <c r="FXY238" s="494"/>
      <c r="FXZ238" s="494"/>
      <c r="FYA238" s="494"/>
      <c r="FYB238" s="494"/>
      <c r="FYC238" s="494"/>
      <c r="FYD238" s="494"/>
      <c r="FYE238" s="494"/>
      <c r="FYF238" s="494"/>
      <c r="FYG238" s="494"/>
      <c r="FYH238" s="494"/>
      <c r="FYI238" s="494"/>
      <c r="FYJ238" s="494"/>
      <c r="FYK238" s="494"/>
      <c r="FYL238" s="494"/>
      <c r="FYM238" s="494"/>
      <c r="FYN238" s="494"/>
      <c r="FYO238" s="494"/>
      <c r="FYP238" s="494"/>
      <c r="FYQ238" s="494"/>
      <c r="FYR238" s="494"/>
      <c r="FYS238" s="494"/>
      <c r="FYT238" s="494"/>
      <c r="FYU238" s="494"/>
      <c r="FYV238" s="494"/>
      <c r="FYW238" s="494"/>
      <c r="FYX238" s="494"/>
      <c r="FYY238" s="494"/>
      <c r="FYZ238" s="494"/>
      <c r="FZA238" s="494"/>
      <c r="FZB238" s="494"/>
      <c r="FZC238" s="494"/>
      <c r="FZD238" s="494"/>
      <c r="FZE238" s="494"/>
      <c r="FZF238" s="494"/>
      <c r="FZG238" s="494"/>
      <c r="FZH238" s="494"/>
      <c r="FZI238" s="494"/>
      <c r="FZJ238" s="494"/>
      <c r="FZK238" s="494"/>
      <c r="FZL238" s="494"/>
      <c r="FZM238" s="494"/>
      <c r="FZN238" s="494"/>
      <c r="FZO238" s="494"/>
      <c r="FZP238" s="494"/>
      <c r="FZQ238" s="494"/>
      <c r="FZR238" s="494"/>
      <c r="FZS238" s="494"/>
      <c r="FZT238" s="494"/>
      <c r="FZU238" s="494"/>
      <c r="FZV238" s="494"/>
      <c r="FZW238" s="494"/>
      <c r="FZX238" s="494"/>
      <c r="FZY238" s="494"/>
      <c r="FZZ238" s="494"/>
      <c r="GAA238" s="494"/>
      <c r="GAB238" s="494"/>
      <c r="GAC238" s="494"/>
      <c r="GAD238" s="494"/>
      <c r="GAE238" s="494"/>
      <c r="GAF238" s="494"/>
      <c r="GAG238" s="494"/>
      <c r="GAH238" s="494"/>
      <c r="GAI238" s="494"/>
      <c r="GAJ238" s="494"/>
      <c r="GAK238" s="494"/>
      <c r="GAL238" s="494"/>
      <c r="GAM238" s="494"/>
      <c r="GAN238" s="494"/>
      <c r="GAO238" s="494"/>
      <c r="GAP238" s="494"/>
      <c r="GAQ238" s="494"/>
      <c r="GAR238" s="494"/>
      <c r="GAS238" s="494"/>
      <c r="GAT238" s="494"/>
      <c r="GAU238" s="494"/>
      <c r="GAV238" s="494"/>
      <c r="GAW238" s="494"/>
      <c r="GAX238" s="494"/>
      <c r="GAY238" s="494"/>
      <c r="GAZ238" s="494"/>
      <c r="GBA238" s="494"/>
      <c r="GBB238" s="494"/>
      <c r="GBC238" s="494"/>
      <c r="GBD238" s="494"/>
      <c r="GBE238" s="494"/>
      <c r="GBF238" s="494"/>
      <c r="GBG238" s="494"/>
      <c r="GBH238" s="494"/>
      <c r="GBI238" s="494"/>
      <c r="GBJ238" s="494"/>
      <c r="GBK238" s="494"/>
      <c r="GBL238" s="494"/>
      <c r="GBM238" s="494"/>
      <c r="GBN238" s="494"/>
      <c r="GBO238" s="494"/>
      <c r="GBP238" s="494"/>
      <c r="GBQ238" s="494"/>
      <c r="GBR238" s="494"/>
      <c r="GBS238" s="494"/>
      <c r="GBT238" s="494"/>
      <c r="GBU238" s="494"/>
      <c r="GBV238" s="494"/>
      <c r="GBW238" s="494"/>
      <c r="GBX238" s="494"/>
      <c r="GBY238" s="494"/>
      <c r="GBZ238" s="494"/>
      <c r="GCA238" s="494"/>
      <c r="GCB238" s="494"/>
      <c r="GCC238" s="494"/>
      <c r="GCD238" s="494"/>
      <c r="GCE238" s="494"/>
      <c r="GCF238" s="494"/>
      <c r="GCG238" s="494"/>
      <c r="GCH238" s="494"/>
      <c r="GCI238" s="494"/>
      <c r="GCJ238" s="494"/>
      <c r="GCK238" s="494"/>
      <c r="GCL238" s="494"/>
      <c r="GCM238" s="494"/>
      <c r="GCN238" s="494"/>
      <c r="GCO238" s="494"/>
      <c r="GCP238" s="494"/>
      <c r="GCQ238" s="494"/>
      <c r="GCR238" s="494"/>
      <c r="GCS238" s="494"/>
      <c r="GCT238" s="494"/>
      <c r="GCU238" s="494"/>
      <c r="GCV238" s="494"/>
      <c r="GCW238" s="494"/>
      <c r="GCX238" s="494"/>
      <c r="GCY238" s="494"/>
      <c r="GCZ238" s="494"/>
      <c r="GDA238" s="494"/>
      <c r="GDB238" s="494"/>
      <c r="GDC238" s="494"/>
      <c r="GDD238" s="494"/>
      <c r="GDE238" s="494"/>
      <c r="GDF238" s="494"/>
      <c r="GDG238" s="494"/>
      <c r="GDH238" s="494"/>
      <c r="GDI238" s="494"/>
      <c r="GDJ238" s="494"/>
      <c r="GDK238" s="494"/>
      <c r="GDL238" s="494"/>
      <c r="GDM238" s="494"/>
      <c r="GDN238" s="494"/>
      <c r="GDO238" s="494"/>
      <c r="GDP238" s="494"/>
      <c r="GDQ238" s="494"/>
      <c r="GDR238" s="494"/>
      <c r="GDS238" s="494"/>
      <c r="GDT238" s="494"/>
      <c r="GDU238" s="494"/>
      <c r="GDV238" s="494"/>
      <c r="GDW238" s="494"/>
      <c r="GDX238" s="494"/>
      <c r="GDY238" s="494"/>
      <c r="GDZ238" s="494"/>
      <c r="GEA238" s="494"/>
      <c r="GEB238" s="494"/>
      <c r="GEC238" s="494"/>
      <c r="GED238" s="494"/>
      <c r="GEE238" s="494"/>
      <c r="GEF238" s="494"/>
      <c r="GEG238" s="494"/>
      <c r="GEH238" s="494"/>
      <c r="GEI238" s="494"/>
      <c r="GEJ238" s="494"/>
      <c r="GEK238" s="494"/>
      <c r="GEL238" s="494"/>
      <c r="GEM238" s="494"/>
      <c r="GEN238" s="494"/>
      <c r="GEO238" s="494"/>
      <c r="GEP238" s="494"/>
      <c r="GEQ238" s="494"/>
      <c r="GER238" s="494"/>
      <c r="GES238" s="494"/>
      <c r="GET238" s="494"/>
      <c r="GEU238" s="494"/>
      <c r="GEV238" s="494"/>
      <c r="GEW238" s="494"/>
      <c r="GEX238" s="494"/>
      <c r="GEY238" s="494"/>
      <c r="GEZ238" s="494"/>
      <c r="GFA238" s="494"/>
      <c r="GFB238" s="494"/>
      <c r="GFC238" s="494"/>
      <c r="GFD238" s="494"/>
      <c r="GFE238" s="494"/>
      <c r="GFF238" s="494"/>
      <c r="GFG238" s="494"/>
      <c r="GFH238" s="494"/>
      <c r="GFI238" s="494"/>
      <c r="GFJ238" s="494"/>
      <c r="GFK238" s="494"/>
      <c r="GFL238" s="494"/>
      <c r="GFM238" s="494"/>
      <c r="GFN238" s="494"/>
      <c r="GFO238" s="494"/>
      <c r="GFP238" s="494"/>
      <c r="GFQ238" s="494"/>
      <c r="GFR238" s="494"/>
      <c r="GFS238" s="494"/>
      <c r="GFT238" s="494"/>
      <c r="GFU238" s="494"/>
      <c r="GFV238" s="494"/>
      <c r="GFW238" s="494"/>
      <c r="GFX238" s="494"/>
      <c r="GFY238" s="494"/>
      <c r="GFZ238" s="494"/>
      <c r="GGA238" s="494"/>
      <c r="GGB238" s="494"/>
      <c r="GGC238" s="494"/>
      <c r="GGD238" s="494"/>
      <c r="GGE238" s="494"/>
      <c r="GGF238" s="494"/>
      <c r="GGG238" s="494"/>
      <c r="GGH238" s="494"/>
      <c r="GGI238" s="494"/>
      <c r="GGJ238" s="494"/>
      <c r="GGK238" s="494"/>
      <c r="GGL238" s="494"/>
      <c r="GGM238" s="494"/>
      <c r="GGN238" s="494"/>
      <c r="GGO238" s="494"/>
      <c r="GGP238" s="494"/>
      <c r="GGQ238" s="494"/>
      <c r="GGR238" s="494"/>
      <c r="GGS238" s="494"/>
      <c r="GGT238" s="494"/>
      <c r="GGU238" s="494"/>
      <c r="GGV238" s="494"/>
      <c r="GGW238" s="494"/>
      <c r="GGX238" s="494"/>
      <c r="GGY238" s="494"/>
      <c r="GGZ238" s="494"/>
      <c r="GHA238" s="494"/>
      <c r="GHB238" s="494"/>
      <c r="GHC238" s="494"/>
      <c r="GHD238" s="494"/>
      <c r="GHE238" s="494"/>
      <c r="GHF238" s="494"/>
      <c r="GHG238" s="494"/>
      <c r="GHH238" s="494"/>
      <c r="GHI238" s="494"/>
      <c r="GHJ238" s="494"/>
      <c r="GHK238" s="494"/>
      <c r="GHL238" s="494"/>
      <c r="GHM238" s="494"/>
      <c r="GHN238" s="494"/>
      <c r="GHO238" s="494"/>
      <c r="GHP238" s="494"/>
      <c r="GHQ238" s="494"/>
      <c r="GHR238" s="494"/>
      <c r="GHS238" s="494"/>
      <c r="GHT238" s="494"/>
      <c r="GHU238" s="494"/>
      <c r="GHV238" s="494"/>
      <c r="GHW238" s="494"/>
      <c r="GHX238" s="494"/>
      <c r="GHY238" s="494"/>
      <c r="GHZ238" s="494"/>
      <c r="GIA238" s="494"/>
      <c r="GIB238" s="494"/>
      <c r="GIC238" s="494"/>
      <c r="GID238" s="494"/>
      <c r="GIE238" s="494"/>
      <c r="GIF238" s="494"/>
      <c r="GIG238" s="494"/>
      <c r="GIH238" s="494"/>
      <c r="GII238" s="494"/>
      <c r="GIJ238" s="494"/>
      <c r="GIK238" s="494"/>
      <c r="GIL238" s="494"/>
      <c r="GIM238" s="494"/>
      <c r="GIN238" s="494"/>
      <c r="GIO238" s="494"/>
      <c r="GIP238" s="494"/>
      <c r="GIQ238" s="494"/>
      <c r="GIR238" s="494"/>
      <c r="GIS238" s="494"/>
      <c r="GIT238" s="494"/>
      <c r="GIU238" s="494"/>
      <c r="GIV238" s="494"/>
      <c r="GIW238" s="494"/>
      <c r="GIX238" s="494"/>
      <c r="GIY238" s="494"/>
      <c r="GIZ238" s="494"/>
      <c r="GJA238" s="494"/>
      <c r="GJB238" s="494"/>
      <c r="GJC238" s="494"/>
      <c r="GJD238" s="494"/>
      <c r="GJE238" s="494"/>
      <c r="GJF238" s="494"/>
      <c r="GJG238" s="494"/>
      <c r="GJH238" s="494"/>
      <c r="GJI238" s="494"/>
      <c r="GJJ238" s="494"/>
      <c r="GJK238" s="494"/>
      <c r="GJL238" s="494"/>
      <c r="GJM238" s="494"/>
      <c r="GJN238" s="494"/>
      <c r="GJO238" s="494"/>
      <c r="GJP238" s="494"/>
      <c r="GJQ238" s="494"/>
      <c r="GJR238" s="494"/>
      <c r="GJS238" s="494"/>
      <c r="GJT238" s="494"/>
      <c r="GJU238" s="494"/>
      <c r="GJV238" s="494"/>
      <c r="GJW238" s="494"/>
      <c r="GJX238" s="494"/>
      <c r="GJY238" s="494"/>
      <c r="GJZ238" s="494"/>
      <c r="GKA238" s="494"/>
      <c r="GKB238" s="494"/>
      <c r="GKC238" s="494"/>
      <c r="GKD238" s="494"/>
      <c r="GKE238" s="494"/>
      <c r="GKF238" s="494"/>
      <c r="GKG238" s="494"/>
      <c r="GKH238" s="494"/>
      <c r="GKI238" s="494"/>
      <c r="GKJ238" s="494"/>
      <c r="GKK238" s="494"/>
      <c r="GKL238" s="494"/>
      <c r="GKM238" s="494"/>
      <c r="GKN238" s="494"/>
      <c r="GKO238" s="494"/>
      <c r="GKP238" s="494"/>
      <c r="GKQ238" s="494"/>
      <c r="GKR238" s="494"/>
      <c r="GKS238" s="494"/>
      <c r="GKT238" s="494"/>
      <c r="GKU238" s="494"/>
      <c r="GKV238" s="494"/>
      <c r="GKW238" s="494"/>
      <c r="GKX238" s="494"/>
      <c r="GKY238" s="494"/>
      <c r="GKZ238" s="494"/>
      <c r="GLA238" s="494"/>
      <c r="GLB238" s="494"/>
      <c r="GLC238" s="494"/>
      <c r="GLD238" s="494"/>
      <c r="GLE238" s="494"/>
      <c r="GLF238" s="494"/>
      <c r="GLG238" s="494"/>
      <c r="GLH238" s="494"/>
      <c r="GLI238" s="494"/>
      <c r="GLJ238" s="494"/>
      <c r="GLK238" s="494"/>
      <c r="GLL238" s="494"/>
      <c r="GLM238" s="494"/>
      <c r="GLN238" s="494"/>
      <c r="GLO238" s="494"/>
      <c r="GLP238" s="494"/>
      <c r="GLQ238" s="494"/>
      <c r="GLR238" s="494"/>
      <c r="GLS238" s="494"/>
      <c r="GLT238" s="494"/>
      <c r="GLU238" s="494"/>
      <c r="GLV238" s="494"/>
      <c r="GLW238" s="494"/>
      <c r="GLX238" s="494"/>
      <c r="GLY238" s="494"/>
      <c r="GLZ238" s="494"/>
      <c r="GMA238" s="494"/>
      <c r="GMB238" s="494"/>
      <c r="GMC238" s="494"/>
      <c r="GMD238" s="494"/>
      <c r="GME238" s="494"/>
      <c r="GMF238" s="494"/>
      <c r="GMG238" s="494"/>
      <c r="GMH238" s="494"/>
      <c r="GMI238" s="494"/>
      <c r="GMJ238" s="494"/>
      <c r="GMK238" s="494"/>
      <c r="GML238" s="494"/>
      <c r="GMM238" s="494"/>
      <c r="GMN238" s="494"/>
      <c r="GMO238" s="494"/>
      <c r="GMP238" s="494"/>
      <c r="GMQ238" s="494"/>
      <c r="GMR238" s="494"/>
      <c r="GMS238" s="494"/>
      <c r="GMT238" s="494"/>
      <c r="GMU238" s="494"/>
      <c r="GMV238" s="494"/>
      <c r="GMW238" s="494"/>
      <c r="GMX238" s="494"/>
      <c r="GMY238" s="494"/>
      <c r="GMZ238" s="494"/>
      <c r="GNA238" s="494"/>
      <c r="GNB238" s="494"/>
      <c r="GNC238" s="494"/>
      <c r="GND238" s="494"/>
      <c r="GNE238" s="494"/>
      <c r="GNF238" s="494"/>
      <c r="GNG238" s="494"/>
      <c r="GNH238" s="494"/>
      <c r="GNI238" s="494"/>
      <c r="GNJ238" s="494"/>
      <c r="GNK238" s="494"/>
      <c r="GNL238" s="494"/>
      <c r="GNM238" s="494"/>
      <c r="GNN238" s="494"/>
      <c r="GNO238" s="494"/>
      <c r="GNP238" s="494"/>
      <c r="GNQ238" s="494"/>
      <c r="GNR238" s="494"/>
      <c r="GNS238" s="494"/>
      <c r="GNT238" s="494"/>
      <c r="GNU238" s="494"/>
      <c r="GNV238" s="494"/>
      <c r="GNW238" s="494"/>
      <c r="GNX238" s="494"/>
      <c r="GNY238" s="494"/>
      <c r="GNZ238" s="494"/>
      <c r="GOA238" s="494"/>
      <c r="GOB238" s="494"/>
      <c r="GOC238" s="494"/>
      <c r="GOD238" s="494"/>
      <c r="GOE238" s="494"/>
      <c r="GOF238" s="494"/>
      <c r="GOG238" s="494"/>
      <c r="GOH238" s="494"/>
      <c r="GOI238" s="494"/>
      <c r="GOJ238" s="494"/>
      <c r="GOK238" s="494"/>
      <c r="GOL238" s="494"/>
      <c r="GOM238" s="494"/>
      <c r="GON238" s="494"/>
      <c r="GOO238" s="494"/>
      <c r="GOP238" s="494"/>
      <c r="GOQ238" s="494"/>
      <c r="GOR238" s="494"/>
      <c r="GOS238" s="494"/>
      <c r="GOT238" s="494"/>
      <c r="GOU238" s="494"/>
      <c r="GOV238" s="494"/>
      <c r="GOW238" s="494"/>
      <c r="GOX238" s="494"/>
      <c r="GOY238" s="494"/>
      <c r="GOZ238" s="494"/>
      <c r="GPA238" s="494"/>
      <c r="GPB238" s="494"/>
      <c r="GPC238" s="494"/>
      <c r="GPD238" s="494"/>
      <c r="GPE238" s="494"/>
      <c r="GPF238" s="494"/>
      <c r="GPG238" s="494"/>
      <c r="GPH238" s="494"/>
      <c r="GPI238" s="494"/>
      <c r="GPJ238" s="494"/>
      <c r="GPK238" s="494"/>
      <c r="GPL238" s="494"/>
      <c r="GPM238" s="494"/>
      <c r="GPN238" s="494"/>
      <c r="GPO238" s="494"/>
      <c r="GPP238" s="494"/>
      <c r="GPQ238" s="494"/>
      <c r="GPR238" s="494"/>
      <c r="GPS238" s="494"/>
      <c r="GPT238" s="494"/>
      <c r="GPU238" s="494"/>
      <c r="GPV238" s="494"/>
      <c r="GPW238" s="494"/>
      <c r="GPX238" s="494"/>
      <c r="GPY238" s="494"/>
      <c r="GPZ238" s="494"/>
      <c r="GQA238" s="494"/>
      <c r="GQB238" s="494"/>
      <c r="GQC238" s="494"/>
      <c r="GQD238" s="494"/>
      <c r="GQE238" s="494"/>
      <c r="GQF238" s="494"/>
      <c r="GQG238" s="494"/>
      <c r="GQH238" s="494"/>
      <c r="GQI238" s="494"/>
      <c r="GQJ238" s="494"/>
      <c r="GQK238" s="494"/>
      <c r="GQL238" s="494"/>
      <c r="GQM238" s="494"/>
      <c r="GQN238" s="494"/>
      <c r="GQO238" s="494"/>
      <c r="GQP238" s="494"/>
      <c r="GQQ238" s="494"/>
      <c r="GQR238" s="494"/>
      <c r="GQS238" s="494"/>
      <c r="GQT238" s="494"/>
      <c r="GQU238" s="494"/>
      <c r="GQV238" s="494"/>
      <c r="GQW238" s="494"/>
      <c r="GQX238" s="494"/>
      <c r="GQY238" s="494"/>
      <c r="GQZ238" s="494"/>
      <c r="GRA238" s="494"/>
      <c r="GRB238" s="494"/>
      <c r="GRC238" s="494"/>
      <c r="GRD238" s="494"/>
      <c r="GRE238" s="494"/>
      <c r="GRF238" s="494"/>
      <c r="GRG238" s="494"/>
      <c r="GRH238" s="494"/>
      <c r="GRI238" s="494"/>
      <c r="GRJ238" s="494"/>
      <c r="GRK238" s="494"/>
      <c r="GRL238" s="494"/>
      <c r="GRM238" s="494"/>
      <c r="GRN238" s="494"/>
      <c r="GRO238" s="494"/>
      <c r="GRP238" s="494"/>
      <c r="GRQ238" s="494"/>
      <c r="GRR238" s="494"/>
      <c r="GRS238" s="494"/>
      <c r="GRT238" s="494"/>
      <c r="GRU238" s="494"/>
      <c r="GRV238" s="494"/>
      <c r="GRW238" s="494"/>
      <c r="GRX238" s="494"/>
      <c r="GRY238" s="494"/>
      <c r="GRZ238" s="494"/>
      <c r="GSA238" s="494"/>
      <c r="GSB238" s="494"/>
      <c r="GSC238" s="494"/>
      <c r="GSD238" s="494"/>
      <c r="GSE238" s="494"/>
      <c r="GSF238" s="494"/>
      <c r="GSG238" s="494"/>
      <c r="GSH238" s="494"/>
      <c r="GSI238" s="494"/>
      <c r="GSJ238" s="494"/>
      <c r="GSK238" s="494"/>
      <c r="GSL238" s="494"/>
      <c r="GSM238" s="494"/>
      <c r="GSN238" s="494"/>
      <c r="GSO238" s="494"/>
      <c r="GSP238" s="494"/>
      <c r="GSQ238" s="494"/>
      <c r="GSR238" s="494"/>
      <c r="GSS238" s="494"/>
      <c r="GST238" s="494"/>
      <c r="GSU238" s="494"/>
      <c r="GSV238" s="494"/>
      <c r="GSW238" s="494"/>
      <c r="GSX238" s="494"/>
      <c r="GSY238" s="494"/>
      <c r="GSZ238" s="494"/>
      <c r="GTA238" s="494"/>
      <c r="GTB238" s="494"/>
      <c r="GTC238" s="494"/>
      <c r="GTD238" s="494"/>
      <c r="GTE238" s="494"/>
      <c r="GTF238" s="494"/>
      <c r="GTG238" s="494"/>
      <c r="GTH238" s="494"/>
      <c r="GTI238" s="494"/>
      <c r="GTJ238" s="494"/>
      <c r="GTK238" s="494"/>
      <c r="GTL238" s="494"/>
      <c r="GTM238" s="494"/>
      <c r="GTN238" s="494"/>
      <c r="GTO238" s="494"/>
      <c r="GTP238" s="494"/>
      <c r="GTQ238" s="494"/>
      <c r="GTR238" s="494"/>
      <c r="GTS238" s="494"/>
      <c r="GTT238" s="494"/>
      <c r="GTU238" s="494"/>
      <c r="GTV238" s="494"/>
      <c r="GTW238" s="494"/>
      <c r="GTX238" s="494"/>
      <c r="GTY238" s="494"/>
      <c r="GTZ238" s="494"/>
      <c r="GUA238" s="494"/>
      <c r="GUB238" s="494"/>
      <c r="GUC238" s="494"/>
      <c r="GUD238" s="494"/>
      <c r="GUE238" s="494"/>
      <c r="GUF238" s="494"/>
      <c r="GUG238" s="494"/>
      <c r="GUH238" s="494"/>
      <c r="GUI238" s="494"/>
      <c r="GUJ238" s="494"/>
      <c r="GUK238" s="494"/>
      <c r="GUL238" s="494"/>
      <c r="GUM238" s="494"/>
      <c r="GUN238" s="494"/>
      <c r="GUO238" s="494"/>
      <c r="GUP238" s="494"/>
      <c r="GUQ238" s="494"/>
      <c r="GUR238" s="494"/>
      <c r="GUS238" s="494"/>
      <c r="GUT238" s="494"/>
      <c r="GUU238" s="494"/>
      <c r="GUV238" s="494"/>
      <c r="GUW238" s="494"/>
      <c r="GUX238" s="494"/>
      <c r="GUY238" s="494"/>
      <c r="GUZ238" s="494"/>
      <c r="GVA238" s="494"/>
      <c r="GVB238" s="494"/>
      <c r="GVC238" s="494"/>
      <c r="GVD238" s="494"/>
      <c r="GVE238" s="494"/>
      <c r="GVF238" s="494"/>
      <c r="GVG238" s="494"/>
      <c r="GVH238" s="494"/>
      <c r="GVI238" s="494"/>
      <c r="GVJ238" s="494"/>
      <c r="GVK238" s="494"/>
      <c r="GVL238" s="494"/>
      <c r="GVM238" s="494"/>
      <c r="GVN238" s="494"/>
      <c r="GVO238" s="494"/>
      <c r="GVP238" s="494"/>
      <c r="GVQ238" s="494"/>
      <c r="GVR238" s="494"/>
      <c r="GVS238" s="494"/>
      <c r="GVT238" s="494"/>
      <c r="GVU238" s="494"/>
      <c r="GVV238" s="494"/>
      <c r="GVW238" s="494"/>
      <c r="GVX238" s="494"/>
      <c r="GVY238" s="494"/>
      <c r="GVZ238" s="494"/>
      <c r="GWA238" s="494"/>
      <c r="GWB238" s="494"/>
      <c r="GWC238" s="494"/>
      <c r="GWD238" s="494"/>
      <c r="GWE238" s="494"/>
      <c r="GWF238" s="494"/>
      <c r="GWG238" s="494"/>
      <c r="GWH238" s="494"/>
      <c r="GWI238" s="494"/>
      <c r="GWJ238" s="494"/>
      <c r="GWK238" s="494"/>
      <c r="GWL238" s="494"/>
      <c r="GWM238" s="494"/>
      <c r="GWN238" s="494"/>
      <c r="GWO238" s="494"/>
      <c r="GWP238" s="494"/>
      <c r="GWQ238" s="494"/>
      <c r="GWR238" s="494"/>
      <c r="GWS238" s="494"/>
      <c r="GWT238" s="494"/>
      <c r="GWU238" s="494"/>
      <c r="GWV238" s="494"/>
      <c r="GWW238" s="494"/>
      <c r="GWX238" s="494"/>
      <c r="GWY238" s="494"/>
      <c r="GWZ238" s="494"/>
      <c r="GXA238" s="494"/>
      <c r="GXB238" s="494"/>
      <c r="GXC238" s="494"/>
      <c r="GXD238" s="494"/>
      <c r="GXE238" s="494"/>
      <c r="GXF238" s="494"/>
      <c r="GXG238" s="494"/>
      <c r="GXH238" s="494"/>
      <c r="GXI238" s="494"/>
      <c r="GXJ238" s="494"/>
      <c r="GXK238" s="494"/>
      <c r="GXL238" s="494"/>
      <c r="GXM238" s="494"/>
      <c r="GXN238" s="494"/>
      <c r="GXO238" s="494"/>
      <c r="GXP238" s="494"/>
      <c r="GXQ238" s="494"/>
      <c r="GXR238" s="494"/>
      <c r="GXS238" s="494"/>
      <c r="GXT238" s="494"/>
      <c r="GXU238" s="494"/>
      <c r="GXV238" s="494"/>
      <c r="GXW238" s="494"/>
      <c r="GXX238" s="494"/>
      <c r="GXY238" s="494"/>
      <c r="GXZ238" s="494"/>
      <c r="GYA238" s="494"/>
      <c r="GYB238" s="494"/>
      <c r="GYC238" s="494"/>
      <c r="GYD238" s="494"/>
      <c r="GYE238" s="494"/>
      <c r="GYF238" s="494"/>
      <c r="GYG238" s="494"/>
      <c r="GYH238" s="494"/>
      <c r="GYI238" s="494"/>
      <c r="GYJ238" s="494"/>
      <c r="GYK238" s="494"/>
      <c r="GYL238" s="494"/>
      <c r="GYM238" s="494"/>
      <c r="GYN238" s="494"/>
      <c r="GYO238" s="494"/>
      <c r="GYP238" s="494"/>
      <c r="GYQ238" s="494"/>
      <c r="GYR238" s="494"/>
      <c r="GYS238" s="494"/>
      <c r="GYT238" s="494"/>
      <c r="GYU238" s="494"/>
      <c r="GYV238" s="494"/>
      <c r="GYW238" s="494"/>
      <c r="GYX238" s="494"/>
      <c r="GYY238" s="494"/>
      <c r="GYZ238" s="494"/>
      <c r="GZA238" s="494"/>
      <c r="GZB238" s="494"/>
      <c r="GZC238" s="494"/>
      <c r="GZD238" s="494"/>
      <c r="GZE238" s="494"/>
      <c r="GZF238" s="494"/>
      <c r="GZG238" s="494"/>
      <c r="GZH238" s="494"/>
      <c r="GZI238" s="494"/>
      <c r="GZJ238" s="494"/>
      <c r="GZK238" s="494"/>
      <c r="GZL238" s="494"/>
      <c r="GZM238" s="494"/>
      <c r="GZN238" s="494"/>
      <c r="GZO238" s="494"/>
      <c r="GZP238" s="494"/>
      <c r="GZQ238" s="494"/>
      <c r="GZR238" s="494"/>
      <c r="GZS238" s="494"/>
      <c r="GZT238" s="494"/>
      <c r="GZU238" s="494"/>
      <c r="GZV238" s="494"/>
      <c r="GZW238" s="494"/>
      <c r="GZX238" s="494"/>
      <c r="GZY238" s="494"/>
      <c r="GZZ238" s="494"/>
      <c r="HAA238" s="494"/>
      <c r="HAB238" s="494"/>
      <c r="HAC238" s="494"/>
      <c r="HAD238" s="494"/>
      <c r="HAE238" s="494"/>
      <c r="HAF238" s="494"/>
      <c r="HAG238" s="494"/>
      <c r="HAH238" s="494"/>
      <c r="HAI238" s="494"/>
      <c r="HAJ238" s="494"/>
      <c r="HAK238" s="494"/>
      <c r="HAL238" s="494"/>
      <c r="HAM238" s="494"/>
      <c r="HAN238" s="494"/>
      <c r="HAO238" s="494"/>
      <c r="HAP238" s="494"/>
      <c r="HAQ238" s="494"/>
      <c r="HAR238" s="494"/>
      <c r="HAS238" s="494"/>
      <c r="HAT238" s="494"/>
      <c r="HAU238" s="494"/>
      <c r="HAV238" s="494"/>
      <c r="HAW238" s="494"/>
      <c r="HAX238" s="494"/>
      <c r="HAY238" s="494"/>
      <c r="HAZ238" s="494"/>
      <c r="HBA238" s="494"/>
      <c r="HBB238" s="494"/>
      <c r="HBC238" s="494"/>
      <c r="HBD238" s="494"/>
      <c r="HBE238" s="494"/>
      <c r="HBF238" s="494"/>
      <c r="HBG238" s="494"/>
      <c r="HBH238" s="494"/>
      <c r="HBI238" s="494"/>
      <c r="HBJ238" s="494"/>
      <c r="HBK238" s="494"/>
      <c r="HBL238" s="494"/>
      <c r="HBM238" s="494"/>
      <c r="HBN238" s="494"/>
      <c r="HBO238" s="494"/>
      <c r="HBP238" s="494"/>
      <c r="HBQ238" s="494"/>
      <c r="HBR238" s="494"/>
      <c r="HBS238" s="494"/>
      <c r="HBT238" s="494"/>
      <c r="HBU238" s="494"/>
      <c r="HBV238" s="494"/>
      <c r="HBW238" s="494"/>
      <c r="HBX238" s="494"/>
      <c r="HBY238" s="494"/>
      <c r="HBZ238" s="494"/>
      <c r="HCA238" s="494"/>
      <c r="HCB238" s="494"/>
      <c r="HCC238" s="494"/>
      <c r="HCD238" s="494"/>
      <c r="HCE238" s="494"/>
      <c r="HCF238" s="494"/>
      <c r="HCG238" s="494"/>
      <c r="HCH238" s="494"/>
      <c r="HCI238" s="494"/>
      <c r="HCJ238" s="494"/>
      <c r="HCK238" s="494"/>
      <c r="HCL238" s="494"/>
      <c r="HCM238" s="494"/>
      <c r="HCN238" s="494"/>
      <c r="HCO238" s="494"/>
      <c r="HCP238" s="494"/>
      <c r="HCQ238" s="494"/>
      <c r="HCR238" s="494"/>
      <c r="HCS238" s="494"/>
      <c r="HCT238" s="494"/>
      <c r="HCU238" s="494"/>
      <c r="HCV238" s="494"/>
      <c r="HCW238" s="494"/>
      <c r="HCX238" s="494"/>
      <c r="HCY238" s="494"/>
      <c r="HCZ238" s="494"/>
      <c r="HDA238" s="494"/>
      <c r="HDB238" s="494"/>
      <c r="HDC238" s="494"/>
      <c r="HDD238" s="494"/>
      <c r="HDE238" s="494"/>
      <c r="HDF238" s="494"/>
      <c r="HDG238" s="494"/>
      <c r="HDH238" s="494"/>
      <c r="HDI238" s="494"/>
      <c r="HDJ238" s="494"/>
      <c r="HDK238" s="494"/>
      <c r="HDL238" s="494"/>
      <c r="HDM238" s="494"/>
      <c r="HDN238" s="494"/>
      <c r="HDO238" s="494"/>
      <c r="HDP238" s="494"/>
      <c r="HDQ238" s="494"/>
      <c r="HDR238" s="494"/>
      <c r="HDS238" s="494"/>
      <c r="HDT238" s="494"/>
      <c r="HDU238" s="494"/>
      <c r="HDV238" s="494"/>
      <c r="HDW238" s="494"/>
      <c r="HDX238" s="494"/>
      <c r="HDY238" s="494"/>
      <c r="HDZ238" s="494"/>
      <c r="HEA238" s="494"/>
      <c r="HEB238" s="494"/>
      <c r="HEC238" s="494"/>
      <c r="HED238" s="494"/>
      <c r="HEE238" s="494"/>
      <c r="HEF238" s="494"/>
      <c r="HEG238" s="494"/>
      <c r="HEH238" s="494"/>
      <c r="HEI238" s="494"/>
      <c r="HEJ238" s="494"/>
      <c r="HEK238" s="494"/>
      <c r="HEL238" s="494"/>
      <c r="HEM238" s="494"/>
      <c r="HEN238" s="494"/>
      <c r="HEO238" s="494"/>
      <c r="HEP238" s="494"/>
      <c r="HEQ238" s="494"/>
      <c r="HER238" s="494"/>
      <c r="HES238" s="494"/>
      <c r="HET238" s="494"/>
      <c r="HEU238" s="494"/>
      <c r="HEV238" s="494"/>
      <c r="HEW238" s="494"/>
      <c r="HEX238" s="494"/>
      <c r="HEY238" s="494"/>
      <c r="HEZ238" s="494"/>
      <c r="HFA238" s="494"/>
      <c r="HFB238" s="494"/>
      <c r="HFC238" s="494"/>
      <c r="HFD238" s="494"/>
      <c r="HFE238" s="494"/>
      <c r="HFF238" s="494"/>
      <c r="HFG238" s="494"/>
      <c r="HFH238" s="494"/>
      <c r="HFI238" s="494"/>
      <c r="HFJ238" s="494"/>
      <c r="HFK238" s="494"/>
      <c r="HFL238" s="494"/>
      <c r="HFM238" s="494"/>
      <c r="HFN238" s="494"/>
      <c r="HFO238" s="494"/>
      <c r="HFP238" s="494"/>
      <c r="HFQ238" s="494"/>
      <c r="HFR238" s="494"/>
      <c r="HFS238" s="494"/>
      <c r="HFT238" s="494"/>
      <c r="HFU238" s="494"/>
      <c r="HFV238" s="494"/>
      <c r="HFW238" s="494"/>
      <c r="HFX238" s="494"/>
      <c r="HFY238" s="494"/>
      <c r="HFZ238" s="494"/>
      <c r="HGA238" s="494"/>
      <c r="HGB238" s="494"/>
      <c r="HGC238" s="494"/>
      <c r="HGD238" s="494"/>
      <c r="HGE238" s="494"/>
      <c r="HGF238" s="494"/>
      <c r="HGG238" s="494"/>
      <c r="HGH238" s="494"/>
      <c r="HGI238" s="494"/>
      <c r="HGJ238" s="494"/>
      <c r="HGK238" s="494"/>
      <c r="HGL238" s="494"/>
      <c r="HGM238" s="494"/>
      <c r="HGN238" s="494"/>
      <c r="HGO238" s="494"/>
      <c r="HGP238" s="494"/>
      <c r="HGQ238" s="494"/>
      <c r="HGR238" s="494"/>
      <c r="HGS238" s="494"/>
      <c r="HGT238" s="494"/>
      <c r="HGU238" s="494"/>
      <c r="HGV238" s="494"/>
      <c r="HGW238" s="494"/>
      <c r="HGX238" s="494"/>
      <c r="HGY238" s="494"/>
      <c r="HGZ238" s="494"/>
      <c r="HHA238" s="494"/>
      <c r="HHB238" s="494"/>
      <c r="HHC238" s="494"/>
      <c r="HHD238" s="494"/>
      <c r="HHE238" s="494"/>
      <c r="HHF238" s="494"/>
      <c r="HHG238" s="494"/>
      <c r="HHH238" s="494"/>
      <c r="HHI238" s="494"/>
      <c r="HHJ238" s="494"/>
      <c r="HHK238" s="494"/>
      <c r="HHL238" s="494"/>
      <c r="HHM238" s="494"/>
      <c r="HHN238" s="494"/>
      <c r="HHO238" s="494"/>
      <c r="HHP238" s="494"/>
      <c r="HHQ238" s="494"/>
      <c r="HHR238" s="494"/>
      <c r="HHS238" s="494"/>
      <c r="HHT238" s="494"/>
      <c r="HHU238" s="494"/>
      <c r="HHV238" s="494"/>
      <c r="HHW238" s="494"/>
      <c r="HHX238" s="494"/>
      <c r="HHY238" s="494"/>
      <c r="HHZ238" s="494"/>
      <c r="HIA238" s="494"/>
      <c r="HIB238" s="494"/>
      <c r="HIC238" s="494"/>
      <c r="HID238" s="494"/>
      <c r="HIE238" s="494"/>
      <c r="HIF238" s="494"/>
      <c r="HIG238" s="494"/>
      <c r="HIH238" s="494"/>
      <c r="HII238" s="494"/>
      <c r="HIJ238" s="494"/>
      <c r="HIK238" s="494"/>
      <c r="HIL238" s="494"/>
      <c r="HIM238" s="494"/>
      <c r="HIN238" s="494"/>
      <c r="HIO238" s="494"/>
      <c r="HIP238" s="494"/>
      <c r="HIQ238" s="494"/>
      <c r="HIR238" s="494"/>
      <c r="HIS238" s="494"/>
      <c r="HIT238" s="494"/>
      <c r="HIU238" s="494"/>
      <c r="HIV238" s="494"/>
      <c r="HIW238" s="494"/>
      <c r="HIX238" s="494"/>
      <c r="HIY238" s="494"/>
      <c r="HIZ238" s="494"/>
      <c r="HJA238" s="494"/>
      <c r="HJB238" s="494"/>
      <c r="HJC238" s="494"/>
      <c r="HJD238" s="494"/>
      <c r="HJE238" s="494"/>
      <c r="HJF238" s="494"/>
      <c r="HJG238" s="494"/>
      <c r="HJH238" s="494"/>
      <c r="HJI238" s="494"/>
      <c r="HJJ238" s="494"/>
      <c r="HJK238" s="494"/>
      <c r="HJL238" s="494"/>
      <c r="HJM238" s="494"/>
      <c r="HJN238" s="494"/>
      <c r="HJO238" s="494"/>
      <c r="HJP238" s="494"/>
      <c r="HJQ238" s="494"/>
      <c r="HJR238" s="494"/>
      <c r="HJS238" s="494"/>
      <c r="HJT238" s="494"/>
      <c r="HJU238" s="494"/>
      <c r="HJV238" s="494"/>
      <c r="HJW238" s="494"/>
      <c r="HJX238" s="494"/>
      <c r="HJY238" s="494"/>
      <c r="HJZ238" s="494"/>
      <c r="HKA238" s="494"/>
      <c r="HKB238" s="494"/>
      <c r="HKC238" s="494"/>
      <c r="HKD238" s="494"/>
      <c r="HKE238" s="494"/>
      <c r="HKF238" s="494"/>
      <c r="HKG238" s="494"/>
      <c r="HKH238" s="494"/>
      <c r="HKI238" s="494"/>
      <c r="HKJ238" s="494"/>
      <c r="HKK238" s="494"/>
      <c r="HKL238" s="494"/>
      <c r="HKM238" s="494"/>
      <c r="HKN238" s="494"/>
      <c r="HKO238" s="494"/>
      <c r="HKP238" s="494"/>
      <c r="HKQ238" s="494"/>
      <c r="HKR238" s="494"/>
      <c r="HKS238" s="494"/>
      <c r="HKT238" s="494"/>
      <c r="HKU238" s="494"/>
      <c r="HKV238" s="494"/>
      <c r="HKW238" s="494"/>
      <c r="HKX238" s="494"/>
      <c r="HKY238" s="494"/>
      <c r="HKZ238" s="494"/>
      <c r="HLA238" s="494"/>
      <c r="HLB238" s="494"/>
      <c r="HLC238" s="494"/>
      <c r="HLD238" s="494"/>
      <c r="HLE238" s="494"/>
      <c r="HLF238" s="494"/>
      <c r="HLG238" s="494"/>
      <c r="HLH238" s="494"/>
      <c r="HLI238" s="494"/>
      <c r="HLJ238" s="494"/>
      <c r="HLK238" s="494"/>
      <c r="HLL238" s="494"/>
      <c r="HLM238" s="494"/>
      <c r="HLN238" s="494"/>
      <c r="HLO238" s="494"/>
      <c r="HLP238" s="494"/>
      <c r="HLQ238" s="494"/>
      <c r="HLR238" s="494"/>
      <c r="HLS238" s="494"/>
      <c r="HLT238" s="494"/>
      <c r="HLU238" s="494"/>
      <c r="HLV238" s="494"/>
      <c r="HLW238" s="494"/>
      <c r="HLX238" s="494"/>
      <c r="HLY238" s="494"/>
      <c r="HLZ238" s="494"/>
      <c r="HMA238" s="494"/>
      <c r="HMB238" s="494"/>
      <c r="HMC238" s="494"/>
      <c r="HMD238" s="494"/>
      <c r="HME238" s="494"/>
      <c r="HMF238" s="494"/>
      <c r="HMG238" s="494"/>
      <c r="HMH238" s="494"/>
      <c r="HMI238" s="494"/>
      <c r="HMJ238" s="494"/>
      <c r="HMK238" s="494"/>
      <c r="HML238" s="494"/>
      <c r="HMM238" s="494"/>
      <c r="HMN238" s="494"/>
      <c r="HMO238" s="494"/>
      <c r="HMP238" s="494"/>
      <c r="HMQ238" s="494"/>
      <c r="HMR238" s="494"/>
      <c r="HMS238" s="494"/>
      <c r="HMT238" s="494"/>
      <c r="HMU238" s="494"/>
      <c r="HMV238" s="494"/>
      <c r="HMW238" s="494"/>
      <c r="HMX238" s="494"/>
      <c r="HMY238" s="494"/>
      <c r="HMZ238" s="494"/>
      <c r="HNA238" s="494"/>
      <c r="HNB238" s="494"/>
      <c r="HNC238" s="494"/>
      <c r="HND238" s="494"/>
      <c r="HNE238" s="494"/>
      <c r="HNF238" s="494"/>
      <c r="HNG238" s="494"/>
      <c r="HNH238" s="494"/>
      <c r="HNI238" s="494"/>
      <c r="HNJ238" s="494"/>
      <c r="HNK238" s="494"/>
      <c r="HNL238" s="494"/>
      <c r="HNM238" s="494"/>
      <c r="HNN238" s="494"/>
      <c r="HNO238" s="494"/>
      <c r="HNP238" s="494"/>
      <c r="HNQ238" s="494"/>
      <c r="HNR238" s="494"/>
      <c r="HNS238" s="494"/>
      <c r="HNT238" s="494"/>
      <c r="HNU238" s="494"/>
      <c r="HNV238" s="494"/>
      <c r="HNW238" s="494"/>
      <c r="HNX238" s="494"/>
      <c r="HNY238" s="494"/>
      <c r="HNZ238" s="494"/>
      <c r="HOA238" s="494"/>
      <c r="HOB238" s="494"/>
      <c r="HOC238" s="494"/>
      <c r="HOD238" s="494"/>
      <c r="HOE238" s="494"/>
      <c r="HOF238" s="494"/>
      <c r="HOG238" s="494"/>
      <c r="HOH238" s="494"/>
      <c r="HOI238" s="494"/>
      <c r="HOJ238" s="494"/>
      <c r="HOK238" s="494"/>
      <c r="HOL238" s="494"/>
      <c r="HOM238" s="494"/>
      <c r="HON238" s="494"/>
      <c r="HOO238" s="494"/>
      <c r="HOP238" s="494"/>
      <c r="HOQ238" s="494"/>
      <c r="HOR238" s="494"/>
      <c r="HOS238" s="494"/>
      <c r="HOT238" s="494"/>
      <c r="HOU238" s="494"/>
      <c r="HOV238" s="494"/>
      <c r="HOW238" s="494"/>
      <c r="HOX238" s="494"/>
      <c r="HOY238" s="494"/>
      <c r="HOZ238" s="494"/>
      <c r="HPA238" s="494"/>
      <c r="HPB238" s="494"/>
      <c r="HPC238" s="494"/>
      <c r="HPD238" s="494"/>
      <c r="HPE238" s="494"/>
      <c r="HPF238" s="494"/>
      <c r="HPG238" s="494"/>
      <c r="HPH238" s="494"/>
      <c r="HPI238" s="494"/>
      <c r="HPJ238" s="494"/>
      <c r="HPK238" s="494"/>
      <c r="HPL238" s="494"/>
      <c r="HPM238" s="494"/>
      <c r="HPN238" s="494"/>
      <c r="HPO238" s="494"/>
      <c r="HPP238" s="494"/>
      <c r="HPQ238" s="494"/>
      <c r="HPR238" s="494"/>
      <c r="HPS238" s="494"/>
      <c r="HPT238" s="494"/>
      <c r="HPU238" s="494"/>
      <c r="HPV238" s="494"/>
      <c r="HPW238" s="494"/>
      <c r="HPX238" s="494"/>
      <c r="HPY238" s="494"/>
      <c r="HPZ238" s="494"/>
      <c r="HQA238" s="494"/>
      <c r="HQB238" s="494"/>
      <c r="HQC238" s="494"/>
      <c r="HQD238" s="494"/>
      <c r="HQE238" s="494"/>
      <c r="HQF238" s="494"/>
      <c r="HQG238" s="494"/>
      <c r="HQH238" s="494"/>
      <c r="HQI238" s="494"/>
      <c r="HQJ238" s="494"/>
      <c r="HQK238" s="494"/>
      <c r="HQL238" s="494"/>
      <c r="HQM238" s="494"/>
      <c r="HQN238" s="494"/>
      <c r="HQO238" s="494"/>
      <c r="HQP238" s="494"/>
      <c r="HQQ238" s="494"/>
      <c r="HQR238" s="494"/>
      <c r="HQS238" s="494"/>
      <c r="HQT238" s="494"/>
      <c r="HQU238" s="494"/>
      <c r="HQV238" s="494"/>
      <c r="HQW238" s="494"/>
      <c r="HQX238" s="494"/>
      <c r="HQY238" s="494"/>
      <c r="HQZ238" s="494"/>
      <c r="HRA238" s="494"/>
      <c r="HRB238" s="494"/>
      <c r="HRC238" s="494"/>
      <c r="HRD238" s="494"/>
      <c r="HRE238" s="494"/>
      <c r="HRF238" s="494"/>
      <c r="HRG238" s="494"/>
      <c r="HRH238" s="494"/>
      <c r="HRI238" s="494"/>
      <c r="HRJ238" s="494"/>
      <c r="HRK238" s="494"/>
      <c r="HRL238" s="494"/>
      <c r="HRM238" s="494"/>
      <c r="HRN238" s="494"/>
      <c r="HRO238" s="494"/>
      <c r="HRP238" s="494"/>
      <c r="HRQ238" s="494"/>
      <c r="HRR238" s="494"/>
      <c r="HRS238" s="494"/>
      <c r="HRT238" s="494"/>
      <c r="HRU238" s="494"/>
      <c r="HRV238" s="494"/>
      <c r="HRW238" s="494"/>
      <c r="HRX238" s="494"/>
      <c r="HRY238" s="494"/>
      <c r="HRZ238" s="494"/>
      <c r="HSA238" s="494"/>
      <c r="HSB238" s="494"/>
      <c r="HSC238" s="494"/>
      <c r="HSD238" s="494"/>
      <c r="HSE238" s="494"/>
      <c r="HSF238" s="494"/>
      <c r="HSG238" s="494"/>
      <c r="HSH238" s="494"/>
      <c r="HSI238" s="494"/>
      <c r="HSJ238" s="494"/>
      <c r="HSK238" s="494"/>
      <c r="HSL238" s="494"/>
      <c r="HSM238" s="494"/>
      <c r="HSN238" s="494"/>
      <c r="HSO238" s="494"/>
      <c r="HSP238" s="494"/>
      <c r="HSQ238" s="494"/>
      <c r="HSR238" s="494"/>
      <c r="HSS238" s="494"/>
      <c r="HST238" s="494"/>
      <c r="HSU238" s="494"/>
      <c r="HSV238" s="494"/>
      <c r="HSW238" s="494"/>
      <c r="HSX238" s="494"/>
      <c r="HSY238" s="494"/>
      <c r="HSZ238" s="494"/>
      <c r="HTA238" s="494"/>
      <c r="HTB238" s="494"/>
      <c r="HTC238" s="494"/>
      <c r="HTD238" s="494"/>
      <c r="HTE238" s="494"/>
      <c r="HTF238" s="494"/>
      <c r="HTG238" s="494"/>
      <c r="HTH238" s="494"/>
      <c r="HTI238" s="494"/>
      <c r="HTJ238" s="494"/>
      <c r="HTK238" s="494"/>
      <c r="HTL238" s="494"/>
      <c r="HTM238" s="494"/>
      <c r="HTN238" s="494"/>
      <c r="HTO238" s="494"/>
      <c r="HTP238" s="494"/>
      <c r="HTQ238" s="494"/>
      <c r="HTR238" s="494"/>
      <c r="HTS238" s="494"/>
      <c r="HTT238" s="494"/>
      <c r="HTU238" s="494"/>
      <c r="HTV238" s="494"/>
      <c r="HTW238" s="494"/>
      <c r="HTX238" s="494"/>
      <c r="HTY238" s="494"/>
      <c r="HTZ238" s="494"/>
      <c r="HUA238" s="494"/>
      <c r="HUB238" s="494"/>
      <c r="HUC238" s="494"/>
      <c r="HUD238" s="494"/>
      <c r="HUE238" s="494"/>
      <c r="HUF238" s="494"/>
      <c r="HUG238" s="494"/>
      <c r="HUH238" s="494"/>
      <c r="HUI238" s="494"/>
      <c r="HUJ238" s="494"/>
      <c r="HUK238" s="494"/>
      <c r="HUL238" s="494"/>
      <c r="HUM238" s="494"/>
      <c r="HUN238" s="494"/>
      <c r="HUO238" s="494"/>
      <c r="HUP238" s="494"/>
      <c r="HUQ238" s="494"/>
      <c r="HUR238" s="494"/>
      <c r="HUS238" s="494"/>
      <c r="HUT238" s="494"/>
      <c r="HUU238" s="494"/>
      <c r="HUV238" s="494"/>
      <c r="HUW238" s="494"/>
      <c r="HUX238" s="494"/>
      <c r="HUY238" s="494"/>
      <c r="HUZ238" s="494"/>
      <c r="HVA238" s="494"/>
      <c r="HVB238" s="494"/>
      <c r="HVC238" s="494"/>
      <c r="HVD238" s="494"/>
      <c r="HVE238" s="494"/>
      <c r="HVF238" s="494"/>
      <c r="HVG238" s="494"/>
      <c r="HVH238" s="494"/>
      <c r="HVI238" s="494"/>
      <c r="HVJ238" s="494"/>
      <c r="HVK238" s="494"/>
      <c r="HVL238" s="494"/>
      <c r="HVM238" s="494"/>
      <c r="HVN238" s="494"/>
      <c r="HVO238" s="494"/>
      <c r="HVP238" s="494"/>
      <c r="HVQ238" s="494"/>
      <c r="HVR238" s="494"/>
      <c r="HVS238" s="494"/>
      <c r="HVT238" s="494"/>
      <c r="HVU238" s="494"/>
      <c r="HVV238" s="494"/>
      <c r="HVW238" s="494"/>
      <c r="HVX238" s="494"/>
      <c r="HVY238" s="494"/>
      <c r="HVZ238" s="494"/>
      <c r="HWA238" s="494"/>
      <c r="HWB238" s="494"/>
      <c r="HWC238" s="494"/>
      <c r="HWD238" s="494"/>
      <c r="HWE238" s="494"/>
      <c r="HWF238" s="494"/>
      <c r="HWG238" s="494"/>
      <c r="HWH238" s="494"/>
      <c r="HWI238" s="494"/>
      <c r="HWJ238" s="494"/>
      <c r="HWK238" s="494"/>
      <c r="HWL238" s="494"/>
      <c r="HWM238" s="494"/>
      <c r="HWN238" s="494"/>
      <c r="HWO238" s="494"/>
      <c r="HWP238" s="494"/>
      <c r="HWQ238" s="494"/>
      <c r="HWR238" s="494"/>
      <c r="HWS238" s="494"/>
      <c r="HWT238" s="494"/>
      <c r="HWU238" s="494"/>
      <c r="HWV238" s="494"/>
      <c r="HWW238" s="494"/>
      <c r="HWX238" s="494"/>
      <c r="HWY238" s="494"/>
      <c r="HWZ238" s="494"/>
      <c r="HXA238" s="494"/>
      <c r="HXB238" s="494"/>
      <c r="HXC238" s="494"/>
      <c r="HXD238" s="494"/>
      <c r="HXE238" s="494"/>
      <c r="HXF238" s="494"/>
      <c r="HXG238" s="494"/>
      <c r="HXH238" s="494"/>
      <c r="HXI238" s="494"/>
      <c r="HXJ238" s="494"/>
      <c r="HXK238" s="494"/>
      <c r="HXL238" s="494"/>
      <c r="HXM238" s="494"/>
      <c r="HXN238" s="494"/>
      <c r="HXO238" s="494"/>
      <c r="HXP238" s="494"/>
      <c r="HXQ238" s="494"/>
      <c r="HXR238" s="494"/>
      <c r="HXS238" s="494"/>
      <c r="HXT238" s="494"/>
      <c r="HXU238" s="494"/>
      <c r="HXV238" s="494"/>
      <c r="HXW238" s="494"/>
      <c r="HXX238" s="494"/>
      <c r="HXY238" s="494"/>
      <c r="HXZ238" s="494"/>
      <c r="HYA238" s="494"/>
      <c r="HYB238" s="494"/>
      <c r="HYC238" s="494"/>
      <c r="HYD238" s="494"/>
      <c r="HYE238" s="494"/>
      <c r="HYF238" s="494"/>
      <c r="HYG238" s="494"/>
      <c r="HYH238" s="494"/>
      <c r="HYI238" s="494"/>
      <c r="HYJ238" s="494"/>
      <c r="HYK238" s="494"/>
      <c r="HYL238" s="494"/>
      <c r="HYM238" s="494"/>
      <c r="HYN238" s="494"/>
      <c r="HYO238" s="494"/>
      <c r="HYP238" s="494"/>
      <c r="HYQ238" s="494"/>
      <c r="HYR238" s="494"/>
      <c r="HYS238" s="494"/>
      <c r="HYT238" s="494"/>
      <c r="HYU238" s="494"/>
      <c r="HYV238" s="494"/>
      <c r="HYW238" s="494"/>
      <c r="HYX238" s="494"/>
      <c r="HYY238" s="494"/>
      <c r="HYZ238" s="494"/>
      <c r="HZA238" s="494"/>
      <c r="HZB238" s="494"/>
      <c r="HZC238" s="494"/>
      <c r="HZD238" s="494"/>
      <c r="HZE238" s="494"/>
      <c r="HZF238" s="494"/>
      <c r="HZG238" s="494"/>
      <c r="HZH238" s="494"/>
      <c r="HZI238" s="494"/>
      <c r="HZJ238" s="494"/>
      <c r="HZK238" s="494"/>
      <c r="HZL238" s="494"/>
      <c r="HZM238" s="494"/>
      <c r="HZN238" s="494"/>
      <c r="HZO238" s="494"/>
      <c r="HZP238" s="494"/>
      <c r="HZQ238" s="494"/>
      <c r="HZR238" s="494"/>
      <c r="HZS238" s="494"/>
      <c r="HZT238" s="494"/>
      <c r="HZU238" s="494"/>
      <c r="HZV238" s="494"/>
      <c r="HZW238" s="494"/>
      <c r="HZX238" s="494"/>
      <c r="HZY238" s="494"/>
      <c r="HZZ238" s="494"/>
      <c r="IAA238" s="494"/>
      <c r="IAB238" s="494"/>
      <c r="IAC238" s="494"/>
      <c r="IAD238" s="494"/>
      <c r="IAE238" s="494"/>
      <c r="IAF238" s="494"/>
      <c r="IAG238" s="494"/>
      <c r="IAH238" s="494"/>
      <c r="IAI238" s="494"/>
      <c r="IAJ238" s="494"/>
      <c r="IAK238" s="494"/>
      <c r="IAL238" s="494"/>
      <c r="IAM238" s="494"/>
      <c r="IAN238" s="494"/>
      <c r="IAO238" s="494"/>
      <c r="IAP238" s="494"/>
      <c r="IAQ238" s="494"/>
      <c r="IAR238" s="494"/>
      <c r="IAS238" s="494"/>
      <c r="IAT238" s="494"/>
      <c r="IAU238" s="494"/>
      <c r="IAV238" s="494"/>
      <c r="IAW238" s="494"/>
      <c r="IAX238" s="494"/>
      <c r="IAY238" s="494"/>
      <c r="IAZ238" s="494"/>
      <c r="IBA238" s="494"/>
      <c r="IBB238" s="494"/>
      <c r="IBC238" s="494"/>
      <c r="IBD238" s="494"/>
      <c r="IBE238" s="494"/>
      <c r="IBF238" s="494"/>
      <c r="IBG238" s="494"/>
      <c r="IBH238" s="494"/>
      <c r="IBI238" s="494"/>
      <c r="IBJ238" s="494"/>
      <c r="IBK238" s="494"/>
      <c r="IBL238" s="494"/>
      <c r="IBM238" s="494"/>
      <c r="IBN238" s="494"/>
      <c r="IBO238" s="494"/>
      <c r="IBP238" s="494"/>
      <c r="IBQ238" s="494"/>
      <c r="IBR238" s="494"/>
      <c r="IBS238" s="494"/>
      <c r="IBT238" s="494"/>
      <c r="IBU238" s="494"/>
      <c r="IBV238" s="494"/>
      <c r="IBW238" s="494"/>
      <c r="IBX238" s="494"/>
      <c r="IBY238" s="494"/>
      <c r="IBZ238" s="494"/>
      <c r="ICA238" s="494"/>
      <c r="ICB238" s="494"/>
      <c r="ICC238" s="494"/>
      <c r="ICD238" s="494"/>
      <c r="ICE238" s="494"/>
      <c r="ICF238" s="494"/>
      <c r="ICG238" s="494"/>
      <c r="ICH238" s="494"/>
      <c r="ICI238" s="494"/>
      <c r="ICJ238" s="494"/>
      <c r="ICK238" s="494"/>
      <c r="ICL238" s="494"/>
      <c r="ICM238" s="494"/>
      <c r="ICN238" s="494"/>
      <c r="ICO238" s="494"/>
      <c r="ICP238" s="494"/>
      <c r="ICQ238" s="494"/>
      <c r="ICR238" s="494"/>
      <c r="ICS238" s="494"/>
      <c r="ICT238" s="494"/>
      <c r="ICU238" s="494"/>
      <c r="ICV238" s="494"/>
      <c r="ICW238" s="494"/>
      <c r="ICX238" s="494"/>
      <c r="ICY238" s="494"/>
      <c r="ICZ238" s="494"/>
      <c r="IDA238" s="494"/>
      <c r="IDB238" s="494"/>
      <c r="IDC238" s="494"/>
      <c r="IDD238" s="494"/>
      <c r="IDE238" s="494"/>
      <c r="IDF238" s="494"/>
      <c r="IDG238" s="494"/>
      <c r="IDH238" s="494"/>
      <c r="IDI238" s="494"/>
      <c r="IDJ238" s="494"/>
      <c r="IDK238" s="494"/>
      <c r="IDL238" s="494"/>
      <c r="IDM238" s="494"/>
      <c r="IDN238" s="494"/>
      <c r="IDO238" s="494"/>
      <c r="IDP238" s="494"/>
      <c r="IDQ238" s="494"/>
      <c r="IDR238" s="494"/>
      <c r="IDS238" s="494"/>
      <c r="IDT238" s="494"/>
      <c r="IDU238" s="494"/>
      <c r="IDV238" s="494"/>
      <c r="IDW238" s="494"/>
      <c r="IDX238" s="494"/>
      <c r="IDY238" s="494"/>
      <c r="IDZ238" s="494"/>
      <c r="IEA238" s="494"/>
      <c r="IEB238" s="494"/>
      <c r="IEC238" s="494"/>
      <c r="IED238" s="494"/>
      <c r="IEE238" s="494"/>
      <c r="IEF238" s="494"/>
      <c r="IEG238" s="494"/>
      <c r="IEH238" s="494"/>
      <c r="IEI238" s="494"/>
      <c r="IEJ238" s="494"/>
      <c r="IEK238" s="494"/>
      <c r="IEL238" s="494"/>
      <c r="IEM238" s="494"/>
      <c r="IEN238" s="494"/>
      <c r="IEO238" s="494"/>
      <c r="IEP238" s="494"/>
      <c r="IEQ238" s="494"/>
      <c r="IER238" s="494"/>
      <c r="IES238" s="494"/>
      <c r="IET238" s="494"/>
      <c r="IEU238" s="494"/>
      <c r="IEV238" s="494"/>
      <c r="IEW238" s="494"/>
      <c r="IEX238" s="494"/>
      <c r="IEY238" s="494"/>
      <c r="IEZ238" s="494"/>
      <c r="IFA238" s="494"/>
      <c r="IFB238" s="494"/>
      <c r="IFC238" s="494"/>
      <c r="IFD238" s="494"/>
      <c r="IFE238" s="494"/>
      <c r="IFF238" s="494"/>
      <c r="IFG238" s="494"/>
      <c r="IFH238" s="494"/>
      <c r="IFI238" s="494"/>
      <c r="IFJ238" s="494"/>
      <c r="IFK238" s="494"/>
      <c r="IFL238" s="494"/>
      <c r="IFM238" s="494"/>
      <c r="IFN238" s="494"/>
      <c r="IFO238" s="494"/>
      <c r="IFP238" s="494"/>
      <c r="IFQ238" s="494"/>
      <c r="IFR238" s="494"/>
      <c r="IFS238" s="494"/>
      <c r="IFT238" s="494"/>
      <c r="IFU238" s="494"/>
      <c r="IFV238" s="494"/>
      <c r="IFW238" s="494"/>
      <c r="IFX238" s="494"/>
      <c r="IFY238" s="494"/>
      <c r="IFZ238" s="494"/>
      <c r="IGA238" s="494"/>
      <c r="IGB238" s="494"/>
      <c r="IGC238" s="494"/>
      <c r="IGD238" s="494"/>
      <c r="IGE238" s="494"/>
      <c r="IGF238" s="494"/>
      <c r="IGG238" s="494"/>
      <c r="IGH238" s="494"/>
      <c r="IGI238" s="494"/>
      <c r="IGJ238" s="494"/>
      <c r="IGK238" s="494"/>
      <c r="IGL238" s="494"/>
      <c r="IGM238" s="494"/>
      <c r="IGN238" s="494"/>
      <c r="IGO238" s="494"/>
      <c r="IGP238" s="494"/>
      <c r="IGQ238" s="494"/>
      <c r="IGR238" s="494"/>
      <c r="IGS238" s="494"/>
      <c r="IGT238" s="494"/>
      <c r="IGU238" s="494"/>
      <c r="IGV238" s="494"/>
      <c r="IGW238" s="494"/>
      <c r="IGX238" s="494"/>
      <c r="IGY238" s="494"/>
      <c r="IGZ238" s="494"/>
      <c r="IHA238" s="494"/>
      <c r="IHB238" s="494"/>
      <c r="IHC238" s="494"/>
      <c r="IHD238" s="494"/>
      <c r="IHE238" s="494"/>
      <c r="IHF238" s="494"/>
      <c r="IHG238" s="494"/>
      <c r="IHH238" s="494"/>
      <c r="IHI238" s="494"/>
      <c r="IHJ238" s="494"/>
      <c r="IHK238" s="494"/>
      <c r="IHL238" s="494"/>
      <c r="IHM238" s="494"/>
      <c r="IHN238" s="494"/>
      <c r="IHO238" s="494"/>
      <c r="IHP238" s="494"/>
      <c r="IHQ238" s="494"/>
      <c r="IHR238" s="494"/>
      <c r="IHS238" s="494"/>
      <c r="IHT238" s="494"/>
      <c r="IHU238" s="494"/>
      <c r="IHV238" s="494"/>
      <c r="IHW238" s="494"/>
      <c r="IHX238" s="494"/>
      <c r="IHY238" s="494"/>
      <c r="IHZ238" s="494"/>
      <c r="IIA238" s="494"/>
      <c r="IIB238" s="494"/>
      <c r="IIC238" s="494"/>
      <c r="IID238" s="494"/>
      <c r="IIE238" s="494"/>
      <c r="IIF238" s="494"/>
      <c r="IIG238" s="494"/>
      <c r="IIH238" s="494"/>
      <c r="III238" s="494"/>
      <c r="IIJ238" s="494"/>
      <c r="IIK238" s="494"/>
      <c r="IIL238" s="494"/>
      <c r="IIM238" s="494"/>
      <c r="IIN238" s="494"/>
      <c r="IIO238" s="494"/>
      <c r="IIP238" s="494"/>
      <c r="IIQ238" s="494"/>
      <c r="IIR238" s="494"/>
      <c r="IIS238" s="494"/>
      <c r="IIT238" s="494"/>
      <c r="IIU238" s="494"/>
      <c r="IIV238" s="494"/>
      <c r="IIW238" s="494"/>
      <c r="IIX238" s="494"/>
      <c r="IIY238" s="494"/>
      <c r="IIZ238" s="494"/>
      <c r="IJA238" s="494"/>
      <c r="IJB238" s="494"/>
      <c r="IJC238" s="494"/>
      <c r="IJD238" s="494"/>
      <c r="IJE238" s="494"/>
      <c r="IJF238" s="494"/>
      <c r="IJG238" s="494"/>
      <c r="IJH238" s="494"/>
      <c r="IJI238" s="494"/>
      <c r="IJJ238" s="494"/>
      <c r="IJK238" s="494"/>
      <c r="IJL238" s="494"/>
      <c r="IJM238" s="494"/>
      <c r="IJN238" s="494"/>
      <c r="IJO238" s="494"/>
      <c r="IJP238" s="494"/>
      <c r="IJQ238" s="494"/>
      <c r="IJR238" s="494"/>
      <c r="IJS238" s="494"/>
      <c r="IJT238" s="494"/>
      <c r="IJU238" s="494"/>
      <c r="IJV238" s="494"/>
      <c r="IJW238" s="494"/>
      <c r="IJX238" s="494"/>
      <c r="IJY238" s="494"/>
      <c r="IJZ238" s="494"/>
      <c r="IKA238" s="494"/>
      <c r="IKB238" s="494"/>
      <c r="IKC238" s="494"/>
      <c r="IKD238" s="494"/>
      <c r="IKE238" s="494"/>
      <c r="IKF238" s="494"/>
      <c r="IKG238" s="494"/>
      <c r="IKH238" s="494"/>
      <c r="IKI238" s="494"/>
      <c r="IKJ238" s="494"/>
      <c r="IKK238" s="494"/>
      <c r="IKL238" s="494"/>
      <c r="IKM238" s="494"/>
      <c r="IKN238" s="494"/>
      <c r="IKO238" s="494"/>
      <c r="IKP238" s="494"/>
      <c r="IKQ238" s="494"/>
      <c r="IKR238" s="494"/>
      <c r="IKS238" s="494"/>
      <c r="IKT238" s="494"/>
      <c r="IKU238" s="494"/>
      <c r="IKV238" s="494"/>
      <c r="IKW238" s="494"/>
      <c r="IKX238" s="494"/>
      <c r="IKY238" s="494"/>
      <c r="IKZ238" s="494"/>
      <c r="ILA238" s="494"/>
      <c r="ILB238" s="494"/>
      <c r="ILC238" s="494"/>
      <c r="ILD238" s="494"/>
      <c r="ILE238" s="494"/>
      <c r="ILF238" s="494"/>
      <c r="ILG238" s="494"/>
      <c r="ILH238" s="494"/>
      <c r="ILI238" s="494"/>
      <c r="ILJ238" s="494"/>
      <c r="ILK238" s="494"/>
      <c r="ILL238" s="494"/>
      <c r="ILM238" s="494"/>
      <c r="ILN238" s="494"/>
      <c r="ILO238" s="494"/>
      <c r="ILP238" s="494"/>
      <c r="ILQ238" s="494"/>
      <c r="ILR238" s="494"/>
      <c r="ILS238" s="494"/>
      <c r="ILT238" s="494"/>
      <c r="ILU238" s="494"/>
      <c r="ILV238" s="494"/>
      <c r="ILW238" s="494"/>
      <c r="ILX238" s="494"/>
      <c r="ILY238" s="494"/>
      <c r="ILZ238" s="494"/>
      <c r="IMA238" s="494"/>
      <c r="IMB238" s="494"/>
      <c r="IMC238" s="494"/>
      <c r="IMD238" s="494"/>
      <c r="IME238" s="494"/>
      <c r="IMF238" s="494"/>
      <c r="IMG238" s="494"/>
      <c r="IMH238" s="494"/>
      <c r="IMI238" s="494"/>
      <c r="IMJ238" s="494"/>
      <c r="IMK238" s="494"/>
      <c r="IML238" s="494"/>
      <c r="IMM238" s="494"/>
      <c r="IMN238" s="494"/>
      <c r="IMO238" s="494"/>
      <c r="IMP238" s="494"/>
      <c r="IMQ238" s="494"/>
      <c r="IMR238" s="494"/>
      <c r="IMS238" s="494"/>
      <c r="IMT238" s="494"/>
      <c r="IMU238" s="494"/>
      <c r="IMV238" s="494"/>
      <c r="IMW238" s="494"/>
      <c r="IMX238" s="494"/>
      <c r="IMY238" s="494"/>
      <c r="IMZ238" s="494"/>
      <c r="INA238" s="494"/>
      <c r="INB238" s="494"/>
      <c r="INC238" s="494"/>
      <c r="IND238" s="494"/>
      <c r="INE238" s="494"/>
      <c r="INF238" s="494"/>
      <c r="ING238" s="494"/>
      <c r="INH238" s="494"/>
      <c r="INI238" s="494"/>
      <c r="INJ238" s="494"/>
      <c r="INK238" s="494"/>
      <c r="INL238" s="494"/>
      <c r="INM238" s="494"/>
      <c r="INN238" s="494"/>
      <c r="INO238" s="494"/>
      <c r="INP238" s="494"/>
      <c r="INQ238" s="494"/>
      <c r="INR238" s="494"/>
      <c r="INS238" s="494"/>
      <c r="INT238" s="494"/>
      <c r="INU238" s="494"/>
      <c r="INV238" s="494"/>
      <c r="INW238" s="494"/>
      <c r="INX238" s="494"/>
      <c r="INY238" s="494"/>
      <c r="INZ238" s="494"/>
      <c r="IOA238" s="494"/>
      <c r="IOB238" s="494"/>
      <c r="IOC238" s="494"/>
      <c r="IOD238" s="494"/>
      <c r="IOE238" s="494"/>
      <c r="IOF238" s="494"/>
      <c r="IOG238" s="494"/>
      <c r="IOH238" s="494"/>
      <c r="IOI238" s="494"/>
      <c r="IOJ238" s="494"/>
      <c r="IOK238" s="494"/>
      <c r="IOL238" s="494"/>
      <c r="IOM238" s="494"/>
      <c r="ION238" s="494"/>
      <c r="IOO238" s="494"/>
      <c r="IOP238" s="494"/>
      <c r="IOQ238" s="494"/>
      <c r="IOR238" s="494"/>
      <c r="IOS238" s="494"/>
      <c r="IOT238" s="494"/>
      <c r="IOU238" s="494"/>
      <c r="IOV238" s="494"/>
      <c r="IOW238" s="494"/>
      <c r="IOX238" s="494"/>
      <c r="IOY238" s="494"/>
      <c r="IOZ238" s="494"/>
      <c r="IPA238" s="494"/>
      <c r="IPB238" s="494"/>
      <c r="IPC238" s="494"/>
      <c r="IPD238" s="494"/>
      <c r="IPE238" s="494"/>
      <c r="IPF238" s="494"/>
      <c r="IPG238" s="494"/>
      <c r="IPH238" s="494"/>
      <c r="IPI238" s="494"/>
      <c r="IPJ238" s="494"/>
      <c r="IPK238" s="494"/>
      <c r="IPL238" s="494"/>
      <c r="IPM238" s="494"/>
      <c r="IPN238" s="494"/>
      <c r="IPO238" s="494"/>
      <c r="IPP238" s="494"/>
      <c r="IPQ238" s="494"/>
      <c r="IPR238" s="494"/>
      <c r="IPS238" s="494"/>
      <c r="IPT238" s="494"/>
      <c r="IPU238" s="494"/>
      <c r="IPV238" s="494"/>
      <c r="IPW238" s="494"/>
      <c r="IPX238" s="494"/>
      <c r="IPY238" s="494"/>
      <c r="IPZ238" s="494"/>
      <c r="IQA238" s="494"/>
      <c r="IQB238" s="494"/>
      <c r="IQC238" s="494"/>
      <c r="IQD238" s="494"/>
      <c r="IQE238" s="494"/>
      <c r="IQF238" s="494"/>
      <c r="IQG238" s="494"/>
      <c r="IQH238" s="494"/>
      <c r="IQI238" s="494"/>
      <c r="IQJ238" s="494"/>
      <c r="IQK238" s="494"/>
      <c r="IQL238" s="494"/>
      <c r="IQM238" s="494"/>
      <c r="IQN238" s="494"/>
      <c r="IQO238" s="494"/>
      <c r="IQP238" s="494"/>
      <c r="IQQ238" s="494"/>
      <c r="IQR238" s="494"/>
      <c r="IQS238" s="494"/>
      <c r="IQT238" s="494"/>
      <c r="IQU238" s="494"/>
      <c r="IQV238" s="494"/>
      <c r="IQW238" s="494"/>
      <c r="IQX238" s="494"/>
      <c r="IQY238" s="494"/>
      <c r="IQZ238" s="494"/>
      <c r="IRA238" s="494"/>
      <c r="IRB238" s="494"/>
      <c r="IRC238" s="494"/>
      <c r="IRD238" s="494"/>
      <c r="IRE238" s="494"/>
      <c r="IRF238" s="494"/>
      <c r="IRG238" s="494"/>
      <c r="IRH238" s="494"/>
      <c r="IRI238" s="494"/>
      <c r="IRJ238" s="494"/>
      <c r="IRK238" s="494"/>
      <c r="IRL238" s="494"/>
      <c r="IRM238" s="494"/>
      <c r="IRN238" s="494"/>
      <c r="IRO238" s="494"/>
      <c r="IRP238" s="494"/>
      <c r="IRQ238" s="494"/>
      <c r="IRR238" s="494"/>
      <c r="IRS238" s="494"/>
      <c r="IRT238" s="494"/>
      <c r="IRU238" s="494"/>
      <c r="IRV238" s="494"/>
      <c r="IRW238" s="494"/>
      <c r="IRX238" s="494"/>
      <c r="IRY238" s="494"/>
      <c r="IRZ238" s="494"/>
      <c r="ISA238" s="494"/>
      <c r="ISB238" s="494"/>
      <c r="ISC238" s="494"/>
      <c r="ISD238" s="494"/>
      <c r="ISE238" s="494"/>
      <c r="ISF238" s="494"/>
      <c r="ISG238" s="494"/>
      <c r="ISH238" s="494"/>
      <c r="ISI238" s="494"/>
      <c r="ISJ238" s="494"/>
      <c r="ISK238" s="494"/>
      <c r="ISL238" s="494"/>
      <c r="ISM238" s="494"/>
      <c r="ISN238" s="494"/>
      <c r="ISO238" s="494"/>
      <c r="ISP238" s="494"/>
      <c r="ISQ238" s="494"/>
      <c r="ISR238" s="494"/>
      <c r="ISS238" s="494"/>
      <c r="IST238" s="494"/>
      <c r="ISU238" s="494"/>
      <c r="ISV238" s="494"/>
      <c r="ISW238" s="494"/>
      <c r="ISX238" s="494"/>
      <c r="ISY238" s="494"/>
      <c r="ISZ238" s="494"/>
      <c r="ITA238" s="494"/>
      <c r="ITB238" s="494"/>
      <c r="ITC238" s="494"/>
      <c r="ITD238" s="494"/>
      <c r="ITE238" s="494"/>
      <c r="ITF238" s="494"/>
      <c r="ITG238" s="494"/>
      <c r="ITH238" s="494"/>
      <c r="ITI238" s="494"/>
      <c r="ITJ238" s="494"/>
      <c r="ITK238" s="494"/>
      <c r="ITL238" s="494"/>
      <c r="ITM238" s="494"/>
      <c r="ITN238" s="494"/>
      <c r="ITO238" s="494"/>
      <c r="ITP238" s="494"/>
      <c r="ITQ238" s="494"/>
      <c r="ITR238" s="494"/>
      <c r="ITS238" s="494"/>
      <c r="ITT238" s="494"/>
      <c r="ITU238" s="494"/>
      <c r="ITV238" s="494"/>
      <c r="ITW238" s="494"/>
      <c r="ITX238" s="494"/>
      <c r="ITY238" s="494"/>
      <c r="ITZ238" s="494"/>
      <c r="IUA238" s="494"/>
      <c r="IUB238" s="494"/>
      <c r="IUC238" s="494"/>
      <c r="IUD238" s="494"/>
      <c r="IUE238" s="494"/>
      <c r="IUF238" s="494"/>
      <c r="IUG238" s="494"/>
      <c r="IUH238" s="494"/>
      <c r="IUI238" s="494"/>
      <c r="IUJ238" s="494"/>
      <c r="IUK238" s="494"/>
      <c r="IUL238" s="494"/>
      <c r="IUM238" s="494"/>
      <c r="IUN238" s="494"/>
      <c r="IUO238" s="494"/>
      <c r="IUP238" s="494"/>
      <c r="IUQ238" s="494"/>
      <c r="IUR238" s="494"/>
      <c r="IUS238" s="494"/>
      <c r="IUT238" s="494"/>
      <c r="IUU238" s="494"/>
      <c r="IUV238" s="494"/>
      <c r="IUW238" s="494"/>
      <c r="IUX238" s="494"/>
      <c r="IUY238" s="494"/>
      <c r="IUZ238" s="494"/>
      <c r="IVA238" s="494"/>
      <c r="IVB238" s="494"/>
      <c r="IVC238" s="494"/>
      <c r="IVD238" s="494"/>
      <c r="IVE238" s="494"/>
      <c r="IVF238" s="494"/>
      <c r="IVG238" s="494"/>
      <c r="IVH238" s="494"/>
      <c r="IVI238" s="494"/>
      <c r="IVJ238" s="494"/>
      <c r="IVK238" s="494"/>
      <c r="IVL238" s="494"/>
      <c r="IVM238" s="494"/>
      <c r="IVN238" s="494"/>
      <c r="IVO238" s="494"/>
      <c r="IVP238" s="494"/>
      <c r="IVQ238" s="494"/>
      <c r="IVR238" s="494"/>
      <c r="IVS238" s="494"/>
      <c r="IVT238" s="494"/>
      <c r="IVU238" s="494"/>
      <c r="IVV238" s="494"/>
      <c r="IVW238" s="494"/>
      <c r="IVX238" s="494"/>
      <c r="IVY238" s="494"/>
      <c r="IVZ238" s="494"/>
      <c r="IWA238" s="494"/>
      <c r="IWB238" s="494"/>
      <c r="IWC238" s="494"/>
      <c r="IWD238" s="494"/>
      <c r="IWE238" s="494"/>
      <c r="IWF238" s="494"/>
      <c r="IWG238" s="494"/>
      <c r="IWH238" s="494"/>
      <c r="IWI238" s="494"/>
      <c r="IWJ238" s="494"/>
      <c r="IWK238" s="494"/>
      <c r="IWL238" s="494"/>
      <c r="IWM238" s="494"/>
      <c r="IWN238" s="494"/>
      <c r="IWO238" s="494"/>
      <c r="IWP238" s="494"/>
      <c r="IWQ238" s="494"/>
      <c r="IWR238" s="494"/>
      <c r="IWS238" s="494"/>
      <c r="IWT238" s="494"/>
      <c r="IWU238" s="494"/>
      <c r="IWV238" s="494"/>
      <c r="IWW238" s="494"/>
      <c r="IWX238" s="494"/>
      <c r="IWY238" s="494"/>
      <c r="IWZ238" s="494"/>
      <c r="IXA238" s="494"/>
      <c r="IXB238" s="494"/>
      <c r="IXC238" s="494"/>
      <c r="IXD238" s="494"/>
      <c r="IXE238" s="494"/>
      <c r="IXF238" s="494"/>
      <c r="IXG238" s="494"/>
      <c r="IXH238" s="494"/>
      <c r="IXI238" s="494"/>
      <c r="IXJ238" s="494"/>
      <c r="IXK238" s="494"/>
      <c r="IXL238" s="494"/>
      <c r="IXM238" s="494"/>
      <c r="IXN238" s="494"/>
      <c r="IXO238" s="494"/>
      <c r="IXP238" s="494"/>
      <c r="IXQ238" s="494"/>
      <c r="IXR238" s="494"/>
      <c r="IXS238" s="494"/>
      <c r="IXT238" s="494"/>
      <c r="IXU238" s="494"/>
      <c r="IXV238" s="494"/>
      <c r="IXW238" s="494"/>
      <c r="IXX238" s="494"/>
      <c r="IXY238" s="494"/>
      <c r="IXZ238" s="494"/>
      <c r="IYA238" s="494"/>
      <c r="IYB238" s="494"/>
      <c r="IYC238" s="494"/>
      <c r="IYD238" s="494"/>
      <c r="IYE238" s="494"/>
      <c r="IYF238" s="494"/>
      <c r="IYG238" s="494"/>
      <c r="IYH238" s="494"/>
      <c r="IYI238" s="494"/>
      <c r="IYJ238" s="494"/>
      <c r="IYK238" s="494"/>
      <c r="IYL238" s="494"/>
      <c r="IYM238" s="494"/>
      <c r="IYN238" s="494"/>
      <c r="IYO238" s="494"/>
      <c r="IYP238" s="494"/>
      <c r="IYQ238" s="494"/>
      <c r="IYR238" s="494"/>
      <c r="IYS238" s="494"/>
      <c r="IYT238" s="494"/>
      <c r="IYU238" s="494"/>
      <c r="IYV238" s="494"/>
      <c r="IYW238" s="494"/>
      <c r="IYX238" s="494"/>
      <c r="IYY238" s="494"/>
      <c r="IYZ238" s="494"/>
      <c r="IZA238" s="494"/>
      <c r="IZB238" s="494"/>
      <c r="IZC238" s="494"/>
      <c r="IZD238" s="494"/>
      <c r="IZE238" s="494"/>
      <c r="IZF238" s="494"/>
      <c r="IZG238" s="494"/>
      <c r="IZH238" s="494"/>
      <c r="IZI238" s="494"/>
      <c r="IZJ238" s="494"/>
      <c r="IZK238" s="494"/>
      <c r="IZL238" s="494"/>
      <c r="IZM238" s="494"/>
      <c r="IZN238" s="494"/>
      <c r="IZO238" s="494"/>
      <c r="IZP238" s="494"/>
      <c r="IZQ238" s="494"/>
      <c r="IZR238" s="494"/>
      <c r="IZS238" s="494"/>
      <c r="IZT238" s="494"/>
      <c r="IZU238" s="494"/>
      <c r="IZV238" s="494"/>
      <c r="IZW238" s="494"/>
      <c r="IZX238" s="494"/>
      <c r="IZY238" s="494"/>
      <c r="IZZ238" s="494"/>
      <c r="JAA238" s="494"/>
      <c r="JAB238" s="494"/>
      <c r="JAC238" s="494"/>
      <c r="JAD238" s="494"/>
      <c r="JAE238" s="494"/>
      <c r="JAF238" s="494"/>
      <c r="JAG238" s="494"/>
      <c r="JAH238" s="494"/>
      <c r="JAI238" s="494"/>
      <c r="JAJ238" s="494"/>
      <c r="JAK238" s="494"/>
      <c r="JAL238" s="494"/>
      <c r="JAM238" s="494"/>
      <c r="JAN238" s="494"/>
      <c r="JAO238" s="494"/>
      <c r="JAP238" s="494"/>
      <c r="JAQ238" s="494"/>
      <c r="JAR238" s="494"/>
      <c r="JAS238" s="494"/>
      <c r="JAT238" s="494"/>
      <c r="JAU238" s="494"/>
      <c r="JAV238" s="494"/>
      <c r="JAW238" s="494"/>
      <c r="JAX238" s="494"/>
      <c r="JAY238" s="494"/>
      <c r="JAZ238" s="494"/>
      <c r="JBA238" s="494"/>
      <c r="JBB238" s="494"/>
      <c r="JBC238" s="494"/>
      <c r="JBD238" s="494"/>
      <c r="JBE238" s="494"/>
      <c r="JBF238" s="494"/>
      <c r="JBG238" s="494"/>
      <c r="JBH238" s="494"/>
      <c r="JBI238" s="494"/>
      <c r="JBJ238" s="494"/>
      <c r="JBK238" s="494"/>
      <c r="JBL238" s="494"/>
      <c r="JBM238" s="494"/>
      <c r="JBN238" s="494"/>
      <c r="JBO238" s="494"/>
      <c r="JBP238" s="494"/>
      <c r="JBQ238" s="494"/>
      <c r="JBR238" s="494"/>
      <c r="JBS238" s="494"/>
      <c r="JBT238" s="494"/>
      <c r="JBU238" s="494"/>
      <c r="JBV238" s="494"/>
      <c r="JBW238" s="494"/>
      <c r="JBX238" s="494"/>
      <c r="JBY238" s="494"/>
      <c r="JBZ238" s="494"/>
      <c r="JCA238" s="494"/>
      <c r="JCB238" s="494"/>
      <c r="JCC238" s="494"/>
      <c r="JCD238" s="494"/>
      <c r="JCE238" s="494"/>
      <c r="JCF238" s="494"/>
      <c r="JCG238" s="494"/>
      <c r="JCH238" s="494"/>
      <c r="JCI238" s="494"/>
      <c r="JCJ238" s="494"/>
      <c r="JCK238" s="494"/>
      <c r="JCL238" s="494"/>
      <c r="JCM238" s="494"/>
      <c r="JCN238" s="494"/>
      <c r="JCO238" s="494"/>
      <c r="JCP238" s="494"/>
      <c r="JCQ238" s="494"/>
      <c r="JCR238" s="494"/>
      <c r="JCS238" s="494"/>
      <c r="JCT238" s="494"/>
      <c r="JCU238" s="494"/>
      <c r="JCV238" s="494"/>
      <c r="JCW238" s="494"/>
      <c r="JCX238" s="494"/>
      <c r="JCY238" s="494"/>
      <c r="JCZ238" s="494"/>
      <c r="JDA238" s="494"/>
      <c r="JDB238" s="494"/>
      <c r="JDC238" s="494"/>
      <c r="JDD238" s="494"/>
      <c r="JDE238" s="494"/>
      <c r="JDF238" s="494"/>
      <c r="JDG238" s="494"/>
      <c r="JDH238" s="494"/>
      <c r="JDI238" s="494"/>
      <c r="JDJ238" s="494"/>
      <c r="JDK238" s="494"/>
      <c r="JDL238" s="494"/>
      <c r="JDM238" s="494"/>
      <c r="JDN238" s="494"/>
      <c r="JDO238" s="494"/>
      <c r="JDP238" s="494"/>
      <c r="JDQ238" s="494"/>
      <c r="JDR238" s="494"/>
      <c r="JDS238" s="494"/>
      <c r="JDT238" s="494"/>
      <c r="JDU238" s="494"/>
      <c r="JDV238" s="494"/>
      <c r="JDW238" s="494"/>
      <c r="JDX238" s="494"/>
      <c r="JDY238" s="494"/>
      <c r="JDZ238" s="494"/>
      <c r="JEA238" s="494"/>
      <c r="JEB238" s="494"/>
      <c r="JEC238" s="494"/>
      <c r="JED238" s="494"/>
      <c r="JEE238" s="494"/>
      <c r="JEF238" s="494"/>
      <c r="JEG238" s="494"/>
      <c r="JEH238" s="494"/>
      <c r="JEI238" s="494"/>
      <c r="JEJ238" s="494"/>
      <c r="JEK238" s="494"/>
      <c r="JEL238" s="494"/>
      <c r="JEM238" s="494"/>
      <c r="JEN238" s="494"/>
      <c r="JEO238" s="494"/>
      <c r="JEP238" s="494"/>
      <c r="JEQ238" s="494"/>
      <c r="JER238" s="494"/>
      <c r="JES238" s="494"/>
      <c r="JET238" s="494"/>
      <c r="JEU238" s="494"/>
      <c r="JEV238" s="494"/>
      <c r="JEW238" s="494"/>
      <c r="JEX238" s="494"/>
      <c r="JEY238" s="494"/>
      <c r="JEZ238" s="494"/>
      <c r="JFA238" s="494"/>
      <c r="JFB238" s="494"/>
      <c r="JFC238" s="494"/>
      <c r="JFD238" s="494"/>
      <c r="JFE238" s="494"/>
      <c r="JFF238" s="494"/>
      <c r="JFG238" s="494"/>
      <c r="JFH238" s="494"/>
      <c r="JFI238" s="494"/>
      <c r="JFJ238" s="494"/>
      <c r="JFK238" s="494"/>
      <c r="JFL238" s="494"/>
      <c r="JFM238" s="494"/>
      <c r="JFN238" s="494"/>
      <c r="JFO238" s="494"/>
      <c r="JFP238" s="494"/>
      <c r="JFQ238" s="494"/>
      <c r="JFR238" s="494"/>
      <c r="JFS238" s="494"/>
      <c r="JFT238" s="494"/>
      <c r="JFU238" s="494"/>
      <c r="JFV238" s="494"/>
      <c r="JFW238" s="494"/>
      <c r="JFX238" s="494"/>
      <c r="JFY238" s="494"/>
      <c r="JFZ238" s="494"/>
      <c r="JGA238" s="494"/>
      <c r="JGB238" s="494"/>
      <c r="JGC238" s="494"/>
      <c r="JGD238" s="494"/>
      <c r="JGE238" s="494"/>
      <c r="JGF238" s="494"/>
      <c r="JGG238" s="494"/>
      <c r="JGH238" s="494"/>
      <c r="JGI238" s="494"/>
      <c r="JGJ238" s="494"/>
      <c r="JGK238" s="494"/>
      <c r="JGL238" s="494"/>
      <c r="JGM238" s="494"/>
      <c r="JGN238" s="494"/>
      <c r="JGO238" s="494"/>
      <c r="JGP238" s="494"/>
      <c r="JGQ238" s="494"/>
      <c r="JGR238" s="494"/>
      <c r="JGS238" s="494"/>
      <c r="JGT238" s="494"/>
      <c r="JGU238" s="494"/>
      <c r="JGV238" s="494"/>
      <c r="JGW238" s="494"/>
      <c r="JGX238" s="494"/>
      <c r="JGY238" s="494"/>
      <c r="JGZ238" s="494"/>
      <c r="JHA238" s="494"/>
      <c r="JHB238" s="494"/>
      <c r="JHC238" s="494"/>
      <c r="JHD238" s="494"/>
      <c r="JHE238" s="494"/>
      <c r="JHF238" s="494"/>
      <c r="JHG238" s="494"/>
      <c r="JHH238" s="494"/>
      <c r="JHI238" s="494"/>
      <c r="JHJ238" s="494"/>
      <c r="JHK238" s="494"/>
      <c r="JHL238" s="494"/>
      <c r="JHM238" s="494"/>
      <c r="JHN238" s="494"/>
      <c r="JHO238" s="494"/>
      <c r="JHP238" s="494"/>
      <c r="JHQ238" s="494"/>
      <c r="JHR238" s="494"/>
      <c r="JHS238" s="494"/>
      <c r="JHT238" s="494"/>
      <c r="JHU238" s="494"/>
      <c r="JHV238" s="494"/>
      <c r="JHW238" s="494"/>
      <c r="JHX238" s="494"/>
      <c r="JHY238" s="494"/>
      <c r="JHZ238" s="494"/>
      <c r="JIA238" s="494"/>
      <c r="JIB238" s="494"/>
      <c r="JIC238" s="494"/>
      <c r="JID238" s="494"/>
      <c r="JIE238" s="494"/>
      <c r="JIF238" s="494"/>
      <c r="JIG238" s="494"/>
      <c r="JIH238" s="494"/>
      <c r="JII238" s="494"/>
      <c r="JIJ238" s="494"/>
      <c r="JIK238" s="494"/>
      <c r="JIL238" s="494"/>
      <c r="JIM238" s="494"/>
      <c r="JIN238" s="494"/>
      <c r="JIO238" s="494"/>
      <c r="JIP238" s="494"/>
      <c r="JIQ238" s="494"/>
      <c r="JIR238" s="494"/>
      <c r="JIS238" s="494"/>
      <c r="JIT238" s="494"/>
      <c r="JIU238" s="494"/>
      <c r="JIV238" s="494"/>
      <c r="JIW238" s="494"/>
      <c r="JIX238" s="494"/>
      <c r="JIY238" s="494"/>
      <c r="JIZ238" s="494"/>
      <c r="JJA238" s="494"/>
      <c r="JJB238" s="494"/>
      <c r="JJC238" s="494"/>
      <c r="JJD238" s="494"/>
      <c r="JJE238" s="494"/>
      <c r="JJF238" s="494"/>
      <c r="JJG238" s="494"/>
      <c r="JJH238" s="494"/>
      <c r="JJI238" s="494"/>
      <c r="JJJ238" s="494"/>
      <c r="JJK238" s="494"/>
      <c r="JJL238" s="494"/>
      <c r="JJM238" s="494"/>
      <c r="JJN238" s="494"/>
      <c r="JJO238" s="494"/>
      <c r="JJP238" s="494"/>
      <c r="JJQ238" s="494"/>
      <c r="JJR238" s="494"/>
      <c r="JJS238" s="494"/>
      <c r="JJT238" s="494"/>
      <c r="JJU238" s="494"/>
      <c r="JJV238" s="494"/>
      <c r="JJW238" s="494"/>
      <c r="JJX238" s="494"/>
      <c r="JJY238" s="494"/>
      <c r="JJZ238" s="494"/>
      <c r="JKA238" s="494"/>
      <c r="JKB238" s="494"/>
      <c r="JKC238" s="494"/>
      <c r="JKD238" s="494"/>
      <c r="JKE238" s="494"/>
      <c r="JKF238" s="494"/>
      <c r="JKG238" s="494"/>
      <c r="JKH238" s="494"/>
      <c r="JKI238" s="494"/>
      <c r="JKJ238" s="494"/>
      <c r="JKK238" s="494"/>
      <c r="JKL238" s="494"/>
      <c r="JKM238" s="494"/>
      <c r="JKN238" s="494"/>
      <c r="JKO238" s="494"/>
      <c r="JKP238" s="494"/>
      <c r="JKQ238" s="494"/>
      <c r="JKR238" s="494"/>
      <c r="JKS238" s="494"/>
      <c r="JKT238" s="494"/>
      <c r="JKU238" s="494"/>
      <c r="JKV238" s="494"/>
      <c r="JKW238" s="494"/>
      <c r="JKX238" s="494"/>
      <c r="JKY238" s="494"/>
      <c r="JKZ238" s="494"/>
      <c r="JLA238" s="494"/>
      <c r="JLB238" s="494"/>
      <c r="JLC238" s="494"/>
      <c r="JLD238" s="494"/>
      <c r="JLE238" s="494"/>
      <c r="JLF238" s="494"/>
      <c r="JLG238" s="494"/>
      <c r="JLH238" s="494"/>
      <c r="JLI238" s="494"/>
      <c r="JLJ238" s="494"/>
      <c r="JLK238" s="494"/>
      <c r="JLL238" s="494"/>
      <c r="JLM238" s="494"/>
      <c r="JLN238" s="494"/>
      <c r="JLO238" s="494"/>
      <c r="JLP238" s="494"/>
      <c r="JLQ238" s="494"/>
      <c r="JLR238" s="494"/>
      <c r="JLS238" s="494"/>
      <c r="JLT238" s="494"/>
      <c r="JLU238" s="494"/>
      <c r="JLV238" s="494"/>
      <c r="JLW238" s="494"/>
      <c r="JLX238" s="494"/>
      <c r="JLY238" s="494"/>
      <c r="JLZ238" s="494"/>
      <c r="JMA238" s="494"/>
      <c r="JMB238" s="494"/>
      <c r="JMC238" s="494"/>
      <c r="JMD238" s="494"/>
      <c r="JME238" s="494"/>
      <c r="JMF238" s="494"/>
      <c r="JMG238" s="494"/>
      <c r="JMH238" s="494"/>
      <c r="JMI238" s="494"/>
      <c r="JMJ238" s="494"/>
      <c r="JMK238" s="494"/>
      <c r="JML238" s="494"/>
      <c r="JMM238" s="494"/>
      <c r="JMN238" s="494"/>
      <c r="JMO238" s="494"/>
      <c r="JMP238" s="494"/>
      <c r="JMQ238" s="494"/>
      <c r="JMR238" s="494"/>
      <c r="JMS238" s="494"/>
      <c r="JMT238" s="494"/>
      <c r="JMU238" s="494"/>
      <c r="JMV238" s="494"/>
      <c r="JMW238" s="494"/>
      <c r="JMX238" s="494"/>
      <c r="JMY238" s="494"/>
      <c r="JMZ238" s="494"/>
      <c r="JNA238" s="494"/>
      <c r="JNB238" s="494"/>
      <c r="JNC238" s="494"/>
      <c r="JND238" s="494"/>
      <c r="JNE238" s="494"/>
      <c r="JNF238" s="494"/>
      <c r="JNG238" s="494"/>
      <c r="JNH238" s="494"/>
      <c r="JNI238" s="494"/>
      <c r="JNJ238" s="494"/>
      <c r="JNK238" s="494"/>
      <c r="JNL238" s="494"/>
      <c r="JNM238" s="494"/>
      <c r="JNN238" s="494"/>
      <c r="JNO238" s="494"/>
      <c r="JNP238" s="494"/>
      <c r="JNQ238" s="494"/>
      <c r="JNR238" s="494"/>
      <c r="JNS238" s="494"/>
      <c r="JNT238" s="494"/>
      <c r="JNU238" s="494"/>
      <c r="JNV238" s="494"/>
      <c r="JNW238" s="494"/>
      <c r="JNX238" s="494"/>
      <c r="JNY238" s="494"/>
      <c r="JNZ238" s="494"/>
      <c r="JOA238" s="494"/>
      <c r="JOB238" s="494"/>
      <c r="JOC238" s="494"/>
      <c r="JOD238" s="494"/>
      <c r="JOE238" s="494"/>
      <c r="JOF238" s="494"/>
      <c r="JOG238" s="494"/>
      <c r="JOH238" s="494"/>
      <c r="JOI238" s="494"/>
      <c r="JOJ238" s="494"/>
      <c r="JOK238" s="494"/>
      <c r="JOL238" s="494"/>
      <c r="JOM238" s="494"/>
      <c r="JON238" s="494"/>
      <c r="JOO238" s="494"/>
      <c r="JOP238" s="494"/>
      <c r="JOQ238" s="494"/>
      <c r="JOR238" s="494"/>
      <c r="JOS238" s="494"/>
      <c r="JOT238" s="494"/>
      <c r="JOU238" s="494"/>
      <c r="JOV238" s="494"/>
      <c r="JOW238" s="494"/>
      <c r="JOX238" s="494"/>
      <c r="JOY238" s="494"/>
      <c r="JOZ238" s="494"/>
      <c r="JPA238" s="494"/>
      <c r="JPB238" s="494"/>
      <c r="JPC238" s="494"/>
      <c r="JPD238" s="494"/>
      <c r="JPE238" s="494"/>
      <c r="JPF238" s="494"/>
      <c r="JPG238" s="494"/>
      <c r="JPH238" s="494"/>
      <c r="JPI238" s="494"/>
      <c r="JPJ238" s="494"/>
      <c r="JPK238" s="494"/>
      <c r="JPL238" s="494"/>
      <c r="JPM238" s="494"/>
      <c r="JPN238" s="494"/>
      <c r="JPO238" s="494"/>
      <c r="JPP238" s="494"/>
      <c r="JPQ238" s="494"/>
      <c r="JPR238" s="494"/>
      <c r="JPS238" s="494"/>
      <c r="JPT238" s="494"/>
      <c r="JPU238" s="494"/>
      <c r="JPV238" s="494"/>
      <c r="JPW238" s="494"/>
      <c r="JPX238" s="494"/>
      <c r="JPY238" s="494"/>
      <c r="JPZ238" s="494"/>
      <c r="JQA238" s="494"/>
      <c r="JQB238" s="494"/>
      <c r="JQC238" s="494"/>
      <c r="JQD238" s="494"/>
      <c r="JQE238" s="494"/>
      <c r="JQF238" s="494"/>
      <c r="JQG238" s="494"/>
      <c r="JQH238" s="494"/>
      <c r="JQI238" s="494"/>
      <c r="JQJ238" s="494"/>
      <c r="JQK238" s="494"/>
      <c r="JQL238" s="494"/>
      <c r="JQM238" s="494"/>
      <c r="JQN238" s="494"/>
      <c r="JQO238" s="494"/>
      <c r="JQP238" s="494"/>
      <c r="JQQ238" s="494"/>
      <c r="JQR238" s="494"/>
      <c r="JQS238" s="494"/>
      <c r="JQT238" s="494"/>
      <c r="JQU238" s="494"/>
      <c r="JQV238" s="494"/>
      <c r="JQW238" s="494"/>
      <c r="JQX238" s="494"/>
      <c r="JQY238" s="494"/>
      <c r="JQZ238" s="494"/>
      <c r="JRA238" s="494"/>
      <c r="JRB238" s="494"/>
      <c r="JRC238" s="494"/>
      <c r="JRD238" s="494"/>
      <c r="JRE238" s="494"/>
      <c r="JRF238" s="494"/>
      <c r="JRG238" s="494"/>
      <c r="JRH238" s="494"/>
      <c r="JRI238" s="494"/>
      <c r="JRJ238" s="494"/>
      <c r="JRK238" s="494"/>
      <c r="JRL238" s="494"/>
      <c r="JRM238" s="494"/>
      <c r="JRN238" s="494"/>
      <c r="JRO238" s="494"/>
      <c r="JRP238" s="494"/>
      <c r="JRQ238" s="494"/>
      <c r="JRR238" s="494"/>
      <c r="JRS238" s="494"/>
      <c r="JRT238" s="494"/>
      <c r="JRU238" s="494"/>
      <c r="JRV238" s="494"/>
      <c r="JRW238" s="494"/>
      <c r="JRX238" s="494"/>
      <c r="JRY238" s="494"/>
      <c r="JRZ238" s="494"/>
      <c r="JSA238" s="494"/>
      <c r="JSB238" s="494"/>
      <c r="JSC238" s="494"/>
      <c r="JSD238" s="494"/>
      <c r="JSE238" s="494"/>
      <c r="JSF238" s="494"/>
      <c r="JSG238" s="494"/>
      <c r="JSH238" s="494"/>
      <c r="JSI238" s="494"/>
      <c r="JSJ238" s="494"/>
      <c r="JSK238" s="494"/>
      <c r="JSL238" s="494"/>
      <c r="JSM238" s="494"/>
      <c r="JSN238" s="494"/>
      <c r="JSO238" s="494"/>
      <c r="JSP238" s="494"/>
      <c r="JSQ238" s="494"/>
      <c r="JSR238" s="494"/>
      <c r="JSS238" s="494"/>
      <c r="JST238" s="494"/>
      <c r="JSU238" s="494"/>
      <c r="JSV238" s="494"/>
      <c r="JSW238" s="494"/>
      <c r="JSX238" s="494"/>
      <c r="JSY238" s="494"/>
      <c r="JSZ238" s="494"/>
      <c r="JTA238" s="494"/>
      <c r="JTB238" s="494"/>
      <c r="JTC238" s="494"/>
      <c r="JTD238" s="494"/>
      <c r="JTE238" s="494"/>
      <c r="JTF238" s="494"/>
      <c r="JTG238" s="494"/>
      <c r="JTH238" s="494"/>
      <c r="JTI238" s="494"/>
      <c r="JTJ238" s="494"/>
      <c r="JTK238" s="494"/>
      <c r="JTL238" s="494"/>
      <c r="JTM238" s="494"/>
      <c r="JTN238" s="494"/>
      <c r="JTO238" s="494"/>
      <c r="JTP238" s="494"/>
      <c r="JTQ238" s="494"/>
      <c r="JTR238" s="494"/>
      <c r="JTS238" s="494"/>
      <c r="JTT238" s="494"/>
      <c r="JTU238" s="494"/>
      <c r="JTV238" s="494"/>
      <c r="JTW238" s="494"/>
      <c r="JTX238" s="494"/>
      <c r="JTY238" s="494"/>
      <c r="JTZ238" s="494"/>
      <c r="JUA238" s="494"/>
      <c r="JUB238" s="494"/>
      <c r="JUC238" s="494"/>
      <c r="JUD238" s="494"/>
      <c r="JUE238" s="494"/>
      <c r="JUF238" s="494"/>
      <c r="JUG238" s="494"/>
      <c r="JUH238" s="494"/>
      <c r="JUI238" s="494"/>
      <c r="JUJ238" s="494"/>
      <c r="JUK238" s="494"/>
      <c r="JUL238" s="494"/>
      <c r="JUM238" s="494"/>
      <c r="JUN238" s="494"/>
      <c r="JUO238" s="494"/>
      <c r="JUP238" s="494"/>
      <c r="JUQ238" s="494"/>
      <c r="JUR238" s="494"/>
      <c r="JUS238" s="494"/>
      <c r="JUT238" s="494"/>
      <c r="JUU238" s="494"/>
      <c r="JUV238" s="494"/>
      <c r="JUW238" s="494"/>
      <c r="JUX238" s="494"/>
      <c r="JUY238" s="494"/>
      <c r="JUZ238" s="494"/>
      <c r="JVA238" s="494"/>
      <c r="JVB238" s="494"/>
      <c r="JVC238" s="494"/>
      <c r="JVD238" s="494"/>
      <c r="JVE238" s="494"/>
      <c r="JVF238" s="494"/>
      <c r="JVG238" s="494"/>
      <c r="JVH238" s="494"/>
      <c r="JVI238" s="494"/>
      <c r="JVJ238" s="494"/>
      <c r="JVK238" s="494"/>
      <c r="JVL238" s="494"/>
      <c r="JVM238" s="494"/>
      <c r="JVN238" s="494"/>
      <c r="JVO238" s="494"/>
      <c r="JVP238" s="494"/>
      <c r="JVQ238" s="494"/>
      <c r="JVR238" s="494"/>
      <c r="JVS238" s="494"/>
      <c r="JVT238" s="494"/>
      <c r="JVU238" s="494"/>
      <c r="JVV238" s="494"/>
      <c r="JVW238" s="494"/>
      <c r="JVX238" s="494"/>
      <c r="JVY238" s="494"/>
      <c r="JVZ238" s="494"/>
      <c r="JWA238" s="494"/>
      <c r="JWB238" s="494"/>
      <c r="JWC238" s="494"/>
      <c r="JWD238" s="494"/>
      <c r="JWE238" s="494"/>
      <c r="JWF238" s="494"/>
      <c r="JWG238" s="494"/>
      <c r="JWH238" s="494"/>
      <c r="JWI238" s="494"/>
      <c r="JWJ238" s="494"/>
      <c r="JWK238" s="494"/>
      <c r="JWL238" s="494"/>
      <c r="JWM238" s="494"/>
      <c r="JWN238" s="494"/>
      <c r="JWO238" s="494"/>
      <c r="JWP238" s="494"/>
      <c r="JWQ238" s="494"/>
      <c r="JWR238" s="494"/>
      <c r="JWS238" s="494"/>
      <c r="JWT238" s="494"/>
      <c r="JWU238" s="494"/>
      <c r="JWV238" s="494"/>
      <c r="JWW238" s="494"/>
      <c r="JWX238" s="494"/>
      <c r="JWY238" s="494"/>
      <c r="JWZ238" s="494"/>
      <c r="JXA238" s="494"/>
      <c r="JXB238" s="494"/>
      <c r="JXC238" s="494"/>
      <c r="JXD238" s="494"/>
      <c r="JXE238" s="494"/>
      <c r="JXF238" s="494"/>
      <c r="JXG238" s="494"/>
      <c r="JXH238" s="494"/>
      <c r="JXI238" s="494"/>
      <c r="JXJ238" s="494"/>
      <c r="JXK238" s="494"/>
      <c r="JXL238" s="494"/>
      <c r="JXM238" s="494"/>
      <c r="JXN238" s="494"/>
      <c r="JXO238" s="494"/>
      <c r="JXP238" s="494"/>
      <c r="JXQ238" s="494"/>
      <c r="JXR238" s="494"/>
      <c r="JXS238" s="494"/>
      <c r="JXT238" s="494"/>
      <c r="JXU238" s="494"/>
      <c r="JXV238" s="494"/>
      <c r="JXW238" s="494"/>
      <c r="JXX238" s="494"/>
      <c r="JXY238" s="494"/>
      <c r="JXZ238" s="494"/>
      <c r="JYA238" s="494"/>
      <c r="JYB238" s="494"/>
      <c r="JYC238" s="494"/>
      <c r="JYD238" s="494"/>
      <c r="JYE238" s="494"/>
      <c r="JYF238" s="494"/>
      <c r="JYG238" s="494"/>
      <c r="JYH238" s="494"/>
      <c r="JYI238" s="494"/>
      <c r="JYJ238" s="494"/>
      <c r="JYK238" s="494"/>
      <c r="JYL238" s="494"/>
      <c r="JYM238" s="494"/>
      <c r="JYN238" s="494"/>
      <c r="JYO238" s="494"/>
      <c r="JYP238" s="494"/>
      <c r="JYQ238" s="494"/>
      <c r="JYR238" s="494"/>
      <c r="JYS238" s="494"/>
      <c r="JYT238" s="494"/>
      <c r="JYU238" s="494"/>
      <c r="JYV238" s="494"/>
      <c r="JYW238" s="494"/>
      <c r="JYX238" s="494"/>
      <c r="JYY238" s="494"/>
      <c r="JYZ238" s="494"/>
      <c r="JZA238" s="494"/>
      <c r="JZB238" s="494"/>
      <c r="JZC238" s="494"/>
      <c r="JZD238" s="494"/>
      <c r="JZE238" s="494"/>
      <c r="JZF238" s="494"/>
      <c r="JZG238" s="494"/>
      <c r="JZH238" s="494"/>
      <c r="JZI238" s="494"/>
      <c r="JZJ238" s="494"/>
      <c r="JZK238" s="494"/>
      <c r="JZL238" s="494"/>
      <c r="JZM238" s="494"/>
      <c r="JZN238" s="494"/>
      <c r="JZO238" s="494"/>
      <c r="JZP238" s="494"/>
      <c r="JZQ238" s="494"/>
      <c r="JZR238" s="494"/>
      <c r="JZS238" s="494"/>
      <c r="JZT238" s="494"/>
      <c r="JZU238" s="494"/>
      <c r="JZV238" s="494"/>
      <c r="JZW238" s="494"/>
      <c r="JZX238" s="494"/>
      <c r="JZY238" s="494"/>
      <c r="JZZ238" s="494"/>
      <c r="KAA238" s="494"/>
      <c r="KAB238" s="494"/>
      <c r="KAC238" s="494"/>
      <c r="KAD238" s="494"/>
      <c r="KAE238" s="494"/>
      <c r="KAF238" s="494"/>
      <c r="KAG238" s="494"/>
      <c r="KAH238" s="494"/>
      <c r="KAI238" s="494"/>
      <c r="KAJ238" s="494"/>
      <c r="KAK238" s="494"/>
      <c r="KAL238" s="494"/>
      <c r="KAM238" s="494"/>
      <c r="KAN238" s="494"/>
      <c r="KAO238" s="494"/>
      <c r="KAP238" s="494"/>
      <c r="KAQ238" s="494"/>
      <c r="KAR238" s="494"/>
      <c r="KAS238" s="494"/>
      <c r="KAT238" s="494"/>
      <c r="KAU238" s="494"/>
      <c r="KAV238" s="494"/>
      <c r="KAW238" s="494"/>
      <c r="KAX238" s="494"/>
      <c r="KAY238" s="494"/>
      <c r="KAZ238" s="494"/>
      <c r="KBA238" s="494"/>
      <c r="KBB238" s="494"/>
      <c r="KBC238" s="494"/>
      <c r="KBD238" s="494"/>
      <c r="KBE238" s="494"/>
      <c r="KBF238" s="494"/>
      <c r="KBG238" s="494"/>
      <c r="KBH238" s="494"/>
      <c r="KBI238" s="494"/>
      <c r="KBJ238" s="494"/>
      <c r="KBK238" s="494"/>
      <c r="KBL238" s="494"/>
      <c r="KBM238" s="494"/>
      <c r="KBN238" s="494"/>
      <c r="KBO238" s="494"/>
      <c r="KBP238" s="494"/>
      <c r="KBQ238" s="494"/>
      <c r="KBR238" s="494"/>
      <c r="KBS238" s="494"/>
      <c r="KBT238" s="494"/>
      <c r="KBU238" s="494"/>
      <c r="KBV238" s="494"/>
      <c r="KBW238" s="494"/>
      <c r="KBX238" s="494"/>
      <c r="KBY238" s="494"/>
      <c r="KBZ238" s="494"/>
      <c r="KCA238" s="494"/>
      <c r="KCB238" s="494"/>
      <c r="KCC238" s="494"/>
      <c r="KCD238" s="494"/>
      <c r="KCE238" s="494"/>
      <c r="KCF238" s="494"/>
      <c r="KCG238" s="494"/>
      <c r="KCH238" s="494"/>
      <c r="KCI238" s="494"/>
      <c r="KCJ238" s="494"/>
      <c r="KCK238" s="494"/>
      <c r="KCL238" s="494"/>
      <c r="KCM238" s="494"/>
      <c r="KCN238" s="494"/>
      <c r="KCO238" s="494"/>
      <c r="KCP238" s="494"/>
      <c r="KCQ238" s="494"/>
      <c r="KCR238" s="494"/>
      <c r="KCS238" s="494"/>
      <c r="KCT238" s="494"/>
      <c r="KCU238" s="494"/>
      <c r="KCV238" s="494"/>
      <c r="KCW238" s="494"/>
      <c r="KCX238" s="494"/>
      <c r="KCY238" s="494"/>
      <c r="KCZ238" s="494"/>
      <c r="KDA238" s="494"/>
      <c r="KDB238" s="494"/>
      <c r="KDC238" s="494"/>
      <c r="KDD238" s="494"/>
      <c r="KDE238" s="494"/>
      <c r="KDF238" s="494"/>
      <c r="KDG238" s="494"/>
      <c r="KDH238" s="494"/>
      <c r="KDI238" s="494"/>
      <c r="KDJ238" s="494"/>
      <c r="KDK238" s="494"/>
      <c r="KDL238" s="494"/>
      <c r="KDM238" s="494"/>
      <c r="KDN238" s="494"/>
      <c r="KDO238" s="494"/>
      <c r="KDP238" s="494"/>
      <c r="KDQ238" s="494"/>
      <c r="KDR238" s="494"/>
      <c r="KDS238" s="494"/>
      <c r="KDT238" s="494"/>
      <c r="KDU238" s="494"/>
      <c r="KDV238" s="494"/>
      <c r="KDW238" s="494"/>
      <c r="KDX238" s="494"/>
      <c r="KDY238" s="494"/>
      <c r="KDZ238" s="494"/>
      <c r="KEA238" s="494"/>
      <c r="KEB238" s="494"/>
      <c r="KEC238" s="494"/>
      <c r="KED238" s="494"/>
      <c r="KEE238" s="494"/>
      <c r="KEF238" s="494"/>
      <c r="KEG238" s="494"/>
      <c r="KEH238" s="494"/>
      <c r="KEI238" s="494"/>
      <c r="KEJ238" s="494"/>
      <c r="KEK238" s="494"/>
      <c r="KEL238" s="494"/>
      <c r="KEM238" s="494"/>
      <c r="KEN238" s="494"/>
      <c r="KEO238" s="494"/>
      <c r="KEP238" s="494"/>
      <c r="KEQ238" s="494"/>
      <c r="KER238" s="494"/>
      <c r="KES238" s="494"/>
      <c r="KET238" s="494"/>
      <c r="KEU238" s="494"/>
      <c r="KEV238" s="494"/>
      <c r="KEW238" s="494"/>
      <c r="KEX238" s="494"/>
      <c r="KEY238" s="494"/>
      <c r="KEZ238" s="494"/>
      <c r="KFA238" s="494"/>
      <c r="KFB238" s="494"/>
      <c r="KFC238" s="494"/>
      <c r="KFD238" s="494"/>
      <c r="KFE238" s="494"/>
      <c r="KFF238" s="494"/>
      <c r="KFG238" s="494"/>
      <c r="KFH238" s="494"/>
      <c r="KFI238" s="494"/>
      <c r="KFJ238" s="494"/>
      <c r="KFK238" s="494"/>
      <c r="KFL238" s="494"/>
      <c r="KFM238" s="494"/>
      <c r="KFN238" s="494"/>
      <c r="KFO238" s="494"/>
      <c r="KFP238" s="494"/>
      <c r="KFQ238" s="494"/>
      <c r="KFR238" s="494"/>
      <c r="KFS238" s="494"/>
      <c r="KFT238" s="494"/>
      <c r="KFU238" s="494"/>
      <c r="KFV238" s="494"/>
      <c r="KFW238" s="494"/>
      <c r="KFX238" s="494"/>
      <c r="KFY238" s="494"/>
      <c r="KFZ238" s="494"/>
      <c r="KGA238" s="494"/>
      <c r="KGB238" s="494"/>
      <c r="KGC238" s="494"/>
      <c r="KGD238" s="494"/>
      <c r="KGE238" s="494"/>
      <c r="KGF238" s="494"/>
      <c r="KGG238" s="494"/>
      <c r="KGH238" s="494"/>
      <c r="KGI238" s="494"/>
      <c r="KGJ238" s="494"/>
      <c r="KGK238" s="494"/>
      <c r="KGL238" s="494"/>
      <c r="KGM238" s="494"/>
      <c r="KGN238" s="494"/>
      <c r="KGO238" s="494"/>
      <c r="KGP238" s="494"/>
      <c r="KGQ238" s="494"/>
      <c r="KGR238" s="494"/>
      <c r="KGS238" s="494"/>
      <c r="KGT238" s="494"/>
      <c r="KGU238" s="494"/>
      <c r="KGV238" s="494"/>
      <c r="KGW238" s="494"/>
      <c r="KGX238" s="494"/>
      <c r="KGY238" s="494"/>
      <c r="KGZ238" s="494"/>
      <c r="KHA238" s="494"/>
      <c r="KHB238" s="494"/>
      <c r="KHC238" s="494"/>
      <c r="KHD238" s="494"/>
      <c r="KHE238" s="494"/>
      <c r="KHF238" s="494"/>
      <c r="KHG238" s="494"/>
      <c r="KHH238" s="494"/>
      <c r="KHI238" s="494"/>
      <c r="KHJ238" s="494"/>
      <c r="KHK238" s="494"/>
      <c r="KHL238" s="494"/>
      <c r="KHM238" s="494"/>
      <c r="KHN238" s="494"/>
      <c r="KHO238" s="494"/>
      <c r="KHP238" s="494"/>
      <c r="KHQ238" s="494"/>
      <c r="KHR238" s="494"/>
      <c r="KHS238" s="494"/>
      <c r="KHT238" s="494"/>
      <c r="KHU238" s="494"/>
      <c r="KHV238" s="494"/>
      <c r="KHW238" s="494"/>
      <c r="KHX238" s="494"/>
      <c r="KHY238" s="494"/>
      <c r="KHZ238" s="494"/>
      <c r="KIA238" s="494"/>
      <c r="KIB238" s="494"/>
      <c r="KIC238" s="494"/>
      <c r="KID238" s="494"/>
      <c r="KIE238" s="494"/>
      <c r="KIF238" s="494"/>
      <c r="KIG238" s="494"/>
      <c r="KIH238" s="494"/>
      <c r="KII238" s="494"/>
      <c r="KIJ238" s="494"/>
      <c r="KIK238" s="494"/>
      <c r="KIL238" s="494"/>
      <c r="KIM238" s="494"/>
      <c r="KIN238" s="494"/>
      <c r="KIO238" s="494"/>
      <c r="KIP238" s="494"/>
      <c r="KIQ238" s="494"/>
      <c r="KIR238" s="494"/>
      <c r="KIS238" s="494"/>
      <c r="KIT238" s="494"/>
      <c r="KIU238" s="494"/>
      <c r="KIV238" s="494"/>
      <c r="KIW238" s="494"/>
      <c r="KIX238" s="494"/>
      <c r="KIY238" s="494"/>
      <c r="KIZ238" s="494"/>
      <c r="KJA238" s="494"/>
      <c r="KJB238" s="494"/>
      <c r="KJC238" s="494"/>
      <c r="KJD238" s="494"/>
      <c r="KJE238" s="494"/>
      <c r="KJF238" s="494"/>
      <c r="KJG238" s="494"/>
      <c r="KJH238" s="494"/>
      <c r="KJI238" s="494"/>
      <c r="KJJ238" s="494"/>
      <c r="KJK238" s="494"/>
      <c r="KJL238" s="494"/>
      <c r="KJM238" s="494"/>
      <c r="KJN238" s="494"/>
      <c r="KJO238" s="494"/>
      <c r="KJP238" s="494"/>
      <c r="KJQ238" s="494"/>
      <c r="KJR238" s="494"/>
      <c r="KJS238" s="494"/>
      <c r="KJT238" s="494"/>
      <c r="KJU238" s="494"/>
      <c r="KJV238" s="494"/>
      <c r="KJW238" s="494"/>
      <c r="KJX238" s="494"/>
      <c r="KJY238" s="494"/>
      <c r="KJZ238" s="494"/>
      <c r="KKA238" s="494"/>
      <c r="KKB238" s="494"/>
      <c r="KKC238" s="494"/>
      <c r="KKD238" s="494"/>
      <c r="KKE238" s="494"/>
      <c r="KKF238" s="494"/>
      <c r="KKG238" s="494"/>
      <c r="KKH238" s="494"/>
      <c r="KKI238" s="494"/>
      <c r="KKJ238" s="494"/>
      <c r="KKK238" s="494"/>
      <c r="KKL238" s="494"/>
      <c r="KKM238" s="494"/>
      <c r="KKN238" s="494"/>
      <c r="KKO238" s="494"/>
      <c r="KKP238" s="494"/>
      <c r="KKQ238" s="494"/>
      <c r="KKR238" s="494"/>
      <c r="KKS238" s="494"/>
      <c r="KKT238" s="494"/>
      <c r="KKU238" s="494"/>
      <c r="KKV238" s="494"/>
      <c r="KKW238" s="494"/>
      <c r="KKX238" s="494"/>
      <c r="KKY238" s="494"/>
      <c r="KKZ238" s="494"/>
      <c r="KLA238" s="494"/>
      <c r="KLB238" s="494"/>
      <c r="KLC238" s="494"/>
      <c r="KLD238" s="494"/>
      <c r="KLE238" s="494"/>
      <c r="KLF238" s="494"/>
      <c r="KLG238" s="494"/>
      <c r="KLH238" s="494"/>
      <c r="KLI238" s="494"/>
      <c r="KLJ238" s="494"/>
      <c r="KLK238" s="494"/>
      <c r="KLL238" s="494"/>
      <c r="KLM238" s="494"/>
      <c r="KLN238" s="494"/>
      <c r="KLO238" s="494"/>
      <c r="KLP238" s="494"/>
      <c r="KLQ238" s="494"/>
      <c r="KLR238" s="494"/>
      <c r="KLS238" s="494"/>
      <c r="KLT238" s="494"/>
      <c r="KLU238" s="494"/>
      <c r="KLV238" s="494"/>
      <c r="KLW238" s="494"/>
      <c r="KLX238" s="494"/>
      <c r="KLY238" s="494"/>
      <c r="KLZ238" s="494"/>
      <c r="KMA238" s="494"/>
      <c r="KMB238" s="494"/>
      <c r="KMC238" s="494"/>
      <c r="KMD238" s="494"/>
      <c r="KME238" s="494"/>
      <c r="KMF238" s="494"/>
      <c r="KMG238" s="494"/>
      <c r="KMH238" s="494"/>
      <c r="KMI238" s="494"/>
      <c r="KMJ238" s="494"/>
      <c r="KMK238" s="494"/>
      <c r="KML238" s="494"/>
      <c r="KMM238" s="494"/>
      <c r="KMN238" s="494"/>
      <c r="KMO238" s="494"/>
      <c r="KMP238" s="494"/>
      <c r="KMQ238" s="494"/>
      <c r="KMR238" s="494"/>
      <c r="KMS238" s="494"/>
      <c r="KMT238" s="494"/>
      <c r="KMU238" s="494"/>
      <c r="KMV238" s="494"/>
      <c r="KMW238" s="494"/>
      <c r="KMX238" s="494"/>
      <c r="KMY238" s="494"/>
      <c r="KMZ238" s="494"/>
      <c r="KNA238" s="494"/>
      <c r="KNB238" s="494"/>
      <c r="KNC238" s="494"/>
      <c r="KND238" s="494"/>
      <c r="KNE238" s="494"/>
      <c r="KNF238" s="494"/>
      <c r="KNG238" s="494"/>
      <c r="KNH238" s="494"/>
      <c r="KNI238" s="494"/>
      <c r="KNJ238" s="494"/>
      <c r="KNK238" s="494"/>
      <c r="KNL238" s="494"/>
      <c r="KNM238" s="494"/>
      <c r="KNN238" s="494"/>
      <c r="KNO238" s="494"/>
      <c r="KNP238" s="494"/>
      <c r="KNQ238" s="494"/>
      <c r="KNR238" s="494"/>
      <c r="KNS238" s="494"/>
      <c r="KNT238" s="494"/>
      <c r="KNU238" s="494"/>
      <c r="KNV238" s="494"/>
      <c r="KNW238" s="494"/>
      <c r="KNX238" s="494"/>
      <c r="KNY238" s="494"/>
      <c r="KNZ238" s="494"/>
      <c r="KOA238" s="494"/>
      <c r="KOB238" s="494"/>
      <c r="KOC238" s="494"/>
      <c r="KOD238" s="494"/>
      <c r="KOE238" s="494"/>
      <c r="KOF238" s="494"/>
      <c r="KOG238" s="494"/>
      <c r="KOH238" s="494"/>
      <c r="KOI238" s="494"/>
      <c r="KOJ238" s="494"/>
      <c r="KOK238" s="494"/>
      <c r="KOL238" s="494"/>
      <c r="KOM238" s="494"/>
      <c r="KON238" s="494"/>
      <c r="KOO238" s="494"/>
      <c r="KOP238" s="494"/>
      <c r="KOQ238" s="494"/>
      <c r="KOR238" s="494"/>
      <c r="KOS238" s="494"/>
      <c r="KOT238" s="494"/>
      <c r="KOU238" s="494"/>
      <c r="KOV238" s="494"/>
      <c r="KOW238" s="494"/>
      <c r="KOX238" s="494"/>
      <c r="KOY238" s="494"/>
      <c r="KOZ238" s="494"/>
      <c r="KPA238" s="494"/>
      <c r="KPB238" s="494"/>
      <c r="KPC238" s="494"/>
      <c r="KPD238" s="494"/>
      <c r="KPE238" s="494"/>
      <c r="KPF238" s="494"/>
      <c r="KPG238" s="494"/>
      <c r="KPH238" s="494"/>
      <c r="KPI238" s="494"/>
      <c r="KPJ238" s="494"/>
      <c r="KPK238" s="494"/>
      <c r="KPL238" s="494"/>
      <c r="KPM238" s="494"/>
      <c r="KPN238" s="494"/>
      <c r="KPO238" s="494"/>
      <c r="KPP238" s="494"/>
      <c r="KPQ238" s="494"/>
      <c r="KPR238" s="494"/>
      <c r="KPS238" s="494"/>
      <c r="KPT238" s="494"/>
      <c r="KPU238" s="494"/>
      <c r="KPV238" s="494"/>
      <c r="KPW238" s="494"/>
      <c r="KPX238" s="494"/>
      <c r="KPY238" s="494"/>
      <c r="KPZ238" s="494"/>
      <c r="KQA238" s="494"/>
      <c r="KQB238" s="494"/>
      <c r="KQC238" s="494"/>
      <c r="KQD238" s="494"/>
      <c r="KQE238" s="494"/>
      <c r="KQF238" s="494"/>
      <c r="KQG238" s="494"/>
      <c r="KQH238" s="494"/>
      <c r="KQI238" s="494"/>
      <c r="KQJ238" s="494"/>
      <c r="KQK238" s="494"/>
      <c r="KQL238" s="494"/>
      <c r="KQM238" s="494"/>
      <c r="KQN238" s="494"/>
      <c r="KQO238" s="494"/>
      <c r="KQP238" s="494"/>
      <c r="KQQ238" s="494"/>
      <c r="KQR238" s="494"/>
      <c r="KQS238" s="494"/>
      <c r="KQT238" s="494"/>
      <c r="KQU238" s="494"/>
      <c r="KQV238" s="494"/>
      <c r="KQW238" s="494"/>
      <c r="KQX238" s="494"/>
      <c r="KQY238" s="494"/>
      <c r="KQZ238" s="494"/>
      <c r="KRA238" s="494"/>
      <c r="KRB238" s="494"/>
      <c r="KRC238" s="494"/>
      <c r="KRD238" s="494"/>
      <c r="KRE238" s="494"/>
      <c r="KRF238" s="494"/>
      <c r="KRG238" s="494"/>
      <c r="KRH238" s="494"/>
      <c r="KRI238" s="494"/>
      <c r="KRJ238" s="494"/>
      <c r="KRK238" s="494"/>
      <c r="KRL238" s="494"/>
      <c r="KRM238" s="494"/>
      <c r="KRN238" s="494"/>
      <c r="KRO238" s="494"/>
      <c r="KRP238" s="494"/>
      <c r="KRQ238" s="494"/>
      <c r="KRR238" s="494"/>
      <c r="KRS238" s="494"/>
      <c r="KRT238" s="494"/>
      <c r="KRU238" s="494"/>
      <c r="KRV238" s="494"/>
      <c r="KRW238" s="494"/>
      <c r="KRX238" s="494"/>
      <c r="KRY238" s="494"/>
      <c r="KRZ238" s="494"/>
      <c r="KSA238" s="494"/>
      <c r="KSB238" s="494"/>
      <c r="KSC238" s="494"/>
      <c r="KSD238" s="494"/>
      <c r="KSE238" s="494"/>
      <c r="KSF238" s="494"/>
      <c r="KSG238" s="494"/>
      <c r="KSH238" s="494"/>
      <c r="KSI238" s="494"/>
      <c r="KSJ238" s="494"/>
      <c r="KSK238" s="494"/>
      <c r="KSL238" s="494"/>
      <c r="KSM238" s="494"/>
      <c r="KSN238" s="494"/>
      <c r="KSO238" s="494"/>
      <c r="KSP238" s="494"/>
      <c r="KSQ238" s="494"/>
      <c r="KSR238" s="494"/>
      <c r="KSS238" s="494"/>
      <c r="KST238" s="494"/>
      <c r="KSU238" s="494"/>
      <c r="KSV238" s="494"/>
      <c r="KSW238" s="494"/>
      <c r="KSX238" s="494"/>
      <c r="KSY238" s="494"/>
      <c r="KSZ238" s="494"/>
      <c r="KTA238" s="494"/>
      <c r="KTB238" s="494"/>
      <c r="KTC238" s="494"/>
      <c r="KTD238" s="494"/>
      <c r="KTE238" s="494"/>
      <c r="KTF238" s="494"/>
      <c r="KTG238" s="494"/>
      <c r="KTH238" s="494"/>
      <c r="KTI238" s="494"/>
      <c r="KTJ238" s="494"/>
      <c r="KTK238" s="494"/>
      <c r="KTL238" s="494"/>
      <c r="KTM238" s="494"/>
      <c r="KTN238" s="494"/>
      <c r="KTO238" s="494"/>
      <c r="KTP238" s="494"/>
      <c r="KTQ238" s="494"/>
      <c r="KTR238" s="494"/>
      <c r="KTS238" s="494"/>
      <c r="KTT238" s="494"/>
      <c r="KTU238" s="494"/>
      <c r="KTV238" s="494"/>
      <c r="KTW238" s="494"/>
      <c r="KTX238" s="494"/>
      <c r="KTY238" s="494"/>
      <c r="KTZ238" s="494"/>
      <c r="KUA238" s="494"/>
      <c r="KUB238" s="494"/>
      <c r="KUC238" s="494"/>
      <c r="KUD238" s="494"/>
      <c r="KUE238" s="494"/>
      <c r="KUF238" s="494"/>
      <c r="KUG238" s="494"/>
      <c r="KUH238" s="494"/>
      <c r="KUI238" s="494"/>
      <c r="KUJ238" s="494"/>
      <c r="KUK238" s="494"/>
      <c r="KUL238" s="494"/>
      <c r="KUM238" s="494"/>
      <c r="KUN238" s="494"/>
      <c r="KUO238" s="494"/>
      <c r="KUP238" s="494"/>
      <c r="KUQ238" s="494"/>
      <c r="KUR238" s="494"/>
      <c r="KUS238" s="494"/>
      <c r="KUT238" s="494"/>
      <c r="KUU238" s="494"/>
      <c r="KUV238" s="494"/>
      <c r="KUW238" s="494"/>
      <c r="KUX238" s="494"/>
      <c r="KUY238" s="494"/>
      <c r="KUZ238" s="494"/>
      <c r="KVA238" s="494"/>
      <c r="KVB238" s="494"/>
      <c r="KVC238" s="494"/>
      <c r="KVD238" s="494"/>
      <c r="KVE238" s="494"/>
      <c r="KVF238" s="494"/>
      <c r="KVG238" s="494"/>
      <c r="KVH238" s="494"/>
      <c r="KVI238" s="494"/>
      <c r="KVJ238" s="494"/>
      <c r="KVK238" s="494"/>
      <c r="KVL238" s="494"/>
      <c r="KVM238" s="494"/>
      <c r="KVN238" s="494"/>
      <c r="KVO238" s="494"/>
      <c r="KVP238" s="494"/>
      <c r="KVQ238" s="494"/>
      <c r="KVR238" s="494"/>
      <c r="KVS238" s="494"/>
      <c r="KVT238" s="494"/>
      <c r="KVU238" s="494"/>
      <c r="KVV238" s="494"/>
      <c r="KVW238" s="494"/>
      <c r="KVX238" s="494"/>
      <c r="KVY238" s="494"/>
      <c r="KVZ238" s="494"/>
      <c r="KWA238" s="494"/>
      <c r="KWB238" s="494"/>
      <c r="KWC238" s="494"/>
      <c r="KWD238" s="494"/>
      <c r="KWE238" s="494"/>
      <c r="KWF238" s="494"/>
      <c r="KWG238" s="494"/>
      <c r="KWH238" s="494"/>
      <c r="KWI238" s="494"/>
      <c r="KWJ238" s="494"/>
      <c r="KWK238" s="494"/>
      <c r="KWL238" s="494"/>
      <c r="KWM238" s="494"/>
      <c r="KWN238" s="494"/>
      <c r="KWO238" s="494"/>
      <c r="KWP238" s="494"/>
      <c r="KWQ238" s="494"/>
      <c r="KWR238" s="494"/>
      <c r="KWS238" s="494"/>
      <c r="KWT238" s="494"/>
      <c r="KWU238" s="494"/>
      <c r="KWV238" s="494"/>
      <c r="KWW238" s="494"/>
      <c r="KWX238" s="494"/>
      <c r="KWY238" s="494"/>
      <c r="KWZ238" s="494"/>
      <c r="KXA238" s="494"/>
      <c r="KXB238" s="494"/>
      <c r="KXC238" s="494"/>
      <c r="KXD238" s="494"/>
      <c r="KXE238" s="494"/>
      <c r="KXF238" s="494"/>
      <c r="KXG238" s="494"/>
      <c r="KXH238" s="494"/>
      <c r="KXI238" s="494"/>
      <c r="KXJ238" s="494"/>
      <c r="KXK238" s="494"/>
      <c r="KXL238" s="494"/>
      <c r="KXM238" s="494"/>
      <c r="KXN238" s="494"/>
      <c r="KXO238" s="494"/>
      <c r="KXP238" s="494"/>
      <c r="KXQ238" s="494"/>
      <c r="KXR238" s="494"/>
      <c r="KXS238" s="494"/>
      <c r="KXT238" s="494"/>
      <c r="KXU238" s="494"/>
      <c r="KXV238" s="494"/>
      <c r="KXW238" s="494"/>
      <c r="KXX238" s="494"/>
      <c r="KXY238" s="494"/>
      <c r="KXZ238" s="494"/>
      <c r="KYA238" s="494"/>
      <c r="KYB238" s="494"/>
      <c r="KYC238" s="494"/>
      <c r="KYD238" s="494"/>
      <c r="KYE238" s="494"/>
      <c r="KYF238" s="494"/>
      <c r="KYG238" s="494"/>
      <c r="KYH238" s="494"/>
      <c r="KYI238" s="494"/>
      <c r="KYJ238" s="494"/>
      <c r="KYK238" s="494"/>
      <c r="KYL238" s="494"/>
      <c r="KYM238" s="494"/>
      <c r="KYN238" s="494"/>
      <c r="KYO238" s="494"/>
      <c r="KYP238" s="494"/>
      <c r="KYQ238" s="494"/>
      <c r="KYR238" s="494"/>
      <c r="KYS238" s="494"/>
      <c r="KYT238" s="494"/>
      <c r="KYU238" s="494"/>
      <c r="KYV238" s="494"/>
      <c r="KYW238" s="494"/>
      <c r="KYX238" s="494"/>
      <c r="KYY238" s="494"/>
      <c r="KYZ238" s="494"/>
      <c r="KZA238" s="494"/>
      <c r="KZB238" s="494"/>
      <c r="KZC238" s="494"/>
      <c r="KZD238" s="494"/>
      <c r="KZE238" s="494"/>
      <c r="KZF238" s="494"/>
      <c r="KZG238" s="494"/>
      <c r="KZH238" s="494"/>
      <c r="KZI238" s="494"/>
      <c r="KZJ238" s="494"/>
      <c r="KZK238" s="494"/>
      <c r="KZL238" s="494"/>
      <c r="KZM238" s="494"/>
      <c r="KZN238" s="494"/>
      <c r="KZO238" s="494"/>
      <c r="KZP238" s="494"/>
      <c r="KZQ238" s="494"/>
      <c r="KZR238" s="494"/>
      <c r="KZS238" s="494"/>
      <c r="KZT238" s="494"/>
      <c r="KZU238" s="494"/>
      <c r="KZV238" s="494"/>
      <c r="KZW238" s="494"/>
      <c r="KZX238" s="494"/>
      <c r="KZY238" s="494"/>
      <c r="KZZ238" s="494"/>
      <c r="LAA238" s="494"/>
      <c r="LAB238" s="494"/>
      <c r="LAC238" s="494"/>
      <c r="LAD238" s="494"/>
      <c r="LAE238" s="494"/>
      <c r="LAF238" s="494"/>
      <c r="LAG238" s="494"/>
      <c r="LAH238" s="494"/>
      <c r="LAI238" s="494"/>
      <c r="LAJ238" s="494"/>
      <c r="LAK238" s="494"/>
      <c r="LAL238" s="494"/>
      <c r="LAM238" s="494"/>
      <c r="LAN238" s="494"/>
      <c r="LAO238" s="494"/>
      <c r="LAP238" s="494"/>
      <c r="LAQ238" s="494"/>
      <c r="LAR238" s="494"/>
      <c r="LAS238" s="494"/>
      <c r="LAT238" s="494"/>
      <c r="LAU238" s="494"/>
      <c r="LAV238" s="494"/>
      <c r="LAW238" s="494"/>
      <c r="LAX238" s="494"/>
      <c r="LAY238" s="494"/>
      <c r="LAZ238" s="494"/>
      <c r="LBA238" s="494"/>
      <c r="LBB238" s="494"/>
      <c r="LBC238" s="494"/>
      <c r="LBD238" s="494"/>
      <c r="LBE238" s="494"/>
      <c r="LBF238" s="494"/>
      <c r="LBG238" s="494"/>
      <c r="LBH238" s="494"/>
      <c r="LBI238" s="494"/>
      <c r="LBJ238" s="494"/>
      <c r="LBK238" s="494"/>
      <c r="LBL238" s="494"/>
      <c r="LBM238" s="494"/>
      <c r="LBN238" s="494"/>
      <c r="LBO238" s="494"/>
      <c r="LBP238" s="494"/>
      <c r="LBQ238" s="494"/>
      <c r="LBR238" s="494"/>
      <c r="LBS238" s="494"/>
      <c r="LBT238" s="494"/>
      <c r="LBU238" s="494"/>
      <c r="LBV238" s="494"/>
      <c r="LBW238" s="494"/>
      <c r="LBX238" s="494"/>
      <c r="LBY238" s="494"/>
      <c r="LBZ238" s="494"/>
      <c r="LCA238" s="494"/>
      <c r="LCB238" s="494"/>
      <c r="LCC238" s="494"/>
      <c r="LCD238" s="494"/>
      <c r="LCE238" s="494"/>
      <c r="LCF238" s="494"/>
      <c r="LCG238" s="494"/>
      <c r="LCH238" s="494"/>
      <c r="LCI238" s="494"/>
      <c r="LCJ238" s="494"/>
      <c r="LCK238" s="494"/>
      <c r="LCL238" s="494"/>
      <c r="LCM238" s="494"/>
      <c r="LCN238" s="494"/>
      <c r="LCO238" s="494"/>
      <c r="LCP238" s="494"/>
      <c r="LCQ238" s="494"/>
      <c r="LCR238" s="494"/>
      <c r="LCS238" s="494"/>
      <c r="LCT238" s="494"/>
      <c r="LCU238" s="494"/>
      <c r="LCV238" s="494"/>
      <c r="LCW238" s="494"/>
      <c r="LCX238" s="494"/>
      <c r="LCY238" s="494"/>
      <c r="LCZ238" s="494"/>
      <c r="LDA238" s="494"/>
      <c r="LDB238" s="494"/>
      <c r="LDC238" s="494"/>
      <c r="LDD238" s="494"/>
      <c r="LDE238" s="494"/>
      <c r="LDF238" s="494"/>
      <c r="LDG238" s="494"/>
      <c r="LDH238" s="494"/>
      <c r="LDI238" s="494"/>
      <c r="LDJ238" s="494"/>
      <c r="LDK238" s="494"/>
      <c r="LDL238" s="494"/>
      <c r="LDM238" s="494"/>
      <c r="LDN238" s="494"/>
      <c r="LDO238" s="494"/>
      <c r="LDP238" s="494"/>
      <c r="LDQ238" s="494"/>
      <c r="LDR238" s="494"/>
      <c r="LDS238" s="494"/>
      <c r="LDT238" s="494"/>
      <c r="LDU238" s="494"/>
      <c r="LDV238" s="494"/>
      <c r="LDW238" s="494"/>
      <c r="LDX238" s="494"/>
      <c r="LDY238" s="494"/>
      <c r="LDZ238" s="494"/>
      <c r="LEA238" s="494"/>
      <c r="LEB238" s="494"/>
      <c r="LEC238" s="494"/>
      <c r="LED238" s="494"/>
      <c r="LEE238" s="494"/>
      <c r="LEF238" s="494"/>
      <c r="LEG238" s="494"/>
      <c r="LEH238" s="494"/>
      <c r="LEI238" s="494"/>
      <c r="LEJ238" s="494"/>
      <c r="LEK238" s="494"/>
      <c r="LEL238" s="494"/>
      <c r="LEM238" s="494"/>
      <c r="LEN238" s="494"/>
      <c r="LEO238" s="494"/>
      <c r="LEP238" s="494"/>
      <c r="LEQ238" s="494"/>
      <c r="LER238" s="494"/>
      <c r="LES238" s="494"/>
      <c r="LET238" s="494"/>
      <c r="LEU238" s="494"/>
      <c r="LEV238" s="494"/>
      <c r="LEW238" s="494"/>
      <c r="LEX238" s="494"/>
      <c r="LEY238" s="494"/>
      <c r="LEZ238" s="494"/>
      <c r="LFA238" s="494"/>
      <c r="LFB238" s="494"/>
      <c r="LFC238" s="494"/>
      <c r="LFD238" s="494"/>
      <c r="LFE238" s="494"/>
      <c r="LFF238" s="494"/>
      <c r="LFG238" s="494"/>
      <c r="LFH238" s="494"/>
      <c r="LFI238" s="494"/>
      <c r="LFJ238" s="494"/>
      <c r="LFK238" s="494"/>
      <c r="LFL238" s="494"/>
      <c r="LFM238" s="494"/>
      <c r="LFN238" s="494"/>
      <c r="LFO238" s="494"/>
      <c r="LFP238" s="494"/>
      <c r="LFQ238" s="494"/>
      <c r="LFR238" s="494"/>
      <c r="LFS238" s="494"/>
      <c r="LFT238" s="494"/>
      <c r="LFU238" s="494"/>
      <c r="LFV238" s="494"/>
      <c r="LFW238" s="494"/>
      <c r="LFX238" s="494"/>
      <c r="LFY238" s="494"/>
      <c r="LFZ238" s="494"/>
      <c r="LGA238" s="494"/>
      <c r="LGB238" s="494"/>
      <c r="LGC238" s="494"/>
      <c r="LGD238" s="494"/>
      <c r="LGE238" s="494"/>
      <c r="LGF238" s="494"/>
      <c r="LGG238" s="494"/>
      <c r="LGH238" s="494"/>
      <c r="LGI238" s="494"/>
      <c r="LGJ238" s="494"/>
      <c r="LGK238" s="494"/>
      <c r="LGL238" s="494"/>
      <c r="LGM238" s="494"/>
      <c r="LGN238" s="494"/>
      <c r="LGO238" s="494"/>
      <c r="LGP238" s="494"/>
      <c r="LGQ238" s="494"/>
      <c r="LGR238" s="494"/>
      <c r="LGS238" s="494"/>
      <c r="LGT238" s="494"/>
      <c r="LGU238" s="494"/>
      <c r="LGV238" s="494"/>
      <c r="LGW238" s="494"/>
      <c r="LGX238" s="494"/>
      <c r="LGY238" s="494"/>
      <c r="LGZ238" s="494"/>
      <c r="LHA238" s="494"/>
      <c r="LHB238" s="494"/>
      <c r="LHC238" s="494"/>
      <c r="LHD238" s="494"/>
      <c r="LHE238" s="494"/>
      <c r="LHF238" s="494"/>
      <c r="LHG238" s="494"/>
      <c r="LHH238" s="494"/>
      <c r="LHI238" s="494"/>
      <c r="LHJ238" s="494"/>
      <c r="LHK238" s="494"/>
      <c r="LHL238" s="494"/>
      <c r="LHM238" s="494"/>
      <c r="LHN238" s="494"/>
      <c r="LHO238" s="494"/>
      <c r="LHP238" s="494"/>
      <c r="LHQ238" s="494"/>
      <c r="LHR238" s="494"/>
      <c r="LHS238" s="494"/>
      <c r="LHT238" s="494"/>
      <c r="LHU238" s="494"/>
      <c r="LHV238" s="494"/>
      <c r="LHW238" s="494"/>
      <c r="LHX238" s="494"/>
      <c r="LHY238" s="494"/>
      <c r="LHZ238" s="494"/>
      <c r="LIA238" s="494"/>
      <c r="LIB238" s="494"/>
      <c r="LIC238" s="494"/>
      <c r="LID238" s="494"/>
      <c r="LIE238" s="494"/>
      <c r="LIF238" s="494"/>
      <c r="LIG238" s="494"/>
      <c r="LIH238" s="494"/>
      <c r="LII238" s="494"/>
      <c r="LIJ238" s="494"/>
      <c r="LIK238" s="494"/>
      <c r="LIL238" s="494"/>
      <c r="LIM238" s="494"/>
      <c r="LIN238" s="494"/>
      <c r="LIO238" s="494"/>
      <c r="LIP238" s="494"/>
      <c r="LIQ238" s="494"/>
      <c r="LIR238" s="494"/>
      <c r="LIS238" s="494"/>
      <c r="LIT238" s="494"/>
      <c r="LIU238" s="494"/>
      <c r="LIV238" s="494"/>
      <c r="LIW238" s="494"/>
      <c r="LIX238" s="494"/>
      <c r="LIY238" s="494"/>
      <c r="LIZ238" s="494"/>
      <c r="LJA238" s="494"/>
      <c r="LJB238" s="494"/>
      <c r="LJC238" s="494"/>
      <c r="LJD238" s="494"/>
      <c r="LJE238" s="494"/>
      <c r="LJF238" s="494"/>
      <c r="LJG238" s="494"/>
      <c r="LJH238" s="494"/>
      <c r="LJI238" s="494"/>
      <c r="LJJ238" s="494"/>
      <c r="LJK238" s="494"/>
      <c r="LJL238" s="494"/>
      <c r="LJM238" s="494"/>
      <c r="LJN238" s="494"/>
      <c r="LJO238" s="494"/>
      <c r="LJP238" s="494"/>
      <c r="LJQ238" s="494"/>
      <c r="LJR238" s="494"/>
      <c r="LJS238" s="494"/>
      <c r="LJT238" s="494"/>
      <c r="LJU238" s="494"/>
      <c r="LJV238" s="494"/>
      <c r="LJW238" s="494"/>
      <c r="LJX238" s="494"/>
      <c r="LJY238" s="494"/>
      <c r="LJZ238" s="494"/>
      <c r="LKA238" s="494"/>
      <c r="LKB238" s="494"/>
      <c r="LKC238" s="494"/>
      <c r="LKD238" s="494"/>
      <c r="LKE238" s="494"/>
      <c r="LKF238" s="494"/>
      <c r="LKG238" s="494"/>
      <c r="LKH238" s="494"/>
      <c r="LKI238" s="494"/>
      <c r="LKJ238" s="494"/>
      <c r="LKK238" s="494"/>
      <c r="LKL238" s="494"/>
      <c r="LKM238" s="494"/>
      <c r="LKN238" s="494"/>
      <c r="LKO238" s="494"/>
      <c r="LKP238" s="494"/>
      <c r="LKQ238" s="494"/>
      <c r="LKR238" s="494"/>
      <c r="LKS238" s="494"/>
      <c r="LKT238" s="494"/>
      <c r="LKU238" s="494"/>
      <c r="LKV238" s="494"/>
      <c r="LKW238" s="494"/>
      <c r="LKX238" s="494"/>
      <c r="LKY238" s="494"/>
      <c r="LKZ238" s="494"/>
      <c r="LLA238" s="494"/>
      <c r="LLB238" s="494"/>
      <c r="LLC238" s="494"/>
      <c r="LLD238" s="494"/>
      <c r="LLE238" s="494"/>
      <c r="LLF238" s="494"/>
      <c r="LLG238" s="494"/>
      <c r="LLH238" s="494"/>
      <c r="LLI238" s="494"/>
      <c r="LLJ238" s="494"/>
      <c r="LLK238" s="494"/>
      <c r="LLL238" s="494"/>
      <c r="LLM238" s="494"/>
      <c r="LLN238" s="494"/>
      <c r="LLO238" s="494"/>
      <c r="LLP238" s="494"/>
      <c r="LLQ238" s="494"/>
      <c r="LLR238" s="494"/>
      <c r="LLS238" s="494"/>
      <c r="LLT238" s="494"/>
      <c r="LLU238" s="494"/>
      <c r="LLV238" s="494"/>
      <c r="LLW238" s="494"/>
      <c r="LLX238" s="494"/>
      <c r="LLY238" s="494"/>
      <c r="LLZ238" s="494"/>
      <c r="LMA238" s="494"/>
      <c r="LMB238" s="494"/>
      <c r="LMC238" s="494"/>
      <c r="LMD238" s="494"/>
      <c r="LME238" s="494"/>
      <c r="LMF238" s="494"/>
      <c r="LMG238" s="494"/>
      <c r="LMH238" s="494"/>
      <c r="LMI238" s="494"/>
      <c r="LMJ238" s="494"/>
      <c r="LMK238" s="494"/>
      <c r="LML238" s="494"/>
      <c r="LMM238" s="494"/>
      <c r="LMN238" s="494"/>
      <c r="LMO238" s="494"/>
      <c r="LMP238" s="494"/>
      <c r="LMQ238" s="494"/>
      <c r="LMR238" s="494"/>
      <c r="LMS238" s="494"/>
      <c r="LMT238" s="494"/>
      <c r="LMU238" s="494"/>
      <c r="LMV238" s="494"/>
      <c r="LMW238" s="494"/>
      <c r="LMX238" s="494"/>
      <c r="LMY238" s="494"/>
      <c r="LMZ238" s="494"/>
      <c r="LNA238" s="494"/>
      <c r="LNB238" s="494"/>
      <c r="LNC238" s="494"/>
      <c r="LND238" s="494"/>
      <c r="LNE238" s="494"/>
      <c r="LNF238" s="494"/>
      <c r="LNG238" s="494"/>
      <c r="LNH238" s="494"/>
      <c r="LNI238" s="494"/>
      <c r="LNJ238" s="494"/>
      <c r="LNK238" s="494"/>
      <c r="LNL238" s="494"/>
      <c r="LNM238" s="494"/>
      <c r="LNN238" s="494"/>
      <c r="LNO238" s="494"/>
      <c r="LNP238" s="494"/>
      <c r="LNQ238" s="494"/>
      <c r="LNR238" s="494"/>
      <c r="LNS238" s="494"/>
      <c r="LNT238" s="494"/>
      <c r="LNU238" s="494"/>
      <c r="LNV238" s="494"/>
      <c r="LNW238" s="494"/>
      <c r="LNX238" s="494"/>
      <c r="LNY238" s="494"/>
      <c r="LNZ238" s="494"/>
      <c r="LOA238" s="494"/>
      <c r="LOB238" s="494"/>
      <c r="LOC238" s="494"/>
      <c r="LOD238" s="494"/>
      <c r="LOE238" s="494"/>
      <c r="LOF238" s="494"/>
      <c r="LOG238" s="494"/>
      <c r="LOH238" s="494"/>
      <c r="LOI238" s="494"/>
      <c r="LOJ238" s="494"/>
      <c r="LOK238" s="494"/>
      <c r="LOL238" s="494"/>
      <c r="LOM238" s="494"/>
      <c r="LON238" s="494"/>
      <c r="LOO238" s="494"/>
      <c r="LOP238" s="494"/>
      <c r="LOQ238" s="494"/>
      <c r="LOR238" s="494"/>
      <c r="LOS238" s="494"/>
      <c r="LOT238" s="494"/>
      <c r="LOU238" s="494"/>
      <c r="LOV238" s="494"/>
      <c r="LOW238" s="494"/>
      <c r="LOX238" s="494"/>
      <c r="LOY238" s="494"/>
      <c r="LOZ238" s="494"/>
      <c r="LPA238" s="494"/>
      <c r="LPB238" s="494"/>
      <c r="LPC238" s="494"/>
      <c r="LPD238" s="494"/>
      <c r="LPE238" s="494"/>
      <c r="LPF238" s="494"/>
      <c r="LPG238" s="494"/>
      <c r="LPH238" s="494"/>
      <c r="LPI238" s="494"/>
      <c r="LPJ238" s="494"/>
      <c r="LPK238" s="494"/>
      <c r="LPL238" s="494"/>
      <c r="LPM238" s="494"/>
      <c r="LPN238" s="494"/>
      <c r="LPO238" s="494"/>
      <c r="LPP238" s="494"/>
      <c r="LPQ238" s="494"/>
      <c r="LPR238" s="494"/>
      <c r="LPS238" s="494"/>
      <c r="LPT238" s="494"/>
      <c r="LPU238" s="494"/>
      <c r="LPV238" s="494"/>
      <c r="LPW238" s="494"/>
      <c r="LPX238" s="494"/>
      <c r="LPY238" s="494"/>
      <c r="LPZ238" s="494"/>
      <c r="LQA238" s="494"/>
      <c r="LQB238" s="494"/>
      <c r="LQC238" s="494"/>
      <c r="LQD238" s="494"/>
      <c r="LQE238" s="494"/>
      <c r="LQF238" s="494"/>
      <c r="LQG238" s="494"/>
      <c r="LQH238" s="494"/>
      <c r="LQI238" s="494"/>
      <c r="LQJ238" s="494"/>
      <c r="LQK238" s="494"/>
      <c r="LQL238" s="494"/>
      <c r="LQM238" s="494"/>
      <c r="LQN238" s="494"/>
      <c r="LQO238" s="494"/>
      <c r="LQP238" s="494"/>
      <c r="LQQ238" s="494"/>
      <c r="LQR238" s="494"/>
      <c r="LQS238" s="494"/>
      <c r="LQT238" s="494"/>
      <c r="LQU238" s="494"/>
      <c r="LQV238" s="494"/>
      <c r="LQW238" s="494"/>
      <c r="LQX238" s="494"/>
      <c r="LQY238" s="494"/>
      <c r="LQZ238" s="494"/>
      <c r="LRA238" s="494"/>
      <c r="LRB238" s="494"/>
      <c r="LRC238" s="494"/>
      <c r="LRD238" s="494"/>
      <c r="LRE238" s="494"/>
      <c r="LRF238" s="494"/>
      <c r="LRG238" s="494"/>
      <c r="LRH238" s="494"/>
      <c r="LRI238" s="494"/>
      <c r="LRJ238" s="494"/>
      <c r="LRK238" s="494"/>
      <c r="LRL238" s="494"/>
      <c r="LRM238" s="494"/>
      <c r="LRN238" s="494"/>
      <c r="LRO238" s="494"/>
      <c r="LRP238" s="494"/>
      <c r="LRQ238" s="494"/>
      <c r="LRR238" s="494"/>
      <c r="LRS238" s="494"/>
      <c r="LRT238" s="494"/>
      <c r="LRU238" s="494"/>
      <c r="LRV238" s="494"/>
      <c r="LRW238" s="494"/>
      <c r="LRX238" s="494"/>
      <c r="LRY238" s="494"/>
      <c r="LRZ238" s="494"/>
      <c r="LSA238" s="494"/>
      <c r="LSB238" s="494"/>
      <c r="LSC238" s="494"/>
      <c r="LSD238" s="494"/>
      <c r="LSE238" s="494"/>
      <c r="LSF238" s="494"/>
      <c r="LSG238" s="494"/>
      <c r="LSH238" s="494"/>
      <c r="LSI238" s="494"/>
      <c r="LSJ238" s="494"/>
      <c r="LSK238" s="494"/>
      <c r="LSL238" s="494"/>
      <c r="LSM238" s="494"/>
      <c r="LSN238" s="494"/>
      <c r="LSO238" s="494"/>
      <c r="LSP238" s="494"/>
      <c r="LSQ238" s="494"/>
      <c r="LSR238" s="494"/>
      <c r="LSS238" s="494"/>
      <c r="LST238" s="494"/>
      <c r="LSU238" s="494"/>
      <c r="LSV238" s="494"/>
      <c r="LSW238" s="494"/>
      <c r="LSX238" s="494"/>
      <c r="LSY238" s="494"/>
      <c r="LSZ238" s="494"/>
      <c r="LTA238" s="494"/>
      <c r="LTB238" s="494"/>
      <c r="LTC238" s="494"/>
      <c r="LTD238" s="494"/>
      <c r="LTE238" s="494"/>
      <c r="LTF238" s="494"/>
      <c r="LTG238" s="494"/>
      <c r="LTH238" s="494"/>
      <c r="LTI238" s="494"/>
      <c r="LTJ238" s="494"/>
      <c r="LTK238" s="494"/>
      <c r="LTL238" s="494"/>
      <c r="LTM238" s="494"/>
      <c r="LTN238" s="494"/>
      <c r="LTO238" s="494"/>
      <c r="LTP238" s="494"/>
      <c r="LTQ238" s="494"/>
      <c r="LTR238" s="494"/>
      <c r="LTS238" s="494"/>
      <c r="LTT238" s="494"/>
      <c r="LTU238" s="494"/>
      <c r="LTV238" s="494"/>
      <c r="LTW238" s="494"/>
      <c r="LTX238" s="494"/>
      <c r="LTY238" s="494"/>
      <c r="LTZ238" s="494"/>
      <c r="LUA238" s="494"/>
      <c r="LUB238" s="494"/>
      <c r="LUC238" s="494"/>
      <c r="LUD238" s="494"/>
      <c r="LUE238" s="494"/>
      <c r="LUF238" s="494"/>
      <c r="LUG238" s="494"/>
      <c r="LUH238" s="494"/>
      <c r="LUI238" s="494"/>
      <c r="LUJ238" s="494"/>
      <c r="LUK238" s="494"/>
      <c r="LUL238" s="494"/>
      <c r="LUM238" s="494"/>
      <c r="LUN238" s="494"/>
      <c r="LUO238" s="494"/>
      <c r="LUP238" s="494"/>
      <c r="LUQ238" s="494"/>
      <c r="LUR238" s="494"/>
      <c r="LUS238" s="494"/>
      <c r="LUT238" s="494"/>
      <c r="LUU238" s="494"/>
      <c r="LUV238" s="494"/>
      <c r="LUW238" s="494"/>
      <c r="LUX238" s="494"/>
      <c r="LUY238" s="494"/>
      <c r="LUZ238" s="494"/>
      <c r="LVA238" s="494"/>
      <c r="LVB238" s="494"/>
      <c r="LVC238" s="494"/>
      <c r="LVD238" s="494"/>
      <c r="LVE238" s="494"/>
      <c r="LVF238" s="494"/>
      <c r="LVG238" s="494"/>
      <c r="LVH238" s="494"/>
      <c r="LVI238" s="494"/>
      <c r="LVJ238" s="494"/>
      <c r="LVK238" s="494"/>
      <c r="LVL238" s="494"/>
      <c r="LVM238" s="494"/>
      <c r="LVN238" s="494"/>
      <c r="LVO238" s="494"/>
      <c r="LVP238" s="494"/>
      <c r="LVQ238" s="494"/>
      <c r="LVR238" s="494"/>
      <c r="LVS238" s="494"/>
      <c r="LVT238" s="494"/>
      <c r="LVU238" s="494"/>
      <c r="LVV238" s="494"/>
      <c r="LVW238" s="494"/>
      <c r="LVX238" s="494"/>
      <c r="LVY238" s="494"/>
      <c r="LVZ238" s="494"/>
      <c r="LWA238" s="494"/>
      <c r="LWB238" s="494"/>
      <c r="LWC238" s="494"/>
      <c r="LWD238" s="494"/>
      <c r="LWE238" s="494"/>
      <c r="LWF238" s="494"/>
      <c r="LWG238" s="494"/>
      <c r="LWH238" s="494"/>
      <c r="LWI238" s="494"/>
      <c r="LWJ238" s="494"/>
      <c r="LWK238" s="494"/>
      <c r="LWL238" s="494"/>
      <c r="LWM238" s="494"/>
      <c r="LWN238" s="494"/>
      <c r="LWO238" s="494"/>
      <c r="LWP238" s="494"/>
      <c r="LWQ238" s="494"/>
      <c r="LWR238" s="494"/>
      <c r="LWS238" s="494"/>
      <c r="LWT238" s="494"/>
      <c r="LWU238" s="494"/>
      <c r="LWV238" s="494"/>
      <c r="LWW238" s="494"/>
      <c r="LWX238" s="494"/>
      <c r="LWY238" s="494"/>
      <c r="LWZ238" s="494"/>
      <c r="LXA238" s="494"/>
      <c r="LXB238" s="494"/>
      <c r="LXC238" s="494"/>
      <c r="LXD238" s="494"/>
      <c r="LXE238" s="494"/>
      <c r="LXF238" s="494"/>
      <c r="LXG238" s="494"/>
      <c r="LXH238" s="494"/>
      <c r="LXI238" s="494"/>
      <c r="LXJ238" s="494"/>
      <c r="LXK238" s="494"/>
      <c r="LXL238" s="494"/>
      <c r="LXM238" s="494"/>
      <c r="LXN238" s="494"/>
      <c r="LXO238" s="494"/>
      <c r="LXP238" s="494"/>
      <c r="LXQ238" s="494"/>
      <c r="LXR238" s="494"/>
      <c r="LXS238" s="494"/>
      <c r="LXT238" s="494"/>
      <c r="LXU238" s="494"/>
      <c r="LXV238" s="494"/>
      <c r="LXW238" s="494"/>
      <c r="LXX238" s="494"/>
      <c r="LXY238" s="494"/>
      <c r="LXZ238" s="494"/>
      <c r="LYA238" s="494"/>
      <c r="LYB238" s="494"/>
      <c r="LYC238" s="494"/>
      <c r="LYD238" s="494"/>
      <c r="LYE238" s="494"/>
      <c r="LYF238" s="494"/>
      <c r="LYG238" s="494"/>
      <c r="LYH238" s="494"/>
      <c r="LYI238" s="494"/>
      <c r="LYJ238" s="494"/>
      <c r="LYK238" s="494"/>
      <c r="LYL238" s="494"/>
      <c r="LYM238" s="494"/>
      <c r="LYN238" s="494"/>
      <c r="LYO238" s="494"/>
      <c r="LYP238" s="494"/>
      <c r="LYQ238" s="494"/>
      <c r="LYR238" s="494"/>
      <c r="LYS238" s="494"/>
      <c r="LYT238" s="494"/>
      <c r="LYU238" s="494"/>
      <c r="LYV238" s="494"/>
      <c r="LYW238" s="494"/>
      <c r="LYX238" s="494"/>
      <c r="LYY238" s="494"/>
      <c r="LYZ238" s="494"/>
      <c r="LZA238" s="494"/>
      <c r="LZB238" s="494"/>
      <c r="LZC238" s="494"/>
      <c r="LZD238" s="494"/>
      <c r="LZE238" s="494"/>
      <c r="LZF238" s="494"/>
      <c r="LZG238" s="494"/>
      <c r="LZH238" s="494"/>
      <c r="LZI238" s="494"/>
      <c r="LZJ238" s="494"/>
      <c r="LZK238" s="494"/>
      <c r="LZL238" s="494"/>
      <c r="LZM238" s="494"/>
      <c r="LZN238" s="494"/>
      <c r="LZO238" s="494"/>
      <c r="LZP238" s="494"/>
      <c r="LZQ238" s="494"/>
      <c r="LZR238" s="494"/>
      <c r="LZS238" s="494"/>
      <c r="LZT238" s="494"/>
      <c r="LZU238" s="494"/>
      <c r="LZV238" s="494"/>
      <c r="LZW238" s="494"/>
      <c r="LZX238" s="494"/>
      <c r="LZY238" s="494"/>
      <c r="LZZ238" s="494"/>
      <c r="MAA238" s="494"/>
      <c r="MAB238" s="494"/>
      <c r="MAC238" s="494"/>
      <c r="MAD238" s="494"/>
      <c r="MAE238" s="494"/>
      <c r="MAF238" s="494"/>
      <c r="MAG238" s="494"/>
      <c r="MAH238" s="494"/>
      <c r="MAI238" s="494"/>
      <c r="MAJ238" s="494"/>
      <c r="MAK238" s="494"/>
      <c r="MAL238" s="494"/>
      <c r="MAM238" s="494"/>
      <c r="MAN238" s="494"/>
      <c r="MAO238" s="494"/>
      <c r="MAP238" s="494"/>
      <c r="MAQ238" s="494"/>
      <c r="MAR238" s="494"/>
      <c r="MAS238" s="494"/>
      <c r="MAT238" s="494"/>
      <c r="MAU238" s="494"/>
      <c r="MAV238" s="494"/>
      <c r="MAW238" s="494"/>
      <c r="MAX238" s="494"/>
      <c r="MAY238" s="494"/>
      <c r="MAZ238" s="494"/>
      <c r="MBA238" s="494"/>
      <c r="MBB238" s="494"/>
      <c r="MBC238" s="494"/>
      <c r="MBD238" s="494"/>
      <c r="MBE238" s="494"/>
      <c r="MBF238" s="494"/>
      <c r="MBG238" s="494"/>
      <c r="MBH238" s="494"/>
      <c r="MBI238" s="494"/>
      <c r="MBJ238" s="494"/>
      <c r="MBK238" s="494"/>
      <c r="MBL238" s="494"/>
      <c r="MBM238" s="494"/>
      <c r="MBN238" s="494"/>
      <c r="MBO238" s="494"/>
      <c r="MBP238" s="494"/>
      <c r="MBQ238" s="494"/>
      <c r="MBR238" s="494"/>
      <c r="MBS238" s="494"/>
      <c r="MBT238" s="494"/>
      <c r="MBU238" s="494"/>
      <c r="MBV238" s="494"/>
      <c r="MBW238" s="494"/>
      <c r="MBX238" s="494"/>
      <c r="MBY238" s="494"/>
      <c r="MBZ238" s="494"/>
      <c r="MCA238" s="494"/>
      <c r="MCB238" s="494"/>
      <c r="MCC238" s="494"/>
      <c r="MCD238" s="494"/>
      <c r="MCE238" s="494"/>
      <c r="MCF238" s="494"/>
      <c r="MCG238" s="494"/>
      <c r="MCH238" s="494"/>
      <c r="MCI238" s="494"/>
      <c r="MCJ238" s="494"/>
      <c r="MCK238" s="494"/>
      <c r="MCL238" s="494"/>
      <c r="MCM238" s="494"/>
      <c r="MCN238" s="494"/>
      <c r="MCO238" s="494"/>
      <c r="MCP238" s="494"/>
      <c r="MCQ238" s="494"/>
      <c r="MCR238" s="494"/>
      <c r="MCS238" s="494"/>
      <c r="MCT238" s="494"/>
      <c r="MCU238" s="494"/>
      <c r="MCV238" s="494"/>
      <c r="MCW238" s="494"/>
      <c r="MCX238" s="494"/>
      <c r="MCY238" s="494"/>
      <c r="MCZ238" s="494"/>
      <c r="MDA238" s="494"/>
      <c r="MDB238" s="494"/>
      <c r="MDC238" s="494"/>
      <c r="MDD238" s="494"/>
      <c r="MDE238" s="494"/>
      <c r="MDF238" s="494"/>
      <c r="MDG238" s="494"/>
      <c r="MDH238" s="494"/>
      <c r="MDI238" s="494"/>
      <c r="MDJ238" s="494"/>
      <c r="MDK238" s="494"/>
      <c r="MDL238" s="494"/>
      <c r="MDM238" s="494"/>
      <c r="MDN238" s="494"/>
      <c r="MDO238" s="494"/>
      <c r="MDP238" s="494"/>
      <c r="MDQ238" s="494"/>
      <c r="MDR238" s="494"/>
      <c r="MDS238" s="494"/>
      <c r="MDT238" s="494"/>
      <c r="MDU238" s="494"/>
      <c r="MDV238" s="494"/>
      <c r="MDW238" s="494"/>
      <c r="MDX238" s="494"/>
      <c r="MDY238" s="494"/>
      <c r="MDZ238" s="494"/>
      <c r="MEA238" s="494"/>
      <c r="MEB238" s="494"/>
      <c r="MEC238" s="494"/>
      <c r="MED238" s="494"/>
      <c r="MEE238" s="494"/>
      <c r="MEF238" s="494"/>
      <c r="MEG238" s="494"/>
      <c r="MEH238" s="494"/>
      <c r="MEI238" s="494"/>
      <c r="MEJ238" s="494"/>
      <c r="MEK238" s="494"/>
      <c r="MEL238" s="494"/>
      <c r="MEM238" s="494"/>
      <c r="MEN238" s="494"/>
      <c r="MEO238" s="494"/>
      <c r="MEP238" s="494"/>
      <c r="MEQ238" s="494"/>
      <c r="MER238" s="494"/>
      <c r="MES238" s="494"/>
      <c r="MET238" s="494"/>
      <c r="MEU238" s="494"/>
      <c r="MEV238" s="494"/>
      <c r="MEW238" s="494"/>
      <c r="MEX238" s="494"/>
      <c r="MEY238" s="494"/>
      <c r="MEZ238" s="494"/>
      <c r="MFA238" s="494"/>
      <c r="MFB238" s="494"/>
      <c r="MFC238" s="494"/>
      <c r="MFD238" s="494"/>
      <c r="MFE238" s="494"/>
      <c r="MFF238" s="494"/>
      <c r="MFG238" s="494"/>
      <c r="MFH238" s="494"/>
      <c r="MFI238" s="494"/>
      <c r="MFJ238" s="494"/>
      <c r="MFK238" s="494"/>
      <c r="MFL238" s="494"/>
      <c r="MFM238" s="494"/>
      <c r="MFN238" s="494"/>
      <c r="MFO238" s="494"/>
      <c r="MFP238" s="494"/>
      <c r="MFQ238" s="494"/>
      <c r="MFR238" s="494"/>
      <c r="MFS238" s="494"/>
      <c r="MFT238" s="494"/>
      <c r="MFU238" s="494"/>
      <c r="MFV238" s="494"/>
      <c r="MFW238" s="494"/>
      <c r="MFX238" s="494"/>
      <c r="MFY238" s="494"/>
      <c r="MFZ238" s="494"/>
      <c r="MGA238" s="494"/>
      <c r="MGB238" s="494"/>
      <c r="MGC238" s="494"/>
      <c r="MGD238" s="494"/>
      <c r="MGE238" s="494"/>
      <c r="MGF238" s="494"/>
      <c r="MGG238" s="494"/>
      <c r="MGH238" s="494"/>
      <c r="MGI238" s="494"/>
      <c r="MGJ238" s="494"/>
      <c r="MGK238" s="494"/>
      <c r="MGL238" s="494"/>
      <c r="MGM238" s="494"/>
      <c r="MGN238" s="494"/>
      <c r="MGO238" s="494"/>
      <c r="MGP238" s="494"/>
      <c r="MGQ238" s="494"/>
      <c r="MGR238" s="494"/>
      <c r="MGS238" s="494"/>
      <c r="MGT238" s="494"/>
      <c r="MGU238" s="494"/>
      <c r="MGV238" s="494"/>
      <c r="MGW238" s="494"/>
      <c r="MGX238" s="494"/>
      <c r="MGY238" s="494"/>
      <c r="MGZ238" s="494"/>
      <c r="MHA238" s="494"/>
      <c r="MHB238" s="494"/>
      <c r="MHC238" s="494"/>
      <c r="MHD238" s="494"/>
      <c r="MHE238" s="494"/>
      <c r="MHF238" s="494"/>
      <c r="MHG238" s="494"/>
      <c r="MHH238" s="494"/>
      <c r="MHI238" s="494"/>
      <c r="MHJ238" s="494"/>
      <c r="MHK238" s="494"/>
      <c r="MHL238" s="494"/>
      <c r="MHM238" s="494"/>
      <c r="MHN238" s="494"/>
      <c r="MHO238" s="494"/>
      <c r="MHP238" s="494"/>
      <c r="MHQ238" s="494"/>
      <c r="MHR238" s="494"/>
      <c r="MHS238" s="494"/>
      <c r="MHT238" s="494"/>
      <c r="MHU238" s="494"/>
      <c r="MHV238" s="494"/>
      <c r="MHW238" s="494"/>
      <c r="MHX238" s="494"/>
      <c r="MHY238" s="494"/>
      <c r="MHZ238" s="494"/>
      <c r="MIA238" s="494"/>
      <c r="MIB238" s="494"/>
      <c r="MIC238" s="494"/>
      <c r="MID238" s="494"/>
      <c r="MIE238" s="494"/>
      <c r="MIF238" s="494"/>
      <c r="MIG238" s="494"/>
      <c r="MIH238" s="494"/>
      <c r="MII238" s="494"/>
      <c r="MIJ238" s="494"/>
      <c r="MIK238" s="494"/>
      <c r="MIL238" s="494"/>
      <c r="MIM238" s="494"/>
      <c r="MIN238" s="494"/>
      <c r="MIO238" s="494"/>
      <c r="MIP238" s="494"/>
      <c r="MIQ238" s="494"/>
      <c r="MIR238" s="494"/>
      <c r="MIS238" s="494"/>
      <c r="MIT238" s="494"/>
      <c r="MIU238" s="494"/>
      <c r="MIV238" s="494"/>
      <c r="MIW238" s="494"/>
      <c r="MIX238" s="494"/>
      <c r="MIY238" s="494"/>
      <c r="MIZ238" s="494"/>
      <c r="MJA238" s="494"/>
      <c r="MJB238" s="494"/>
      <c r="MJC238" s="494"/>
      <c r="MJD238" s="494"/>
      <c r="MJE238" s="494"/>
      <c r="MJF238" s="494"/>
      <c r="MJG238" s="494"/>
      <c r="MJH238" s="494"/>
      <c r="MJI238" s="494"/>
      <c r="MJJ238" s="494"/>
      <c r="MJK238" s="494"/>
      <c r="MJL238" s="494"/>
      <c r="MJM238" s="494"/>
      <c r="MJN238" s="494"/>
      <c r="MJO238" s="494"/>
      <c r="MJP238" s="494"/>
      <c r="MJQ238" s="494"/>
      <c r="MJR238" s="494"/>
      <c r="MJS238" s="494"/>
      <c r="MJT238" s="494"/>
      <c r="MJU238" s="494"/>
      <c r="MJV238" s="494"/>
      <c r="MJW238" s="494"/>
      <c r="MJX238" s="494"/>
      <c r="MJY238" s="494"/>
      <c r="MJZ238" s="494"/>
      <c r="MKA238" s="494"/>
      <c r="MKB238" s="494"/>
      <c r="MKC238" s="494"/>
      <c r="MKD238" s="494"/>
      <c r="MKE238" s="494"/>
      <c r="MKF238" s="494"/>
      <c r="MKG238" s="494"/>
      <c r="MKH238" s="494"/>
      <c r="MKI238" s="494"/>
      <c r="MKJ238" s="494"/>
      <c r="MKK238" s="494"/>
      <c r="MKL238" s="494"/>
      <c r="MKM238" s="494"/>
      <c r="MKN238" s="494"/>
      <c r="MKO238" s="494"/>
      <c r="MKP238" s="494"/>
      <c r="MKQ238" s="494"/>
      <c r="MKR238" s="494"/>
      <c r="MKS238" s="494"/>
      <c r="MKT238" s="494"/>
      <c r="MKU238" s="494"/>
      <c r="MKV238" s="494"/>
      <c r="MKW238" s="494"/>
      <c r="MKX238" s="494"/>
      <c r="MKY238" s="494"/>
      <c r="MKZ238" s="494"/>
      <c r="MLA238" s="494"/>
      <c r="MLB238" s="494"/>
      <c r="MLC238" s="494"/>
      <c r="MLD238" s="494"/>
      <c r="MLE238" s="494"/>
      <c r="MLF238" s="494"/>
      <c r="MLG238" s="494"/>
      <c r="MLH238" s="494"/>
      <c r="MLI238" s="494"/>
      <c r="MLJ238" s="494"/>
      <c r="MLK238" s="494"/>
      <c r="MLL238" s="494"/>
      <c r="MLM238" s="494"/>
      <c r="MLN238" s="494"/>
      <c r="MLO238" s="494"/>
      <c r="MLP238" s="494"/>
      <c r="MLQ238" s="494"/>
      <c r="MLR238" s="494"/>
      <c r="MLS238" s="494"/>
      <c r="MLT238" s="494"/>
      <c r="MLU238" s="494"/>
      <c r="MLV238" s="494"/>
      <c r="MLW238" s="494"/>
      <c r="MLX238" s="494"/>
      <c r="MLY238" s="494"/>
      <c r="MLZ238" s="494"/>
      <c r="MMA238" s="494"/>
      <c r="MMB238" s="494"/>
      <c r="MMC238" s="494"/>
      <c r="MMD238" s="494"/>
      <c r="MME238" s="494"/>
      <c r="MMF238" s="494"/>
      <c r="MMG238" s="494"/>
      <c r="MMH238" s="494"/>
      <c r="MMI238" s="494"/>
      <c r="MMJ238" s="494"/>
      <c r="MMK238" s="494"/>
      <c r="MML238" s="494"/>
      <c r="MMM238" s="494"/>
      <c r="MMN238" s="494"/>
      <c r="MMO238" s="494"/>
      <c r="MMP238" s="494"/>
      <c r="MMQ238" s="494"/>
      <c r="MMR238" s="494"/>
      <c r="MMS238" s="494"/>
      <c r="MMT238" s="494"/>
      <c r="MMU238" s="494"/>
      <c r="MMV238" s="494"/>
      <c r="MMW238" s="494"/>
      <c r="MMX238" s="494"/>
      <c r="MMY238" s="494"/>
      <c r="MMZ238" s="494"/>
      <c r="MNA238" s="494"/>
      <c r="MNB238" s="494"/>
      <c r="MNC238" s="494"/>
      <c r="MND238" s="494"/>
      <c r="MNE238" s="494"/>
      <c r="MNF238" s="494"/>
      <c r="MNG238" s="494"/>
      <c r="MNH238" s="494"/>
      <c r="MNI238" s="494"/>
      <c r="MNJ238" s="494"/>
      <c r="MNK238" s="494"/>
      <c r="MNL238" s="494"/>
      <c r="MNM238" s="494"/>
      <c r="MNN238" s="494"/>
      <c r="MNO238" s="494"/>
      <c r="MNP238" s="494"/>
      <c r="MNQ238" s="494"/>
      <c r="MNR238" s="494"/>
      <c r="MNS238" s="494"/>
      <c r="MNT238" s="494"/>
      <c r="MNU238" s="494"/>
      <c r="MNV238" s="494"/>
      <c r="MNW238" s="494"/>
      <c r="MNX238" s="494"/>
      <c r="MNY238" s="494"/>
      <c r="MNZ238" s="494"/>
      <c r="MOA238" s="494"/>
      <c r="MOB238" s="494"/>
      <c r="MOC238" s="494"/>
      <c r="MOD238" s="494"/>
      <c r="MOE238" s="494"/>
      <c r="MOF238" s="494"/>
      <c r="MOG238" s="494"/>
      <c r="MOH238" s="494"/>
      <c r="MOI238" s="494"/>
      <c r="MOJ238" s="494"/>
      <c r="MOK238" s="494"/>
      <c r="MOL238" s="494"/>
      <c r="MOM238" s="494"/>
      <c r="MON238" s="494"/>
      <c r="MOO238" s="494"/>
      <c r="MOP238" s="494"/>
      <c r="MOQ238" s="494"/>
      <c r="MOR238" s="494"/>
      <c r="MOS238" s="494"/>
      <c r="MOT238" s="494"/>
      <c r="MOU238" s="494"/>
      <c r="MOV238" s="494"/>
      <c r="MOW238" s="494"/>
      <c r="MOX238" s="494"/>
      <c r="MOY238" s="494"/>
      <c r="MOZ238" s="494"/>
      <c r="MPA238" s="494"/>
      <c r="MPB238" s="494"/>
      <c r="MPC238" s="494"/>
      <c r="MPD238" s="494"/>
      <c r="MPE238" s="494"/>
      <c r="MPF238" s="494"/>
      <c r="MPG238" s="494"/>
      <c r="MPH238" s="494"/>
      <c r="MPI238" s="494"/>
      <c r="MPJ238" s="494"/>
      <c r="MPK238" s="494"/>
      <c r="MPL238" s="494"/>
      <c r="MPM238" s="494"/>
      <c r="MPN238" s="494"/>
      <c r="MPO238" s="494"/>
      <c r="MPP238" s="494"/>
      <c r="MPQ238" s="494"/>
      <c r="MPR238" s="494"/>
      <c r="MPS238" s="494"/>
      <c r="MPT238" s="494"/>
      <c r="MPU238" s="494"/>
      <c r="MPV238" s="494"/>
      <c r="MPW238" s="494"/>
      <c r="MPX238" s="494"/>
      <c r="MPY238" s="494"/>
      <c r="MPZ238" s="494"/>
      <c r="MQA238" s="494"/>
      <c r="MQB238" s="494"/>
      <c r="MQC238" s="494"/>
      <c r="MQD238" s="494"/>
      <c r="MQE238" s="494"/>
      <c r="MQF238" s="494"/>
      <c r="MQG238" s="494"/>
      <c r="MQH238" s="494"/>
      <c r="MQI238" s="494"/>
      <c r="MQJ238" s="494"/>
      <c r="MQK238" s="494"/>
      <c r="MQL238" s="494"/>
      <c r="MQM238" s="494"/>
      <c r="MQN238" s="494"/>
      <c r="MQO238" s="494"/>
      <c r="MQP238" s="494"/>
      <c r="MQQ238" s="494"/>
      <c r="MQR238" s="494"/>
      <c r="MQS238" s="494"/>
      <c r="MQT238" s="494"/>
      <c r="MQU238" s="494"/>
      <c r="MQV238" s="494"/>
      <c r="MQW238" s="494"/>
      <c r="MQX238" s="494"/>
      <c r="MQY238" s="494"/>
      <c r="MQZ238" s="494"/>
      <c r="MRA238" s="494"/>
      <c r="MRB238" s="494"/>
      <c r="MRC238" s="494"/>
      <c r="MRD238" s="494"/>
      <c r="MRE238" s="494"/>
      <c r="MRF238" s="494"/>
      <c r="MRG238" s="494"/>
      <c r="MRH238" s="494"/>
      <c r="MRI238" s="494"/>
      <c r="MRJ238" s="494"/>
      <c r="MRK238" s="494"/>
      <c r="MRL238" s="494"/>
      <c r="MRM238" s="494"/>
      <c r="MRN238" s="494"/>
      <c r="MRO238" s="494"/>
      <c r="MRP238" s="494"/>
      <c r="MRQ238" s="494"/>
      <c r="MRR238" s="494"/>
      <c r="MRS238" s="494"/>
      <c r="MRT238" s="494"/>
      <c r="MRU238" s="494"/>
      <c r="MRV238" s="494"/>
      <c r="MRW238" s="494"/>
      <c r="MRX238" s="494"/>
      <c r="MRY238" s="494"/>
      <c r="MRZ238" s="494"/>
      <c r="MSA238" s="494"/>
      <c r="MSB238" s="494"/>
      <c r="MSC238" s="494"/>
      <c r="MSD238" s="494"/>
      <c r="MSE238" s="494"/>
      <c r="MSF238" s="494"/>
      <c r="MSG238" s="494"/>
      <c r="MSH238" s="494"/>
      <c r="MSI238" s="494"/>
      <c r="MSJ238" s="494"/>
      <c r="MSK238" s="494"/>
      <c r="MSL238" s="494"/>
      <c r="MSM238" s="494"/>
      <c r="MSN238" s="494"/>
      <c r="MSO238" s="494"/>
      <c r="MSP238" s="494"/>
      <c r="MSQ238" s="494"/>
      <c r="MSR238" s="494"/>
      <c r="MSS238" s="494"/>
      <c r="MST238" s="494"/>
      <c r="MSU238" s="494"/>
      <c r="MSV238" s="494"/>
      <c r="MSW238" s="494"/>
      <c r="MSX238" s="494"/>
      <c r="MSY238" s="494"/>
      <c r="MSZ238" s="494"/>
      <c r="MTA238" s="494"/>
      <c r="MTB238" s="494"/>
      <c r="MTC238" s="494"/>
      <c r="MTD238" s="494"/>
      <c r="MTE238" s="494"/>
      <c r="MTF238" s="494"/>
      <c r="MTG238" s="494"/>
      <c r="MTH238" s="494"/>
      <c r="MTI238" s="494"/>
      <c r="MTJ238" s="494"/>
      <c r="MTK238" s="494"/>
      <c r="MTL238" s="494"/>
      <c r="MTM238" s="494"/>
      <c r="MTN238" s="494"/>
      <c r="MTO238" s="494"/>
      <c r="MTP238" s="494"/>
      <c r="MTQ238" s="494"/>
      <c r="MTR238" s="494"/>
      <c r="MTS238" s="494"/>
      <c r="MTT238" s="494"/>
      <c r="MTU238" s="494"/>
      <c r="MTV238" s="494"/>
      <c r="MTW238" s="494"/>
      <c r="MTX238" s="494"/>
      <c r="MTY238" s="494"/>
      <c r="MTZ238" s="494"/>
      <c r="MUA238" s="494"/>
      <c r="MUB238" s="494"/>
      <c r="MUC238" s="494"/>
      <c r="MUD238" s="494"/>
      <c r="MUE238" s="494"/>
      <c r="MUF238" s="494"/>
      <c r="MUG238" s="494"/>
      <c r="MUH238" s="494"/>
      <c r="MUI238" s="494"/>
      <c r="MUJ238" s="494"/>
      <c r="MUK238" s="494"/>
      <c r="MUL238" s="494"/>
      <c r="MUM238" s="494"/>
      <c r="MUN238" s="494"/>
      <c r="MUO238" s="494"/>
      <c r="MUP238" s="494"/>
      <c r="MUQ238" s="494"/>
      <c r="MUR238" s="494"/>
      <c r="MUS238" s="494"/>
      <c r="MUT238" s="494"/>
      <c r="MUU238" s="494"/>
      <c r="MUV238" s="494"/>
      <c r="MUW238" s="494"/>
      <c r="MUX238" s="494"/>
      <c r="MUY238" s="494"/>
      <c r="MUZ238" s="494"/>
      <c r="MVA238" s="494"/>
      <c r="MVB238" s="494"/>
      <c r="MVC238" s="494"/>
      <c r="MVD238" s="494"/>
      <c r="MVE238" s="494"/>
      <c r="MVF238" s="494"/>
      <c r="MVG238" s="494"/>
      <c r="MVH238" s="494"/>
      <c r="MVI238" s="494"/>
      <c r="MVJ238" s="494"/>
      <c r="MVK238" s="494"/>
      <c r="MVL238" s="494"/>
      <c r="MVM238" s="494"/>
      <c r="MVN238" s="494"/>
      <c r="MVO238" s="494"/>
      <c r="MVP238" s="494"/>
      <c r="MVQ238" s="494"/>
      <c r="MVR238" s="494"/>
      <c r="MVS238" s="494"/>
      <c r="MVT238" s="494"/>
      <c r="MVU238" s="494"/>
      <c r="MVV238" s="494"/>
      <c r="MVW238" s="494"/>
      <c r="MVX238" s="494"/>
      <c r="MVY238" s="494"/>
      <c r="MVZ238" s="494"/>
      <c r="MWA238" s="494"/>
      <c r="MWB238" s="494"/>
      <c r="MWC238" s="494"/>
      <c r="MWD238" s="494"/>
      <c r="MWE238" s="494"/>
      <c r="MWF238" s="494"/>
      <c r="MWG238" s="494"/>
      <c r="MWH238" s="494"/>
      <c r="MWI238" s="494"/>
      <c r="MWJ238" s="494"/>
      <c r="MWK238" s="494"/>
      <c r="MWL238" s="494"/>
      <c r="MWM238" s="494"/>
      <c r="MWN238" s="494"/>
      <c r="MWO238" s="494"/>
      <c r="MWP238" s="494"/>
      <c r="MWQ238" s="494"/>
      <c r="MWR238" s="494"/>
      <c r="MWS238" s="494"/>
      <c r="MWT238" s="494"/>
      <c r="MWU238" s="494"/>
      <c r="MWV238" s="494"/>
      <c r="MWW238" s="494"/>
      <c r="MWX238" s="494"/>
      <c r="MWY238" s="494"/>
      <c r="MWZ238" s="494"/>
      <c r="MXA238" s="494"/>
      <c r="MXB238" s="494"/>
      <c r="MXC238" s="494"/>
      <c r="MXD238" s="494"/>
      <c r="MXE238" s="494"/>
      <c r="MXF238" s="494"/>
      <c r="MXG238" s="494"/>
      <c r="MXH238" s="494"/>
      <c r="MXI238" s="494"/>
      <c r="MXJ238" s="494"/>
      <c r="MXK238" s="494"/>
      <c r="MXL238" s="494"/>
      <c r="MXM238" s="494"/>
      <c r="MXN238" s="494"/>
      <c r="MXO238" s="494"/>
      <c r="MXP238" s="494"/>
      <c r="MXQ238" s="494"/>
      <c r="MXR238" s="494"/>
      <c r="MXS238" s="494"/>
      <c r="MXT238" s="494"/>
      <c r="MXU238" s="494"/>
      <c r="MXV238" s="494"/>
      <c r="MXW238" s="494"/>
      <c r="MXX238" s="494"/>
      <c r="MXY238" s="494"/>
      <c r="MXZ238" s="494"/>
      <c r="MYA238" s="494"/>
      <c r="MYB238" s="494"/>
      <c r="MYC238" s="494"/>
      <c r="MYD238" s="494"/>
      <c r="MYE238" s="494"/>
      <c r="MYF238" s="494"/>
      <c r="MYG238" s="494"/>
      <c r="MYH238" s="494"/>
      <c r="MYI238" s="494"/>
      <c r="MYJ238" s="494"/>
      <c r="MYK238" s="494"/>
      <c r="MYL238" s="494"/>
      <c r="MYM238" s="494"/>
      <c r="MYN238" s="494"/>
      <c r="MYO238" s="494"/>
      <c r="MYP238" s="494"/>
      <c r="MYQ238" s="494"/>
      <c r="MYR238" s="494"/>
      <c r="MYS238" s="494"/>
      <c r="MYT238" s="494"/>
      <c r="MYU238" s="494"/>
      <c r="MYV238" s="494"/>
      <c r="MYW238" s="494"/>
      <c r="MYX238" s="494"/>
      <c r="MYY238" s="494"/>
      <c r="MYZ238" s="494"/>
      <c r="MZA238" s="494"/>
      <c r="MZB238" s="494"/>
      <c r="MZC238" s="494"/>
      <c r="MZD238" s="494"/>
      <c r="MZE238" s="494"/>
      <c r="MZF238" s="494"/>
      <c r="MZG238" s="494"/>
      <c r="MZH238" s="494"/>
      <c r="MZI238" s="494"/>
      <c r="MZJ238" s="494"/>
      <c r="MZK238" s="494"/>
      <c r="MZL238" s="494"/>
      <c r="MZM238" s="494"/>
      <c r="MZN238" s="494"/>
      <c r="MZO238" s="494"/>
      <c r="MZP238" s="494"/>
      <c r="MZQ238" s="494"/>
      <c r="MZR238" s="494"/>
      <c r="MZS238" s="494"/>
      <c r="MZT238" s="494"/>
      <c r="MZU238" s="494"/>
      <c r="MZV238" s="494"/>
      <c r="MZW238" s="494"/>
      <c r="MZX238" s="494"/>
      <c r="MZY238" s="494"/>
      <c r="MZZ238" s="494"/>
      <c r="NAA238" s="494"/>
      <c r="NAB238" s="494"/>
      <c r="NAC238" s="494"/>
      <c r="NAD238" s="494"/>
      <c r="NAE238" s="494"/>
      <c r="NAF238" s="494"/>
      <c r="NAG238" s="494"/>
      <c r="NAH238" s="494"/>
      <c r="NAI238" s="494"/>
      <c r="NAJ238" s="494"/>
      <c r="NAK238" s="494"/>
      <c r="NAL238" s="494"/>
      <c r="NAM238" s="494"/>
      <c r="NAN238" s="494"/>
      <c r="NAO238" s="494"/>
      <c r="NAP238" s="494"/>
      <c r="NAQ238" s="494"/>
      <c r="NAR238" s="494"/>
      <c r="NAS238" s="494"/>
      <c r="NAT238" s="494"/>
      <c r="NAU238" s="494"/>
      <c r="NAV238" s="494"/>
      <c r="NAW238" s="494"/>
      <c r="NAX238" s="494"/>
      <c r="NAY238" s="494"/>
      <c r="NAZ238" s="494"/>
      <c r="NBA238" s="494"/>
      <c r="NBB238" s="494"/>
      <c r="NBC238" s="494"/>
      <c r="NBD238" s="494"/>
      <c r="NBE238" s="494"/>
      <c r="NBF238" s="494"/>
      <c r="NBG238" s="494"/>
      <c r="NBH238" s="494"/>
      <c r="NBI238" s="494"/>
      <c r="NBJ238" s="494"/>
      <c r="NBK238" s="494"/>
      <c r="NBL238" s="494"/>
      <c r="NBM238" s="494"/>
      <c r="NBN238" s="494"/>
      <c r="NBO238" s="494"/>
      <c r="NBP238" s="494"/>
      <c r="NBQ238" s="494"/>
      <c r="NBR238" s="494"/>
      <c r="NBS238" s="494"/>
      <c r="NBT238" s="494"/>
      <c r="NBU238" s="494"/>
      <c r="NBV238" s="494"/>
      <c r="NBW238" s="494"/>
      <c r="NBX238" s="494"/>
      <c r="NBY238" s="494"/>
      <c r="NBZ238" s="494"/>
      <c r="NCA238" s="494"/>
      <c r="NCB238" s="494"/>
      <c r="NCC238" s="494"/>
      <c r="NCD238" s="494"/>
      <c r="NCE238" s="494"/>
      <c r="NCF238" s="494"/>
      <c r="NCG238" s="494"/>
      <c r="NCH238" s="494"/>
      <c r="NCI238" s="494"/>
      <c r="NCJ238" s="494"/>
      <c r="NCK238" s="494"/>
      <c r="NCL238" s="494"/>
      <c r="NCM238" s="494"/>
      <c r="NCN238" s="494"/>
      <c r="NCO238" s="494"/>
      <c r="NCP238" s="494"/>
      <c r="NCQ238" s="494"/>
      <c r="NCR238" s="494"/>
      <c r="NCS238" s="494"/>
      <c r="NCT238" s="494"/>
      <c r="NCU238" s="494"/>
      <c r="NCV238" s="494"/>
      <c r="NCW238" s="494"/>
      <c r="NCX238" s="494"/>
      <c r="NCY238" s="494"/>
      <c r="NCZ238" s="494"/>
      <c r="NDA238" s="494"/>
      <c r="NDB238" s="494"/>
      <c r="NDC238" s="494"/>
      <c r="NDD238" s="494"/>
      <c r="NDE238" s="494"/>
      <c r="NDF238" s="494"/>
      <c r="NDG238" s="494"/>
      <c r="NDH238" s="494"/>
      <c r="NDI238" s="494"/>
      <c r="NDJ238" s="494"/>
      <c r="NDK238" s="494"/>
      <c r="NDL238" s="494"/>
      <c r="NDM238" s="494"/>
      <c r="NDN238" s="494"/>
      <c r="NDO238" s="494"/>
      <c r="NDP238" s="494"/>
      <c r="NDQ238" s="494"/>
      <c r="NDR238" s="494"/>
      <c r="NDS238" s="494"/>
      <c r="NDT238" s="494"/>
      <c r="NDU238" s="494"/>
      <c r="NDV238" s="494"/>
      <c r="NDW238" s="494"/>
      <c r="NDX238" s="494"/>
      <c r="NDY238" s="494"/>
      <c r="NDZ238" s="494"/>
      <c r="NEA238" s="494"/>
      <c r="NEB238" s="494"/>
      <c r="NEC238" s="494"/>
      <c r="NED238" s="494"/>
      <c r="NEE238" s="494"/>
      <c r="NEF238" s="494"/>
      <c r="NEG238" s="494"/>
      <c r="NEH238" s="494"/>
      <c r="NEI238" s="494"/>
      <c r="NEJ238" s="494"/>
      <c r="NEK238" s="494"/>
      <c r="NEL238" s="494"/>
      <c r="NEM238" s="494"/>
      <c r="NEN238" s="494"/>
      <c r="NEO238" s="494"/>
      <c r="NEP238" s="494"/>
      <c r="NEQ238" s="494"/>
      <c r="NER238" s="494"/>
      <c r="NES238" s="494"/>
      <c r="NET238" s="494"/>
      <c r="NEU238" s="494"/>
      <c r="NEV238" s="494"/>
      <c r="NEW238" s="494"/>
      <c r="NEX238" s="494"/>
      <c r="NEY238" s="494"/>
      <c r="NEZ238" s="494"/>
      <c r="NFA238" s="494"/>
      <c r="NFB238" s="494"/>
      <c r="NFC238" s="494"/>
      <c r="NFD238" s="494"/>
      <c r="NFE238" s="494"/>
      <c r="NFF238" s="494"/>
      <c r="NFG238" s="494"/>
      <c r="NFH238" s="494"/>
      <c r="NFI238" s="494"/>
      <c r="NFJ238" s="494"/>
      <c r="NFK238" s="494"/>
      <c r="NFL238" s="494"/>
      <c r="NFM238" s="494"/>
      <c r="NFN238" s="494"/>
      <c r="NFO238" s="494"/>
      <c r="NFP238" s="494"/>
      <c r="NFQ238" s="494"/>
      <c r="NFR238" s="494"/>
      <c r="NFS238" s="494"/>
      <c r="NFT238" s="494"/>
      <c r="NFU238" s="494"/>
      <c r="NFV238" s="494"/>
      <c r="NFW238" s="494"/>
      <c r="NFX238" s="494"/>
      <c r="NFY238" s="494"/>
      <c r="NFZ238" s="494"/>
      <c r="NGA238" s="494"/>
      <c r="NGB238" s="494"/>
      <c r="NGC238" s="494"/>
      <c r="NGD238" s="494"/>
      <c r="NGE238" s="494"/>
      <c r="NGF238" s="494"/>
      <c r="NGG238" s="494"/>
      <c r="NGH238" s="494"/>
      <c r="NGI238" s="494"/>
      <c r="NGJ238" s="494"/>
      <c r="NGK238" s="494"/>
      <c r="NGL238" s="494"/>
      <c r="NGM238" s="494"/>
      <c r="NGN238" s="494"/>
      <c r="NGO238" s="494"/>
      <c r="NGP238" s="494"/>
      <c r="NGQ238" s="494"/>
      <c r="NGR238" s="494"/>
      <c r="NGS238" s="494"/>
      <c r="NGT238" s="494"/>
      <c r="NGU238" s="494"/>
      <c r="NGV238" s="494"/>
      <c r="NGW238" s="494"/>
      <c r="NGX238" s="494"/>
      <c r="NGY238" s="494"/>
      <c r="NGZ238" s="494"/>
      <c r="NHA238" s="494"/>
      <c r="NHB238" s="494"/>
      <c r="NHC238" s="494"/>
      <c r="NHD238" s="494"/>
      <c r="NHE238" s="494"/>
      <c r="NHF238" s="494"/>
      <c r="NHG238" s="494"/>
      <c r="NHH238" s="494"/>
      <c r="NHI238" s="494"/>
      <c r="NHJ238" s="494"/>
      <c r="NHK238" s="494"/>
      <c r="NHL238" s="494"/>
      <c r="NHM238" s="494"/>
      <c r="NHN238" s="494"/>
      <c r="NHO238" s="494"/>
      <c r="NHP238" s="494"/>
      <c r="NHQ238" s="494"/>
      <c r="NHR238" s="494"/>
      <c r="NHS238" s="494"/>
      <c r="NHT238" s="494"/>
      <c r="NHU238" s="494"/>
      <c r="NHV238" s="494"/>
      <c r="NHW238" s="494"/>
      <c r="NHX238" s="494"/>
      <c r="NHY238" s="494"/>
      <c r="NHZ238" s="494"/>
      <c r="NIA238" s="494"/>
      <c r="NIB238" s="494"/>
      <c r="NIC238" s="494"/>
      <c r="NID238" s="494"/>
      <c r="NIE238" s="494"/>
      <c r="NIF238" s="494"/>
      <c r="NIG238" s="494"/>
      <c r="NIH238" s="494"/>
      <c r="NII238" s="494"/>
      <c r="NIJ238" s="494"/>
      <c r="NIK238" s="494"/>
      <c r="NIL238" s="494"/>
      <c r="NIM238" s="494"/>
      <c r="NIN238" s="494"/>
      <c r="NIO238" s="494"/>
      <c r="NIP238" s="494"/>
      <c r="NIQ238" s="494"/>
      <c r="NIR238" s="494"/>
      <c r="NIS238" s="494"/>
      <c r="NIT238" s="494"/>
      <c r="NIU238" s="494"/>
      <c r="NIV238" s="494"/>
      <c r="NIW238" s="494"/>
      <c r="NIX238" s="494"/>
      <c r="NIY238" s="494"/>
      <c r="NIZ238" s="494"/>
      <c r="NJA238" s="494"/>
      <c r="NJB238" s="494"/>
      <c r="NJC238" s="494"/>
      <c r="NJD238" s="494"/>
      <c r="NJE238" s="494"/>
      <c r="NJF238" s="494"/>
      <c r="NJG238" s="494"/>
      <c r="NJH238" s="494"/>
      <c r="NJI238" s="494"/>
      <c r="NJJ238" s="494"/>
      <c r="NJK238" s="494"/>
      <c r="NJL238" s="494"/>
      <c r="NJM238" s="494"/>
      <c r="NJN238" s="494"/>
      <c r="NJO238" s="494"/>
      <c r="NJP238" s="494"/>
      <c r="NJQ238" s="494"/>
      <c r="NJR238" s="494"/>
      <c r="NJS238" s="494"/>
      <c r="NJT238" s="494"/>
      <c r="NJU238" s="494"/>
      <c r="NJV238" s="494"/>
      <c r="NJW238" s="494"/>
      <c r="NJX238" s="494"/>
      <c r="NJY238" s="494"/>
      <c r="NJZ238" s="494"/>
      <c r="NKA238" s="494"/>
      <c r="NKB238" s="494"/>
      <c r="NKC238" s="494"/>
      <c r="NKD238" s="494"/>
      <c r="NKE238" s="494"/>
      <c r="NKF238" s="494"/>
      <c r="NKG238" s="494"/>
      <c r="NKH238" s="494"/>
      <c r="NKI238" s="494"/>
      <c r="NKJ238" s="494"/>
      <c r="NKK238" s="494"/>
      <c r="NKL238" s="494"/>
      <c r="NKM238" s="494"/>
      <c r="NKN238" s="494"/>
      <c r="NKO238" s="494"/>
      <c r="NKP238" s="494"/>
      <c r="NKQ238" s="494"/>
      <c r="NKR238" s="494"/>
      <c r="NKS238" s="494"/>
      <c r="NKT238" s="494"/>
      <c r="NKU238" s="494"/>
      <c r="NKV238" s="494"/>
      <c r="NKW238" s="494"/>
      <c r="NKX238" s="494"/>
      <c r="NKY238" s="494"/>
      <c r="NKZ238" s="494"/>
      <c r="NLA238" s="494"/>
      <c r="NLB238" s="494"/>
      <c r="NLC238" s="494"/>
      <c r="NLD238" s="494"/>
      <c r="NLE238" s="494"/>
      <c r="NLF238" s="494"/>
      <c r="NLG238" s="494"/>
      <c r="NLH238" s="494"/>
      <c r="NLI238" s="494"/>
      <c r="NLJ238" s="494"/>
      <c r="NLK238" s="494"/>
      <c r="NLL238" s="494"/>
      <c r="NLM238" s="494"/>
      <c r="NLN238" s="494"/>
      <c r="NLO238" s="494"/>
      <c r="NLP238" s="494"/>
      <c r="NLQ238" s="494"/>
      <c r="NLR238" s="494"/>
      <c r="NLS238" s="494"/>
      <c r="NLT238" s="494"/>
      <c r="NLU238" s="494"/>
      <c r="NLV238" s="494"/>
      <c r="NLW238" s="494"/>
      <c r="NLX238" s="494"/>
      <c r="NLY238" s="494"/>
      <c r="NLZ238" s="494"/>
      <c r="NMA238" s="494"/>
      <c r="NMB238" s="494"/>
      <c r="NMC238" s="494"/>
      <c r="NMD238" s="494"/>
      <c r="NME238" s="494"/>
      <c r="NMF238" s="494"/>
      <c r="NMG238" s="494"/>
      <c r="NMH238" s="494"/>
      <c r="NMI238" s="494"/>
      <c r="NMJ238" s="494"/>
      <c r="NMK238" s="494"/>
      <c r="NML238" s="494"/>
      <c r="NMM238" s="494"/>
      <c r="NMN238" s="494"/>
      <c r="NMO238" s="494"/>
      <c r="NMP238" s="494"/>
      <c r="NMQ238" s="494"/>
      <c r="NMR238" s="494"/>
      <c r="NMS238" s="494"/>
      <c r="NMT238" s="494"/>
      <c r="NMU238" s="494"/>
      <c r="NMV238" s="494"/>
      <c r="NMW238" s="494"/>
      <c r="NMX238" s="494"/>
      <c r="NMY238" s="494"/>
      <c r="NMZ238" s="494"/>
      <c r="NNA238" s="494"/>
      <c r="NNB238" s="494"/>
      <c r="NNC238" s="494"/>
      <c r="NND238" s="494"/>
      <c r="NNE238" s="494"/>
      <c r="NNF238" s="494"/>
      <c r="NNG238" s="494"/>
      <c r="NNH238" s="494"/>
      <c r="NNI238" s="494"/>
      <c r="NNJ238" s="494"/>
      <c r="NNK238" s="494"/>
      <c r="NNL238" s="494"/>
      <c r="NNM238" s="494"/>
      <c r="NNN238" s="494"/>
      <c r="NNO238" s="494"/>
      <c r="NNP238" s="494"/>
      <c r="NNQ238" s="494"/>
      <c r="NNR238" s="494"/>
      <c r="NNS238" s="494"/>
      <c r="NNT238" s="494"/>
      <c r="NNU238" s="494"/>
      <c r="NNV238" s="494"/>
      <c r="NNW238" s="494"/>
      <c r="NNX238" s="494"/>
      <c r="NNY238" s="494"/>
      <c r="NNZ238" s="494"/>
      <c r="NOA238" s="494"/>
      <c r="NOB238" s="494"/>
      <c r="NOC238" s="494"/>
      <c r="NOD238" s="494"/>
      <c r="NOE238" s="494"/>
      <c r="NOF238" s="494"/>
      <c r="NOG238" s="494"/>
      <c r="NOH238" s="494"/>
      <c r="NOI238" s="494"/>
      <c r="NOJ238" s="494"/>
      <c r="NOK238" s="494"/>
      <c r="NOL238" s="494"/>
      <c r="NOM238" s="494"/>
      <c r="NON238" s="494"/>
      <c r="NOO238" s="494"/>
      <c r="NOP238" s="494"/>
      <c r="NOQ238" s="494"/>
      <c r="NOR238" s="494"/>
      <c r="NOS238" s="494"/>
      <c r="NOT238" s="494"/>
      <c r="NOU238" s="494"/>
      <c r="NOV238" s="494"/>
      <c r="NOW238" s="494"/>
      <c r="NOX238" s="494"/>
      <c r="NOY238" s="494"/>
      <c r="NOZ238" s="494"/>
      <c r="NPA238" s="494"/>
      <c r="NPB238" s="494"/>
      <c r="NPC238" s="494"/>
      <c r="NPD238" s="494"/>
      <c r="NPE238" s="494"/>
      <c r="NPF238" s="494"/>
      <c r="NPG238" s="494"/>
      <c r="NPH238" s="494"/>
      <c r="NPI238" s="494"/>
      <c r="NPJ238" s="494"/>
      <c r="NPK238" s="494"/>
      <c r="NPL238" s="494"/>
      <c r="NPM238" s="494"/>
      <c r="NPN238" s="494"/>
      <c r="NPO238" s="494"/>
      <c r="NPP238" s="494"/>
      <c r="NPQ238" s="494"/>
      <c r="NPR238" s="494"/>
      <c r="NPS238" s="494"/>
      <c r="NPT238" s="494"/>
      <c r="NPU238" s="494"/>
      <c r="NPV238" s="494"/>
      <c r="NPW238" s="494"/>
      <c r="NPX238" s="494"/>
      <c r="NPY238" s="494"/>
      <c r="NPZ238" s="494"/>
      <c r="NQA238" s="494"/>
      <c r="NQB238" s="494"/>
      <c r="NQC238" s="494"/>
      <c r="NQD238" s="494"/>
      <c r="NQE238" s="494"/>
      <c r="NQF238" s="494"/>
      <c r="NQG238" s="494"/>
      <c r="NQH238" s="494"/>
      <c r="NQI238" s="494"/>
      <c r="NQJ238" s="494"/>
      <c r="NQK238" s="494"/>
      <c r="NQL238" s="494"/>
      <c r="NQM238" s="494"/>
      <c r="NQN238" s="494"/>
      <c r="NQO238" s="494"/>
      <c r="NQP238" s="494"/>
      <c r="NQQ238" s="494"/>
      <c r="NQR238" s="494"/>
      <c r="NQS238" s="494"/>
      <c r="NQT238" s="494"/>
      <c r="NQU238" s="494"/>
      <c r="NQV238" s="494"/>
      <c r="NQW238" s="494"/>
      <c r="NQX238" s="494"/>
      <c r="NQY238" s="494"/>
      <c r="NQZ238" s="494"/>
      <c r="NRA238" s="494"/>
      <c r="NRB238" s="494"/>
      <c r="NRC238" s="494"/>
      <c r="NRD238" s="494"/>
      <c r="NRE238" s="494"/>
      <c r="NRF238" s="494"/>
      <c r="NRG238" s="494"/>
      <c r="NRH238" s="494"/>
      <c r="NRI238" s="494"/>
      <c r="NRJ238" s="494"/>
      <c r="NRK238" s="494"/>
      <c r="NRL238" s="494"/>
      <c r="NRM238" s="494"/>
      <c r="NRN238" s="494"/>
      <c r="NRO238" s="494"/>
      <c r="NRP238" s="494"/>
      <c r="NRQ238" s="494"/>
      <c r="NRR238" s="494"/>
      <c r="NRS238" s="494"/>
      <c r="NRT238" s="494"/>
      <c r="NRU238" s="494"/>
      <c r="NRV238" s="494"/>
      <c r="NRW238" s="494"/>
      <c r="NRX238" s="494"/>
      <c r="NRY238" s="494"/>
      <c r="NRZ238" s="494"/>
      <c r="NSA238" s="494"/>
      <c r="NSB238" s="494"/>
      <c r="NSC238" s="494"/>
      <c r="NSD238" s="494"/>
      <c r="NSE238" s="494"/>
      <c r="NSF238" s="494"/>
      <c r="NSG238" s="494"/>
      <c r="NSH238" s="494"/>
      <c r="NSI238" s="494"/>
      <c r="NSJ238" s="494"/>
      <c r="NSK238" s="494"/>
      <c r="NSL238" s="494"/>
      <c r="NSM238" s="494"/>
      <c r="NSN238" s="494"/>
      <c r="NSO238" s="494"/>
      <c r="NSP238" s="494"/>
      <c r="NSQ238" s="494"/>
      <c r="NSR238" s="494"/>
      <c r="NSS238" s="494"/>
      <c r="NST238" s="494"/>
      <c r="NSU238" s="494"/>
      <c r="NSV238" s="494"/>
      <c r="NSW238" s="494"/>
      <c r="NSX238" s="494"/>
      <c r="NSY238" s="494"/>
      <c r="NSZ238" s="494"/>
      <c r="NTA238" s="494"/>
      <c r="NTB238" s="494"/>
      <c r="NTC238" s="494"/>
      <c r="NTD238" s="494"/>
      <c r="NTE238" s="494"/>
      <c r="NTF238" s="494"/>
      <c r="NTG238" s="494"/>
      <c r="NTH238" s="494"/>
      <c r="NTI238" s="494"/>
      <c r="NTJ238" s="494"/>
      <c r="NTK238" s="494"/>
      <c r="NTL238" s="494"/>
      <c r="NTM238" s="494"/>
      <c r="NTN238" s="494"/>
      <c r="NTO238" s="494"/>
      <c r="NTP238" s="494"/>
      <c r="NTQ238" s="494"/>
      <c r="NTR238" s="494"/>
      <c r="NTS238" s="494"/>
      <c r="NTT238" s="494"/>
      <c r="NTU238" s="494"/>
      <c r="NTV238" s="494"/>
      <c r="NTW238" s="494"/>
      <c r="NTX238" s="494"/>
      <c r="NTY238" s="494"/>
      <c r="NTZ238" s="494"/>
      <c r="NUA238" s="494"/>
      <c r="NUB238" s="494"/>
      <c r="NUC238" s="494"/>
      <c r="NUD238" s="494"/>
      <c r="NUE238" s="494"/>
      <c r="NUF238" s="494"/>
      <c r="NUG238" s="494"/>
      <c r="NUH238" s="494"/>
      <c r="NUI238" s="494"/>
      <c r="NUJ238" s="494"/>
      <c r="NUK238" s="494"/>
      <c r="NUL238" s="494"/>
      <c r="NUM238" s="494"/>
      <c r="NUN238" s="494"/>
      <c r="NUO238" s="494"/>
      <c r="NUP238" s="494"/>
      <c r="NUQ238" s="494"/>
      <c r="NUR238" s="494"/>
      <c r="NUS238" s="494"/>
      <c r="NUT238" s="494"/>
      <c r="NUU238" s="494"/>
      <c r="NUV238" s="494"/>
      <c r="NUW238" s="494"/>
      <c r="NUX238" s="494"/>
      <c r="NUY238" s="494"/>
      <c r="NUZ238" s="494"/>
      <c r="NVA238" s="494"/>
      <c r="NVB238" s="494"/>
      <c r="NVC238" s="494"/>
      <c r="NVD238" s="494"/>
      <c r="NVE238" s="494"/>
      <c r="NVF238" s="494"/>
      <c r="NVG238" s="494"/>
      <c r="NVH238" s="494"/>
      <c r="NVI238" s="494"/>
      <c r="NVJ238" s="494"/>
      <c r="NVK238" s="494"/>
      <c r="NVL238" s="494"/>
      <c r="NVM238" s="494"/>
      <c r="NVN238" s="494"/>
      <c r="NVO238" s="494"/>
      <c r="NVP238" s="494"/>
      <c r="NVQ238" s="494"/>
      <c r="NVR238" s="494"/>
      <c r="NVS238" s="494"/>
      <c r="NVT238" s="494"/>
      <c r="NVU238" s="494"/>
      <c r="NVV238" s="494"/>
      <c r="NVW238" s="494"/>
      <c r="NVX238" s="494"/>
      <c r="NVY238" s="494"/>
      <c r="NVZ238" s="494"/>
      <c r="NWA238" s="494"/>
      <c r="NWB238" s="494"/>
      <c r="NWC238" s="494"/>
      <c r="NWD238" s="494"/>
      <c r="NWE238" s="494"/>
      <c r="NWF238" s="494"/>
      <c r="NWG238" s="494"/>
      <c r="NWH238" s="494"/>
      <c r="NWI238" s="494"/>
      <c r="NWJ238" s="494"/>
      <c r="NWK238" s="494"/>
      <c r="NWL238" s="494"/>
      <c r="NWM238" s="494"/>
      <c r="NWN238" s="494"/>
      <c r="NWO238" s="494"/>
      <c r="NWP238" s="494"/>
      <c r="NWQ238" s="494"/>
      <c r="NWR238" s="494"/>
      <c r="NWS238" s="494"/>
      <c r="NWT238" s="494"/>
      <c r="NWU238" s="494"/>
      <c r="NWV238" s="494"/>
      <c r="NWW238" s="494"/>
      <c r="NWX238" s="494"/>
      <c r="NWY238" s="494"/>
      <c r="NWZ238" s="494"/>
      <c r="NXA238" s="494"/>
      <c r="NXB238" s="494"/>
      <c r="NXC238" s="494"/>
      <c r="NXD238" s="494"/>
      <c r="NXE238" s="494"/>
      <c r="NXF238" s="494"/>
      <c r="NXG238" s="494"/>
      <c r="NXH238" s="494"/>
      <c r="NXI238" s="494"/>
      <c r="NXJ238" s="494"/>
      <c r="NXK238" s="494"/>
      <c r="NXL238" s="494"/>
      <c r="NXM238" s="494"/>
      <c r="NXN238" s="494"/>
      <c r="NXO238" s="494"/>
      <c r="NXP238" s="494"/>
      <c r="NXQ238" s="494"/>
      <c r="NXR238" s="494"/>
      <c r="NXS238" s="494"/>
      <c r="NXT238" s="494"/>
      <c r="NXU238" s="494"/>
      <c r="NXV238" s="494"/>
      <c r="NXW238" s="494"/>
      <c r="NXX238" s="494"/>
      <c r="NXY238" s="494"/>
      <c r="NXZ238" s="494"/>
      <c r="NYA238" s="494"/>
      <c r="NYB238" s="494"/>
      <c r="NYC238" s="494"/>
      <c r="NYD238" s="494"/>
      <c r="NYE238" s="494"/>
      <c r="NYF238" s="494"/>
      <c r="NYG238" s="494"/>
      <c r="NYH238" s="494"/>
      <c r="NYI238" s="494"/>
      <c r="NYJ238" s="494"/>
      <c r="NYK238" s="494"/>
      <c r="NYL238" s="494"/>
      <c r="NYM238" s="494"/>
      <c r="NYN238" s="494"/>
      <c r="NYO238" s="494"/>
      <c r="NYP238" s="494"/>
      <c r="NYQ238" s="494"/>
      <c r="NYR238" s="494"/>
      <c r="NYS238" s="494"/>
      <c r="NYT238" s="494"/>
      <c r="NYU238" s="494"/>
      <c r="NYV238" s="494"/>
      <c r="NYW238" s="494"/>
      <c r="NYX238" s="494"/>
      <c r="NYY238" s="494"/>
      <c r="NYZ238" s="494"/>
      <c r="NZA238" s="494"/>
      <c r="NZB238" s="494"/>
      <c r="NZC238" s="494"/>
      <c r="NZD238" s="494"/>
      <c r="NZE238" s="494"/>
      <c r="NZF238" s="494"/>
      <c r="NZG238" s="494"/>
      <c r="NZH238" s="494"/>
      <c r="NZI238" s="494"/>
      <c r="NZJ238" s="494"/>
      <c r="NZK238" s="494"/>
      <c r="NZL238" s="494"/>
      <c r="NZM238" s="494"/>
      <c r="NZN238" s="494"/>
      <c r="NZO238" s="494"/>
      <c r="NZP238" s="494"/>
      <c r="NZQ238" s="494"/>
      <c r="NZR238" s="494"/>
      <c r="NZS238" s="494"/>
      <c r="NZT238" s="494"/>
      <c r="NZU238" s="494"/>
      <c r="NZV238" s="494"/>
      <c r="NZW238" s="494"/>
      <c r="NZX238" s="494"/>
      <c r="NZY238" s="494"/>
      <c r="NZZ238" s="494"/>
      <c r="OAA238" s="494"/>
      <c r="OAB238" s="494"/>
      <c r="OAC238" s="494"/>
      <c r="OAD238" s="494"/>
      <c r="OAE238" s="494"/>
      <c r="OAF238" s="494"/>
      <c r="OAG238" s="494"/>
      <c r="OAH238" s="494"/>
      <c r="OAI238" s="494"/>
      <c r="OAJ238" s="494"/>
      <c r="OAK238" s="494"/>
      <c r="OAL238" s="494"/>
      <c r="OAM238" s="494"/>
      <c r="OAN238" s="494"/>
      <c r="OAO238" s="494"/>
      <c r="OAP238" s="494"/>
      <c r="OAQ238" s="494"/>
      <c r="OAR238" s="494"/>
      <c r="OAS238" s="494"/>
      <c r="OAT238" s="494"/>
      <c r="OAU238" s="494"/>
      <c r="OAV238" s="494"/>
      <c r="OAW238" s="494"/>
      <c r="OAX238" s="494"/>
      <c r="OAY238" s="494"/>
      <c r="OAZ238" s="494"/>
      <c r="OBA238" s="494"/>
      <c r="OBB238" s="494"/>
      <c r="OBC238" s="494"/>
      <c r="OBD238" s="494"/>
      <c r="OBE238" s="494"/>
      <c r="OBF238" s="494"/>
      <c r="OBG238" s="494"/>
      <c r="OBH238" s="494"/>
      <c r="OBI238" s="494"/>
      <c r="OBJ238" s="494"/>
      <c r="OBK238" s="494"/>
      <c r="OBL238" s="494"/>
      <c r="OBM238" s="494"/>
      <c r="OBN238" s="494"/>
      <c r="OBO238" s="494"/>
      <c r="OBP238" s="494"/>
      <c r="OBQ238" s="494"/>
      <c r="OBR238" s="494"/>
      <c r="OBS238" s="494"/>
      <c r="OBT238" s="494"/>
      <c r="OBU238" s="494"/>
      <c r="OBV238" s="494"/>
      <c r="OBW238" s="494"/>
      <c r="OBX238" s="494"/>
      <c r="OBY238" s="494"/>
      <c r="OBZ238" s="494"/>
      <c r="OCA238" s="494"/>
      <c r="OCB238" s="494"/>
      <c r="OCC238" s="494"/>
      <c r="OCD238" s="494"/>
      <c r="OCE238" s="494"/>
      <c r="OCF238" s="494"/>
      <c r="OCG238" s="494"/>
      <c r="OCH238" s="494"/>
      <c r="OCI238" s="494"/>
      <c r="OCJ238" s="494"/>
      <c r="OCK238" s="494"/>
      <c r="OCL238" s="494"/>
      <c r="OCM238" s="494"/>
      <c r="OCN238" s="494"/>
      <c r="OCO238" s="494"/>
      <c r="OCP238" s="494"/>
      <c r="OCQ238" s="494"/>
      <c r="OCR238" s="494"/>
      <c r="OCS238" s="494"/>
      <c r="OCT238" s="494"/>
      <c r="OCU238" s="494"/>
      <c r="OCV238" s="494"/>
      <c r="OCW238" s="494"/>
      <c r="OCX238" s="494"/>
      <c r="OCY238" s="494"/>
      <c r="OCZ238" s="494"/>
      <c r="ODA238" s="494"/>
      <c r="ODB238" s="494"/>
      <c r="ODC238" s="494"/>
      <c r="ODD238" s="494"/>
      <c r="ODE238" s="494"/>
      <c r="ODF238" s="494"/>
      <c r="ODG238" s="494"/>
      <c r="ODH238" s="494"/>
      <c r="ODI238" s="494"/>
      <c r="ODJ238" s="494"/>
      <c r="ODK238" s="494"/>
      <c r="ODL238" s="494"/>
      <c r="ODM238" s="494"/>
      <c r="ODN238" s="494"/>
      <c r="ODO238" s="494"/>
      <c r="ODP238" s="494"/>
      <c r="ODQ238" s="494"/>
      <c r="ODR238" s="494"/>
      <c r="ODS238" s="494"/>
      <c r="ODT238" s="494"/>
      <c r="ODU238" s="494"/>
      <c r="ODV238" s="494"/>
      <c r="ODW238" s="494"/>
      <c r="ODX238" s="494"/>
      <c r="ODY238" s="494"/>
      <c r="ODZ238" s="494"/>
      <c r="OEA238" s="494"/>
      <c r="OEB238" s="494"/>
      <c r="OEC238" s="494"/>
      <c r="OED238" s="494"/>
      <c r="OEE238" s="494"/>
      <c r="OEF238" s="494"/>
      <c r="OEG238" s="494"/>
      <c r="OEH238" s="494"/>
      <c r="OEI238" s="494"/>
      <c r="OEJ238" s="494"/>
      <c r="OEK238" s="494"/>
      <c r="OEL238" s="494"/>
      <c r="OEM238" s="494"/>
      <c r="OEN238" s="494"/>
      <c r="OEO238" s="494"/>
      <c r="OEP238" s="494"/>
      <c r="OEQ238" s="494"/>
      <c r="OER238" s="494"/>
      <c r="OES238" s="494"/>
      <c r="OET238" s="494"/>
      <c r="OEU238" s="494"/>
      <c r="OEV238" s="494"/>
      <c r="OEW238" s="494"/>
      <c r="OEX238" s="494"/>
      <c r="OEY238" s="494"/>
      <c r="OEZ238" s="494"/>
      <c r="OFA238" s="494"/>
      <c r="OFB238" s="494"/>
      <c r="OFC238" s="494"/>
      <c r="OFD238" s="494"/>
      <c r="OFE238" s="494"/>
      <c r="OFF238" s="494"/>
      <c r="OFG238" s="494"/>
      <c r="OFH238" s="494"/>
      <c r="OFI238" s="494"/>
      <c r="OFJ238" s="494"/>
      <c r="OFK238" s="494"/>
      <c r="OFL238" s="494"/>
      <c r="OFM238" s="494"/>
      <c r="OFN238" s="494"/>
      <c r="OFO238" s="494"/>
      <c r="OFP238" s="494"/>
      <c r="OFQ238" s="494"/>
      <c r="OFR238" s="494"/>
      <c r="OFS238" s="494"/>
      <c r="OFT238" s="494"/>
      <c r="OFU238" s="494"/>
      <c r="OFV238" s="494"/>
      <c r="OFW238" s="494"/>
      <c r="OFX238" s="494"/>
      <c r="OFY238" s="494"/>
      <c r="OFZ238" s="494"/>
      <c r="OGA238" s="494"/>
      <c r="OGB238" s="494"/>
      <c r="OGC238" s="494"/>
      <c r="OGD238" s="494"/>
      <c r="OGE238" s="494"/>
      <c r="OGF238" s="494"/>
      <c r="OGG238" s="494"/>
      <c r="OGH238" s="494"/>
      <c r="OGI238" s="494"/>
      <c r="OGJ238" s="494"/>
      <c r="OGK238" s="494"/>
      <c r="OGL238" s="494"/>
      <c r="OGM238" s="494"/>
      <c r="OGN238" s="494"/>
      <c r="OGO238" s="494"/>
      <c r="OGP238" s="494"/>
      <c r="OGQ238" s="494"/>
      <c r="OGR238" s="494"/>
      <c r="OGS238" s="494"/>
      <c r="OGT238" s="494"/>
      <c r="OGU238" s="494"/>
      <c r="OGV238" s="494"/>
      <c r="OGW238" s="494"/>
      <c r="OGX238" s="494"/>
      <c r="OGY238" s="494"/>
      <c r="OGZ238" s="494"/>
      <c r="OHA238" s="494"/>
      <c r="OHB238" s="494"/>
      <c r="OHC238" s="494"/>
      <c r="OHD238" s="494"/>
      <c r="OHE238" s="494"/>
      <c r="OHF238" s="494"/>
      <c r="OHG238" s="494"/>
      <c r="OHH238" s="494"/>
      <c r="OHI238" s="494"/>
      <c r="OHJ238" s="494"/>
      <c r="OHK238" s="494"/>
      <c r="OHL238" s="494"/>
      <c r="OHM238" s="494"/>
      <c r="OHN238" s="494"/>
      <c r="OHO238" s="494"/>
      <c r="OHP238" s="494"/>
      <c r="OHQ238" s="494"/>
      <c r="OHR238" s="494"/>
      <c r="OHS238" s="494"/>
      <c r="OHT238" s="494"/>
      <c r="OHU238" s="494"/>
      <c r="OHV238" s="494"/>
      <c r="OHW238" s="494"/>
      <c r="OHX238" s="494"/>
      <c r="OHY238" s="494"/>
      <c r="OHZ238" s="494"/>
      <c r="OIA238" s="494"/>
      <c r="OIB238" s="494"/>
      <c r="OIC238" s="494"/>
      <c r="OID238" s="494"/>
      <c r="OIE238" s="494"/>
      <c r="OIF238" s="494"/>
      <c r="OIG238" s="494"/>
      <c r="OIH238" s="494"/>
      <c r="OII238" s="494"/>
      <c r="OIJ238" s="494"/>
      <c r="OIK238" s="494"/>
      <c r="OIL238" s="494"/>
      <c r="OIM238" s="494"/>
      <c r="OIN238" s="494"/>
      <c r="OIO238" s="494"/>
      <c r="OIP238" s="494"/>
      <c r="OIQ238" s="494"/>
      <c r="OIR238" s="494"/>
      <c r="OIS238" s="494"/>
      <c r="OIT238" s="494"/>
      <c r="OIU238" s="494"/>
      <c r="OIV238" s="494"/>
      <c r="OIW238" s="494"/>
      <c r="OIX238" s="494"/>
      <c r="OIY238" s="494"/>
      <c r="OIZ238" s="494"/>
      <c r="OJA238" s="494"/>
      <c r="OJB238" s="494"/>
      <c r="OJC238" s="494"/>
      <c r="OJD238" s="494"/>
      <c r="OJE238" s="494"/>
      <c r="OJF238" s="494"/>
      <c r="OJG238" s="494"/>
      <c r="OJH238" s="494"/>
      <c r="OJI238" s="494"/>
      <c r="OJJ238" s="494"/>
      <c r="OJK238" s="494"/>
      <c r="OJL238" s="494"/>
      <c r="OJM238" s="494"/>
      <c r="OJN238" s="494"/>
      <c r="OJO238" s="494"/>
      <c r="OJP238" s="494"/>
      <c r="OJQ238" s="494"/>
      <c r="OJR238" s="494"/>
      <c r="OJS238" s="494"/>
      <c r="OJT238" s="494"/>
      <c r="OJU238" s="494"/>
      <c r="OJV238" s="494"/>
      <c r="OJW238" s="494"/>
      <c r="OJX238" s="494"/>
      <c r="OJY238" s="494"/>
      <c r="OJZ238" s="494"/>
      <c r="OKA238" s="494"/>
      <c r="OKB238" s="494"/>
      <c r="OKC238" s="494"/>
      <c r="OKD238" s="494"/>
      <c r="OKE238" s="494"/>
      <c r="OKF238" s="494"/>
      <c r="OKG238" s="494"/>
      <c r="OKH238" s="494"/>
      <c r="OKI238" s="494"/>
      <c r="OKJ238" s="494"/>
      <c r="OKK238" s="494"/>
      <c r="OKL238" s="494"/>
      <c r="OKM238" s="494"/>
      <c r="OKN238" s="494"/>
      <c r="OKO238" s="494"/>
      <c r="OKP238" s="494"/>
      <c r="OKQ238" s="494"/>
      <c r="OKR238" s="494"/>
      <c r="OKS238" s="494"/>
      <c r="OKT238" s="494"/>
      <c r="OKU238" s="494"/>
      <c r="OKV238" s="494"/>
      <c r="OKW238" s="494"/>
      <c r="OKX238" s="494"/>
      <c r="OKY238" s="494"/>
      <c r="OKZ238" s="494"/>
      <c r="OLA238" s="494"/>
      <c r="OLB238" s="494"/>
      <c r="OLC238" s="494"/>
      <c r="OLD238" s="494"/>
      <c r="OLE238" s="494"/>
      <c r="OLF238" s="494"/>
      <c r="OLG238" s="494"/>
      <c r="OLH238" s="494"/>
      <c r="OLI238" s="494"/>
      <c r="OLJ238" s="494"/>
      <c r="OLK238" s="494"/>
      <c r="OLL238" s="494"/>
      <c r="OLM238" s="494"/>
      <c r="OLN238" s="494"/>
      <c r="OLO238" s="494"/>
      <c r="OLP238" s="494"/>
      <c r="OLQ238" s="494"/>
      <c r="OLR238" s="494"/>
      <c r="OLS238" s="494"/>
      <c r="OLT238" s="494"/>
      <c r="OLU238" s="494"/>
      <c r="OLV238" s="494"/>
      <c r="OLW238" s="494"/>
      <c r="OLX238" s="494"/>
      <c r="OLY238" s="494"/>
      <c r="OLZ238" s="494"/>
      <c r="OMA238" s="494"/>
      <c r="OMB238" s="494"/>
      <c r="OMC238" s="494"/>
      <c r="OMD238" s="494"/>
      <c r="OME238" s="494"/>
      <c r="OMF238" s="494"/>
      <c r="OMG238" s="494"/>
      <c r="OMH238" s="494"/>
      <c r="OMI238" s="494"/>
      <c r="OMJ238" s="494"/>
      <c r="OMK238" s="494"/>
      <c r="OML238" s="494"/>
      <c r="OMM238" s="494"/>
      <c r="OMN238" s="494"/>
      <c r="OMO238" s="494"/>
      <c r="OMP238" s="494"/>
      <c r="OMQ238" s="494"/>
      <c r="OMR238" s="494"/>
      <c r="OMS238" s="494"/>
      <c r="OMT238" s="494"/>
      <c r="OMU238" s="494"/>
      <c r="OMV238" s="494"/>
      <c r="OMW238" s="494"/>
      <c r="OMX238" s="494"/>
      <c r="OMY238" s="494"/>
      <c r="OMZ238" s="494"/>
      <c r="ONA238" s="494"/>
      <c r="ONB238" s="494"/>
      <c r="ONC238" s="494"/>
      <c r="OND238" s="494"/>
      <c r="ONE238" s="494"/>
      <c r="ONF238" s="494"/>
      <c r="ONG238" s="494"/>
      <c r="ONH238" s="494"/>
      <c r="ONI238" s="494"/>
      <c r="ONJ238" s="494"/>
      <c r="ONK238" s="494"/>
      <c r="ONL238" s="494"/>
      <c r="ONM238" s="494"/>
      <c r="ONN238" s="494"/>
      <c r="ONO238" s="494"/>
      <c r="ONP238" s="494"/>
      <c r="ONQ238" s="494"/>
      <c r="ONR238" s="494"/>
      <c r="ONS238" s="494"/>
      <c r="ONT238" s="494"/>
      <c r="ONU238" s="494"/>
      <c r="ONV238" s="494"/>
      <c r="ONW238" s="494"/>
      <c r="ONX238" s="494"/>
      <c r="ONY238" s="494"/>
      <c r="ONZ238" s="494"/>
      <c r="OOA238" s="494"/>
      <c r="OOB238" s="494"/>
      <c r="OOC238" s="494"/>
      <c r="OOD238" s="494"/>
      <c r="OOE238" s="494"/>
      <c r="OOF238" s="494"/>
      <c r="OOG238" s="494"/>
      <c r="OOH238" s="494"/>
      <c r="OOI238" s="494"/>
      <c r="OOJ238" s="494"/>
      <c r="OOK238" s="494"/>
      <c r="OOL238" s="494"/>
      <c r="OOM238" s="494"/>
      <c r="OON238" s="494"/>
      <c r="OOO238" s="494"/>
      <c r="OOP238" s="494"/>
      <c r="OOQ238" s="494"/>
      <c r="OOR238" s="494"/>
      <c r="OOS238" s="494"/>
      <c r="OOT238" s="494"/>
      <c r="OOU238" s="494"/>
      <c r="OOV238" s="494"/>
      <c r="OOW238" s="494"/>
      <c r="OOX238" s="494"/>
      <c r="OOY238" s="494"/>
      <c r="OOZ238" s="494"/>
      <c r="OPA238" s="494"/>
      <c r="OPB238" s="494"/>
      <c r="OPC238" s="494"/>
      <c r="OPD238" s="494"/>
      <c r="OPE238" s="494"/>
      <c r="OPF238" s="494"/>
      <c r="OPG238" s="494"/>
      <c r="OPH238" s="494"/>
      <c r="OPI238" s="494"/>
      <c r="OPJ238" s="494"/>
      <c r="OPK238" s="494"/>
      <c r="OPL238" s="494"/>
      <c r="OPM238" s="494"/>
      <c r="OPN238" s="494"/>
      <c r="OPO238" s="494"/>
      <c r="OPP238" s="494"/>
      <c r="OPQ238" s="494"/>
      <c r="OPR238" s="494"/>
      <c r="OPS238" s="494"/>
      <c r="OPT238" s="494"/>
      <c r="OPU238" s="494"/>
      <c r="OPV238" s="494"/>
      <c r="OPW238" s="494"/>
      <c r="OPX238" s="494"/>
      <c r="OPY238" s="494"/>
      <c r="OPZ238" s="494"/>
      <c r="OQA238" s="494"/>
      <c r="OQB238" s="494"/>
      <c r="OQC238" s="494"/>
      <c r="OQD238" s="494"/>
      <c r="OQE238" s="494"/>
      <c r="OQF238" s="494"/>
      <c r="OQG238" s="494"/>
      <c r="OQH238" s="494"/>
      <c r="OQI238" s="494"/>
      <c r="OQJ238" s="494"/>
      <c r="OQK238" s="494"/>
      <c r="OQL238" s="494"/>
      <c r="OQM238" s="494"/>
      <c r="OQN238" s="494"/>
      <c r="OQO238" s="494"/>
      <c r="OQP238" s="494"/>
      <c r="OQQ238" s="494"/>
      <c r="OQR238" s="494"/>
      <c r="OQS238" s="494"/>
      <c r="OQT238" s="494"/>
      <c r="OQU238" s="494"/>
      <c r="OQV238" s="494"/>
      <c r="OQW238" s="494"/>
      <c r="OQX238" s="494"/>
      <c r="OQY238" s="494"/>
      <c r="OQZ238" s="494"/>
      <c r="ORA238" s="494"/>
      <c r="ORB238" s="494"/>
      <c r="ORC238" s="494"/>
      <c r="ORD238" s="494"/>
      <c r="ORE238" s="494"/>
      <c r="ORF238" s="494"/>
      <c r="ORG238" s="494"/>
      <c r="ORH238" s="494"/>
      <c r="ORI238" s="494"/>
      <c r="ORJ238" s="494"/>
      <c r="ORK238" s="494"/>
      <c r="ORL238" s="494"/>
      <c r="ORM238" s="494"/>
      <c r="ORN238" s="494"/>
      <c r="ORO238" s="494"/>
      <c r="ORP238" s="494"/>
      <c r="ORQ238" s="494"/>
      <c r="ORR238" s="494"/>
      <c r="ORS238" s="494"/>
      <c r="ORT238" s="494"/>
      <c r="ORU238" s="494"/>
      <c r="ORV238" s="494"/>
      <c r="ORW238" s="494"/>
      <c r="ORX238" s="494"/>
      <c r="ORY238" s="494"/>
      <c r="ORZ238" s="494"/>
      <c r="OSA238" s="494"/>
      <c r="OSB238" s="494"/>
      <c r="OSC238" s="494"/>
      <c r="OSD238" s="494"/>
      <c r="OSE238" s="494"/>
      <c r="OSF238" s="494"/>
      <c r="OSG238" s="494"/>
      <c r="OSH238" s="494"/>
      <c r="OSI238" s="494"/>
      <c r="OSJ238" s="494"/>
      <c r="OSK238" s="494"/>
      <c r="OSL238" s="494"/>
      <c r="OSM238" s="494"/>
      <c r="OSN238" s="494"/>
      <c r="OSO238" s="494"/>
      <c r="OSP238" s="494"/>
      <c r="OSQ238" s="494"/>
      <c r="OSR238" s="494"/>
      <c r="OSS238" s="494"/>
      <c r="OST238" s="494"/>
      <c r="OSU238" s="494"/>
      <c r="OSV238" s="494"/>
      <c r="OSW238" s="494"/>
      <c r="OSX238" s="494"/>
      <c r="OSY238" s="494"/>
      <c r="OSZ238" s="494"/>
      <c r="OTA238" s="494"/>
      <c r="OTB238" s="494"/>
      <c r="OTC238" s="494"/>
      <c r="OTD238" s="494"/>
      <c r="OTE238" s="494"/>
      <c r="OTF238" s="494"/>
      <c r="OTG238" s="494"/>
      <c r="OTH238" s="494"/>
      <c r="OTI238" s="494"/>
      <c r="OTJ238" s="494"/>
      <c r="OTK238" s="494"/>
      <c r="OTL238" s="494"/>
      <c r="OTM238" s="494"/>
      <c r="OTN238" s="494"/>
      <c r="OTO238" s="494"/>
      <c r="OTP238" s="494"/>
      <c r="OTQ238" s="494"/>
      <c r="OTR238" s="494"/>
      <c r="OTS238" s="494"/>
      <c r="OTT238" s="494"/>
      <c r="OTU238" s="494"/>
      <c r="OTV238" s="494"/>
      <c r="OTW238" s="494"/>
      <c r="OTX238" s="494"/>
      <c r="OTY238" s="494"/>
      <c r="OTZ238" s="494"/>
      <c r="OUA238" s="494"/>
      <c r="OUB238" s="494"/>
      <c r="OUC238" s="494"/>
      <c r="OUD238" s="494"/>
      <c r="OUE238" s="494"/>
      <c r="OUF238" s="494"/>
      <c r="OUG238" s="494"/>
      <c r="OUH238" s="494"/>
      <c r="OUI238" s="494"/>
      <c r="OUJ238" s="494"/>
      <c r="OUK238" s="494"/>
      <c r="OUL238" s="494"/>
      <c r="OUM238" s="494"/>
      <c r="OUN238" s="494"/>
      <c r="OUO238" s="494"/>
      <c r="OUP238" s="494"/>
      <c r="OUQ238" s="494"/>
      <c r="OUR238" s="494"/>
      <c r="OUS238" s="494"/>
      <c r="OUT238" s="494"/>
      <c r="OUU238" s="494"/>
      <c r="OUV238" s="494"/>
      <c r="OUW238" s="494"/>
      <c r="OUX238" s="494"/>
      <c r="OUY238" s="494"/>
      <c r="OUZ238" s="494"/>
      <c r="OVA238" s="494"/>
      <c r="OVB238" s="494"/>
      <c r="OVC238" s="494"/>
      <c r="OVD238" s="494"/>
      <c r="OVE238" s="494"/>
      <c r="OVF238" s="494"/>
      <c r="OVG238" s="494"/>
      <c r="OVH238" s="494"/>
      <c r="OVI238" s="494"/>
      <c r="OVJ238" s="494"/>
      <c r="OVK238" s="494"/>
      <c r="OVL238" s="494"/>
      <c r="OVM238" s="494"/>
      <c r="OVN238" s="494"/>
      <c r="OVO238" s="494"/>
      <c r="OVP238" s="494"/>
      <c r="OVQ238" s="494"/>
      <c r="OVR238" s="494"/>
      <c r="OVS238" s="494"/>
      <c r="OVT238" s="494"/>
      <c r="OVU238" s="494"/>
      <c r="OVV238" s="494"/>
      <c r="OVW238" s="494"/>
      <c r="OVX238" s="494"/>
      <c r="OVY238" s="494"/>
      <c r="OVZ238" s="494"/>
      <c r="OWA238" s="494"/>
      <c r="OWB238" s="494"/>
      <c r="OWC238" s="494"/>
      <c r="OWD238" s="494"/>
      <c r="OWE238" s="494"/>
      <c r="OWF238" s="494"/>
      <c r="OWG238" s="494"/>
      <c r="OWH238" s="494"/>
      <c r="OWI238" s="494"/>
      <c r="OWJ238" s="494"/>
      <c r="OWK238" s="494"/>
      <c r="OWL238" s="494"/>
      <c r="OWM238" s="494"/>
      <c r="OWN238" s="494"/>
      <c r="OWO238" s="494"/>
      <c r="OWP238" s="494"/>
      <c r="OWQ238" s="494"/>
      <c r="OWR238" s="494"/>
      <c r="OWS238" s="494"/>
      <c r="OWT238" s="494"/>
      <c r="OWU238" s="494"/>
      <c r="OWV238" s="494"/>
      <c r="OWW238" s="494"/>
      <c r="OWX238" s="494"/>
      <c r="OWY238" s="494"/>
      <c r="OWZ238" s="494"/>
      <c r="OXA238" s="494"/>
      <c r="OXB238" s="494"/>
      <c r="OXC238" s="494"/>
      <c r="OXD238" s="494"/>
      <c r="OXE238" s="494"/>
      <c r="OXF238" s="494"/>
      <c r="OXG238" s="494"/>
      <c r="OXH238" s="494"/>
      <c r="OXI238" s="494"/>
      <c r="OXJ238" s="494"/>
      <c r="OXK238" s="494"/>
      <c r="OXL238" s="494"/>
      <c r="OXM238" s="494"/>
      <c r="OXN238" s="494"/>
      <c r="OXO238" s="494"/>
      <c r="OXP238" s="494"/>
      <c r="OXQ238" s="494"/>
      <c r="OXR238" s="494"/>
      <c r="OXS238" s="494"/>
      <c r="OXT238" s="494"/>
      <c r="OXU238" s="494"/>
      <c r="OXV238" s="494"/>
      <c r="OXW238" s="494"/>
      <c r="OXX238" s="494"/>
      <c r="OXY238" s="494"/>
      <c r="OXZ238" s="494"/>
      <c r="OYA238" s="494"/>
      <c r="OYB238" s="494"/>
      <c r="OYC238" s="494"/>
      <c r="OYD238" s="494"/>
      <c r="OYE238" s="494"/>
      <c r="OYF238" s="494"/>
      <c r="OYG238" s="494"/>
      <c r="OYH238" s="494"/>
      <c r="OYI238" s="494"/>
      <c r="OYJ238" s="494"/>
      <c r="OYK238" s="494"/>
      <c r="OYL238" s="494"/>
      <c r="OYM238" s="494"/>
      <c r="OYN238" s="494"/>
      <c r="OYO238" s="494"/>
      <c r="OYP238" s="494"/>
      <c r="OYQ238" s="494"/>
      <c r="OYR238" s="494"/>
      <c r="OYS238" s="494"/>
      <c r="OYT238" s="494"/>
      <c r="OYU238" s="494"/>
      <c r="OYV238" s="494"/>
      <c r="OYW238" s="494"/>
      <c r="OYX238" s="494"/>
      <c r="OYY238" s="494"/>
      <c r="OYZ238" s="494"/>
      <c r="OZA238" s="494"/>
      <c r="OZB238" s="494"/>
      <c r="OZC238" s="494"/>
      <c r="OZD238" s="494"/>
      <c r="OZE238" s="494"/>
      <c r="OZF238" s="494"/>
      <c r="OZG238" s="494"/>
      <c r="OZH238" s="494"/>
      <c r="OZI238" s="494"/>
      <c r="OZJ238" s="494"/>
      <c r="OZK238" s="494"/>
      <c r="OZL238" s="494"/>
      <c r="OZM238" s="494"/>
      <c r="OZN238" s="494"/>
      <c r="OZO238" s="494"/>
      <c r="OZP238" s="494"/>
      <c r="OZQ238" s="494"/>
      <c r="OZR238" s="494"/>
      <c r="OZS238" s="494"/>
      <c r="OZT238" s="494"/>
      <c r="OZU238" s="494"/>
      <c r="OZV238" s="494"/>
      <c r="OZW238" s="494"/>
      <c r="OZX238" s="494"/>
      <c r="OZY238" s="494"/>
      <c r="OZZ238" s="494"/>
      <c r="PAA238" s="494"/>
      <c r="PAB238" s="494"/>
      <c r="PAC238" s="494"/>
      <c r="PAD238" s="494"/>
      <c r="PAE238" s="494"/>
      <c r="PAF238" s="494"/>
      <c r="PAG238" s="494"/>
      <c r="PAH238" s="494"/>
      <c r="PAI238" s="494"/>
      <c r="PAJ238" s="494"/>
      <c r="PAK238" s="494"/>
      <c r="PAL238" s="494"/>
      <c r="PAM238" s="494"/>
      <c r="PAN238" s="494"/>
      <c r="PAO238" s="494"/>
      <c r="PAP238" s="494"/>
      <c r="PAQ238" s="494"/>
      <c r="PAR238" s="494"/>
      <c r="PAS238" s="494"/>
      <c r="PAT238" s="494"/>
      <c r="PAU238" s="494"/>
      <c r="PAV238" s="494"/>
      <c r="PAW238" s="494"/>
      <c r="PAX238" s="494"/>
      <c r="PAY238" s="494"/>
      <c r="PAZ238" s="494"/>
      <c r="PBA238" s="494"/>
      <c r="PBB238" s="494"/>
      <c r="PBC238" s="494"/>
      <c r="PBD238" s="494"/>
      <c r="PBE238" s="494"/>
      <c r="PBF238" s="494"/>
      <c r="PBG238" s="494"/>
      <c r="PBH238" s="494"/>
      <c r="PBI238" s="494"/>
      <c r="PBJ238" s="494"/>
      <c r="PBK238" s="494"/>
      <c r="PBL238" s="494"/>
      <c r="PBM238" s="494"/>
      <c r="PBN238" s="494"/>
      <c r="PBO238" s="494"/>
      <c r="PBP238" s="494"/>
      <c r="PBQ238" s="494"/>
      <c r="PBR238" s="494"/>
      <c r="PBS238" s="494"/>
      <c r="PBT238" s="494"/>
      <c r="PBU238" s="494"/>
      <c r="PBV238" s="494"/>
      <c r="PBW238" s="494"/>
      <c r="PBX238" s="494"/>
      <c r="PBY238" s="494"/>
      <c r="PBZ238" s="494"/>
      <c r="PCA238" s="494"/>
      <c r="PCB238" s="494"/>
      <c r="PCC238" s="494"/>
      <c r="PCD238" s="494"/>
      <c r="PCE238" s="494"/>
      <c r="PCF238" s="494"/>
      <c r="PCG238" s="494"/>
      <c r="PCH238" s="494"/>
      <c r="PCI238" s="494"/>
      <c r="PCJ238" s="494"/>
      <c r="PCK238" s="494"/>
      <c r="PCL238" s="494"/>
      <c r="PCM238" s="494"/>
      <c r="PCN238" s="494"/>
      <c r="PCO238" s="494"/>
      <c r="PCP238" s="494"/>
      <c r="PCQ238" s="494"/>
      <c r="PCR238" s="494"/>
      <c r="PCS238" s="494"/>
      <c r="PCT238" s="494"/>
      <c r="PCU238" s="494"/>
      <c r="PCV238" s="494"/>
      <c r="PCW238" s="494"/>
      <c r="PCX238" s="494"/>
      <c r="PCY238" s="494"/>
      <c r="PCZ238" s="494"/>
      <c r="PDA238" s="494"/>
      <c r="PDB238" s="494"/>
      <c r="PDC238" s="494"/>
      <c r="PDD238" s="494"/>
      <c r="PDE238" s="494"/>
      <c r="PDF238" s="494"/>
      <c r="PDG238" s="494"/>
      <c r="PDH238" s="494"/>
      <c r="PDI238" s="494"/>
      <c r="PDJ238" s="494"/>
      <c r="PDK238" s="494"/>
      <c r="PDL238" s="494"/>
      <c r="PDM238" s="494"/>
      <c r="PDN238" s="494"/>
      <c r="PDO238" s="494"/>
      <c r="PDP238" s="494"/>
      <c r="PDQ238" s="494"/>
      <c r="PDR238" s="494"/>
      <c r="PDS238" s="494"/>
      <c r="PDT238" s="494"/>
      <c r="PDU238" s="494"/>
      <c r="PDV238" s="494"/>
      <c r="PDW238" s="494"/>
      <c r="PDX238" s="494"/>
      <c r="PDY238" s="494"/>
      <c r="PDZ238" s="494"/>
      <c r="PEA238" s="494"/>
      <c r="PEB238" s="494"/>
      <c r="PEC238" s="494"/>
      <c r="PED238" s="494"/>
      <c r="PEE238" s="494"/>
      <c r="PEF238" s="494"/>
      <c r="PEG238" s="494"/>
      <c r="PEH238" s="494"/>
      <c r="PEI238" s="494"/>
      <c r="PEJ238" s="494"/>
      <c r="PEK238" s="494"/>
      <c r="PEL238" s="494"/>
      <c r="PEM238" s="494"/>
      <c r="PEN238" s="494"/>
      <c r="PEO238" s="494"/>
      <c r="PEP238" s="494"/>
      <c r="PEQ238" s="494"/>
      <c r="PER238" s="494"/>
      <c r="PES238" s="494"/>
      <c r="PET238" s="494"/>
      <c r="PEU238" s="494"/>
      <c r="PEV238" s="494"/>
      <c r="PEW238" s="494"/>
      <c r="PEX238" s="494"/>
      <c r="PEY238" s="494"/>
      <c r="PEZ238" s="494"/>
      <c r="PFA238" s="494"/>
      <c r="PFB238" s="494"/>
      <c r="PFC238" s="494"/>
      <c r="PFD238" s="494"/>
      <c r="PFE238" s="494"/>
      <c r="PFF238" s="494"/>
      <c r="PFG238" s="494"/>
      <c r="PFH238" s="494"/>
      <c r="PFI238" s="494"/>
      <c r="PFJ238" s="494"/>
      <c r="PFK238" s="494"/>
      <c r="PFL238" s="494"/>
      <c r="PFM238" s="494"/>
      <c r="PFN238" s="494"/>
      <c r="PFO238" s="494"/>
      <c r="PFP238" s="494"/>
      <c r="PFQ238" s="494"/>
      <c r="PFR238" s="494"/>
      <c r="PFS238" s="494"/>
      <c r="PFT238" s="494"/>
      <c r="PFU238" s="494"/>
      <c r="PFV238" s="494"/>
      <c r="PFW238" s="494"/>
      <c r="PFX238" s="494"/>
      <c r="PFY238" s="494"/>
      <c r="PFZ238" s="494"/>
      <c r="PGA238" s="494"/>
      <c r="PGB238" s="494"/>
      <c r="PGC238" s="494"/>
      <c r="PGD238" s="494"/>
      <c r="PGE238" s="494"/>
      <c r="PGF238" s="494"/>
      <c r="PGG238" s="494"/>
      <c r="PGH238" s="494"/>
      <c r="PGI238" s="494"/>
      <c r="PGJ238" s="494"/>
      <c r="PGK238" s="494"/>
      <c r="PGL238" s="494"/>
      <c r="PGM238" s="494"/>
      <c r="PGN238" s="494"/>
      <c r="PGO238" s="494"/>
      <c r="PGP238" s="494"/>
      <c r="PGQ238" s="494"/>
      <c r="PGR238" s="494"/>
      <c r="PGS238" s="494"/>
      <c r="PGT238" s="494"/>
      <c r="PGU238" s="494"/>
      <c r="PGV238" s="494"/>
      <c r="PGW238" s="494"/>
      <c r="PGX238" s="494"/>
      <c r="PGY238" s="494"/>
      <c r="PGZ238" s="494"/>
      <c r="PHA238" s="494"/>
      <c r="PHB238" s="494"/>
      <c r="PHC238" s="494"/>
      <c r="PHD238" s="494"/>
      <c r="PHE238" s="494"/>
      <c r="PHF238" s="494"/>
      <c r="PHG238" s="494"/>
      <c r="PHH238" s="494"/>
      <c r="PHI238" s="494"/>
      <c r="PHJ238" s="494"/>
      <c r="PHK238" s="494"/>
      <c r="PHL238" s="494"/>
      <c r="PHM238" s="494"/>
      <c r="PHN238" s="494"/>
      <c r="PHO238" s="494"/>
      <c r="PHP238" s="494"/>
      <c r="PHQ238" s="494"/>
      <c r="PHR238" s="494"/>
      <c r="PHS238" s="494"/>
      <c r="PHT238" s="494"/>
      <c r="PHU238" s="494"/>
      <c r="PHV238" s="494"/>
      <c r="PHW238" s="494"/>
      <c r="PHX238" s="494"/>
      <c r="PHY238" s="494"/>
      <c r="PHZ238" s="494"/>
      <c r="PIA238" s="494"/>
      <c r="PIB238" s="494"/>
      <c r="PIC238" s="494"/>
      <c r="PID238" s="494"/>
      <c r="PIE238" s="494"/>
      <c r="PIF238" s="494"/>
      <c r="PIG238" s="494"/>
      <c r="PIH238" s="494"/>
      <c r="PII238" s="494"/>
      <c r="PIJ238" s="494"/>
      <c r="PIK238" s="494"/>
      <c r="PIL238" s="494"/>
      <c r="PIM238" s="494"/>
      <c r="PIN238" s="494"/>
      <c r="PIO238" s="494"/>
      <c r="PIP238" s="494"/>
      <c r="PIQ238" s="494"/>
      <c r="PIR238" s="494"/>
      <c r="PIS238" s="494"/>
      <c r="PIT238" s="494"/>
      <c r="PIU238" s="494"/>
      <c r="PIV238" s="494"/>
      <c r="PIW238" s="494"/>
      <c r="PIX238" s="494"/>
      <c r="PIY238" s="494"/>
      <c r="PIZ238" s="494"/>
      <c r="PJA238" s="494"/>
      <c r="PJB238" s="494"/>
      <c r="PJC238" s="494"/>
      <c r="PJD238" s="494"/>
      <c r="PJE238" s="494"/>
      <c r="PJF238" s="494"/>
      <c r="PJG238" s="494"/>
      <c r="PJH238" s="494"/>
      <c r="PJI238" s="494"/>
      <c r="PJJ238" s="494"/>
      <c r="PJK238" s="494"/>
      <c r="PJL238" s="494"/>
      <c r="PJM238" s="494"/>
      <c r="PJN238" s="494"/>
      <c r="PJO238" s="494"/>
      <c r="PJP238" s="494"/>
      <c r="PJQ238" s="494"/>
      <c r="PJR238" s="494"/>
      <c r="PJS238" s="494"/>
      <c r="PJT238" s="494"/>
      <c r="PJU238" s="494"/>
      <c r="PJV238" s="494"/>
      <c r="PJW238" s="494"/>
      <c r="PJX238" s="494"/>
      <c r="PJY238" s="494"/>
      <c r="PJZ238" s="494"/>
      <c r="PKA238" s="494"/>
      <c r="PKB238" s="494"/>
      <c r="PKC238" s="494"/>
      <c r="PKD238" s="494"/>
      <c r="PKE238" s="494"/>
      <c r="PKF238" s="494"/>
      <c r="PKG238" s="494"/>
      <c r="PKH238" s="494"/>
      <c r="PKI238" s="494"/>
      <c r="PKJ238" s="494"/>
      <c r="PKK238" s="494"/>
      <c r="PKL238" s="494"/>
      <c r="PKM238" s="494"/>
      <c r="PKN238" s="494"/>
      <c r="PKO238" s="494"/>
      <c r="PKP238" s="494"/>
      <c r="PKQ238" s="494"/>
      <c r="PKR238" s="494"/>
      <c r="PKS238" s="494"/>
      <c r="PKT238" s="494"/>
      <c r="PKU238" s="494"/>
      <c r="PKV238" s="494"/>
      <c r="PKW238" s="494"/>
      <c r="PKX238" s="494"/>
      <c r="PKY238" s="494"/>
      <c r="PKZ238" s="494"/>
      <c r="PLA238" s="494"/>
      <c r="PLB238" s="494"/>
      <c r="PLC238" s="494"/>
      <c r="PLD238" s="494"/>
      <c r="PLE238" s="494"/>
      <c r="PLF238" s="494"/>
      <c r="PLG238" s="494"/>
      <c r="PLH238" s="494"/>
      <c r="PLI238" s="494"/>
      <c r="PLJ238" s="494"/>
      <c r="PLK238" s="494"/>
      <c r="PLL238" s="494"/>
      <c r="PLM238" s="494"/>
      <c r="PLN238" s="494"/>
      <c r="PLO238" s="494"/>
      <c r="PLP238" s="494"/>
      <c r="PLQ238" s="494"/>
      <c r="PLR238" s="494"/>
      <c r="PLS238" s="494"/>
      <c r="PLT238" s="494"/>
      <c r="PLU238" s="494"/>
      <c r="PLV238" s="494"/>
      <c r="PLW238" s="494"/>
      <c r="PLX238" s="494"/>
      <c r="PLY238" s="494"/>
      <c r="PLZ238" s="494"/>
      <c r="PMA238" s="494"/>
      <c r="PMB238" s="494"/>
      <c r="PMC238" s="494"/>
      <c r="PMD238" s="494"/>
      <c r="PME238" s="494"/>
      <c r="PMF238" s="494"/>
      <c r="PMG238" s="494"/>
      <c r="PMH238" s="494"/>
      <c r="PMI238" s="494"/>
      <c r="PMJ238" s="494"/>
      <c r="PMK238" s="494"/>
      <c r="PML238" s="494"/>
      <c r="PMM238" s="494"/>
      <c r="PMN238" s="494"/>
      <c r="PMO238" s="494"/>
      <c r="PMP238" s="494"/>
      <c r="PMQ238" s="494"/>
      <c r="PMR238" s="494"/>
      <c r="PMS238" s="494"/>
      <c r="PMT238" s="494"/>
      <c r="PMU238" s="494"/>
      <c r="PMV238" s="494"/>
      <c r="PMW238" s="494"/>
      <c r="PMX238" s="494"/>
      <c r="PMY238" s="494"/>
      <c r="PMZ238" s="494"/>
      <c r="PNA238" s="494"/>
      <c r="PNB238" s="494"/>
      <c r="PNC238" s="494"/>
      <c r="PND238" s="494"/>
      <c r="PNE238" s="494"/>
      <c r="PNF238" s="494"/>
      <c r="PNG238" s="494"/>
      <c r="PNH238" s="494"/>
      <c r="PNI238" s="494"/>
      <c r="PNJ238" s="494"/>
      <c r="PNK238" s="494"/>
      <c r="PNL238" s="494"/>
      <c r="PNM238" s="494"/>
      <c r="PNN238" s="494"/>
      <c r="PNO238" s="494"/>
      <c r="PNP238" s="494"/>
      <c r="PNQ238" s="494"/>
      <c r="PNR238" s="494"/>
      <c r="PNS238" s="494"/>
      <c r="PNT238" s="494"/>
      <c r="PNU238" s="494"/>
      <c r="PNV238" s="494"/>
      <c r="PNW238" s="494"/>
      <c r="PNX238" s="494"/>
      <c r="PNY238" s="494"/>
      <c r="PNZ238" s="494"/>
      <c r="POA238" s="494"/>
      <c r="POB238" s="494"/>
      <c r="POC238" s="494"/>
      <c r="POD238" s="494"/>
      <c r="POE238" s="494"/>
      <c r="POF238" s="494"/>
      <c r="POG238" s="494"/>
      <c r="POH238" s="494"/>
      <c r="POI238" s="494"/>
      <c r="POJ238" s="494"/>
      <c r="POK238" s="494"/>
      <c r="POL238" s="494"/>
      <c r="POM238" s="494"/>
      <c r="PON238" s="494"/>
      <c r="POO238" s="494"/>
      <c r="POP238" s="494"/>
      <c r="POQ238" s="494"/>
      <c r="POR238" s="494"/>
      <c r="POS238" s="494"/>
      <c r="POT238" s="494"/>
      <c r="POU238" s="494"/>
      <c r="POV238" s="494"/>
      <c r="POW238" s="494"/>
      <c r="POX238" s="494"/>
      <c r="POY238" s="494"/>
      <c r="POZ238" s="494"/>
      <c r="PPA238" s="494"/>
      <c r="PPB238" s="494"/>
      <c r="PPC238" s="494"/>
      <c r="PPD238" s="494"/>
      <c r="PPE238" s="494"/>
      <c r="PPF238" s="494"/>
      <c r="PPG238" s="494"/>
      <c r="PPH238" s="494"/>
      <c r="PPI238" s="494"/>
      <c r="PPJ238" s="494"/>
      <c r="PPK238" s="494"/>
      <c r="PPL238" s="494"/>
      <c r="PPM238" s="494"/>
      <c r="PPN238" s="494"/>
      <c r="PPO238" s="494"/>
      <c r="PPP238" s="494"/>
      <c r="PPQ238" s="494"/>
      <c r="PPR238" s="494"/>
      <c r="PPS238" s="494"/>
      <c r="PPT238" s="494"/>
      <c r="PPU238" s="494"/>
      <c r="PPV238" s="494"/>
      <c r="PPW238" s="494"/>
      <c r="PPX238" s="494"/>
      <c r="PPY238" s="494"/>
      <c r="PPZ238" s="494"/>
      <c r="PQA238" s="494"/>
      <c r="PQB238" s="494"/>
      <c r="PQC238" s="494"/>
      <c r="PQD238" s="494"/>
      <c r="PQE238" s="494"/>
      <c r="PQF238" s="494"/>
      <c r="PQG238" s="494"/>
      <c r="PQH238" s="494"/>
      <c r="PQI238" s="494"/>
      <c r="PQJ238" s="494"/>
      <c r="PQK238" s="494"/>
      <c r="PQL238" s="494"/>
      <c r="PQM238" s="494"/>
      <c r="PQN238" s="494"/>
      <c r="PQO238" s="494"/>
      <c r="PQP238" s="494"/>
      <c r="PQQ238" s="494"/>
      <c r="PQR238" s="494"/>
      <c r="PQS238" s="494"/>
      <c r="PQT238" s="494"/>
      <c r="PQU238" s="494"/>
      <c r="PQV238" s="494"/>
      <c r="PQW238" s="494"/>
      <c r="PQX238" s="494"/>
      <c r="PQY238" s="494"/>
      <c r="PQZ238" s="494"/>
      <c r="PRA238" s="494"/>
      <c r="PRB238" s="494"/>
      <c r="PRC238" s="494"/>
      <c r="PRD238" s="494"/>
      <c r="PRE238" s="494"/>
      <c r="PRF238" s="494"/>
      <c r="PRG238" s="494"/>
      <c r="PRH238" s="494"/>
      <c r="PRI238" s="494"/>
      <c r="PRJ238" s="494"/>
      <c r="PRK238" s="494"/>
      <c r="PRL238" s="494"/>
      <c r="PRM238" s="494"/>
      <c r="PRN238" s="494"/>
      <c r="PRO238" s="494"/>
      <c r="PRP238" s="494"/>
      <c r="PRQ238" s="494"/>
      <c r="PRR238" s="494"/>
      <c r="PRS238" s="494"/>
      <c r="PRT238" s="494"/>
      <c r="PRU238" s="494"/>
      <c r="PRV238" s="494"/>
      <c r="PRW238" s="494"/>
      <c r="PRX238" s="494"/>
      <c r="PRY238" s="494"/>
      <c r="PRZ238" s="494"/>
      <c r="PSA238" s="494"/>
      <c r="PSB238" s="494"/>
      <c r="PSC238" s="494"/>
      <c r="PSD238" s="494"/>
      <c r="PSE238" s="494"/>
      <c r="PSF238" s="494"/>
      <c r="PSG238" s="494"/>
      <c r="PSH238" s="494"/>
      <c r="PSI238" s="494"/>
      <c r="PSJ238" s="494"/>
      <c r="PSK238" s="494"/>
      <c r="PSL238" s="494"/>
      <c r="PSM238" s="494"/>
      <c r="PSN238" s="494"/>
      <c r="PSO238" s="494"/>
      <c r="PSP238" s="494"/>
      <c r="PSQ238" s="494"/>
      <c r="PSR238" s="494"/>
      <c r="PSS238" s="494"/>
      <c r="PST238" s="494"/>
      <c r="PSU238" s="494"/>
      <c r="PSV238" s="494"/>
      <c r="PSW238" s="494"/>
      <c r="PSX238" s="494"/>
      <c r="PSY238" s="494"/>
      <c r="PSZ238" s="494"/>
      <c r="PTA238" s="494"/>
      <c r="PTB238" s="494"/>
      <c r="PTC238" s="494"/>
      <c r="PTD238" s="494"/>
      <c r="PTE238" s="494"/>
      <c r="PTF238" s="494"/>
      <c r="PTG238" s="494"/>
      <c r="PTH238" s="494"/>
      <c r="PTI238" s="494"/>
      <c r="PTJ238" s="494"/>
      <c r="PTK238" s="494"/>
      <c r="PTL238" s="494"/>
      <c r="PTM238" s="494"/>
      <c r="PTN238" s="494"/>
      <c r="PTO238" s="494"/>
      <c r="PTP238" s="494"/>
      <c r="PTQ238" s="494"/>
      <c r="PTR238" s="494"/>
      <c r="PTS238" s="494"/>
      <c r="PTT238" s="494"/>
      <c r="PTU238" s="494"/>
      <c r="PTV238" s="494"/>
      <c r="PTW238" s="494"/>
      <c r="PTX238" s="494"/>
      <c r="PTY238" s="494"/>
      <c r="PTZ238" s="494"/>
      <c r="PUA238" s="494"/>
      <c r="PUB238" s="494"/>
      <c r="PUC238" s="494"/>
      <c r="PUD238" s="494"/>
      <c r="PUE238" s="494"/>
      <c r="PUF238" s="494"/>
      <c r="PUG238" s="494"/>
      <c r="PUH238" s="494"/>
      <c r="PUI238" s="494"/>
      <c r="PUJ238" s="494"/>
      <c r="PUK238" s="494"/>
      <c r="PUL238" s="494"/>
      <c r="PUM238" s="494"/>
      <c r="PUN238" s="494"/>
      <c r="PUO238" s="494"/>
      <c r="PUP238" s="494"/>
      <c r="PUQ238" s="494"/>
      <c r="PUR238" s="494"/>
      <c r="PUS238" s="494"/>
      <c r="PUT238" s="494"/>
      <c r="PUU238" s="494"/>
      <c r="PUV238" s="494"/>
      <c r="PUW238" s="494"/>
      <c r="PUX238" s="494"/>
      <c r="PUY238" s="494"/>
      <c r="PUZ238" s="494"/>
      <c r="PVA238" s="494"/>
      <c r="PVB238" s="494"/>
      <c r="PVC238" s="494"/>
      <c r="PVD238" s="494"/>
      <c r="PVE238" s="494"/>
      <c r="PVF238" s="494"/>
      <c r="PVG238" s="494"/>
      <c r="PVH238" s="494"/>
      <c r="PVI238" s="494"/>
      <c r="PVJ238" s="494"/>
      <c r="PVK238" s="494"/>
      <c r="PVL238" s="494"/>
      <c r="PVM238" s="494"/>
      <c r="PVN238" s="494"/>
      <c r="PVO238" s="494"/>
      <c r="PVP238" s="494"/>
      <c r="PVQ238" s="494"/>
      <c r="PVR238" s="494"/>
      <c r="PVS238" s="494"/>
      <c r="PVT238" s="494"/>
      <c r="PVU238" s="494"/>
      <c r="PVV238" s="494"/>
      <c r="PVW238" s="494"/>
      <c r="PVX238" s="494"/>
      <c r="PVY238" s="494"/>
      <c r="PVZ238" s="494"/>
      <c r="PWA238" s="494"/>
      <c r="PWB238" s="494"/>
      <c r="PWC238" s="494"/>
      <c r="PWD238" s="494"/>
      <c r="PWE238" s="494"/>
      <c r="PWF238" s="494"/>
      <c r="PWG238" s="494"/>
      <c r="PWH238" s="494"/>
      <c r="PWI238" s="494"/>
      <c r="PWJ238" s="494"/>
      <c r="PWK238" s="494"/>
      <c r="PWL238" s="494"/>
      <c r="PWM238" s="494"/>
      <c r="PWN238" s="494"/>
      <c r="PWO238" s="494"/>
      <c r="PWP238" s="494"/>
      <c r="PWQ238" s="494"/>
      <c r="PWR238" s="494"/>
      <c r="PWS238" s="494"/>
      <c r="PWT238" s="494"/>
      <c r="PWU238" s="494"/>
      <c r="PWV238" s="494"/>
      <c r="PWW238" s="494"/>
      <c r="PWX238" s="494"/>
      <c r="PWY238" s="494"/>
      <c r="PWZ238" s="494"/>
      <c r="PXA238" s="494"/>
      <c r="PXB238" s="494"/>
      <c r="PXC238" s="494"/>
      <c r="PXD238" s="494"/>
      <c r="PXE238" s="494"/>
      <c r="PXF238" s="494"/>
      <c r="PXG238" s="494"/>
      <c r="PXH238" s="494"/>
      <c r="PXI238" s="494"/>
      <c r="PXJ238" s="494"/>
      <c r="PXK238" s="494"/>
      <c r="PXL238" s="494"/>
      <c r="PXM238" s="494"/>
      <c r="PXN238" s="494"/>
      <c r="PXO238" s="494"/>
      <c r="PXP238" s="494"/>
      <c r="PXQ238" s="494"/>
      <c r="PXR238" s="494"/>
      <c r="PXS238" s="494"/>
      <c r="PXT238" s="494"/>
      <c r="PXU238" s="494"/>
      <c r="PXV238" s="494"/>
      <c r="PXW238" s="494"/>
      <c r="PXX238" s="494"/>
      <c r="PXY238" s="494"/>
      <c r="PXZ238" s="494"/>
      <c r="PYA238" s="494"/>
      <c r="PYB238" s="494"/>
      <c r="PYC238" s="494"/>
      <c r="PYD238" s="494"/>
      <c r="PYE238" s="494"/>
      <c r="PYF238" s="494"/>
      <c r="PYG238" s="494"/>
      <c r="PYH238" s="494"/>
      <c r="PYI238" s="494"/>
      <c r="PYJ238" s="494"/>
      <c r="PYK238" s="494"/>
      <c r="PYL238" s="494"/>
      <c r="PYM238" s="494"/>
      <c r="PYN238" s="494"/>
      <c r="PYO238" s="494"/>
      <c r="PYP238" s="494"/>
      <c r="PYQ238" s="494"/>
      <c r="PYR238" s="494"/>
      <c r="PYS238" s="494"/>
      <c r="PYT238" s="494"/>
      <c r="PYU238" s="494"/>
      <c r="PYV238" s="494"/>
      <c r="PYW238" s="494"/>
      <c r="PYX238" s="494"/>
      <c r="PYY238" s="494"/>
      <c r="PYZ238" s="494"/>
      <c r="PZA238" s="494"/>
      <c r="PZB238" s="494"/>
      <c r="PZC238" s="494"/>
      <c r="PZD238" s="494"/>
      <c r="PZE238" s="494"/>
      <c r="PZF238" s="494"/>
      <c r="PZG238" s="494"/>
      <c r="PZH238" s="494"/>
      <c r="PZI238" s="494"/>
      <c r="PZJ238" s="494"/>
      <c r="PZK238" s="494"/>
      <c r="PZL238" s="494"/>
      <c r="PZM238" s="494"/>
      <c r="PZN238" s="494"/>
      <c r="PZO238" s="494"/>
      <c r="PZP238" s="494"/>
      <c r="PZQ238" s="494"/>
      <c r="PZR238" s="494"/>
      <c r="PZS238" s="494"/>
      <c r="PZT238" s="494"/>
      <c r="PZU238" s="494"/>
      <c r="PZV238" s="494"/>
      <c r="PZW238" s="494"/>
      <c r="PZX238" s="494"/>
      <c r="PZY238" s="494"/>
      <c r="PZZ238" s="494"/>
      <c r="QAA238" s="494"/>
      <c r="QAB238" s="494"/>
      <c r="QAC238" s="494"/>
      <c r="QAD238" s="494"/>
      <c r="QAE238" s="494"/>
      <c r="QAF238" s="494"/>
      <c r="QAG238" s="494"/>
      <c r="QAH238" s="494"/>
      <c r="QAI238" s="494"/>
      <c r="QAJ238" s="494"/>
      <c r="QAK238" s="494"/>
      <c r="QAL238" s="494"/>
      <c r="QAM238" s="494"/>
      <c r="QAN238" s="494"/>
      <c r="QAO238" s="494"/>
      <c r="QAP238" s="494"/>
      <c r="QAQ238" s="494"/>
      <c r="QAR238" s="494"/>
      <c r="QAS238" s="494"/>
      <c r="QAT238" s="494"/>
      <c r="QAU238" s="494"/>
      <c r="QAV238" s="494"/>
      <c r="QAW238" s="494"/>
      <c r="QAX238" s="494"/>
      <c r="QAY238" s="494"/>
      <c r="QAZ238" s="494"/>
      <c r="QBA238" s="494"/>
      <c r="QBB238" s="494"/>
      <c r="QBC238" s="494"/>
      <c r="QBD238" s="494"/>
      <c r="QBE238" s="494"/>
      <c r="QBF238" s="494"/>
      <c r="QBG238" s="494"/>
      <c r="QBH238" s="494"/>
      <c r="QBI238" s="494"/>
      <c r="QBJ238" s="494"/>
      <c r="QBK238" s="494"/>
      <c r="QBL238" s="494"/>
      <c r="QBM238" s="494"/>
      <c r="QBN238" s="494"/>
      <c r="QBO238" s="494"/>
      <c r="QBP238" s="494"/>
      <c r="QBQ238" s="494"/>
      <c r="QBR238" s="494"/>
      <c r="QBS238" s="494"/>
      <c r="QBT238" s="494"/>
      <c r="QBU238" s="494"/>
      <c r="QBV238" s="494"/>
      <c r="QBW238" s="494"/>
      <c r="QBX238" s="494"/>
      <c r="QBY238" s="494"/>
      <c r="QBZ238" s="494"/>
      <c r="QCA238" s="494"/>
      <c r="QCB238" s="494"/>
      <c r="QCC238" s="494"/>
      <c r="QCD238" s="494"/>
      <c r="QCE238" s="494"/>
      <c r="QCF238" s="494"/>
      <c r="QCG238" s="494"/>
      <c r="QCH238" s="494"/>
      <c r="QCI238" s="494"/>
      <c r="QCJ238" s="494"/>
      <c r="QCK238" s="494"/>
      <c r="QCL238" s="494"/>
      <c r="QCM238" s="494"/>
      <c r="QCN238" s="494"/>
      <c r="QCO238" s="494"/>
      <c r="QCP238" s="494"/>
      <c r="QCQ238" s="494"/>
      <c r="QCR238" s="494"/>
      <c r="QCS238" s="494"/>
      <c r="QCT238" s="494"/>
      <c r="QCU238" s="494"/>
      <c r="QCV238" s="494"/>
      <c r="QCW238" s="494"/>
      <c r="QCX238" s="494"/>
      <c r="QCY238" s="494"/>
      <c r="QCZ238" s="494"/>
      <c r="QDA238" s="494"/>
      <c r="QDB238" s="494"/>
      <c r="QDC238" s="494"/>
      <c r="QDD238" s="494"/>
      <c r="QDE238" s="494"/>
      <c r="QDF238" s="494"/>
      <c r="QDG238" s="494"/>
      <c r="QDH238" s="494"/>
      <c r="QDI238" s="494"/>
      <c r="QDJ238" s="494"/>
      <c r="QDK238" s="494"/>
      <c r="QDL238" s="494"/>
      <c r="QDM238" s="494"/>
      <c r="QDN238" s="494"/>
      <c r="QDO238" s="494"/>
      <c r="QDP238" s="494"/>
      <c r="QDQ238" s="494"/>
      <c r="QDR238" s="494"/>
      <c r="QDS238" s="494"/>
      <c r="QDT238" s="494"/>
      <c r="QDU238" s="494"/>
      <c r="QDV238" s="494"/>
      <c r="QDW238" s="494"/>
      <c r="QDX238" s="494"/>
      <c r="QDY238" s="494"/>
      <c r="QDZ238" s="494"/>
      <c r="QEA238" s="494"/>
      <c r="QEB238" s="494"/>
      <c r="QEC238" s="494"/>
      <c r="QED238" s="494"/>
      <c r="QEE238" s="494"/>
      <c r="QEF238" s="494"/>
      <c r="QEG238" s="494"/>
      <c r="QEH238" s="494"/>
      <c r="QEI238" s="494"/>
      <c r="QEJ238" s="494"/>
      <c r="QEK238" s="494"/>
      <c r="QEL238" s="494"/>
      <c r="QEM238" s="494"/>
      <c r="QEN238" s="494"/>
      <c r="QEO238" s="494"/>
      <c r="QEP238" s="494"/>
      <c r="QEQ238" s="494"/>
      <c r="QER238" s="494"/>
      <c r="QES238" s="494"/>
      <c r="QET238" s="494"/>
      <c r="QEU238" s="494"/>
      <c r="QEV238" s="494"/>
      <c r="QEW238" s="494"/>
      <c r="QEX238" s="494"/>
      <c r="QEY238" s="494"/>
      <c r="QEZ238" s="494"/>
      <c r="QFA238" s="494"/>
      <c r="QFB238" s="494"/>
      <c r="QFC238" s="494"/>
      <c r="QFD238" s="494"/>
      <c r="QFE238" s="494"/>
      <c r="QFF238" s="494"/>
      <c r="QFG238" s="494"/>
      <c r="QFH238" s="494"/>
      <c r="QFI238" s="494"/>
      <c r="QFJ238" s="494"/>
      <c r="QFK238" s="494"/>
      <c r="QFL238" s="494"/>
      <c r="QFM238" s="494"/>
      <c r="QFN238" s="494"/>
      <c r="QFO238" s="494"/>
      <c r="QFP238" s="494"/>
      <c r="QFQ238" s="494"/>
      <c r="QFR238" s="494"/>
      <c r="QFS238" s="494"/>
      <c r="QFT238" s="494"/>
      <c r="QFU238" s="494"/>
      <c r="QFV238" s="494"/>
      <c r="QFW238" s="494"/>
      <c r="QFX238" s="494"/>
      <c r="QFY238" s="494"/>
      <c r="QFZ238" s="494"/>
      <c r="QGA238" s="494"/>
      <c r="QGB238" s="494"/>
      <c r="QGC238" s="494"/>
      <c r="QGD238" s="494"/>
      <c r="QGE238" s="494"/>
      <c r="QGF238" s="494"/>
      <c r="QGG238" s="494"/>
      <c r="QGH238" s="494"/>
      <c r="QGI238" s="494"/>
      <c r="QGJ238" s="494"/>
      <c r="QGK238" s="494"/>
      <c r="QGL238" s="494"/>
      <c r="QGM238" s="494"/>
      <c r="QGN238" s="494"/>
      <c r="QGO238" s="494"/>
      <c r="QGP238" s="494"/>
      <c r="QGQ238" s="494"/>
      <c r="QGR238" s="494"/>
      <c r="QGS238" s="494"/>
      <c r="QGT238" s="494"/>
      <c r="QGU238" s="494"/>
      <c r="QGV238" s="494"/>
      <c r="QGW238" s="494"/>
      <c r="QGX238" s="494"/>
      <c r="QGY238" s="494"/>
      <c r="QGZ238" s="494"/>
      <c r="QHA238" s="494"/>
      <c r="QHB238" s="494"/>
      <c r="QHC238" s="494"/>
      <c r="QHD238" s="494"/>
      <c r="QHE238" s="494"/>
      <c r="QHF238" s="494"/>
      <c r="QHG238" s="494"/>
      <c r="QHH238" s="494"/>
      <c r="QHI238" s="494"/>
      <c r="QHJ238" s="494"/>
      <c r="QHK238" s="494"/>
      <c r="QHL238" s="494"/>
      <c r="QHM238" s="494"/>
      <c r="QHN238" s="494"/>
      <c r="QHO238" s="494"/>
      <c r="QHP238" s="494"/>
      <c r="QHQ238" s="494"/>
      <c r="QHR238" s="494"/>
      <c r="QHS238" s="494"/>
      <c r="QHT238" s="494"/>
      <c r="QHU238" s="494"/>
      <c r="QHV238" s="494"/>
      <c r="QHW238" s="494"/>
      <c r="QHX238" s="494"/>
      <c r="QHY238" s="494"/>
      <c r="QHZ238" s="494"/>
      <c r="QIA238" s="494"/>
      <c r="QIB238" s="494"/>
      <c r="QIC238" s="494"/>
      <c r="QID238" s="494"/>
      <c r="QIE238" s="494"/>
      <c r="QIF238" s="494"/>
      <c r="QIG238" s="494"/>
      <c r="QIH238" s="494"/>
      <c r="QII238" s="494"/>
      <c r="QIJ238" s="494"/>
      <c r="QIK238" s="494"/>
      <c r="QIL238" s="494"/>
      <c r="QIM238" s="494"/>
      <c r="QIN238" s="494"/>
      <c r="QIO238" s="494"/>
      <c r="QIP238" s="494"/>
      <c r="QIQ238" s="494"/>
      <c r="QIR238" s="494"/>
      <c r="QIS238" s="494"/>
      <c r="QIT238" s="494"/>
      <c r="QIU238" s="494"/>
      <c r="QIV238" s="494"/>
      <c r="QIW238" s="494"/>
      <c r="QIX238" s="494"/>
      <c r="QIY238" s="494"/>
      <c r="QIZ238" s="494"/>
      <c r="QJA238" s="494"/>
      <c r="QJB238" s="494"/>
      <c r="QJC238" s="494"/>
      <c r="QJD238" s="494"/>
      <c r="QJE238" s="494"/>
      <c r="QJF238" s="494"/>
      <c r="QJG238" s="494"/>
      <c r="QJH238" s="494"/>
      <c r="QJI238" s="494"/>
      <c r="QJJ238" s="494"/>
      <c r="QJK238" s="494"/>
      <c r="QJL238" s="494"/>
      <c r="QJM238" s="494"/>
      <c r="QJN238" s="494"/>
      <c r="QJO238" s="494"/>
      <c r="QJP238" s="494"/>
      <c r="QJQ238" s="494"/>
      <c r="QJR238" s="494"/>
      <c r="QJS238" s="494"/>
      <c r="QJT238" s="494"/>
      <c r="QJU238" s="494"/>
      <c r="QJV238" s="494"/>
      <c r="QJW238" s="494"/>
      <c r="QJX238" s="494"/>
      <c r="QJY238" s="494"/>
      <c r="QJZ238" s="494"/>
      <c r="QKA238" s="494"/>
      <c r="QKB238" s="494"/>
      <c r="QKC238" s="494"/>
      <c r="QKD238" s="494"/>
      <c r="QKE238" s="494"/>
      <c r="QKF238" s="494"/>
      <c r="QKG238" s="494"/>
      <c r="QKH238" s="494"/>
      <c r="QKI238" s="494"/>
      <c r="QKJ238" s="494"/>
      <c r="QKK238" s="494"/>
      <c r="QKL238" s="494"/>
      <c r="QKM238" s="494"/>
      <c r="QKN238" s="494"/>
      <c r="QKO238" s="494"/>
      <c r="QKP238" s="494"/>
      <c r="QKQ238" s="494"/>
      <c r="QKR238" s="494"/>
      <c r="QKS238" s="494"/>
      <c r="QKT238" s="494"/>
      <c r="QKU238" s="494"/>
      <c r="QKV238" s="494"/>
      <c r="QKW238" s="494"/>
      <c r="QKX238" s="494"/>
      <c r="QKY238" s="494"/>
      <c r="QKZ238" s="494"/>
      <c r="QLA238" s="494"/>
      <c r="QLB238" s="494"/>
      <c r="QLC238" s="494"/>
      <c r="QLD238" s="494"/>
      <c r="QLE238" s="494"/>
      <c r="QLF238" s="494"/>
      <c r="QLG238" s="494"/>
      <c r="QLH238" s="494"/>
      <c r="QLI238" s="494"/>
      <c r="QLJ238" s="494"/>
      <c r="QLK238" s="494"/>
      <c r="QLL238" s="494"/>
      <c r="QLM238" s="494"/>
      <c r="QLN238" s="494"/>
      <c r="QLO238" s="494"/>
      <c r="QLP238" s="494"/>
      <c r="QLQ238" s="494"/>
      <c r="QLR238" s="494"/>
      <c r="QLS238" s="494"/>
      <c r="QLT238" s="494"/>
      <c r="QLU238" s="494"/>
      <c r="QLV238" s="494"/>
      <c r="QLW238" s="494"/>
      <c r="QLX238" s="494"/>
      <c r="QLY238" s="494"/>
      <c r="QLZ238" s="494"/>
      <c r="QMA238" s="494"/>
      <c r="QMB238" s="494"/>
      <c r="QMC238" s="494"/>
      <c r="QMD238" s="494"/>
      <c r="QME238" s="494"/>
      <c r="QMF238" s="494"/>
      <c r="QMG238" s="494"/>
      <c r="QMH238" s="494"/>
      <c r="QMI238" s="494"/>
      <c r="QMJ238" s="494"/>
      <c r="QMK238" s="494"/>
      <c r="QML238" s="494"/>
      <c r="QMM238" s="494"/>
      <c r="QMN238" s="494"/>
      <c r="QMO238" s="494"/>
      <c r="QMP238" s="494"/>
      <c r="QMQ238" s="494"/>
      <c r="QMR238" s="494"/>
      <c r="QMS238" s="494"/>
      <c r="QMT238" s="494"/>
      <c r="QMU238" s="494"/>
      <c r="QMV238" s="494"/>
      <c r="QMW238" s="494"/>
      <c r="QMX238" s="494"/>
      <c r="QMY238" s="494"/>
      <c r="QMZ238" s="494"/>
      <c r="QNA238" s="494"/>
      <c r="QNB238" s="494"/>
      <c r="QNC238" s="494"/>
      <c r="QND238" s="494"/>
      <c r="QNE238" s="494"/>
      <c r="QNF238" s="494"/>
      <c r="QNG238" s="494"/>
      <c r="QNH238" s="494"/>
      <c r="QNI238" s="494"/>
      <c r="QNJ238" s="494"/>
      <c r="QNK238" s="494"/>
      <c r="QNL238" s="494"/>
      <c r="QNM238" s="494"/>
      <c r="QNN238" s="494"/>
      <c r="QNO238" s="494"/>
      <c r="QNP238" s="494"/>
      <c r="QNQ238" s="494"/>
      <c r="QNR238" s="494"/>
      <c r="QNS238" s="494"/>
      <c r="QNT238" s="494"/>
      <c r="QNU238" s="494"/>
      <c r="QNV238" s="494"/>
      <c r="QNW238" s="494"/>
      <c r="QNX238" s="494"/>
      <c r="QNY238" s="494"/>
      <c r="QNZ238" s="494"/>
      <c r="QOA238" s="494"/>
      <c r="QOB238" s="494"/>
      <c r="QOC238" s="494"/>
      <c r="QOD238" s="494"/>
      <c r="QOE238" s="494"/>
      <c r="QOF238" s="494"/>
      <c r="QOG238" s="494"/>
      <c r="QOH238" s="494"/>
      <c r="QOI238" s="494"/>
      <c r="QOJ238" s="494"/>
      <c r="QOK238" s="494"/>
      <c r="QOL238" s="494"/>
      <c r="QOM238" s="494"/>
      <c r="QON238" s="494"/>
      <c r="QOO238" s="494"/>
      <c r="QOP238" s="494"/>
      <c r="QOQ238" s="494"/>
      <c r="QOR238" s="494"/>
      <c r="QOS238" s="494"/>
      <c r="QOT238" s="494"/>
      <c r="QOU238" s="494"/>
      <c r="QOV238" s="494"/>
      <c r="QOW238" s="494"/>
      <c r="QOX238" s="494"/>
      <c r="QOY238" s="494"/>
      <c r="QOZ238" s="494"/>
      <c r="QPA238" s="494"/>
      <c r="QPB238" s="494"/>
      <c r="QPC238" s="494"/>
      <c r="QPD238" s="494"/>
      <c r="QPE238" s="494"/>
      <c r="QPF238" s="494"/>
      <c r="QPG238" s="494"/>
      <c r="QPH238" s="494"/>
      <c r="QPI238" s="494"/>
      <c r="QPJ238" s="494"/>
      <c r="QPK238" s="494"/>
      <c r="QPL238" s="494"/>
      <c r="QPM238" s="494"/>
      <c r="QPN238" s="494"/>
      <c r="QPO238" s="494"/>
      <c r="QPP238" s="494"/>
      <c r="QPQ238" s="494"/>
      <c r="QPR238" s="494"/>
      <c r="QPS238" s="494"/>
      <c r="QPT238" s="494"/>
      <c r="QPU238" s="494"/>
      <c r="QPV238" s="494"/>
      <c r="QPW238" s="494"/>
      <c r="QPX238" s="494"/>
      <c r="QPY238" s="494"/>
      <c r="QPZ238" s="494"/>
      <c r="QQA238" s="494"/>
      <c r="QQB238" s="494"/>
      <c r="QQC238" s="494"/>
      <c r="QQD238" s="494"/>
      <c r="QQE238" s="494"/>
      <c r="QQF238" s="494"/>
      <c r="QQG238" s="494"/>
      <c r="QQH238" s="494"/>
      <c r="QQI238" s="494"/>
      <c r="QQJ238" s="494"/>
      <c r="QQK238" s="494"/>
      <c r="QQL238" s="494"/>
      <c r="QQM238" s="494"/>
      <c r="QQN238" s="494"/>
      <c r="QQO238" s="494"/>
      <c r="QQP238" s="494"/>
      <c r="QQQ238" s="494"/>
      <c r="QQR238" s="494"/>
      <c r="QQS238" s="494"/>
      <c r="QQT238" s="494"/>
      <c r="QQU238" s="494"/>
      <c r="QQV238" s="494"/>
      <c r="QQW238" s="494"/>
      <c r="QQX238" s="494"/>
      <c r="QQY238" s="494"/>
      <c r="QQZ238" s="494"/>
      <c r="QRA238" s="494"/>
      <c r="QRB238" s="494"/>
      <c r="QRC238" s="494"/>
      <c r="QRD238" s="494"/>
      <c r="QRE238" s="494"/>
      <c r="QRF238" s="494"/>
      <c r="QRG238" s="494"/>
      <c r="QRH238" s="494"/>
      <c r="QRI238" s="494"/>
      <c r="QRJ238" s="494"/>
      <c r="QRK238" s="494"/>
      <c r="QRL238" s="494"/>
      <c r="QRM238" s="494"/>
      <c r="QRN238" s="494"/>
      <c r="QRO238" s="494"/>
      <c r="QRP238" s="494"/>
      <c r="QRQ238" s="494"/>
      <c r="QRR238" s="494"/>
      <c r="QRS238" s="494"/>
      <c r="QRT238" s="494"/>
      <c r="QRU238" s="494"/>
      <c r="QRV238" s="494"/>
      <c r="QRW238" s="494"/>
      <c r="QRX238" s="494"/>
      <c r="QRY238" s="494"/>
      <c r="QRZ238" s="494"/>
      <c r="QSA238" s="494"/>
      <c r="QSB238" s="494"/>
      <c r="QSC238" s="494"/>
      <c r="QSD238" s="494"/>
      <c r="QSE238" s="494"/>
      <c r="QSF238" s="494"/>
      <c r="QSG238" s="494"/>
      <c r="QSH238" s="494"/>
      <c r="QSI238" s="494"/>
      <c r="QSJ238" s="494"/>
      <c r="QSK238" s="494"/>
      <c r="QSL238" s="494"/>
      <c r="QSM238" s="494"/>
      <c r="QSN238" s="494"/>
      <c r="QSO238" s="494"/>
      <c r="QSP238" s="494"/>
      <c r="QSQ238" s="494"/>
      <c r="QSR238" s="494"/>
      <c r="QSS238" s="494"/>
      <c r="QST238" s="494"/>
      <c r="QSU238" s="494"/>
      <c r="QSV238" s="494"/>
      <c r="QSW238" s="494"/>
      <c r="QSX238" s="494"/>
      <c r="QSY238" s="494"/>
      <c r="QSZ238" s="494"/>
      <c r="QTA238" s="494"/>
      <c r="QTB238" s="494"/>
      <c r="QTC238" s="494"/>
      <c r="QTD238" s="494"/>
      <c r="QTE238" s="494"/>
      <c r="QTF238" s="494"/>
      <c r="QTG238" s="494"/>
      <c r="QTH238" s="494"/>
      <c r="QTI238" s="494"/>
      <c r="QTJ238" s="494"/>
      <c r="QTK238" s="494"/>
      <c r="QTL238" s="494"/>
      <c r="QTM238" s="494"/>
      <c r="QTN238" s="494"/>
      <c r="QTO238" s="494"/>
      <c r="QTP238" s="494"/>
      <c r="QTQ238" s="494"/>
      <c r="QTR238" s="494"/>
      <c r="QTS238" s="494"/>
      <c r="QTT238" s="494"/>
      <c r="QTU238" s="494"/>
      <c r="QTV238" s="494"/>
      <c r="QTW238" s="494"/>
      <c r="QTX238" s="494"/>
      <c r="QTY238" s="494"/>
      <c r="QTZ238" s="494"/>
      <c r="QUA238" s="494"/>
      <c r="QUB238" s="494"/>
      <c r="QUC238" s="494"/>
      <c r="QUD238" s="494"/>
      <c r="QUE238" s="494"/>
      <c r="QUF238" s="494"/>
      <c r="QUG238" s="494"/>
      <c r="QUH238" s="494"/>
      <c r="QUI238" s="494"/>
      <c r="QUJ238" s="494"/>
      <c r="QUK238" s="494"/>
      <c r="QUL238" s="494"/>
      <c r="QUM238" s="494"/>
      <c r="QUN238" s="494"/>
      <c r="QUO238" s="494"/>
      <c r="QUP238" s="494"/>
      <c r="QUQ238" s="494"/>
      <c r="QUR238" s="494"/>
      <c r="QUS238" s="494"/>
      <c r="QUT238" s="494"/>
      <c r="QUU238" s="494"/>
      <c r="QUV238" s="494"/>
      <c r="QUW238" s="494"/>
      <c r="QUX238" s="494"/>
      <c r="QUY238" s="494"/>
      <c r="QUZ238" s="494"/>
      <c r="QVA238" s="494"/>
      <c r="QVB238" s="494"/>
      <c r="QVC238" s="494"/>
      <c r="QVD238" s="494"/>
      <c r="QVE238" s="494"/>
      <c r="QVF238" s="494"/>
      <c r="QVG238" s="494"/>
      <c r="QVH238" s="494"/>
      <c r="QVI238" s="494"/>
      <c r="QVJ238" s="494"/>
      <c r="QVK238" s="494"/>
      <c r="QVL238" s="494"/>
      <c r="QVM238" s="494"/>
      <c r="QVN238" s="494"/>
      <c r="QVO238" s="494"/>
      <c r="QVP238" s="494"/>
      <c r="QVQ238" s="494"/>
      <c r="QVR238" s="494"/>
      <c r="QVS238" s="494"/>
      <c r="QVT238" s="494"/>
      <c r="QVU238" s="494"/>
      <c r="QVV238" s="494"/>
      <c r="QVW238" s="494"/>
      <c r="QVX238" s="494"/>
      <c r="QVY238" s="494"/>
      <c r="QVZ238" s="494"/>
      <c r="QWA238" s="494"/>
      <c r="QWB238" s="494"/>
      <c r="QWC238" s="494"/>
      <c r="QWD238" s="494"/>
      <c r="QWE238" s="494"/>
      <c r="QWF238" s="494"/>
      <c r="QWG238" s="494"/>
      <c r="QWH238" s="494"/>
      <c r="QWI238" s="494"/>
      <c r="QWJ238" s="494"/>
      <c r="QWK238" s="494"/>
      <c r="QWL238" s="494"/>
      <c r="QWM238" s="494"/>
      <c r="QWN238" s="494"/>
      <c r="QWO238" s="494"/>
      <c r="QWP238" s="494"/>
      <c r="QWQ238" s="494"/>
      <c r="QWR238" s="494"/>
      <c r="QWS238" s="494"/>
      <c r="QWT238" s="494"/>
      <c r="QWU238" s="494"/>
      <c r="QWV238" s="494"/>
      <c r="QWW238" s="494"/>
      <c r="QWX238" s="494"/>
      <c r="QWY238" s="494"/>
      <c r="QWZ238" s="494"/>
      <c r="QXA238" s="494"/>
      <c r="QXB238" s="494"/>
      <c r="QXC238" s="494"/>
      <c r="QXD238" s="494"/>
      <c r="QXE238" s="494"/>
      <c r="QXF238" s="494"/>
      <c r="QXG238" s="494"/>
      <c r="QXH238" s="494"/>
      <c r="QXI238" s="494"/>
      <c r="QXJ238" s="494"/>
      <c r="QXK238" s="494"/>
      <c r="QXL238" s="494"/>
      <c r="QXM238" s="494"/>
      <c r="QXN238" s="494"/>
      <c r="QXO238" s="494"/>
      <c r="QXP238" s="494"/>
      <c r="QXQ238" s="494"/>
      <c r="QXR238" s="494"/>
      <c r="QXS238" s="494"/>
      <c r="QXT238" s="494"/>
      <c r="QXU238" s="494"/>
      <c r="QXV238" s="494"/>
      <c r="QXW238" s="494"/>
      <c r="QXX238" s="494"/>
      <c r="QXY238" s="494"/>
      <c r="QXZ238" s="494"/>
      <c r="QYA238" s="494"/>
      <c r="QYB238" s="494"/>
      <c r="QYC238" s="494"/>
      <c r="QYD238" s="494"/>
      <c r="QYE238" s="494"/>
      <c r="QYF238" s="494"/>
      <c r="QYG238" s="494"/>
      <c r="QYH238" s="494"/>
      <c r="QYI238" s="494"/>
      <c r="QYJ238" s="494"/>
      <c r="QYK238" s="494"/>
      <c r="QYL238" s="494"/>
      <c r="QYM238" s="494"/>
      <c r="QYN238" s="494"/>
      <c r="QYO238" s="494"/>
      <c r="QYP238" s="494"/>
      <c r="QYQ238" s="494"/>
      <c r="QYR238" s="494"/>
      <c r="QYS238" s="494"/>
      <c r="QYT238" s="494"/>
      <c r="QYU238" s="494"/>
      <c r="QYV238" s="494"/>
      <c r="QYW238" s="494"/>
      <c r="QYX238" s="494"/>
      <c r="QYY238" s="494"/>
      <c r="QYZ238" s="494"/>
      <c r="QZA238" s="494"/>
      <c r="QZB238" s="494"/>
      <c r="QZC238" s="494"/>
      <c r="QZD238" s="494"/>
      <c r="QZE238" s="494"/>
      <c r="QZF238" s="494"/>
      <c r="QZG238" s="494"/>
      <c r="QZH238" s="494"/>
      <c r="QZI238" s="494"/>
      <c r="QZJ238" s="494"/>
      <c r="QZK238" s="494"/>
      <c r="QZL238" s="494"/>
      <c r="QZM238" s="494"/>
      <c r="QZN238" s="494"/>
      <c r="QZO238" s="494"/>
      <c r="QZP238" s="494"/>
      <c r="QZQ238" s="494"/>
      <c r="QZR238" s="494"/>
      <c r="QZS238" s="494"/>
      <c r="QZT238" s="494"/>
      <c r="QZU238" s="494"/>
      <c r="QZV238" s="494"/>
      <c r="QZW238" s="494"/>
      <c r="QZX238" s="494"/>
      <c r="QZY238" s="494"/>
      <c r="QZZ238" s="494"/>
      <c r="RAA238" s="494"/>
      <c r="RAB238" s="494"/>
      <c r="RAC238" s="494"/>
      <c r="RAD238" s="494"/>
      <c r="RAE238" s="494"/>
      <c r="RAF238" s="494"/>
      <c r="RAG238" s="494"/>
      <c r="RAH238" s="494"/>
      <c r="RAI238" s="494"/>
      <c r="RAJ238" s="494"/>
      <c r="RAK238" s="494"/>
      <c r="RAL238" s="494"/>
      <c r="RAM238" s="494"/>
      <c r="RAN238" s="494"/>
      <c r="RAO238" s="494"/>
      <c r="RAP238" s="494"/>
      <c r="RAQ238" s="494"/>
      <c r="RAR238" s="494"/>
      <c r="RAS238" s="494"/>
      <c r="RAT238" s="494"/>
      <c r="RAU238" s="494"/>
      <c r="RAV238" s="494"/>
      <c r="RAW238" s="494"/>
      <c r="RAX238" s="494"/>
      <c r="RAY238" s="494"/>
      <c r="RAZ238" s="494"/>
      <c r="RBA238" s="494"/>
      <c r="RBB238" s="494"/>
      <c r="RBC238" s="494"/>
      <c r="RBD238" s="494"/>
      <c r="RBE238" s="494"/>
      <c r="RBF238" s="494"/>
      <c r="RBG238" s="494"/>
      <c r="RBH238" s="494"/>
      <c r="RBI238" s="494"/>
      <c r="RBJ238" s="494"/>
      <c r="RBK238" s="494"/>
      <c r="RBL238" s="494"/>
      <c r="RBM238" s="494"/>
      <c r="RBN238" s="494"/>
      <c r="RBO238" s="494"/>
      <c r="RBP238" s="494"/>
      <c r="RBQ238" s="494"/>
      <c r="RBR238" s="494"/>
      <c r="RBS238" s="494"/>
      <c r="RBT238" s="494"/>
      <c r="RBU238" s="494"/>
      <c r="RBV238" s="494"/>
      <c r="RBW238" s="494"/>
      <c r="RBX238" s="494"/>
      <c r="RBY238" s="494"/>
      <c r="RBZ238" s="494"/>
      <c r="RCA238" s="494"/>
      <c r="RCB238" s="494"/>
      <c r="RCC238" s="494"/>
      <c r="RCD238" s="494"/>
      <c r="RCE238" s="494"/>
      <c r="RCF238" s="494"/>
      <c r="RCG238" s="494"/>
      <c r="RCH238" s="494"/>
      <c r="RCI238" s="494"/>
      <c r="RCJ238" s="494"/>
      <c r="RCK238" s="494"/>
      <c r="RCL238" s="494"/>
      <c r="RCM238" s="494"/>
      <c r="RCN238" s="494"/>
      <c r="RCO238" s="494"/>
      <c r="RCP238" s="494"/>
      <c r="RCQ238" s="494"/>
      <c r="RCR238" s="494"/>
      <c r="RCS238" s="494"/>
      <c r="RCT238" s="494"/>
      <c r="RCU238" s="494"/>
      <c r="RCV238" s="494"/>
      <c r="RCW238" s="494"/>
      <c r="RCX238" s="494"/>
      <c r="RCY238" s="494"/>
      <c r="RCZ238" s="494"/>
      <c r="RDA238" s="494"/>
      <c r="RDB238" s="494"/>
      <c r="RDC238" s="494"/>
      <c r="RDD238" s="494"/>
      <c r="RDE238" s="494"/>
      <c r="RDF238" s="494"/>
      <c r="RDG238" s="494"/>
      <c r="RDH238" s="494"/>
      <c r="RDI238" s="494"/>
      <c r="RDJ238" s="494"/>
      <c r="RDK238" s="494"/>
      <c r="RDL238" s="494"/>
      <c r="RDM238" s="494"/>
      <c r="RDN238" s="494"/>
      <c r="RDO238" s="494"/>
      <c r="RDP238" s="494"/>
      <c r="RDQ238" s="494"/>
      <c r="RDR238" s="494"/>
      <c r="RDS238" s="494"/>
      <c r="RDT238" s="494"/>
      <c r="RDU238" s="494"/>
      <c r="RDV238" s="494"/>
      <c r="RDW238" s="494"/>
      <c r="RDX238" s="494"/>
      <c r="RDY238" s="494"/>
      <c r="RDZ238" s="494"/>
      <c r="REA238" s="494"/>
      <c r="REB238" s="494"/>
      <c r="REC238" s="494"/>
      <c r="RED238" s="494"/>
      <c r="REE238" s="494"/>
      <c r="REF238" s="494"/>
      <c r="REG238" s="494"/>
      <c r="REH238" s="494"/>
      <c r="REI238" s="494"/>
      <c r="REJ238" s="494"/>
      <c r="REK238" s="494"/>
      <c r="REL238" s="494"/>
      <c r="REM238" s="494"/>
      <c r="REN238" s="494"/>
      <c r="REO238" s="494"/>
      <c r="REP238" s="494"/>
      <c r="REQ238" s="494"/>
      <c r="RER238" s="494"/>
      <c r="RES238" s="494"/>
      <c r="RET238" s="494"/>
      <c r="REU238" s="494"/>
      <c r="REV238" s="494"/>
      <c r="REW238" s="494"/>
      <c r="REX238" s="494"/>
      <c r="REY238" s="494"/>
      <c r="REZ238" s="494"/>
      <c r="RFA238" s="494"/>
      <c r="RFB238" s="494"/>
      <c r="RFC238" s="494"/>
      <c r="RFD238" s="494"/>
      <c r="RFE238" s="494"/>
      <c r="RFF238" s="494"/>
      <c r="RFG238" s="494"/>
      <c r="RFH238" s="494"/>
      <c r="RFI238" s="494"/>
      <c r="RFJ238" s="494"/>
      <c r="RFK238" s="494"/>
      <c r="RFL238" s="494"/>
      <c r="RFM238" s="494"/>
      <c r="RFN238" s="494"/>
      <c r="RFO238" s="494"/>
      <c r="RFP238" s="494"/>
      <c r="RFQ238" s="494"/>
      <c r="RFR238" s="494"/>
      <c r="RFS238" s="494"/>
      <c r="RFT238" s="494"/>
      <c r="RFU238" s="494"/>
      <c r="RFV238" s="494"/>
      <c r="RFW238" s="494"/>
      <c r="RFX238" s="494"/>
      <c r="RFY238" s="494"/>
      <c r="RFZ238" s="494"/>
      <c r="RGA238" s="494"/>
      <c r="RGB238" s="494"/>
      <c r="RGC238" s="494"/>
      <c r="RGD238" s="494"/>
      <c r="RGE238" s="494"/>
      <c r="RGF238" s="494"/>
      <c r="RGG238" s="494"/>
      <c r="RGH238" s="494"/>
      <c r="RGI238" s="494"/>
      <c r="RGJ238" s="494"/>
      <c r="RGK238" s="494"/>
      <c r="RGL238" s="494"/>
      <c r="RGM238" s="494"/>
      <c r="RGN238" s="494"/>
      <c r="RGO238" s="494"/>
      <c r="RGP238" s="494"/>
      <c r="RGQ238" s="494"/>
      <c r="RGR238" s="494"/>
      <c r="RGS238" s="494"/>
      <c r="RGT238" s="494"/>
      <c r="RGU238" s="494"/>
      <c r="RGV238" s="494"/>
      <c r="RGW238" s="494"/>
      <c r="RGX238" s="494"/>
      <c r="RGY238" s="494"/>
      <c r="RGZ238" s="494"/>
      <c r="RHA238" s="494"/>
      <c r="RHB238" s="494"/>
      <c r="RHC238" s="494"/>
      <c r="RHD238" s="494"/>
      <c r="RHE238" s="494"/>
      <c r="RHF238" s="494"/>
      <c r="RHG238" s="494"/>
      <c r="RHH238" s="494"/>
      <c r="RHI238" s="494"/>
      <c r="RHJ238" s="494"/>
      <c r="RHK238" s="494"/>
      <c r="RHL238" s="494"/>
      <c r="RHM238" s="494"/>
      <c r="RHN238" s="494"/>
      <c r="RHO238" s="494"/>
      <c r="RHP238" s="494"/>
      <c r="RHQ238" s="494"/>
      <c r="RHR238" s="494"/>
      <c r="RHS238" s="494"/>
      <c r="RHT238" s="494"/>
      <c r="RHU238" s="494"/>
      <c r="RHV238" s="494"/>
      <c r="RHW238" s="494"/>
      <c r="RHX238" s="494"/>
      <c r="RHY238" s="494"/>
      <c r="RHZ238" s="494"/>
      <c r="RIA238" s="494"/>
      <c r="RIB238" s="494"/>
      <c r="RIC238" s="494"/>
      <c r="RID238" s="494"/>
      <c r="RIE238" s="494"/>
      <c r="RIF238" s="494"/>
      <c r="RIG238" s="494"/>
      <c r="RIH238" s="494"/>
      <c r="RII238" s="494"/>
      <c r="RIJ238" s="494"/>
      <c r="RIK238" s="494"/>
      <c r="RIL238" s="494"/>
      <c r="RIM238" s="494"/>
      <c r="RIN238" s="494"/>
      <c r="RIO238" s="494"/>
      <c r="RIP238" s="494"/>
      <c r="RIQ238" s="494"/>
      <c r="RIR238" s="494"/>
      <c r="RIS238" s="494"/>
      <c r="RIT238" s="494"/>
      <c r="RIU238" s="494"/>
      <c r="RIV238" s="494"/>
      <c r="RIW238" s="494"/>
      <c r="RIX238" s="494"/>
      <c r="RIY238" s="494"/>
      <c r="RIZ238" s="494"/>
      <c r="RJA238" s="494"/>
      <c r="RJB238" s="494"/>
      <c r="RJC238" s="494"/>
      <c r="RJD238" s="494"/>
      <c r="RJE238" s="494"/>
      <c r="RJF238" s="494"/>
      <c r="RJG238" s="494"/>
      <c r="RJH238" s="494"/>
      <c r="RJI238" s="494"/>
      <c r="RJJ238" s="494"/>
      <c r="RJK238" s="494"/>
      <c r="RJL238" s="494"/>
      <c r="RJM238" s="494"/>
      <c r="RJN238" s="494"/>
      <c r="RJO238" s="494"/>
      <c r="RJP238" s="494"/>
      <c r="RJQ238" s="494"/>
      <c r="RJR238" s="494"/>
      <c r="RJS238" s="494"/>
      <c r="RJT238" s="494"/>
      <c r="RJU238" s="494"/>
      <c r="RJV238" s="494"/>
      <c r="RJW238" s="494"/>
      <c r="RJX238" s="494"/>
      <c r="RJY238" s="494"/>
      <c r="RJZ238" s="494"/>
      <c r="RKA238" s="494"/>
      <c r="RKB238" s="494"/>
      <c r="RKC238" s="494"/>
      <c r="RKD238" s="494"/>
      <c r="RKE238" s="494"/>
      <c r="RKF238" s="494"/>
      <c r="RKG238" s="494"/>
      <c r="RKH238" s="494"/>
      <c r="RKI238" s="494"/>
      <c r="RKJ238" s="494"/>
      <c r="RKK238" s="494"/>
      <c r="RKL238" s="494"/>
      <c r="RKM238" s="494"/>
      <c r="RKN238" s="494"/>
      <c r="RKO238" s="494"/>
      <c r="RKP238" s="494"/>
      <c r="RKQ238" s="494"/>
      <c r="RKR238" s="494"/>
      <c r="RKS238" s="494"/>
      <c r="RKT238" s="494"/>
      <c r="RKU238" s="494"/>
      <c r="RKV238" s="494"/>
      <c r="RKW238" s="494"/>
      <c r="RKX238" s="494"/>
      <c r="RKY238" s="494"/>
      <c r="RKZ238" s="494"/>
      <c r="RLA238" s="494"/>
      <c r="RLB238" s="494"/>
      <c r="RLC238" s="494"/>
      <c r="RLD238" s="494"/>
      <c r="RLE238" s="494"/>
      <c r="RLF238" s="494"/>
      <c r="RLG238" s="494"/>
      <c r="RLH238" s="494"/>
      <c r="RLI238" s="494"/>
      <c r="RLJ238" s="494"/>
      <c r="RLK238" s="494"/>
      <c r="RLL238" s="494"/>
      <c r="RLM238" s="494"/>
      <c r="RLN238" s="494"/>
      <c r="RLO238" s="494"/>
      <c r="RLP238" s="494"/>
      <c r="RLQ238" s="494"/>
      <c r="RLR238" s="494"/>
      <c r="RLS238" s="494"/>
      <c r="RLT238" s="494"/>
      <c r="RLU238" s="494"/>
      <c r="RLV238" s="494"/>
      <c r="RLW238" s="494"/>
      <c r="RLX238" s="494"/>
      <c r="RLY238" s="494"/>
      <c r="RLZ238" s="494"/>
      <c r="RMA238" s="494"/>
      <c r="RMB238" s="494"/>
      <c r="RMC238" s="494"/>
      <c r="RMD238" s="494"/>
      <c r="RME238" s="494"/>
      <c r="RMF238" s="494"/>
      <c r="RMG238" s="494"/>
      <c r="RMH238" s="494"/>
      <c r="RMI238" s="494"/>
      <c r="RMJ238" s="494"/>
      <c r="RMK238" s="494"/>
      <c r="RML238" s="494"/>
      <c r="RMM238" s="494"/>
      <c r="RMN238" s="494"/>
      <c r="RMO238" s="494"/>
      <c r="RMP238" s="494"/>
      <c r="RMQ238" s="494"/>
      <c r="RMR238" s="494"/>
      <c r="RMS238" s="494"/>
      <c r="RMT238" s="494"/>
      <c r="RMU238" s="494"/>
      <c r="RMV238" s="494"/>
      <c r="RMW238" s="494"/>
      <c r="RMX238" s="494"/>
      <c r="RMY238" s="494"/>
      <c r="RMZ238" s="494"/>
      <c r="RNA238" s="494"/>
      <c r="RNB238" s="494"/>
      <c r="RNC238" s="494"/>
      <c r="RND238" s="494"/>
      <c r="RNE238" s="494"/>
      <c r="RNF238" s="494"/>
      <c r="RNG238" s="494"/>
      <c r="RNH238" s="494"/>
      <c r="RNI238" s="494"/>
      <c r="RNJ238" s="494"/>
      <c r="RNK238" s="494"/>
      <c r="RNL238" s="494"/>
      <c r="RNM238" s="494"/>
      <c r="RNN238" s="494"/>
      <c r="RNO238" s="494"/>
      <c r="RNP238" s="494"/>
      <c r="RNQ238" s="494"/>
      <c r="RNR238" s="494"/>
      <c r="RNS238" s="494"/>
      <c r="RNT238" s="494"/>
      <c r="RNU238" s="494"/>
      <c r="RNV238" s="494"/>
      <c r="RNW238" s="494"/>
      <c r="RNX238" s="494"/>
      <c r="RNY238" s="494"/>
      <c r="RNZ238" s="494"/>
      <c r="ROA238" s="494"/>
      <c r="ROB238" s="494"/>
      <c r="ROC238" s="494"/>
      <c r="ROD238" s="494"/>
      <c r="ROE238" s="494"/>
      <c r="ROF238" s="494"/>
      <c r="ROG238" s="494"/>
      <c r="ROH238" s="494"/>
      <c r="ROI238" s="494"/>
      <c r="ROJ238" s="494"/>
      <c r="ROK238" s="494"/>
      <c r="ROL238" s="494"/>
      <c r="ROM238" s="494"/>
      <c r="RON238" s="494"/>
      <c r="ROO238" s="494"/>
      <c r="ROP238" s="494"/>
      <c r="ROQ238" s="494"/>
      <c r="ROR238" s="494"/>
      <c r="ROS238" s="494"/>
      <c r="ROT238" s="494"/>
      <c r="ROU238" s="494"/>
      <c r="ROV238" s="494"/>
      <c r="ROW238" s="494"/>
      <c r="ROX238" s="494"/>
      <c r="ROY238" s="494"/>
      <c r="ROZ238" s="494"/>
      <c r="RPA238" s="494"/>
      <c r="RPB238" s="494"/>
      <c r="RPC238" s="494"/>
      <c r="RPD238" s="494"/>
      <c r="RPE238" s="494"/>
      <c r="RPF238" s="494"/>
      <c r="RPG238" s="494"/>
      <c r="RPH238" s="494"/>
      <c r="RPI238" s="494"/>
      <c r="RPJ238" s="494"/>
      <c r="RPK238" s="494"/>
      <c r="RPL238" s="494"/>
      <c r="RPM238" s="494"/>
      <c r="RPN238" s="494"/>
      <c r="RPO238" s="494"/>
      <c r="RPP238" s="494"/>
      <c r="RPQ238" s="494"/>
      <c r="RPR238" s="494"/>
      <c r="RPS238" s="494"/>
      <c r="RPT238" s="494"/>
      <c r="RPU238" s="494"/>
      <c r="RPV238" s="494"/>
      <c r="RPW238" s="494"/>
      <c r="RPX238" s="494"/>
      <c r="RPY238" s="494"/>
      <c r="RPZ238" s="494"/>
      <c r="RQA238" s="494"/>
      <c r="RQB238" s="494"/>
      <c r="RQC238" s="494"/>
      <c r="RQD238" s="494"/>
      <c r="RQE238" s="494"/>
      <c r="RQF238" s="494"/>
      <c r="RQG238" s="494"/>
      <c r="RQH238" s="494"/>
      <c r="RQI238" s="494"/>
      <c r="RQJ238" s="494"/>
      <c r="RQK238" s="494"/>
      <c r="RQL238" s="494"/>
      <c r="RQM238" s="494"/>
      <c r="RQN238" s="494"/>
      <c r="RQO238" s="494"/>
      <c r="RQP238" s="494"/>
      <c r="RQQ238" s="494"/>
      <c r="RQR238" s="494"/>
      <c r="RQS238" s="494"/>
      <c r="RQT238" s="494"/>
      <c r="RQU238" s="494"/>
      <c r="RQV238" s="494"/>
      <c r="RQW238" s="494"/>
      <c r="RQX238" s="494"/>
      <c r="RQY238" s="494"/>
      <c r="RQZ238" s="494"/>
      <c r="RRA238" s="494"/>
      <c r="RRB238" s="494"/>
      <c r="RRC238" s="494"/>
      <c r="RRD238" s="494"/>
      <c r="RRE238" s="494"/>
      <c r="RRF238" s="494"/>
      <c r="RRG238" s="494"/>
      <c r="RRH238" s="494"/>
      <c r="RRI238" s="494"/>
      <c r="RRJ238" s="494"/>
      <c r="RRK238" s="494"/>
      <c r="RRL238" s="494"/>
      <c r="RRM238" s="494"/>
      <c r="RRN238" s="494"/>
      <c r="RRO238" s="494"/>
      <c r="RRP238" s="494"/>
      <c r="RRQ238" s="494"/>
      <c r="RRR238" s="494"/>
      <c r="RRS238" s="494"/>
      <c r="RRT238" s="494"/>
      <c r="RRU238" s="494"/>
      <c r="RRV238" s="494"/>
      <c r="RRW238" s="494"/>
      <c r="RRX238" s="494"/>
      <c r="RRY238" s="494"/>
      <c r="RRZ238" s="494"/>
      <c r="RSA238" s="494"/>
      <c r="RSB238" s="494"/>
      <c r="RSC238" s="494"/>
      <c r="RSD238" s="494"/>
      <c r="RSE238" s="494"/>
      <c r="RSF238" s="494"/>
      <c r="RSG238" s="494"/>
      <c r="RSH238" s="494"/>
      <c r="RSI238" s="494"/>
      <c r="RSJ238" s="494"/>
      <c r="RSK238" s="494"/>
      <c r="RSL238" s="494"/>
      <c r="RSM238" s="494"/>
      <c r="RSN238" s="494"/>
      <c r="RSO238" s="494"/>
      <c r="RSP238" s="494"/>
      <c r="RSQ238" s="494"/>
      <c r="RSR238" s="494"/>
      <c r="RSS238" s="494"/>
      <c r="RST238" s="494"/>
      <c r="RSU238" s="494"/>
      <c r="RSV238" s="494"/>
      <c r="RSW238" s="494"/>
      <c r="RSX238" s="494"/>
      <c r="RSY238" s="494"/>
      <c r="RSZ238" s="494"/>
      <c r="RTA238" s="494"/>
      <c r="RTB238" s="494"/>
      <c r="RTC238" s="494"/>
      <c r="RTD238" s="494"/>
      <c r="RTE238" s="494"/>
      <c r="RTF238" s="494"/>
      <c r="RTG238" s="494"/>
      <c r="RTH238" s="494"/>
      <c r="RTI238" s="494"/>
      <c r="RTJ238" s="494"/>
      <c r="RTK238" s="494"/>
      <c r="RTL238" s="494"/>
      <c r="RTM238" s="494"/>
      <c r="RTN238" s="494"/>
      <c r="RTO238" s="494"/>
      <c r="RTP238" s="494"/>
      <c r="RTQ238" s="494"/>
      <c r="RTR238" s="494"/>
      <c r="RTS238" s="494"/>
      <c r="RTT238" s="494"/>
      <c r="RTU238" s="494"/>
      <c r="RTV238" s="494"/>
      <c r="RTW238" s="494"/>
      <c r="RTX238" s="494"/>
      <c r="RTY238" s="494"/>
      <c r="RTZ238" s="494"/>
      <c r="RUA238" s="494"/>
      <c r="RUB238" s="494"/>
      <c r="RUC238" s="494"/>
      <c r="RUD238" s="494"/>
      <c r="RUE238" s="494"/>
      <c r="RUF238" s="494"/>
      <c r="RUG238" s="494"/>
      <c r="RUH238" s="494"/>
      <c r="RUI238" s="494"/>
      <c r="RUJ238" s="494"/>
      <c r="RUK238" s="494"/>
      <c r="RUL238" s="494"/>
      <c r="RUM238" s="494"/>
      <c r="RUN238" s="494"/>
      <c r="RUO238" s="494"/>
      <c r="RUP238" s="494"/>
      <c r="RUQ238" s="494"/>
      <c r="RUR238" s="494"/>
      <c r="RUS238" s="494"/>
      <c r="RUT238" s="494"/>
      <c r="RUU238" s="494"/>
      <c r="RUV238" s="494"/>
      <c r="RUW238" s="494"/>
      <c r="RUX238" s="494"/>
      <c r="RUY238" s="494"/>
      <c r="RUZ238" s="494"/>
      <c r="RVA238" s="494"/>
      <c r="RVB238" s="494"/>
      <c r="RVC238" s="494"/>
      <c r="RVD238" s="494"/>
      <c r="RVE238" s="494"/>
      <c r="RVF238" s="494"/>
      <c r="RVG238" s="494"/>
      <c r="RVH238" s="494"/>
      <c r="RVI238" s="494"/>
      <c r="RVJ238" s="494"/>
      <c r="RVK238" s="494"/>
      <c r="RVL238" s="494"/>
      <c r="RVM238" s="494"/>
      <c r="RVN238" s="494"/>
      <c r="RVO238" s="494"/>
      <c r="RVP238" s="494"/>
      <c r="RVQ238" s="494"/>
      <c r="RVR238" s="494"/>
      <c r="RVS238" s="494"/>
      <c r="RVT238" s="494"/>
      <c r="RVU238" s="494"/>
      <c r="RVV238" s="494"/>
      <c r="RVW238" s="494"/>
      <c r="RVX238" s="494"/>
      <c r="RVY238" s="494"/>
      <c r="RVZ238" s="494"/>
      <c r="RWA238" s="494"/>
      <c r="RWB238" s="494"/>
      <c r="RWC238" s="494"/>
      <c r="RWD238" s="494"/>
      <c r="RWE238" s="494"/>
      <c r="RWF238" s="494"/>
      <c r="RWG238" s="494"/>
      <c r="RWH238" s="494"/>
      <c r="RWI238" s="494"/>
      <c r="RWJ238" s="494"/>
      <c r="RWK238" s="494"/>
      <c r="RWL238" s="494"/>
      <c r="RWM238" s="494"/>
      <c r="RWN238" s="494"/>
      <c r="RWO238" s="494"/>
      <c r="RWP238" s="494"/>
      <c r="RWQ238" s="494"/>
      <c r="RWR238" s="494"/>
      <c r="RWS238" s="494"/>
      <c r="RWT238" s="494"/>
      <c r="RWU238" s="494"/>
      <c r="RWV238" s="494"/>
      <c r="RWW238" s="494"/>
      <c r="RWX238" s="494"/>
      <c r="RWY238" s="494"/>
      <c r="RWZ238" s="494"/>
      <c r="RXA238" s="494"/>
      <c r="RXB238" s="494"/>
      <c r="RXC238" s="494"/>
      <c r="RXD238" s="494"/>
      <c r="RXE238" s="494"/>
      <c r="RXF238" s="494"/>
      <c r="RXG238" s="494"/>
      <c r="RXH238" s="494"/>
      <c r="RXI238" s="494"/>
      <c r="RXJ238" s="494"/>
      <c r="RXK238" s="494"/>
      <c r="RXL238" s="494"/>
      <c r="RXM238" s="494"/>
      <c r="RXN238" s="494"/>
      <c r="RXO238" s="494"/>
      <c r="RXP238" s="494"/>
      <c r="RXQ238" s="494"/>
      <c r="RXR238" s="494"/>
      <c r="RXS238" s="494"/>
      <c r="RXT238" s="494"/>
      <c r="RXU238" s="494"/>
      <c r="RXV238" s="494"/>
      <c r="RXW238" s="494"/>
      <c r="RXX238" s="494"/>
      <c r="RXY238" s="494"/>
      <c r="RXZ238" s="494"/>
      <c r="RYA238" s="494"/>
      <c r="RYB238" s="494"/>
      <c r="RYC238" s="494"/>
      <c r="RYD238" s="494"/>
      <c r="RYE238" s="494"/>
      <c r="RYF238" s="494"/>
      <c r="RYG238" s="494"/>
      <c r="RYH238" s="494"/>
      <c r="RYI238" s="494"/>
      <c r="RYJ238" s="494"/>
      <c r="RYK238" s="494"/>
      <c r="RYL238" s="494"/>
      <c r="RYM238" s="494"/>
      <c r="RYN238" s="494"/>
      <c r="RYO238" s="494"/>
      <c r="RYP238" s="494"/>
      <c r="RYQ238" s="494"/>
      <c r="RYR238" s="494"/>
      <c r="RYS238" s="494"/>
      <c r="RYT238" s="494"/>
      <c r="RYU238" s="494"/>
      <c r="RYV238" s="494"/>
      <c r="RYW238" s="494"/>
      <c r="RYX238" s="494"/>
      <c r="RYY238" s="494"/>
      <c r="RYZ238" s="494"/>
      <c r="RZA238" s="494"/>
      <c r="RZB238" s="494"/>
      <c r="RZC238" s="494"/>
      <c r="RZD238" s="494"/>
      <c r="RZE238" s="494"/>
      <c r="RZF238" s="494"/>
      <c r="RZG238" s="494"/>
      <c r="RZH238" s="494"/>
      <c r="RZI238" s="494"/>
      <c r="RZJ238" s="494"/>
      <c r="RZK238" s="494"/>
      <c r="RZL238" s="494"/>
      <c r="RZM238" s="494"/>
      <c r="RZN238" s="494"/>
      <c r="RZO238" s="494"/>
      <c r="RZP238" s="494"/>
      <c r="RZQ238" s="494"/>
      <c r="RZR238" s="494"/>
      <c r="RZS238" s="494"/>
      <c r="RZT238" s="494"/>
      <c r="RZU238" s="494"/>
      <c r="RZV238" s="494"/>
      <c r="RZW238" s="494"/>
      <c r="RZX238" s="494"/>
      <c r="RZY238" s="494"/>
      <c r="RZZ238" s="494"/>
      <c r="SAA238" s="494"/>
      <c r="SAB238" s="494"/>
      <c r="SAC238" s="494"/>
      <c r="SAD238" s="494"/>
      <c r="SAE238" s="494"/>
      <c r="SAF238" s="494"/>
      <c r="SAG238" s="494"/>
      <c r="SAH238" s="494"/>
      <c r="SAI238" s="494"/>
      <c r="SAJ238" s="494"/>
      <c r="SAK238" s="494"/>
      <c r="SAL238" s="494"/>
      <c r="SAM238" s="494"/>
      <c r="SAN238" s="494"/>
      <c r="SAO238" s="494"/>
      <c r="SAP238" s="494"/>
      <c r="SAQ238" s="494"/>
      <c r="SAR238" s="494"/>
      <c r="SAS238" s="494"/>
      <c r="SAT238" s="494"/>
      <c r="SAU238" s="494"/>
      <c r="SAV238" s="494"/>
      <c r="SAW238" s="494"/>
      <c r="SAX238" s="494"/>
      <c r="SAY238" s="494"/>
      <c r="SAZ238" s="494"/>
      <c r="SBA238" s="494"/>
      <c r="SBB238" s="494"/>
      <c r="SBC238" s="494"/>
      <c r="SBD238" s="494"/>
      <c r="SBE238" s="494"/>
      <c r="SBF238" s="494"/>
      <c r="SBG238" s="494"/>
      <c r="SBH238" s="494"/>
      <c r="SBI238" s="494"/>
      <c r="SBJ238" s="494"/>
      <c r="SBK238" s="494"/>
      <c r="SBL238" s="494"/>
      <c r="SBM238" s="494"/>
      <c r="SBN238" s="494"/>
      <c r="SBO238" s="494"/>
      <c r="SBP238" s="494"/>
      <c r="SBQ238" s="494"/>
      <c r="SBR238" s="494"/>
      <c r="SBS238" s="494"/>
      <c r="SBT238" s="494"/>
      <c r="SBU238" s="494"/>
      <c r="SBV238" s="494"/>
      <c r="SBW238" s="494"/>
      <c r="SBX238" s="494"/>
      <c r="SBY238" s="494"/>
      <c r="SBZ238" s="494"/>
      <c r="SCA238" s="494"/>
      <c r="SCB238" s="494"/>
      <c r="SCC238" s="494"/>
      <c r="SCD238" s="494"/>
      <c r="SCE238" s="494"/>
      <c r="SCF238" s="494"/>
      <c r="SCG238" s="494"/>
      <c r="SCH238" s="494"/>
      <c r="SCI238" s="494"/>
      <c r="SCJ238" s="494"/>
      <c r="SCK238" s="494"/>
      <c r="SCL238" s="494"/>
      <c r="SCM238" s="494"/>
      <c r="SCN238" s="494"/>
      <c r="SCO238" s="494"/>
      <c r="SCP238" s="494"/>
      <c r="SCQ238" s="494"/>
      <c r="SCR238" s="494"/>
      <c r="SCS238" s="494"/>
      <c r="SCT238" s="494"/>
      <c r="SCU238" s="494"/>
      <c r="SCV238" s="494"/>
      <c r="SCW238" s="494"/>
      <c r="SCX238" s="494"/>
      <c r="SCY238" s="494"/>
      <c r="SCZ238" s="494"/>
      <c r="SDA238" s="494"/>
      <c r="SDB238" s="494"/>
      <c r="SDC238" s="494"/>
      <c r="SDD238" s="494"/>
      <c r="SDE238" s="494"/>
      <c r="SDF238" s="494"/>
      <c r="SDG238" s="494"/>
      <c r="SDH238" s="494"/>
      <c r="SDI238" s="494"/>
      <c r="SDJ238" s="494"/>
      <c r="SDK238" s="494"/>
      <c r="SDL238" s="494"/>
      <c r="SDM238" s="494"/>
      <c r="SDN238" s="494"/>
      <c r="SDO238" s="494"/>
      <c r="SDP238" s="494"/>
      <c r="SDQ238" s="494"/>
      <c r="SDR238" s="494"/>
      <c r="SDS238" s="494"/>
      <c r="SDT238" s="494"/>
      <c r="SDU238" s="494"/>
      <c r="SDV238" s="494"/>
      <c r="SDW238" s="494"/>
      <c r="SDX238" s="494"/>
      <c r="SDY238" s="494"/>
      <c r="SDZ238" s="494"/>
      <c r="SEA238" s="494"/>
      <c r="SEB238" s="494"/>
      <c r="SEC238" s="494"/>
      <c r="SED238" s="494"/>
      <c r="SEE238" s="494"/>
      <c r="SEF238" s="494"/>
      <c r="SEG238" s="494"/>
      <c r="SEH238" s="494"/>
      <c r="SEI238" s="494"/>
      <c r="SEJ238" s="494"/>
      <c r="SEK238" s="494"/>
      <c r="SEL238" s="494"/>
      <c r="SEM238" s="494"/>
      <c r="SEN238" s="494"/>
      <c r="SEO238" s="494"/>
      <c r="SEP238" s="494"/>
      <c r="SEQ238" s="494"/>
      <c r="SER238" s="494"/>
      <c r="SES238" s="494"/>
      <c r="SET238" s="494"/>
      <c r="SEU238" s="494"/>
      <c r="SEV238" s="494"/>
      <c r="SEW238" s="494"/>
      <c r="SEX238" s="494"/>
      <c r="SEY238" s="494"/>
      <c r="SEZ238" s="494"/>
      <c r="SFA238" s="494"/>
      <c r="SFB238" s="494"/>
      <c r="SFC238" s="494"/>
      <c r="SFD238" s="494"/>
      <c r="SFE238" s="494"/>
      <c r="SFF238" s="494"/>
      <c r="SFG238" s="494"/>
      <c r="SFH238" s="494"/>
      <c r="SFI238" s="494"/>
      <c r="SFJ238" s="494"/>
      <c r="SFK238" s="494"/>
      <c r="SFL238" s="494"/>
      <c r="SFM238" s="494"/>
      <c r="SFN238" s="494"/>
      <c r="SFO238" s="494"/>
      <c r="SFP238" s="494"/>
      <c r="SFQ238" s="494"/>
      <c r="SFR238" s="494"/>
      <c r="SFS238" s="494"/>
      <c r="SFT238" s="494"/>
      <c r="SFU238" s="494"/>
      <c r="SFV238" s="494"/>
      <c r="SFW238" s="494"/>
      <c r="SFX238" s="494"/>
      <c r="SFY238" s="494"/>
      <c r="SFZ238" s="494"/>
      <c r="SGA238" s="494"/>
      <c r="SGB238" s="494"/>
      <c r="SGC238" s="494"/>
      <c r="SGD238" s="494"/>
      <c r="SGE238" s="494"/>
      <c r="SGF238" s="494"/>
      <c r="SGG238" s="494"/>
      <c r="SGH238" s="494"/>
      <c r="SGI238" s="494"/>
      <c r="SGJ238" s="494"/>
      <c r="SGK238" s="494"/>
      <c r="SGL238" s="494"/>
      <c r="SGM238" s="494"/>
      <c r="SGN238" s="494"/>
      <c r="SGO238" s="494"/>
      <c r="SGP238" s="494"/>
      <c r="SGQ238" s="494"/>
      <c r="SGR238" s="494"/>
      <c r="SGS238" s="494"/>
      <c r="SGT238" s="494"/>
      <c r="SGU238" s="494"/>
      <c r="SGV238" s="494"/>
      <c r="SGW238" s="494"/>
      <c r="SGX238" s="494"/>
      <c r="SGY238" s="494"/>
      <c r="SGZ238" s="494"/>
      <c r="SHA238" s="494"/>
      <c r="SHB238" s="494"/>
      <c r="SHC238" s="494"/>
      <c r="SHD238" s="494"/>
      <c r="SHE238" s="494"/>
      <c r="SHF238" s="494"/>
      <c r="SHG238" s="494"/>
      <c r="SHH238" s="494"/>
      <c r="SHI238" s="494"/>
      <c r="SHJ238" s="494"/>
      <c r="SHK238" s="494"/>
      <c r="SHL238" s="494"/>
      <c r="SHM238" s="494"/>
      <c r="SHN238" s="494"/>
      <c r="SHO238" s="494"/>
      <c r="SHP238" s="494"/>
      <c r="SHQ238" s="494"/>
      <c r="SHR238" s="494"/>
      <c r="SHS238" s="494"/>
      <c r="SHT238" s="494"/>
      <c r="SHU238" s="494"/>
      <c r="SHV238" s="494"/>
      <c r="SHW238" s="494"/>
      <c r="SHX238" s="494"/>
      <c r="SHY238" s="494"/>
      <c r="SHZ238" s="494"/>
      <c r="SIA238" s="494"/>
      <c r="SIB238" s="494"/>
      <c r="SIC238" s="494"/>
      <c r="SID238" s="494"/>
      <c r="SIE238" s="494"/>
      <c r="SIF238" s="494"/>
      <c r="SIG238" s="494"/>
      <c r="SIH238" s="494"/>
      <c r="SII238" s="494"/>
      <c r="SIJ238" s="494"/>
      <c r="SIK238" s="494"/>
      <c r="SIL238" s="494"/>
      <c r="SIM238" s="494"/>
      <c r="SIN238" s="494"/>
      <c r="SIO238" s="494"/>
      <c r="SIP238" s="494"/>
      <c r="SIQ238" s="494"/>
      <c r="SIR238" s="494"/>
      <c r="SIS238" s="494"/>
      <c r="SIT238" s="494"/>
      <c r="SIU238" s="494"/>
      <c r="SIV238" s="494"/>
      <c r="SIW238" s="494"/>
      <c r="SIX238" s="494"/>
      <c r="SIY238" s="494"/>
      <c r="SIZ238" s="494"/>
      <c r="SJA238" s="494"/>
      <c r="SJB238" s="494"/>
      <c r="SJC238" s="494"/>
      <c r="SJD238" s="494"/>
      <c r="SJE238" s="494"/>
      <c r="SJF238" s="494"/>
      <c r="SJG238" s="494"/>
      <c r="SJH238" s="494"/>
      <c r="SJI238" s="494"/>
      <c r="SJJ238" s="494"/>
      <c r="SJK238" s="494"/>
      <c r="SJL238" s="494"/>
      <c r="SJM238" s="494"/>
      <c r="SJN238" s="494"/>
      <c r="SJO238" s="494"/>
      <c r="SJP238" s="494"/>
      <c r="SJQ238" s="494"/>
      <c r="SJR238" s="494"/>
      <c r="SJS238" s="494"/>
      <c r="SJT238" s="494"/>
      <c r="SJU238" s="494"/>
      <c r="SJV238" s="494"/>
      <c r="SJW238" s="494"/>
      <c r="SJX238" s="494"/>
      <c r="SJY238" s="494"/>
      <c r="SJZ238" s="494"/>
      <c r="SKA238" s="494"/>
      <c r="SKB238" s="494"/>
      <c r="SKC238" s="494"/>
      <c r="SKD238" s="494"/>
      <c r="SKE238" s="494"/>
      <c r="SKF238" s="494"/>
      <c r="SKG238" s="494"/>
      <c r="SKH238" s="494"/>
      <c r="SKI238" s="494"/>
      <c r="SKJ238" s="494"/>
      <c r="SKK238" s="494"/>
      <c r="SKL238" s="494"/>
      <c r="SKM238" s="494"/>
      <c r="SKN238" s="494"/>
      <c r="SKO238" s="494"/>
      <c r="SKP238" s="494"/>
      <c r="SKQ238" s="494"/>
      <c r="SKR238" s="494"/>
      <c r="SKS238" s="494"/>
      <c r="SKT238" s="494"/>
      <c r="SKU238" s="494"/>
      <c r="SKV238" s="494"/>
      <c r="SKW238" s="494"/>
      <c r="SKX238" s="494"/>
      <c r="SKY238" s="494"/>
      <c r="SKZ238" s="494"/>
      <c r="SLA238" s="494"/>
      <c r="SLB238" s="494"/>
      <c r="SLC238" s="494"/>
      <c r="SLD238" s="494"/>
      <c r="SLE238" s="494"/>
      <c r="SLF238" s="494"/>
      <c r="SLG238" s="494"/>
      <c r="SLH238" s="494"/>
      <c r="SLI238" s="494"/>
      <c r="SLJ238" s="494"/>
      <c r="SLK238" s="494"/>
      <c r="SLL238" s="494"/>
      <c r="SLM238" s="494"/>
      <c r="SLN238" s="494"/>
      <c r="SLO238" s="494"/>
      <c r="SLP238" s="494"/>
      <c r="SLQ238" s="494"/>
      <c r="SLR238" s="494"/>
      <c r="SLS238" s="494"/>
      <c r="SLT238" s="494"/>
      <c r="SLU238" s="494"/>
      <c r="SLV238" s="494"/>
      <c r="SLW238" s="494"/>
      <c r="SLX238" s="494"/>
      <c r="SLY238" s="494"/>
      <c r="SLZ238" s="494"/>
      <c r="SMA238" s="494"/>
      <c r="SMB238" s="494"/>
      <c r="SMC238" s="494"/>
      <c r="SMD238" s="494"/>
      <c r="SME238" s="494"/>
      <c r="SMF238" s="494"/>
      <c r="SMG238" s="494"/>
      <c r="SMH238" s="494"/>
      <c r="SMI238" s="494"/>
      <c r="SMJ238" s="494"/>
      <c r="SMK238" s="494"/>
      <c r="SML238" s="494"/>
      <c r="SMM238" s="494"/>
      <c r="SMN238" s="494"/>
      <c r="SMO238" s="494"/>
      <c r="SMP238" s="494"/>
      <c r="SMQ238" s="494"/>
      <c r="SMR238" s="494"/>
      <c r="SMS238" s="494"/>
      <c r="SMT238" s="494"/>
      <c r="SMU238" s="494"/>
      <c r="SMV238" s="494"/>
      <c r="SMW238" s="494"/>
      <c r="SMX238" s="494"/>
      <c r="SMY238" s="494"/>
      <c r="SMZ238" s="494"/>
      <c r="SNA238" s="494"/>
      <c r="SNB238" s="494"/>
      <c r="SNC238" s="494"/>
      <c r="SND238" s="494"/>
      <c r="SNE238" s="494"/>
      <c r="SNF238" s="494"/>
      <c r="SNG238" s="494"/>
      <c r="SNH238" s="494"/>
      <c r="SNI238" s="494"/>
      <c r="SNJ238" s="494"/>
      <c r="SNK238" s="494"/>
      <c r="SNL238" s="494"/>
      <c r="SNM238" s="494"/>
      <c r="SNN238" s="494"/>
      <c r="SNO238" s="494"/>
      <c r="SNP238" s="494"/>
      <c r="SNQ238" s="494"/>
      <c r="SNR238" s="494"/>
      <c r="SNS238" s="494"/>
      <c r="SNT238" s="494"/>
      <c r="SNU238" s="494"/>
      <c r="SNV238" s="494"/>
      <c r="SNW238" s="494"/>
      <c r="SNX238" s="494"/>
      <c r="SNY238" s="494"/>
      <c r="SNZ238" s="494"/>
      <c r="SOA238" s="494"/>
      <c r="SOB238" s="494"/>
      <c r="SOC238" s="494"/>
      <c r="SOD238" s="494"/>
      <c r="SOE238" s="494"/>
      <c r="SOF238" s="494"/>
      <c r="SOG238" s="494"/>
      <c r="SOH238" s="494"/>
      <c r="SOI238" s="494"/>
      <c r="SOJ238" s="494"/>
      <c r="SOK238" s="494"/>
      <c r="SOL238" s="494"/>
      <c r="SOM238" s="494"/>
      <c r="SON238" s="494"/>
      <c r="SOO238" s="494"/>
      <c r="SOP238" s="494"/>
      <c r="SOQ238" s="494"/>
      <c r="SOR238" s="494"/>
      <c r="SOS238" s="494"/>
      <c r="SOT238" s="494"/>
      <c r="SOU238" s="494"/>
      <c r="SOV238" s="494"/>
      <c r="SOW238" s="494"/>
      <c r="SOX238" s="494"/>
      <c r="SOY238" s="494"/>
      <c r="SOZ238" s="494"/>
      <c r="SPA238" s="494"/>
      <c r="SPB238" s="494"/>
      <c r="SPC238" s="494"/>
      <c r="SPD238" s="494"/>
      <c r="SPE238" s="494"/>
      <c r="SPF238" s="494"/>
      <c r="SPG238" s="494"/>
      <c r="SPH238" s="494"/>
      <c r="SPI238" s="494"/>
      <c r="SPJ238" s="494"/>
      <c r="SPK238" s="494"/>
      <c r="SPL238" s="494"/>
      <c r="SPM238" s="494"/>
      <c r="SPN238" s="494"/>
      <c r="SPO238" s="494"/>
      <c r="SPP238" s="494"/>
      <c r="SPQ238" s="494"/>
      <c r="SPR238" s="494"/>
      <c r="SPS238" s="494"/>
      <c r="SPT238" s="494"/>
      <c r="SPU238" s="494"/>
      <c r="SPV238" s="494"/>
      <c r="SPW238" s="494"/>
      <c r="SPX238" s="494"/>
      <c r="SPY238" s="494"/>
      <c r="SPZ238" s="494"/>
      <c r="SQA238" s="494"/>
      <c r="SQB238" s="494"/>
      <c r="SQC238" s="494"/>
      <c r="SQD238" s="494"/>
      <c r="SQE238" s="494"/>
      <c r="SQF238" s="494"/>
      <c r="SQG238" s="494"/>
      <c r="SQH238" s="494"/>
      <c r="SQI238" s="494"/>
      <c r="SQJ238" s="494"/>
      <c r="SQK238" s="494"/>
      <c r="SQL238" s="494"/>
      <c r="SQM238" s="494"/>
      <c r="SQN238" s="494"/>
      <c r="SQO238" s="494"/>
      <c r="SQP238" s="494"/>
      <c r="SQQ238" s="494"/>
      <c r="SQR238" s="494"/>
      <c r="SQS238" s="494"/>
      <c r="SQT238" s="494"/>
      <c r="SQU238" s="494"/>
      <c r="SQV238" s="494"/>
      <c r="SQW238" s="494"/>
      <c r="SQX238" s="494"/>
      <c r="SQY238" s="494"/>
      <c r="SQZ238" s="494"/>
      <c r="SRA238" s="494"/>
      <c r="SRB238" s="494"/>
      <c r="SRC238" s="494"/>
      <c r="SRD238" s="494"/>
      <c r="SRE238" s="494"/>
      <c r="SRF238" s="494"/>
      <c r="SRG238" s="494"/>
      <c r="SRH238" s="494"/>
      <c r="SRI238" s="494"/>
      <c r="SRJ238" s="494"/>
      <c r="SRK238" s="494"/>
      <c r="SRL238" s="494"/>
      <c r="SRM238" s="494"/>
      <c r="SRN238" s="494"/>
      <c r="SRO238" s="494"/>
      <c r="SRP238" s="494"/>
      <c r="SRQ238" s="494"/>
      <c r="SRR238" s="494"/>
      <c r="SRS238" s="494"/>
      <c r="SRT238" s="494"/>
      <c r="SRU238" s="494"/>
      <c r="SRV238" s="494"/>
      <c r="SRW238" s="494"/>
      <c r="SRX238" s="494"/>
      <c r="SRY238" s="494"/>
      <c r="SRZ238" s="494"/>
      <c r="SSA238" s="494"/>
      <c r="SSB238" s="494"/>
      <c r="SSC238" s="494"/>
      <c r="SSD238" s="494"/>
      <c r="SSE238" s="494"/>
      <c r="SSF238" s="494"/>
      <c r="SSG238" s="494"/>
      <c r="SSH238" s="494"/>
      <c r="SSI238" s="494"/>
      <c r="SSJ238" s="494"/>
      <c r="SSK238" s="494"/>
      <c r="SSL238" s="494"/>
      <c r="SSM238" s="494"/>
      <c r="SSN238" s="494"/>
      <c r="SSO238" s="494"/>
      <c r="SSP238" s="494"/>
      <c r="SSQ238" s="494"/>
      <c r="SSR238" s="494"/>
      <c r="SSS238" s="494"/>
      <c r="SST238" s="494"/>
      <c r="SSU238" s="494"/>
      <c r="SSV238" s="494"/>
      <c r="SSW238" s="494"/>
      <c r="SSX238" s="494"/>
      <c r="SSY238" s="494"/>
      <c r="SSZ238" s="494"/>
      <c r="STA238" s="494"/>
      <c r="STB238" s="494"/>
      <c r="STC238" s="494"/>
      <c r="STD238" s="494"/>
      <c r="STE238" s="494"/>
      <c r="STF238" s="494"/>
      <c r="STG238" s="494"/>
      <c r="STH238" s="494"/>
      <c r="STI238" s="494"/>
      <c r="STJ238" s="494"/>
      <c r="STK238" s="494"/>
      <c r="STL238" s="494"/>
      <c r="STM238" s="494"/>
      <c r="STN238" s="494"/>
      <c r="STO238" s="494"/>
      <c r="STP238" s="494"/>
      <c r="STQ238" s="494"/>
      <c r="STR238" s="494"/>
      <c r="STS238" s="494"/>
      <c r="STT238" s="494"/>
      <c r="STU238" s="494"/>
      <c r="STV238" s="494"/>
      <c r="STW238" s="494"/>
      <c r="STX238" s="494"/>
      <c r="STY238" s="494"/>
      <c r="STZ238" s="494"/>
      <c r="SUA238" s="494"/>
      <c r="SUB238" s="494"/>
      <c r="SUC238" s="494"/>
      <c r="SUD238" s="494"/>
      <c r="SUE238" s="494"/>
      <c r="SUF238" s="494"/>
      <c r="SUG238" s="494"/>
      <c r="SUH238" s="494"/>
      <c r="SUI238" s="494"/>
      <c r="SUJ238" s="494"/>
      <c r="SUK238" s="494"/>
      <c r="SUL238" s="494"/>
      <c r="SUM238" s="494"/>
      <c r="SUN238" s="494"/>
      <c r="SUO238" s="494"/>
      <c r="SUP238" s="494"/>
      <c r="SUQ238" s="494"/>
      <c r="SUR238" s="494"/>
      <c r="SUS238" s="494"/>
      <c r="SUT238" s="494"/>
      <c r="SUU238" s="494"/>
      <c r="SUV238" s="494"/>
      <c r="SUW238" s="494"/>
      <c r="SUX238" s="494"/>
      <c r="SUY238" s="494"/>
      <c r="SUZ238" s="494"/>
      <c r="SVA238" s="494"/>
      <c r="SVB238" s="494"/>
      <c r="SVC238" s="494"/>
      <c r="SVD238" s="494"/>
      <c r="SVE238" s="494"/>
      <c r="SVF238" s="494"/>
      <c r="SVG238" s="494"/>
      <c r="SVH238" s="494"/>
      <c r="SVI238" s="494"/>
      <c r="SVJ238" s="494"/>
      <c r="SVK238" s="494"/>
      <c r="SVL238" s="494"/>
      <c r="SVM238" s="494"/>
      <c r="SVN238" s="494"/>
      <c r="SVO238" s="494"/>
      <c r="SVP238" s="494"/>
      <c r="SVQ238" s="494"/>
      <c r="SVR238" s="494"/>
      <c r="SVS238" s="494"/>
      <c r="SVT238" s="494"/>
      <c r="SVU238" s="494"/>
      <c r="SVV238" s="494"/>
      <c r="SVW238" s="494"/>
      <c r="SVX238" s="494"/>
      <c r="SVY238" s="494"/>
      <c r="SVZ238" s="494"/>
      <c r="SWA238" s="494"/>
      <c r="SWB238" s="494"/>
      <c r="SWC238" s="494"/>
      <c r="SWD238" s="494"/>
      <c r="SWE238" s="494"/>
      <c r="SWF238" s="494"/>
      <c r="SWG238" s="494"/>
      <c r="SWH238" s="494"/>
      <c r="SWI238" s="494"/>
      <c r="SWJ238" s="494"/>
      <c r="SWK238" s="494"/>
      <c r="SWL238" s="494"/>
      <c r="SWM238" s="494"/>
      <c r="SWN238" s="494"/>
      <c r="SWO238" s="494"/>
      <c r="SWP238" s="494"/>
      <c r="SWQ238" s="494"/>
      <c r="SWR238" s="494"/>
      <c r="SWS238" s="494"/>
      <c r="SWT238" s="494"/>
      <c r="SWU238" s="494"/>
      <c r="SWV238" s="494"/>
      <c r="SWW238" s="494"/>
      <c r="SWX238" s="494"/>
      <c r="SWY238" s="494"/>
      <c r="SWZ238" s="494"/>
      <c r="SXA238" s="494"/>
      <c r="SXB238" s="494"/>
      <c r="SXC238" s="494"/>
      <c r="SXD238" s="494"/>
      <c r="SXE238" s="494"/>
      <c r="SXF238" s="494"/>
      <c r="SXG238" s="494"/>
      <c r="SXH238" s="494"/>
      <c r="SXI238" s="494"/>
      <c r="SXJ238" s="494"/>
      <c r="SXK238" s="494"/>
      <c r="SXL238" s="494"/>
      <c r="SXM238" s="494"/>
      <c r="SXN238" s="494"/>
      <c r="SXO238" s="494"/>
      <c r="SXP238" s="494"/>
      <c r="SXQ238" s="494"/>
      <c r="SXR238" s="494"/>
      <c r="SXS238" s="494"/>
      <c r="SXT238" s="494"/>
      <c r="SXU238" s="494"/>
      <c r="SXV238" s="494"/>
      <c r="SXW238" s="494"/>
      <c r="SXX238" s="494"/>
      <c r="SXY238" s="494"/>
      <c r="SXZ238" s="494"/>
      <c r="SYA238" s="494"/>
      <c r="SYB238" s="494"/>
      <c r="SYC238" s="494"/>
      <c r="SYD238" s="494"/>
      <c r="SYE238" s="494"/>
      <c r="SYF238" s="494"/>
      <c r="SYG238" s="494"/>
      <c r="SYH238" s="494"/>
      <c r="SYI238" s="494"/>
      <c r="SYJ238" s="494"/>
      <c r="SYK238" s="494"/>
      <c r="SYL238" s="494"/>
      <c r="SYM238" s="494"/>
      <c r="SYN238" s="494"/>
      <c r="SYO238" s="494"/>
      <c r="SYP238" s="494"/>
      <c r="SYQ238" s="494"/>
      <c r="SYR238" s="494"/>
      <c r="SYS238" s="494"/>
      <c r="SYT238" s="494"/>
      <c r="SYU238" s="494"/>
      <c r="SYV238" s="494"/>
      <c r="SYW238" s="494"/>
      <c r="SYX238" s="494"/>
      <c r="SYY238" s="494"/>
      <c r="SYZ238" s="494"/>
      <c r="SZA238" s="494"/>
      <c r="SZB238" s="494"/>
      <c r="SZC238" s="494"/>
      <c r="SZD238" s="494"/>
      <c r="SZE238" s="494"/>
      <c r="SZF238" s="494"/>
      <c r="SZG238" s="494"/>
      <c r="SZH238" s="494"/>
      <c r="SZI238" s="494"/>
      <c r="SZJ238" s="494"/>
      <c r="SZK238" s="494"/>
      <c r="SZL238" s="494"/>
      <c r="SZM238" s="494"/>
      <c r="SZN238" s="494"/>
      <c r="SZO238" s="494"/>
      <c r="SZP238" s="494"/>
      <c r="SZQ238" s="494"/>
      <c r="SZR238" s="494"/>
      <c r="SZS238" s="494"/>
      <c r="SZT238" s="494"/>
      <c r="SZU238" s="494"/>
      <c r="SZV238" s="494"/>
      <c r="SZW238" s="494"/>
      <c r="SZX238" s="494"/>
      <c r="SZY238" s="494"/>
      <c r="SZZ238" s="494"/>
      <c r="TAA238" s="494"/>
      <c r="TAB238" s="494"/>
      <c r="TAC238" s="494"/>
      <c r="TAD238" s="494"/>
      <c r="TAE238" s="494"/>
      <c r="TAF238" s="494"/>
      <c r="TAG238" s="494"/>
      <c r="TAH238" s="494"/>
      <c r="TAI238" s="494"/>
      <c r="TAJ238" s="494"/>
      <c r="TAK238" s="494"/>
      <c r="TAL238" s="494"/>
      <c r="TAM238" s="494"/>
      <c r="TAN238" s="494"/>
      <c r="TAO238" s="494"/>
      <c r="TAP238" s="494"/>
      <c r="TAQ238" s="494"/>
      <c r="TAR238" s="494"/>
      <c r="TAS238" s="494"/>
      <c r="TAT238" s="494"/>
      <c r="TAU238" s="494"/>
      <c r="TAV238" s="494"/>
      <c r="TAW238" s="494"/>
      <c r="TAX238" s="494"/>
      <c r="TAY238" s="494"/>
      <c r="TAZ238" s="494"/>
      <c r="TBA238" s="494"/>
      <c r="TBB238" s="494"/>
      <c r="TBC238" s="494"/>
      <c r="TBD238" s="494"/>
      <c r="TBE238" s="494"/>
      <c r="TBF238" s="494"/>
      <c r="TBG238" s="494"/>
      <c r="TBH238" s="494"/>
      <c r="TBI238" s="494"/>
      <c r="TBJ238" s="494"/>
      <c r="TBK238" s="494"/>
      <c r="TBL238" s="494"/>
      <c r="TBM238" s="494"/>
      <c r="TBN238" s="494"/>
      <c r="TBO238" s="494"/>
      <c r="TBP238" s="494"/>
      <c r="TBQ238" s="494"/>
      <c r="TBR238" s="494"/>
      <c r="TBS238" s="494"/>
      <c r="TBT238" s="494"/>
      <c r="TBU238" s="494"/>
      <c r="TBV238" s="494"/>
      <c r="TBW238" s="494"/>
      <c r="TBX238" s="494"/>
      <c r="TBY238" s="494"/>
      <c r="TBZ238" s="494"/>
      <c r="TCA238" s="494"/>
      <c r="TCB238" s="494"/>
      <c r="TCC238" s="494"/>
      <c r="TCD238" s="494"/>
      <c r="TCE238" s="494"/>
      <c r="TCF238" s="494"/>
      <c r="TCG238" s="494"/>
      <c r="TCH238" s="494"/>
      <c r="TCI238" s="494"/>
      <c r="TCJ238" s="494"/>
      <c r="TCK238" s="494"/>
      <c r="TCL238" s="494"/>
      <c r="TCM238" s="494"/>
      <c r="TCN238" s="494"/>
      <c r="TCO238" s="494"/>
      <c r="TCP238" s="494"/>
      <c r="TCQ238" s="494"/>
      <c r="TCR238" s="494"/>
      <c r="TCS238" s="494"/>
      <c r="TCT238" s="494"/>
      <c r="TCU238" s="494"/>
      <c r="TCV238" s="494"/>
      <c r="TCW238" s="494"/>
      <c r="TCX238" s="494"/>
      <c r="TCY238" s="494"/>
      <c r="TCZ238" s="494"/>
      <c r="TDA238" s="494"/>
      <c r="TDB238" s="494"/>
      <c r="TDC238" s="494"/>
      <c r="TDD238" s="494"/>
      <c r="TDE238" s="494"/>
      <c r="TDF238" s="494"/>
      <c r="TDG238" s="494"/>
      <c r="TDH238" s="494"/>
      <c r="TDI238" s="494"/>
      <c r="TDJ238" s="494"/>
      <c r="TDK238" s="494"/>
      <c r="TDL238" s="494"/>
      <c r="TDM238" s="494"/>
      <c r="TDN238" s="494"/>
      <c r="TDO238" s="494"/>
      <c r="TDP238" s="494"/>
      <c r="TDQ238" s="494"/>
      <c r="TDR238" s="494"/>
      <c r="TDS238" s="494"/>
      <c r="TDT238" s="494"/>
      <c r="TDU238" s="494"/>
      <c r="TDV238" s="494"/>
      <c r="TDW238" s="494"/>
      <c r="TDX238" s="494"/>
      <c r="TDY238" s="494"/>
      <c r="TDZ238" s="494"/>
      <c r="TEA238" s="494"/>
      <c r="TEB238" s="494"/>
      <c r="TEC238" s="494"/>
      <c r="TED238" s="494"/>
      <c r="TEE238" s="494"/>
      <c r="TEF238" s="494"/>
      <c r="TEG238" s="494"/>
      <c r="TEH238" s="494"/>
      <c r="TEI238" s="494"/>
      <c r="TEJ238" s="494"/>
      <c r="TEK238" s="494"/>
      <c r="TEL238" s="494"/>
      <c r="TEM238" s="494"/>
      <c r="TEN238" s="494"/>
      <c r="TEO238" s="494"/>
      <c r="TEP238" s="494"/>
      <c r="TEQ238" s="494"/>
      <c r="TER238" s="494"/>
      <c r="TES238" s="494"/>
      <c r="TET238" s="494"/>
      <c r="TEU238" s="494"/>
      <c r="TEV238" s="494"/>
      <c r="TEW238" s="494"/>
      <c r="TEX238" s="494"/>
      <c r="TEY238" s="494"/>
      <c r="TEZ238" s="494"/>
      <c r="TFA238" s="494"/>
      <c r="TFB238" s="494"/>
      <c r="TFC238" s="494"/>
      <c r="TFD238" s="494"/>
      <c r="TFE238" s="494"/>
      <c r="TFF238" s="494"/>
      <c r="TFG238" s="494"/>
      <c r="TFH238" s="494"/>
      <c r="TFI238" s="494"/>
      <c r="TFJ238" s="494"/>
      <c r="TFK238" s="494"/>
      <c r="TFL238" s="494"/>
      <c r="TFM238" s="494"/>
      <c r="TFN238" s="494"/>
      <c r="TFO238" s="494"/>
      <c r="TFP238" s="494"/>
      <c r="TFQ238" s="494"/>
      <c r="TFR238" s="494"/>
      <c r="TFS238" s="494"/>
      <c r="TFT238" s="494"/>
      <c r="TFU238" s="494"/>
      <c r="TFV238" s="494"/>
      <c r="TFW238" s="494"/>
      <c r="TFX238" s="494"/>
      <c r="TFY238" s="494"/>
      <c r="TFZ238" s="494"/>
      <c r="TGA238" s="494"/>
      <c r="TGB238" s="494"/>
      <c r="TGC238" s="494"/>
      <c r="TGD238" s="494"/>
      <c r="TGE238" s="494"/>
      <c r="TGF238" s="494"/>
      <c r="TGG238" s="494"/>
      <c r="TGH238" s="494"/>
      <c r="TGI238" s="494"/>
      <c r="TGJ238" s="494"/>
      <c r="TGK238" s="494"/>
      <c r="TGL238" s="494"/>
      <c r="TGM238" s="494"/>
      <c r="TGN238" s="494"/>
      <c r="TGO238" s="494"/>
      <c r="TGP238" s="494"/>
      <c r="TGQ238" s="494"/>
      <c r="TGR238" s="494"/>
      <c r="TGS238" s="494"/>
      <c r="TGT238" s="494"/>
      <c r="TGU238" s="494"/>
      <c r="TGV238" s="494"/>
      <c r="TGW238" s="494"/>
      <c r="TGX238" s="494"/>
      <c r="TGY238" s="494"/>
      <c r="TGZ238" s="494"/>
      <c r="THA238" s="494"/>
      <c r="THB238" s="494"/>
      <c r="THC238" s="494"/>
      <c r="THD238" s="494"/>
      <c r="THE238" s="494"/>
      <c r="THF238" s="494"/>
      <c r="THG238" s="494"/>
      <c r="THH238" s="494"/>
      <c r="THI238" s="494"/>
      <c r="THJ238" s="494"/>
      <c r="THK238" s="494"/>
      <c r="THL238" s="494"/>
      <c r="THM238" s="494"/>
      <c r="THN238" s="494"/>
      <c r="THO238" s="494"/>
      <c r="THP238" s="494"/>
      <c r="THQ238" s="494"/>
      <c r="THR238" s="494"/>
      <c r="THS238" s="494"/>
      <c r="THT238" s="494"/>
      <c r="THU238" s="494"/>
      <c r="THV238" s="494"/>
      <c r="THW238" s="494"/>
      <c r="THX238" s="494"/>
      <c r="THY238" s="494"/>
      <c r="THZ238" s="494"/>
      <c r="TIA238" s="494"/>
      <c r="TIB238" s="494"/>
      <c r="TIC238" s="494"/>
      <c r="TID238" s="494"/>
      <c r="TIE238" s="494"/>
      <c r="TIF238" s="494"/>
      <c r="TIG238" s="494"/>
      <c r="TIH238" s="494"/>
      <c r="TII238" s="494"/>
      <c r="TIJ238" s="494"/>
      <c r="TIK238" s="494"/>
      <c r="TIL238" s="494"/>
      <c r="TIM238" s="494"/>
      <c r="TIN238" s="494"/>
      <c r="TIO238" s="494"/>
      <c r="TIP238" s="494"/>
      <c r="TIQ238" s="494"/>
      <c r="TIR238" s="494"/>
      <c r="TIS238" s="494"/>
      <c r="TIT238" s="494"/>
      <c r="TIU238" s="494"/>
      <c r="TIV238" s="494"/>
      <c r="TIW238" s="494"/>
      <c r="TIX238" s="494"/>
      <c r="TIY238" s="494"/>
      <c r="TIZ238" s="494"/>
      <c r="TJA238" s="494"/>
      <c r="TJB238" s="494"/>
      <c r="TJC238" s="494"/>
      <c r="TJD238" s="494"/>
      <c r="TJE238" s="494"/>
      <c r="TJF238" s="494"/>
      <c r="TJG238" s="494"/>
      <c r="TJH238" s="494"/>
      <c r="TJI238" s="494"/>
      <c r="TJJ238" s="494"/>
      <c r="TJK238" s="494"/>
      <c r="TJL238" s="494"/>
      <c r="TJM238" s="494"/>
      <c r="TJN238" s="494"/>
      <c r="TJO238" s="494"/>
      <c r="TJP238" s="494"/>
      <c r="TJQ238" s="494"/>
      <c r="TJR238" s="494"/>
      <c r="TJS238" s="494"/>
      <c r="TJT238" s="494"/>
      <c r="TJU238" s="494"/>
      <c r="TJV238" s="494"/>
      <c r="TJW238" s="494"/>
      <c r="TJX238" s="494"/>
      <c r="TJY238" s="494"/>
      <c r="TJZ238" s="494"/>
      <c r="TKA238" s="494"/>
      <c r="TKB238" s="494"/>
      <c r="TKC238" s="494"/>
      <c r="TKD238" s="494"/>
      <c r="TKE238" s="494"/>
      <c r="TKF238" s="494"/>
      <c r="TKG238" s="494"/>
      <c r="TKH238" s="494"/>
      <c r="TKI238" s="494"/>
      <c r="TKJ238" s="494"/>
      <c r="TKK238" s="494"/>
      <c r="TKL238" s="494"/>
      <c r="TKM238" s="494"/>
      <c r="TKN238" s="494"/>
      <c r="TKO238" s="494"/>
      <c r="TKP238" s="494"/>
      <c r="TKQ238" s="494"/>
      <c r="TKR238" s="494"/>
      <c r="TKS238" s="494"/>
      <c r="TKT238" s="494"/>
      <c r="TKU238" s="494"/>
      <c r="TKV238" s="494"/>
      <c r="TKW238" s="494"/>
      <c r="TKX238" s="494"/>
      <c r="TKY238" s="494"/>
      <c r="TKZ238" s="494"/>
      <c r="TLA238" s="494"/>
      <c r="TLB238" s="494"/>
      <c r="TLC238" s="494"/>
      <c r="TLD238" s="494"/>
      <c r="TLE238" s="494"/>
      <c r="TLF238" s="494"/>
      <c r="TLG238" s="494"/>
      <c r="TLH238" s="494"/>
      <c r="TLI238" s="494"/>
      <c r="TLJ238" s="494"/>
      <c r="TLK238" s="494"/>
      <c r="TLL238" s="494"/>
      <c r="TLM238" s="494"/>
      <c r="TLN238" s="494"/>
      <c r="TLO238" s="494"/>
      <c r="TLP238" s="494"/>
      <c r="TLQ238" s="494"/>
      <c r="TLR238" s="494"/>
      <c r="TLS238" s="494"/>
      <c r="TLT238" s="494"/>
      <c r="TLU238" s="494"/>
      <c r="TLV238" s="494"/>
      <c r="TLW238" s="494"/>
      <c r="TLX238" s="494"/>
      <c r="TLY238" s="494"/>
      <c r="TLZ238" s="494"/>
      <c r="TMA238" s="494"/>
      <c r="TMB238" s="494"/>
      <c r="TMC238" s="494"/>
      <c r="TMD238" s="494"/>
      <c r="TME238" s="494"/>
      <c r="TMF238" s="494"/>
      <c r="TMG238" s="494"/>
      <c r="TMH238" s="494"/>
      <c r="TMI238" s="494"/>
      <c r="TMJ238" s="494"/>
      <c r="TMK238" s="494"/>
      <c r="TML238" s="494"/>
      <c r="TMM238" s="494"/>
      <c r="TMN238" s="494"/>
      <c r="TMO238" s="494"/>
      <c r="TMP238" s="494"/>
      <c r="TMQ238" s="494"/>
      <c r="TMR238" s="494"/>
      <c r="TMS238" s="494"/>
      <c r="TMT238" s="494"/>
      <c r="TMU238" s="494"/>
      <c r="TMV238" s="494"/>
      <c r="TMW238" s="494"/>
      <c r="TMX238" s="494"/>
      <c r="TMY238" s="494"/>
      <c r="TMZ238" s="494"/>
      <c r="TNA238" s="494"/>
      <c r="TNB238" s="494"/>
      <c r="TNC238" s="494"/>
      <c r="TND238" s="494"/>
      <c r="TNE238" s="494"/>
      <c r="TNF238" s="494"/>
      <c r="TNG238" s="494"/>
      <c r="TNH238" s="494"/>
      <c r="TNI238" s="494"/>
      <c r="TNJ238" s="494"/>
      <c r="TNK238" s="494"/>
      <c r="TNL238" s="494"/>
      <c r="TNM238" s="494"/>
      <c r="TNN238" s="494"/>
      <c r="TNO238" s="494"/>
      <c r="TNP238" s="494"/>
      <c r="TNQ238" s="494"/>
      <c r="TNR238" s="494"/>
      <c r="TNS238" s="494"/>
      <c r="TNT238" s="494"/>
      <c r="TNU238" s="494"/>
      <c r="TNV238" s="494"/>
      <c r="TNW238" s="494"/>
      <c r="TNX238" s="494"/>
      <c r="TNY238" s="494"/>
      <c r="TNZ238" s="494"/>
      <c r="TOA238" s="494"/>
      <c r="TOB238" s="494"/>
      <c r="TOC238" s="494"/>
      <c r="TOD238" s="494"/>
      <c r="TOE238" s="494"/>
      <c r="TOF238" s="494"/>
      <c r="TOG238" s="494"/>
      <c r="TOH238" s="494"/>
      <c r="TOI238" s="494"/>
      <c r="TOJ238" s="494"/>
      <c r="TOK238" s="494"/>
      <c r="TOL238" s="494"/>
      <c r="TOM238" s="494"/>
      <c r="TON238" s="494"/>
      <c r="TOO238" s="494"/>
      <c r="TOP238" s="494"/>
      <c r="TOQ238" s="494"/>
      <c r="TOR238" s="494"/>
      <c r="TOS238" s="494"/>
      <c r="TOT238" s="494"/>
      <c r="TOU238" s="494"/>
      <c r="TOV238" s="494"/>
      <c r="TOW238" s="494"/>
      <c r="TOX238" s="494"/>
      <c r="TOY238" s="494"/>
      <c r="TOZ238" s="494"/>
      <c r="TPA238" s="494"/>
      <c r="TPB238" s="494"/>
      <c r="TPC238" s="494"/>
      <c r="TPD238" s="494"/>
      <c r="TPE238" s="494"/>
      <c r="TPF238" s="494"/>
      <c r="TPG238" s="494"/>
      <c r="TPH238" s="494"/>
      <c r="TPI238" s="494"/>
      <c r="TPJ238" s="494"/>
      <c r="TPK238" s="494"/>
      <c r="TPL238" s="494"/>
      <c r="TPM238" s="494"/>
      <c r="TPN238" s="494"/>
      <c r="TPO238" s="494"/>
      <c r="TPP238" s="494"/>
      <c r="TPQ238" s="494"/>
      <c r="TPR238" s="494"/>
      <c r="TPS238" s="494"/>
      <c r="TPT238" s="494"/>
      <c r="TPU238" s="494"/>
      <c r="TPV238" s="494"/>
      <c r="TPW238" s="494"/>
      <c r="TPX238" s="494"/>
      <c r="TPY238" s="494"/>
      <c r="TPZ238" s="494"/>
      <c r="TQA238" s="494"/>
      <c r="TQB238" s="494"/>
      <c r="TQC238" s="494"/>
      <c r="TQD238" s="494"/>
      <c r="TQE238" s="494"/>
      <c r="TQF238" s="494"/>
      <c r="TQG238" s="494"/>
      <c r="TQH238" s="494"/>
      <c r="TQI238" s="494"/>
      <c r="TQJ238" s="494"/>
      <c r="TQK238" s="494"/>
      <c r="TQL238" s="494"/>
      <c r="TQM238" s="494"/>
      <c r="TQN238" s="494"/>
      <c r="TQO238" s="494"/>
      <c r="TQP238" s="494"/>
      <c r="TQQ238" s="494"/>
      <c r="TQR238" s="494"/>
      <c r="TQS238" s="494"/>
      <c r="TQT238" s="494"/>
      <c r="TQU238" s="494"/>
      <c r="TQV238" s="494"/>
      <c r="TQW238" s="494"/>
      <c r="TQX238" s="494"/>
      <c r="TQY238" s="494"/>
      <c r="TQZ238" s="494"/>
      <c r="TRA238" s="494"/>
      <c r="TRB238" s="494"/>
      <c r="TRC238" s="494"/>
      <c r="TRD238" s="494"/>
      <c r="TRE238" s="494"/>
      <c r="TRF238" s="494"/>
      <c r="TRG238" s="494"/>
      <c r="TRH238" s="494"/>
      <c r="TRI238" s="494"/>
      <c r="TRJ238" s="494"/>
      <c r="TRK238" s="494"/>
      <c r="TRL238" s="494"/>
      <c r="TRM238" s="494"/>
      <c r="TRN238" s="494"/>
      <c r="TRO238" s="494"/>
      <c r="TRP238" s="494"/>
      <c r="TRQ238" s="494"/>
      <c r="TRR238" s="494"/>
      <c r="TRS238" s="494"/>
      <c r="TRT238" s="494"/>
      <c r="TRU238" s="494"/>
      <c r="TRV238" s="494"/>
      <c r="TRW238" s="494"/>
      <c r="TRX238" s="494"/>
      <c r="TRY238" s="494"/>
      <c r="TRZ238" s="494"/>
      <c r="TSA238" s="494"/>
      <c r="TSB238" s="494"/>
      <c r="TSC238" s="494"/>
      <c r="TSD238" s="494"/>
      <c r="TSE238" s="494"/>
      <c r="TSF238" s="494"/>
      <c r="TSG238" s="494"/>
      <c r="TSH238" s="494"/>
      <c r="TSI238" s="494"/>
      <c r="TSJ238" s="494"/>
      <c r="TSK238" s="494"/>
      <c r="TSL238" s="494"/>
      <c r="TSM238" s="494"/>
      <c r="TSN238" s="494"/>
      <c r="TSO238" s="494"/>
      <c r="TSP238" s="494"/>
      <c r="TSQ238" s="494"/>
      <c r="TSR238" s="494"/>
      <c r="TSS238" s="494"/>
      <c r="TST238" s="494"/>
      <c r="TSU238" s="494"/>
      <c r="TSV238" s="494"/>
      <c r="TSW238" s="494"/>
      <c r="TSX238" s="494"/>
      <c r="TSY238" s="494"/>
      <c r="TSZ238" s="494"/>
      <c r="TTA238" s="494"/>
      <c r="TTB238" s="494"/>
      <c r="TTC238" s="494"/>
      <c r="TTD238" s="494"/>
      <c r="TTE238" s="494"/>
      <c r="TTF238" s="494"/>
      <c r="TTG238" s="494"/>
      <c r="TTH238" s="494"/>
      <c r="TTI238" s="494"/>
      <c r="TTJ238" s="494"/>
      <c r="TTK238" s="494"/>
      <c r="TTL238" s="494"/>
      <c r="TTM238" s="494"/>
      <c r="TTN238" s="494"/>
      <c r="TTO238" s="494"/>
      <c r="TTP238" s="494"/>
      <c r="TTQ238" s="494"/>
      <c r="TTR238" s="494"/>
      <c r="TTS238" s="494"/>
      <c r="TTT238" s="494"/>
      <c r="TTU238" s="494"/>
      <c r="TTV238" s="494"/>
      <c r="TTW238" s="494"/>
      <c r="TTX238" s="494"/>
      <c r="TTY238" s="494"/>
      <c r="TTZ238" s="494"/>
      <c r="TUA238" s="494"/>
      <c r="TUB238" s="494"/>
      <c r="TUC238" s="494"/>
      <c r="TUD238" s="494"/>
      <c r="TUE238" s="494"/>
      <c r="TUF238" s="494"/>
      <c r="TUG238" s="494"/>
      <c r="TUH238" s="494"/>
      <c r="TUI238" s="494"/>
      <c r="TUJ238" s="494"/>
      <c r="TUK238" s="494"/>
      <c r="TUL238" s="494"/>
      <c r="TUM238" s="494"/>
      <c r="TUN238" s="494"/>
      <c r="TUO238" s="494"/>
      <c r="TUP238" s="494"/>
      <c r="TUQ238" s="494"/>
      <c r="TUR238" s="494"/>
      <c r="TUS238" s="494"/>
      <c r="TUT238" s="494"/>
      <c r="TUU238" s="494"/>
      <c r="TUV238" s="494"/>
      <c r="TUW238" s="494"/>
      <c r="TUX238" s="494"/>
      <c r="TUY238" s="494"/>
      <c r="TUZ238" s="494"/>
      <c r="TVA238" s="494"/>
      <c r="TVB238" s="494"/>
      <c r="TVC238" s="494"/>
      <c r="TVD238" s="494"/>
      <c r="TVE238" s="494"/>
      <c r="TVF238" s="494"/>
      <c r="TVG238" s="494"/>
      <c r="TVH238" s="494"/>
      <c r="TVI238" s="494"/>
      <c r="TVJ238" s="494"/>
      <c r="TVK238" s="494"/>
      <c r="TVL238" s="494"/>
      <c r="TVM238" s="494"/>
      <c r="TVN238" s="494"/>
      <c r="TVO238" s="494"/>
      <c r="TVP238" s="494"/>
      <c r="TVQ238" s="494"/>
      <c r="TVR238" s="494"/>
      <c r="TVS238" s="494"/>
      <c r="TVT238" s="494"/>
      <c r="TVU238" s="494"/>
      <c r="TVV238" s="494"/>
      <c r="TVW238" s="494"/>
      <c r="TVX238" s="494"/>
      <c r="TVY238" s="494"/>
      <c r="TVZ238" s="494"/>
      <c r="TWA238" s="494"/>
      <c r="TWB238" s="494"/>
      <c r="TWC238" s="494"/>
      <c r="TWD238" s="494"/>
      <c r="TWE238" s="494"/>
      <c r="TWF238" s="494"/>
      <c r="TWG238" s="494"/>
      <c r="TWH238" s="494"/>
      <c r="TWI238" s="494"/>
      <c r="TWJ238" s="494"/>
      <c r="TWK238" s="494"/>
      <c r="TWL238" s="494"/>
      <c r="TWM238" s="494"/>
      <c r="TWN238" s="494"/>
      <c r="TWO238" s="494"/>
      <c r="TWP238" s="494"/>
      <c r="TWQ238" s="494"/>
      <c r="TWR238" s="494"/>
      <c r="TWS238" s="494"/>
      <c r="TWT238" s="494"/>
      <c r="TWU238" s="494"/>
      <c r="TWV238" s="494"/>
      <c r="TWW238" s="494"/>
      <c r="TWX238" s="494"/>
      <c r="TWY238" s="494"/>
      <c r="TWZ238" s="494"/>
      <c r="TXA238" s="494"/>
      <c r="TXB238" s="494"/>
      <c r="TXC238" s="494"/>
      <c r="TXD238" s="494"/>
      <c r="TXE238" s="494"/>
      <c r="TXF238" s="494"/>
      <c r="TXG238" s="494"/>
      <c r="TXH238" s="494"/>
      <c r="TXI238" s="494"/>
      <c r="TXJ238" s="494"/>
      <c r="TXK238" s="494"/>
      <c r="TXL238" s="494"/>
      <c r="TXM238" s="494"/>
      <c r="TXN238" s="494"/>
      <c r="TXO238" s="494"/>
      <c r="TXP238" s="494"/>
      <c r="TXQ238" s="494"/>
      <c r="TXR238" s="494"/>
      <c r="TXS238" s="494"/>
      <c r="TXT238" s="494"/>
      <c r="TXU238" s="494"/>
      <c r="TXV238" s="494"/>
      <c r="TXW238" s="494"/>
      <c r="TXX238" s="494"/>
      <c r="TXY238" s="494"/>
      <c r="TXZ238" s="494"/>
      <c r="TYA238" s="494"/>
      <c r="TYB238" s="494"/>
      <c r="TYC238" s="494"/>
      <c r="TYD238" s="494"/>
      <c r="TYE238" s="494"/>
      <c r="TYF238" s="494"/>
      <c r="TYG238" s="494"/>
      <c r="TYH238" s="494"/>
      <c r="TYI238" s="494"/>
      <c r="TYJ238" s="494"/>
      <c r="TYK238" s="494"/>
      <c r="TYL238" s="494"/>
      <c r="TYM238" s="494"/>
      <c r="TYN238" s="494"/>
      <c r="TYO238" s="494"/>
      <c r="TYP238" s="494"/>
      <c r="TYQ238" s="494"/>
      <c r="TYR238" s="494"/>
      <c r="TYS238" s="494"/>
      <c r="TYT238" s="494"/>
      <c r="TYU238" s="494"/>
      <c r="TYV238" s="494"/>
      <c r="TYW238" s="494"/>
      <c r="TYX238" s="494"/>
      <c r="TYY238" s="494"/>
      <c r="TYZ238" s="494"/>
      <c r="TZA238" s="494"/>
      <c r="TZB238" s="494"/>
      <c r="TZC238" s="494"/>
      <c r="TZD238" s="494"/>
      <c r="TZE238" s="494"/>
      <c r="TZF238" s="494"/>
      <c r="TZG238" s="494"/>
      <c r="TZH238" s="494"/>
      <c r="TZI238" s="494"/>
      <c r="TZJ238" s="494"/>
      <c r="TZK238" s="494"/>
      <c r="TZL238" s="494"/>
      <c r="TZM238" s="494"/>
      <c r="TZN238" s="494"/>
      <c r="TZO238" s="494"/>
      <c r="TZP238" s="494"/>
      <c r="TZQ238" s="494"/>
      <c r="TZR238" s="494"/>
      <c r="TZS238" s="494"/>
      <c r="TZT238" s="494"/>
      <c r="TZU238" s="494"/>
      <c r="TZV238" s="494"/>
      <c r="TZW238" s="494"/>
      <c r="TZX238" s="494"/>
      <c r="TZY238" s="494"/>
      <c r="TZZ238" s="494"/>
      <c r="UAA238" s="494"/>
      <c r="UAB238" s="494"/>
      <c r="UAC238" s="494"/>
      <c r="UAD238" s="494"/>
      <c r="UAE238" s="494"/>
      <c r="UAF238" s="494"/>
      <c r="UAG238" s="494"/>
      <c r="UAH238" s="494"/>
      <c r="UAI238" s="494"/>
      <c r="UAJ238" s="494"/>
      <c r="UAK238" s="494"/>
      <c r="UAL238" s="494"/>
      <c r="UAM238" s="494"/>
      <c r="UAN238" s="494"/>
      <c r="UAO238" s="494"/>
      <c r="UAP238" s="494"/>
      <c r="UAQ238" s="494"/>
      <c r="UAR238" s="494"/>
      <c r="UAS238" s="494"/>
      <c r="UAT238" s="494"/>
      <c r="UAU238" s="494"/>
      <c r="UAV238" s="494"/>
      <c r="UAW238" s="494"/>
      <c r="UAX238" s="494"/>
      <c r="UAY238" s="494"/>
      <c r="UAZ238" s="494"/>
      <c r="UBA238" s="494"/>
      <c r="UBB238" s="494"/>
      <c r="UBC238" s="494"/>
      <c r="UBD238" s="494"/>
      <c r="UBE238" s="494"/>
      <c r="UBF238" s="494"/>
      <c r="UBG238" s="494"/>
      <c r="UBH238" s="494"/>
      <c r="UBI238" s="494"/>
      <c r="UBJ238" s="494"/>
      <c r="UBK238" s="494"/>
      <c r="UBL238" s="494"/>
      <c r="UBM238" s="494"/>
      <c r="UBN238" s="494"/>
      <c r="UBO238" s="494"/>
      <c r="UBP238" s="494"/>
      <c r="UBQ238" s="494"/>
      <c r="UBR238" s="494"/>
      <c r="UBS238" s="494"/>
      <c r="UBT238" s="494"/>
      <c r="UBU238" s="494"/>
      <c r="UBV238" s="494"/>
      <c r="UBW238" s="494"/>
      <c r="UBX238" s="494"/>
      <c r="UBY238" s="494"/>
      <c r="UBZ238" s="494"/>
      <c r="UCA238" s="494"/>
      <c r="UCB238" s="494"/>
      <c r="UCC238" s="494"/>
      <c r="UCD238" s="494"/>
      <c r="UCE238" s="494"/>
      <c r="UCF238" s="494"/>
      <c r="UCG238" s="494"/>
      <c r="UCH238" s="494"/>
      <c r="UCI238" s="494"/>
      <c r="UCJ238" s="494"/>
      <c r="UCK238" s="494"/>
      <c r="UCL238" s="494"/>
      <c r="UCM238" s="494"/>
      <c r="UCN238" s="494"/>
      <c r="UCO238" s="494"/>
      <c r="UCP238" s="494"/>
      <c r="UCQ238" s="494"/>
      <c r="UCR238" s="494"/>
      <c r="UCS238" s="494"/>
      <c r="UCT238" s="494"/>
      <c r="UCU238" s="494"/>
      <c r="UCV238" s="494"/>
      <c r="UCW238" s="494"/>
      <c r="UCX238" s="494"/>
      <c r="UCY238" s="494"/>
      <c r="UCZ238" s="494"/>
      <c r="UDA238" s="494"/>
      <c r="UDB238" s="494"/>
      <c r="UDC238" s="494"/>
      <c r="UDD238" s="494"/>
      <c r="UDE238" s="494"/>
      <c r="UDF238" s="494"/>
      <c r="UDG238" s="494"/>
      <c r="UDH238" s="494"/>
      <c r="UDI238" s="494"/>
      <c r="UDJ238" s="494"/>
      <c r="UDK238" s="494"/>
      <c r="UDL238" s="494"/>
      <c r="UDM238" s="494"/>
      <c r="UDN238" s="494"/>
      <c r="UDO238" s="494"/>
      <c r="UDP238" s="494"/>
      <c r="UDQ238" s="494"/>
      <c r="UDR238" s="494"/>
      <c r="UDS238" s="494"/>
      <c r="UDT238" s="494"/>
      <c r="UDU238" s="494"/>
      <c r="UDV238" s="494"/>
      <c r="UDW238" s="494"/>
      <c r="UDX238" s="494"/>
      <c r="UDY238" s="494"/>
      <c r="UDZ238" s="494"/>
      <c r="UEA238" s="494"/>
      <c r="UEB238" s="494"/>
      <c r="UEC238" s="494"/>
      <c r="UED238" s="494"/>
      <c r="UEE238" s="494"/>
      <c r="UEF238" s="494"/>
      <c r="UEG238" s="494"/>
      <c r="UEH238" s="494"/>
      <c r="UEI238" s="494"/>
      <c r="UEJ238" s="494"/>
      <c r="UEK238" s="494"/>
      <c r="UEL238" s="494"/>
      <c r="UEM238" s="494"/>
      <c r="UEN238" s="494"/>
      <c r="UEO238" s="494"/>
      <c r="UEP238" s="494"/>
      <c r="UEQ238" s="494"/>
      <c r="UER238" s="494"/>
      <c r="UES238" s="494"/>
      <c r="UET238" s="494"/>
      <c r="UEU238" s="494"/>
      <c r="UEV238" s="494"/>
      <c r="UEW238" s="494"/>
      <c r="UEX238" s="494"/>
      <c r="UEY238" s="494"/>
      <c r="UEZ238" s="494"/>
      <c r="UFA238" s="494"/>
      <c r="UFB238" s="494"/>
      <c r="UFC238" s="494"/>
      <c r="UFD238" s="494"/>
      <c r="UFE238" s="494"/>
      <c r="UFF238" s="494"/>
      <c r="UFG238" s="494"/>
      <c r="UFH238" s="494"/>
      <c r="UFI238" s="494"/>
      <c r="UFJ238" s="494"/>
      <c r="UFK238" s="494"/>
      <c r="UFL238" s="494"/>
      <c r="UFM238" s="494"/>
      <c r="UFN238" s="494"/>
      <c r="UFO238" s="494"/>
      <c r="UFP238" s="494"/>
      <c r="UFQ238" s="494"/>
      <c r="UFR238" s="494"/>
      <c r="UFS238" s="494"/>
      <c r="UFT238" s="494"/>
      <c r="UFU238" s="494"/>
      <c r="UFV238" s="494"/>
      <c r="UFW238" s="494"/>
      <c r="UFX238" s="494"/>
      <c r="UFY238" s="494"/>
      <c r="UFZ238" s="494"/>
      <c r="UGA238" s="494"/>
      <c r="UGB238" s="494"/>
      <c r="UGC238" s="494"/>
      <c r="UGD238" s="494"/>
      <c r="UGE238" s="494"/>
      <c r="UGF238" s="494"/>
      <c r="UGG238" s="494"/>
      <c r="UGH238" s="494"/>
      <c r="UGI238" s="494"/>
      <c r="UGJ238" s="494"/>
      <c r="UGK238" s="494"/>
      <c r="UGL238" s="494"/>
      <c r="UGM238" s="494"/>
      <c r="UGN238" s="494"/>
      <c r="UGO238" s="494"/>
      <c r="UGP238" s="494"/>
      <c r="UGQ238" s="494"/>
      <c r="UGR238" s="494"/>
      <c r="UGS238" s="494"/>
      <c r="UGT238" s="494"/>
      <c r="UGU238" s="494"/>
      <c r="UGV238" s="494"/>
      <c r="UGW238" s="494"/>
      <c r="UGX238" s="494"/>
      <c r="UGY238" s="494"/>
      <c r="UGZ238" s="494"/>
      <c r="UHA238" s="494"/>
      <c r="UHB238" s="494"/>
      <c r="UHC238" s="494"/>
      <c r="UHD238" s="494"/>
      <c r="UHE238" s="494"/>
      <c r="UHF238" s="494"/>
      <c r="UHG238" s="494"/>
      <c r="UHH238" s="494"/>
      <c r="UHI238" s="494"/>
      <c r="UHJ238" s="494"/>
      <c r="UHK238" s="494"/>
      <c r="UHL238" s="494"/>
      <c r="UHM238" s="494"/>
      <c r="UHN238" s="494"/>
      <c r="UHO238" s="494"/>
      <c r="UHP238" s="494"/>
      <c r="UHQ238" s="494"/>
      <c r="UHR238" s="494"/>
      <c r="UHS238" s="494"/>
      <c r="UHT238" s="494"/>
      <c r="UHU238" s="494"/>
      <c r="UHV238" s="494"/>
      <c r="UHW238" s="494"/>
      <c r="UHX238" s="494"/>
      <c r="UHY238" s="494"/>
      <c r="UHZ238" s="494"/>
      <c r="UIA238" s="494"/>
      <c r="UIB238" s="494"/>
      <c r="UIC238" s="494"/>
      <c r="UID238" s="494"/>
      <c r="UIE238" s="494"/>
      <c r="UIF238" s="494"/>
      <c r="UIG238" s="494"/>
      <c r="UIH238" s="494"/>
      <c r="UII238" s="494"/>
      <c r="UIJ238" s="494"/>
      <c r="UIK238" s="494"/>
      <c r="UIL238" s="494"/>
      <c r="UIM238" s="494"/>
      <c r="UIN238" s="494"/>
      <c r="UIO238" s="494"/>
      <c r="UIP238" s="494"/>
      <c r="UIQ238" s="494"/>
      <c r="UIR238" s="494"/>
      <c r="UIS238" s="494"/>
      <c r="UIT238" s="494"/>
      <c r="UIU238" s="494"/>
      <c r="UIV238" s="494"/>
      <c r="UIW238" s="494"/>
      <c r="UIX238" s="494"/>
      <c r="UIY238" s="494"/>
      <c r="UIZ238" s="494"/>
      <c r="UJA238" s="494"/>
      <c r="UJB238" s="494"/>
      <c r="UJC238" s="494"/>
      <c r="UJD238" s="494"/>
      <c r="UJE238" s="494"/>
      <c r="UJF238" s="494"/>
      <c r="UJG238" s="494"/>
      <c r="UJH238" s="494"/>
      <c r="UJI238" s="494"/>
      <c r="UJJ238" s="494"/>
      <c r="UJK238" s="494"/>
      <c r="UJL238" s="494"/>
      <c r="UJM238" s="494"/>
      <c r="UJN238" s="494"/>
      <c r="UJO238" s="494"/>
      <c r="UJP238" s="494"/>
      <c r="UJQ238" s="494"/>
      <c r="UJR238" s="494"/>
      <c r="UJS238" s="494"/>
      <c r="UJT238" s="494"/>
      <c r="UJU238" s="494"/>
      <c r="UJV238" s="494"/>
      <c r="UJW238" s="494"/>
      <c r="UJX238" s="494"/>
      <c r="UJY238" s="494"/>
      <c r="UJZ238" s="494"/>
      <c r="UKA238" s="494"/>
      <c r="UKB238" s="494"/>
      <c r="UKC238" s="494"/>
      <c r="UKD238" s="494"/>
      <c r="UKE238" s="494"/>
      <c r="UKF238" s="494"/>
      <c r="UKG238" s="494"/>
      <c r="UKH238" s="494"/>
      <c r="UKI238" s="494"/>
      <c r="UKJ238" s="494"/>
      <c r="UKK238" s="494"/>
      <c r="UKL238" s="494"/>
      <c r="UKM238" s="494"/>
      <c r="UKN238" s="494"/>
      <c r="UKO238" s="494"/>
      <c r="UKP238" s="494"/>
      <c r="UKQ238" s="494"/>
      <c r="UKR238" s="494"/>
      <c r="UKS238" s="494"/>
      <c r="UKT238" s="494"/>
      <c r="UKU238" s="494"/>
      <c r="UKV238" s="494"/>
      <c r="UKW238" s="494"/>
      <c r="UKX238" s="494"/>
      <c r="UKY238" s="494"/>
      <c r="UKZ238" s="494"/>
      <c r="ULA238" s="494"/>
      <c r="ULB238" s="494"/>
      <c r="ULC238" s="494"/>
      <c r="ULD238" s="494"/>
      <c r="ULE238" s="494"/>
      <c r="ULF238" s="494"/>
      <c r="ULG238" s="494"/>
      <c r="ULH238" s="494"/>
      <c r="ULI238" s="494"/>
      <c r="ULJ238" s="494"/>
      <c r="ULK238" s="494"/>
      <c r="ULL238" s="494"/>
      <c r="ULM238" s="494"/>
      <c r="ULN238" s="494"/>
      <c r="ULO238" s="494"/>
      <c r="ULP238" s="494"/>
      <c r="ULQ238" s="494"/>
      <c r="ULR238" s="494"/>
      <c r="ULS238" s="494"/>
      <c r="ULT238" s="494"/>
      <c r="ULU238" s="494"/>
      <c r="ULV238" s="494"/>
      <c r="ULW238" s="494"/>
      <c r="ULX238" s="494"/>
      <c r="ULY238" s="494"/>
      <c r="ULZ238" s="494"/>
      <c r="UMA238" s="494"/>
      <c r="UMB238" s="494"/>
      <c r="UMC238" s="494"/>
      <c r="UMD238" s="494"/>
      <c r="UME238" s="494"/>
      <c r="UMF238" s="494"/>
      <c r="UMG238" s="494"/>
      <c r="UMH238" s="494"/>
      <c r="UMI238" s="494"/>
      <c r="UMJ238" s="494"/>
      <c r="UMK238" s="494"/>
      <c r="UML238" s="494"/>
      <c r="UMM238" s="494"/>
      <c r="UMN238" s="494"/>
      <c r="UMO238" s="494"/>
      <c r="UMP238" s="494"/>
      <c r="UMQ238" s="494"/>
      <c r="UMR238" s="494"/>
      <c r="UMS238" s="494"/>
      <c r="UMT238" s="494"/>
      <c r="UMU238" s="494"/>
      <c r="UMV238" s="494"/>
      <c r="UMW238" s="494"/>
      <c r="UMX238" s="494"/>
      <c r="UMY238" s="494"/>
      <c r="UMZ238" s="494"/>
      <c r="UNA238" s="494"/>
      <c r="UNB238" s="494"/>
      <c r="UNC238" s="494"/>
      <c r="UND238" s="494"/>
      <c r="UNE238" s="494"/>
      <c r="UNF238" s="494"/>
      <c r="UNG238" s="494"/>
      <c r="UNH238" s="494"/>
      <c r="UNI238" s="494"/>
      <c r="UNJ238" s="494"/>
      <c r="UNK238" s="494"/>
      <c r="UNL238" s="494"/>
      <c r="UNM238" s="494"/>
      <c r="UNN238" s="494"/>
      <c r="UNO238" s="494"/>
      <c r="UNP238" s="494"/>
      <c r="UNQ238" s="494"/>
      <c r="UNR238" s="494"/>
      <c r="UNS238" s="494"/>
      <c r="UNT238" s="494"/>
      <c r="UNU238" s="494"/>
      <c r="UNV238" s="494"/>
      <c r="UNW238" s="494"/>
      <c r="UNX238" s="494"/>
      <c r="UNY238" s="494"/>
      <c r="UNZ238" s="494"/>
      <c r="UOA238" s="494"/>
      <c r="UOB238" s="494"/>
      <c r="UOC238" s="494"/>
      <c r="UOD238" s="494"/>
      <c r="UOE238" s="494"/>
      <c r="UOF238" s="494"/>
      <c r="UOG238" s="494"/>
      <c r="UOH238" s="494"/>
      <c r="UOI238" s="494"/>
      <c r="UOJ238" s="494"/>
      <c r="UOK238" s="494"/>
      <c r="UOL238" s="494"/>
      <c r="UOM238" s="494"/>
      <c r="UON238" s="494"/>
      <c r="UOO238" s="494"/>
      <c r="UOP238" s="494"/>
      <c r="UOQ238" s="494"/>
      <c r="UOR238" s="494"/>
      <c r="UOS238" s="494"/>
      <c r="UOT238" s="494"/>
      <c r="UOU238" s="494"/>
      <c r="UOV238" s="494"/>
      <c r="UOW238" s="494"/>
      <c r="UOX238" s="494"/>
      <c r="UOY238" s="494"/>
      <c r="UOZ238" s="494"/>
      <c r="UPA238" s="494"/>
      <c r="UPB238" s="494"/>
      <c r="UPC238" s="494"/>
      <c r="UPD238" s="494"/>
      <c r="UPE238" s="494"/>
      <c r="UPF238" s="494"/>
      <c r="UPG238" s="494"/>
      <c r="UPH238" s="494"/>
      <c r="UPI238" s="494"/>
      <c r="UPJ238" s="494"/>
      <c r="UPK238" s="494"/>
      <c r="UPL238" s="494"/>
      <c r="UPM238" s="494"/>
      <c r="UPN238" s="494"/>
      <c r="UPO238" s="494"/>
      <c r="UPP238" s="494"/>
      <c r="UPQ238" s="494"/>
      <c r="UPR238" s="494"/>
      <c r="UPS238" s="494"/>
      <c r="UPT238" s="494"/>
      <c r="UPU238" s="494"/>
      <c r="UPV238" s="494"/>
      <c r="UPW238" s="494"/>
      <c r="UPX238" s="494"/>
      <c r="UPY238" s="494"/>
      <c r="UPZ238" s="494"/>
      <c r="UQA238" s="494"/>
      <c r="UQB238" s="494"/>
      <c r="UQC238" s="494"/>
      <c r="UQD238" s="494"/>
      <c r="UQE238" s="494"/>
      <c r="UQF238" s="494"/>
      <c r="UQG238" s="494"/>
      <c r="UQH238" s="494"/>
      <c r="UQI238" s="494"/>
      <c r="UQJ238" s="494"/>
      <c r="UQK238" s="494"/>
      <c r="UQL238" s="494"/>
      <c r="UQM238" s="494"/>
      <c r="UQN238" s="494"/>
      <c r="UQO238" s="494"/>
      <c r="UQP238" s="494"/>
      <c r="UQQ238" s="494"/>
      <c r="UQR238" s="494"/>
      <c r="UQS238" s="494"/>
      <c r="UQT238" s="494"/>
      <c r="UQU238" s="494"/>
      <c r="UQV238" s="494"/>
      <c r="UQW238" s="494"/>
      <c r="UQX238" s="494"/>
      <c r="UQY238" s="494"/>
      <c r="UQZ238" s="494"/>
      <c r="URA238" s="494"/>
      <c r="URB238" s="494"/>
      <c r="URC238" s="494"/>
      <c r="URD238" s="494"/>
      <c r="URE238" s="494"/>
      <c r="URF238" s="494"/>
      <c r="URG238" s="494"/>
      <c r="URH238" s="494"/>
      <c r="URI238" s="494"/>
      <c r="URJ238" s="494"/>
      <c r="URK238" s="494"/>
      <c r="URL238" s="494"/>
      <c r="URM238" s="494"/>
      <c r="URN238" s="494"/>
      <c r="URO238" s="494"/>
      <c r="URP238" s="494"/>
      <c r="URQ238" s="494"/>
      <c r="URR238" s="494"/>
      <c r="URS238" s="494"/>
      <c r="URT238" s="494"/>
      <c r="URU238" s="494"/>
      <c r="URV238" s="494"/>
      <c r="URW238" s="494"/>
      <c r="URX238" s="494"/>
      <c r="URY238" s="494"/>
      <c r="URZ238" s="494"/>
      <c r="USA238" s="494"/>
      <c r="USB238" s="494"/>
      <c r="USC238" s="494"/>
      <c r="USD238" s="494"/>
      <c r="USE238" s="494"/>
      <c r="USF238" s="494"/>
      <c r="USG238" s="494"/>
      <c r="USH238" s="494"/>
      <c r="USI238" s="494"/>
      <c r="USJ238" s="494"/>
      <c r="USK238" s="494"/>
      <c r="USL238" s="494"/>
      <c r="USM238" s="494"/>
      <c r="USN238" s="494"/>
      <c r="USO238" s="494"/>
      <c r="USP238" s="494"/>
      <c r="USQ238" s="494"/>
      <c r="USR238" s="494"/>
      <c r="USS238" s="494"/>
      <c r="UST238" s="494"/>
      <c r="USU238" s="494"/>
      <c r="USV238" s="494"/>
      <c r="USW238" s="494"/>
      <c r="USX238" s="494"/>
      <c r="USY238" s="494"/>
      <c r="USZ238" s="494"/>
      <c r="UTA238" s="494"/>
      <c r="UTB238" s="494"/>
      <c r="UTC238" s="494"/>
      <c r="UTD238" s="494"/>
      <c r="UTE238" s="494"/>
      <c r="UTF238" s="494"/>
      <c r="UTG238" s="494"/>
      <c r="UTH238" s="494"/>
      <c r="UTI238" s="494"/>
      <c r="UTJ238" s="494"/>
      <c r="UTK238" s="494"/>
      <c r="UTL238" s="494"/>
      <c r="UTM238" s="494"/>
      <c r="UTN238" s="494"/>
      <c r="UTO238" s="494"/>
      <c r="UTP238" s="494"/>
      <c r="UTQ238" s="494"/>
      <c r="UTR238" s="494"/>
      <c r="UTS238" s="494"/>
      <c r="UTT238" s="494"/>
      <c r="UTU238" s="494"/>
      <c r="UTV238" s="494"/>
      <c r="UTW238" s="494"/>
      <c r="UTX238" s="494"/>
      <c r="UTY238" s="494"/>
      <c r="UTZ238" s="494"/>
      <c r="UUA238" s="494"/>
      <c r="UUB238" s="494"/>
      <c r="UUC238" s="494"/>
      <c r="UUD238" s="494"/>
      <c r="UUE238" s="494"/>
      <c r="UUF238" s="494"/>
      <c r="UUG238" s="494"/>
      <c r="UUH238" s="494"/>
      <c r="UUI238" s="494"/>
      <c r="UUJ238" s="494"/>
      <c r="UUK238" s="494"/>
      <c r="UUL238" s="494"/>
      <c r="UUM238" s="494"/>
      <c r="UUN238" s="494"/>
      <c r="UUO238" s="494"/>
      <c r="UUP238" s="494"/>
      <c r="UUQ238" s="494"/>
      <c r="UUR238" s="494"/>
      <c r="UUS238" s="494"/>
      <c r="UUT238" s="494"/>
      <c r="UUU238" s="494"/>
      <c r="UUV238" s="494"/>
      <c r="UUW238" s="494"/>
      <c r="UUX238" s="494"/>
      <c r="UUY238" s="494"/>
      <c r="UUZ238" s="494"/>
      <c r="UVA238" s="494"/>
      <c r="UVB238" s="494"/>
      <c r="UVC238" s="494"/>
      <c r="UVD238" s="494"/>
      <c r="UVE238" s="494"/>
      <c r="UVF238" s="494"/>
      <c r="UVG238" s="494"/>
      <c r="UVH238" s="494"/>
      <c r="UVI238" s="494"/>
      <c r="UVJ238" s="494"/>
      <c r="UVK238" s="494"/>
      <c r="UVL238" s="494"/>
      <c r="UVM238" s="494"/>
      <c r="UVN238" s="494"/>
      <c r="UVO238" s="494"/>
      <c r="UVP238" s="494"/>
      <c r="UVQ238" s="494"/>
      <c r="UVR238" s="494"/>
      <c r="UVS238" s="494"/>
      <c r="UVT238" s="494"/>
      <c r="UVU238" s="494"/>
      <c r="UVV238" s="494"/>
      <c r="UVW238" s="494"/>
      <c r="UVX238" s="494"/>
      <c r="UVY238" s="494"/>
      <c r="UVZ238" s="494"/>
      <c r="UWA238" s="494"/>
      <c r="UWB238" s="494"/>
      <c r="UWC238" s="494"/>
      <c r="UWD238" s="494"/>
      <c r="UWE238" s="494"/>
      <c r="UWF238" s="494"/>
      <c r="UWG238" s="494"/>
      <c r="UWH238" s="494"/>
      <c r="UWI238" s="494"/>
      <c r="UWJ238" s="494"/>
      <c r="UWK238" s="494"/>
      <c r="UWL238" s="494"/>
      <c r="UWM238" s="494"/>
      <c r="UWN238" s="494"/>
      <c r="UWO238" s="494"/>
      <c r="UWP238" s="494"/>
      <c r="UWQ238" s="494"/>
      <c r="UWR238" s="494"/>
      <c r="UWS238" s="494"/>
      <c r="UWT238" s="494"/>
      <c r="UWU238" s="494"/>
      <c r="UWV238" s="494"/>
      <c r="UWW238" s="494"/>
      <c r="UWX238" s="494"/>
      <c r="UWY238" s="494"/>
      <c r="UWZ238" s="494"/>
      <c r="UXA238" s="494"/>
      <c r="UXB238" s="494"/>
      <c r="UXC238" s="494"/>
      <c r="UXD238" s="494"/>
      <c r="UXE238" s="494"/>
      <c r="UXF238" s="494"/>
      <c r="UXG238" s="494"/>
      <c r="UXH238" s="494"/>
      <c r="UXI238" s="494"/>
      <c r="UXJ238" s="494"/>
      <c r="UXK238" s="494"/>
      <c r="UXL238" s="494"/>
      <c r="UXM238" s="494"/>
      <c r="UXN238" s="494"/>
      <c r="UXO238" s="494"/>
      <c r="UXP238" s="494"/>
      <c r="UXQ238" s="494"/>
      <c r="UXR238" s="494"/>
      <c r="UXS238" s="494"/>
      <c r="UXT238" s="494"/>
      <c r="UXU238" s="494"/>
      <c r="UXV238" s="494"/>
      <c r="UXW238" s="494"/>
      <c r="UXX238" s="494"/>
      <c r="UXY238" s="494"/>
      <c r="UXZ238" s="494"/>
      <c r="UYA238" s="494"/>
      <c r="UYB238" s="494"/>
      <c r="UYC238" s="494"/>
      <c r="UYD238" s="494"/>
      <c r="UYE238" s="494"/>
      <c r="UYF238" s="494"/>
      <c r="UYG238" s="494"/>
      <c r="UYH238" s="494"/>
      <c r="UYI238" s="494"/>
      <c r="UYJ238" s="494"/>
      <c r="UYK238" s="494"/>
      <c r="UYL238" s="494"/>
      <c r="UYM238" s="494"/>
      <c r="UYN238" s="494"/>
      <c r="UYO238" s="494"/>
      <c r="UYP238" s="494"/>
      <c r="UYQ238" s="494"/>
      <c r="UYR238" s="494"/>
      <c r="UYS238" s="494"/>
      <c r="UYT238" s="494"/>
      <c r="UYU238" s="494"/>
      <c r="UYV238" s="494"/>
      <c r="UYW238" s="494"/>
      <c r="UYX238" s="494"/>
      <c r="UYY238" s="494"/>
      <c r="UYZ238" s="494"/>
      <c r="UZA238" s="494"/>
      <c r="UZB238" s="494"/>
      <c r="UZC238" s="494"/>
      <c r="UZD238" s="494"/>
      <c r="UZE238" s="494"/>
      <c r="UZF238" s="494"/>
      <c r="UZG238" s="494"/>
      <c r="UZH238" s="494"/>
      <c r="UZI238" s="494"/>
      <c r="UZJ238" s="494"/>
      <c r="UZK238" s="494"/>
      <c r="UZL238" s="494"/>
      <c r="UZM238" s="494"/>
      <c r="UZN238" s="494"/>
      <c r="UZO238" s="494"/>
      <c r="UZP238" s="494"/>
      <c r="UZQ238" s="494"/>
      <c r="UZR238" s="494"/>
      <c r="UZS238" s="494"/>
      <c r="UZT238" s="494"/>
      <c r="UZU238" s="494"/>
      <c r="UZV238" s="494"/>
      <c r="UZW238" s="494"/>
      <c r="UZX238" s="494"/>
      <c r="UZY238" s="494"/>
      <c r="UZZ238" s="494"/>
      <c r="VAA238" s="494"/>
      <c r="VAB238" s="494"/>
      <c r="VAC238" s="494"/>
      <c r="VAD238" s="494"/>
      <c r="VAE238" s="494"/>
      <c r="VAF238" s="494"/>
      <c r="VAG238" s="494"/>
      <c r="VAH238" s="494"/>
      <c r="VAI238" s="494"/>
      <c r="VAJ238" s="494"/>
      <c r="VAK238" s="494"/>
      <c r="VAL238" s="494"/>
      <c r="VAM238" s="494"/>
      <c r="VAN238" s="494"/>
      <c r="VAO238" s="494"/>
      <c r="VAP238" s="494"/>
      <c r="VAQ238" s="494"/>
      <c r="VAR238" s="494"/>
      <c r="VAS238" s="494"/>
      <c r="VAT238" s="494"/>
      <c r="VAU238" s="494"/>
      <c r="VAV238" s="494"/>
      <c r="VAW238" s="494"/>
      <c r="VAX238" s="494"/>
      <c r="VAY238" s="494"/>
      <c r="VAZ238" s="494"/>
      <c r="VBA238" s="494"/>
      <c r="VBB238" s="494"/>
      <c r="VBC238" s="494"/>
      <c r="VBD238" s="494"/>
      <c r="VBE238" s="494"/>
      <c r="VBF238" s="494"/>
      <c r="VBG238" s="494"/>
      <c r="VBH238" s="494"/>
      <c r="VBI238" s="494"/>
      <c r="VBJ238" s="494"/>
      <c r="VBK238" s="494"/>
      <c r="VBL238" s="494"/>
      <c r="VBM238" s="494"/>
      <c r="VBN238" s="494"/>
      <c r="VBO238" s="494"/>
      <c r="VBP238" s="494"/>
      <c r="VBQ238" s="494"/>
      <c r="VBR238" s="494"/>
      <c r="VBS238" s="494"/>
      <c r="VBT238" s="494"/>
      <c r="VBU238" s="494"/>
      <c r="VBV238" s="494"/>
      <c r="VBW238" s="494"/>
      <c r="VBX238" s="494"/>
      <c r="VBY238" s="494"/>
      <c r="VBZ238" s="494"/>
      <c r="VCA238" s="494"/>
      <c r="VCB238" s="494"/>
      <c r="VCC238" s="494"/>
      <c r="VCD238" s="494"/>
      <c r="VCE238" s="494"/>
      <c r="VCF238" s="494"/>
      <c r="VCG238" s="494"/>
      <c r="VCH238" s="494"/>
      <c r="VCI238" s="494"/>
      <c r="VCJ238" s="494"/>
      <c r="VCK238" s="494"/>
      <c r="VCL238" s="494"/>
      <c r="VCM238" s="494"/>
      <c r="VCN238" s="494"/>
      <c r="VCO238" s="494"/>
      <c r="VCP238" s="494"/>
      <c r="VCQ238" s="494"/>
      <c r="VCR238" s="494"/>
      <c r="VCS238" s="494"/>
      <c r="VCT238" s="494"/>
      <c r="VCU238" s="494"/>
      <c r="VCV238" s="494"/>
      <c r="VCW238" s="494"/>
      <c r="VCX238" s="494"/>
      <c r="VCY238" s="494"/>
      <c r="VCZ238" s="494"/>
      <c r="VDA238" s="494"/>
      <c r="VDB238" s="494"/>
      <c r="VDC238" s="494"/>
      <c r="VDD238" s="494"/>
      <c r="VDE238" s="494"/>
      <c r="VDF238" s="494"/>
      <c r="VDG238" s="494"/>
      <c r="VDH238" s="494"/>
      <c r="VDI238" s="494"/>
      <c r="VDJ238" s="494"/>
      <c r="VDK238" s="494"/>
      <c r="VDL238" s="494"/>
      <c r="VDM238" s="494"/>
      <c r="VDN238" s="494"/>
      <c r="VDO238" s="494"/>
      <c r="VDP238" s="494"/>
      <c r="VDQ238" s="494"/>
      <c r="VDR238" s="494"/>
      <c r="VDS238" s="494"/>
      <c r="VDT238" s="494"/>
      <c r="VDU238" s="494"/>
      <c r="VDV238" s="494"/>
      <c r="VDW238" s="494"/>
      <c r="VDX238" s="494"/>
      <c r="VDY238" s="494"/>
      <c r="VDZ238" s="494"/>
      <c r="VEA238" s="494"/>
      <c r="VEB238" s="494"/>
      <c r="VEC238" s="494"/>
      <c r="VED238" s="494"/>
      <c r="VEE238" s="494"/>
      <c r="VEF238" s="494"/>
      <c r="VEG238" s="494"/>
      <c r="VEH238" s="494"/>
      <c r="VEI238" s="494"/>
      <c r="VEJ238" s="494"/>
      <c r="VEK238" s="494"/>
      <c r="VEL238" s="494"/>
      <c r="VEM238" s="494"/>
      <c r="VEN238" s="494"/>
      <c r="VEO238" s="494"/>
      <c r="VEP238" s="494"/>
      <c r="VEQ238" s="494"/>
      <c r="VER238" s="494"/>
      <c r="VES238" s="494"/>
      <c r="VET238" s="494"/>
      <c r="VEU238" s="494"/>
      <c r="VEV238" s="494"/>
      <c r="VEW238" s="494"/>
      <c r="VEX238" s="494"/>
      <c r="VEY238" s="494"/>
      <c r="VEZ238" s="494"/>
      <c r="VFA238" s="494"/>
      <c r="VFB238" s="494"/>
      <c r="VFC238" s="494"/>
      <c r="VFD238" s="494"/>
      <c r="VFE238" s="494"/>
      <c r="VFF238" s="494"/>
      <c r="VFG238" s="494"/>
      <c r="VFH238" s="494"/>
      <c r="VFI238" s="494"/>
      <c r="VFJ238" s="494"/>
      <c r="VFK238" s="494"/>
      <c r="VFL238" s="494"/>
      <c r="VFM238" s="494"/>
      <c r="VFN238" s="494"/>
      <c r="VFO238" s="494"/>
      <c r="VFP238" s="494"/>
      <c r="VFQ238" s="494"/>
      <c r="VFR238" s="494"/>
      <c r="VFS238" s="494"/>
      <c r="VFT238" s="494"/>
      <c r="VFU238" s="494"/>
      <c r="VFV238" s="494"/>
      <c r="VFW238" s="494"/>
      <c r="VFX238" s="494"/>
      <c r="VFY238" s="494"/>
      <c r="VFZ238" s="494"/>
      <c r="VGA238" s="494"/>
      <c r="VGB238" s="494"/>
      <c r="VGC238" s="494"/>
      <c r="VGD238" s="494"/>
      <c r="VGE238" s="494"/>
      <c r="VGF238" s="494"/>
      <c r="VGG238" s="494"/>
      <c r="VGH238" s="494"/>
      <c r="VGI238" s="494"/>
      <c r="VGJ238" s="494"/>
      <c r="VGK238" s="494"/>
      <c r="VGL238" s="494"/>
      <c r="VGM238" s="494"/>
      <c r="VGN238" s="494"/>
      <c r="VGO238" s="494"/>
      <c r="VGP238" s="494"/>
      <c r="VGQ238" s="494"/>
      <c r="VGR238" s="494"/>
      <c r="VGS238" s="494"/>
      <c r="VGT238" s="494"/>
      <c r="VGU238" s="494"/>
      <c r="VGV238" s="494"/>
      <c r="VGW238" s="494"/>
      <c r="VGX238" s="494"/>
      <c r="VGY238" s="494"/>
      <c r="VGZ238" s="494"/>
      <c r="VHA238" s="494"/>
      <c r="VHB238" s="494"/>
      <c r="VHC238" s="494"/>
      <c r="VHD238" s="494"/>
      <c r="VHE238" s="494"/>
      <c r="VHF238" s="494"/>
      <c r="VHG238" s="494"/>
      <c r="VHH238" s="494"/>
      <c r="VHI238" s="494"/>
      <c r="VHJ238" s="494"/>
      <c r="VHK238" s="494"/>
      <c r="VHL238" s="494"/>
      <c r="VHM238" s="494"/>
      <c r="VHN238" s="494"/>
      <c r="VHO238" s="494"/>
      <c r="VHP238" s="494"/>
      <c r="VHQ238" s="494"/>
      <c r="VHR238" s="494"/>
      <c r="VHS238" s="494"/>
      <c r="VHT238" s="494"/>
      <c r="VHU238" s="494"/>
      <c r="VHV238" s="494"/>
      <c r="VHW238" s="494"/>
      <c r="VHX238" s="494"/>
      <c r="VHY238" s="494"/>
      <c r="VHZ238" s="494"/>
      <c r="VIA238" s="494"/>
      <c r="VIB238" s="494"/>
      <c r="VIC238" s="494"/>
      <c r="VID238" s="494"/>
      <c r="VIE238" s="494"/>
      <c r="VIF238" s="494"/>
      <c r="VIG238" s="494"/>
      <c r="VIH238" s="494"/>
      <c r="VII238" s="494"/>
      <c r="VIJ238" s="494"/>
      <c r="VIK238" s="494"/>
      <c r="VIL238" s="494"/>
      <c r="VIM238" s="494"/>
      <c r="VIN238" s="494"/>
      <c r="VIO238" s="494"/>
      <c r="VIP238" s="494"/>
      <c r="VIQ238" s="494"/>
      <c r="VIR238" s="494"/>
      <c r="VIS238" s="494"/>
      <c r="VIT238" s="494"/>
      <c r="VIU238" s="494"/>
      <c r="VIV238" s="494"/>
      <c r="VIW238" s="494"/>
      <c r="VIX238" s="494"/>
      <c r="VIY238" s="494"/>
      <c r="VIZ238" s="494"/>
      <c r="VJA238" s="494"/>
      <c r="VJB238" s="494"/>
      <c r="VJC238" s="494"/>
      <c r="VJD238" s="494"/>
      <c r="VJE238" s="494"/>
      <c r="VJF238" s="494"/>
      <c r="VJG238" s="494"/>
      <c r="VJH238" s="494"/>
      <c r="VJI238" s="494"/>
      <c r="VJJ238" s="494"/>
      <c r="VJK238" s="494"/>
      <c r="VJL238" s="494"/>
      <c r="VJM238" s="494"/>
      <c r="VJN238" s="494"/>
      <c r="VJO238" s="494"/>
      <c r="VJP238" s="494"/>
      <c r="VJQ238" s="494"/>
      <c r="VJR238" s="494"/>
      <c r="VJS238" s="494"/>
      <c r="VJT238" s="494"/>
      <c r="VJU238" s="494"/>
      <c r="VJV238" s="494"/>
      <c r="VJW238" s="494"/>
      <c r="VJX238" s="494"/>
      <c r="VJY238" s="494"/>
      <c r="VJZ238" s="494"/>
      <c r="VKA238" s="494"/>
      <c r="VKB238" s="494"/>
      <c r="VKC238" s="494"/>
      <c r="VKD238" s="494"/>
      <c r="VKE238" s="494"/>
      <c r="VKF238" s="494"/>
      <c r="VKG238" s="494"/>
      <c r="VKH238" s="494"/>
      <c r="VKI238" s="494"/>
      <c r="VKJ238" s="494"/>
      <c r="VKK238" s="494"/>
      <c r="VKL238" s="494"/>
      <c r="VKM238" s="494"/>
      <c r="VKN238" s="494"/>
      <c r="VKO238" s="494"/>
      <c r="VKP238" s="494"/>
      <c r="VKQ238" s="494"/>
      <c r="VKR238" s="494"/>
      <c r="VKS238" s="494"/>
      <c r="VKT238" s="494"/>
      <c r="VKU238" s="494"/>
      <c r="VKV238" s="494"/>
      <c r="VKW238" s="494"/>
      <c r="VKX238" s="494"/>
      <c r="VKY238" s="494"/>
      <c r="VKZ238" s="494"/>
      <c r="VLA238" s="494"/>
      <c r="VLB238" s="494"/>
      <c r="VLC238" s="494"/>
      <c r="VLD238" s="494"/>
      <c r="VLE238" s="494"/>
      <c r="VLF238" s="494"/>
      <c r="VLG238" s="494"/>
      <c r="VLH238" s="494"/>
      <c r="VLI238" s="494"/>
      <c r="VLJ238" s="494"/>
      <c r="VLK238" s="494"/>
      <c r="VLL238" s="494"/>
      <c r="VLM238" s="494"/>
      <c r="VLN238" s="494"/>
      <c r="VLO238" s="494"/>
      <c r="VLP238" s="494"/>
      <c r="VLQ238" s="494"/>
      <c r="VLR238" s="494"/>
      <c r="VLS238" s="494"/>
      <c r="VLT238" s="494"/>
      <c r="VLU238" s="494"/>
      <c r="VLV238" s="494"/>
      <c r="VLW238" s="494"/>
      <c r="VLX238" s="494"/>
      <c r="VLY238" s="494"/>
      <c r="VLZ238" s="494"/>
      <c r="VMA238" s="494"/>
      <c r="VMB238" s="494"/>
      <c r="VMC238" s="494"/>
      <c r="VMD238" s="494"/>
      <c r="VME238" s="494"/>
      <c r="VMF238" s="494"/>
      <c r="VMG238" s="494"/>
      <c r="VMH238" s="494"/>
      <c r="VMI238" s="494"/>
      <c r="VMJ238" s="494"/>
      <c r="VMK238" s="494"/>
      <c r="VML238" s="494"/>
      <c r="VMM238" s="494"/>
      <c r="VMN238" s="494"/>
      <c r="VMO238" s="494"/>
      <c r="VMP238" s="494"/>
      <c r="VMQ238" s="494"/>
      <c r="VMR238" s="494"/>
      <c r="VMS238" s="494"/>
      <c r="VMT238" s="494"/>
      <c r="VMU238" s="494"/>
      <c r="VMV238" s="494"/>
      <c r="VMW238" s="494"/>
      <c r="VMX238" s="494"/>
      <c r="VMY238" s="494"/>
      <c r="VMZ238" s="494"/>
      <c r="VNA238" s="494"/>
      <c r="VNB238" s="494"/>
      <c r="VNC238" s="494"/>
      <c r="VND238" s="494"/>
      <c r="VNE238" s="494"/>
      <c r="VNF238" s="494"/>
      <c r="VNG238" s="494"/>
      <c r="VNH238" s="494"/>
      <c r="VNI238" s="494"/>
      <c r="VNJ238" s="494"/>
      <c r="VNK238" s="494"/>
      <c r="VNL238" s="494"/>
      <c r="VNM238" s="494"/>
      <c r="VNN238" s="494"/>
      <c r="VNO238" s="494"/>
      <c r="VNP238" s="494"/>
      <c r="VNQ238" s="494"/>
      <c r="VNR238" s="494"/>
      <c r="VNS238" s="494"/>
      <c r="VNT238" s="494"/>
      <c r="VNU238" s="494"/>
      <c r="VNV238" s="494"/>
      <c r="VNW238" s="494"/>
      <c r="VNX238" s="494"/>
      <c r="VNY238" s="494"/>
      <c r="VNZ238" s="494"/>
      <c r="VOA238" s="494"/>
      <c r="VOB238" s="494"/>
      <c r="VOC238" s="494"/>
      <c r="VOD238" s="494"/>
      <c r="VOE238" s="494"/>
      <c r="VOF238" s="494"/>
      <c r="VOG238" s="494"/>
      <c r="VOH238" s="494"/>
      <c r="VOI238" s="494"/>
      <c r="VOJ238" s="494"/>
      <c r="VOK238" s="494"/>
      <c r="VOL238" s="494"/>
      <c r="VOM238" s="494"/>
      <c r="VON238" s="494"/>
      <c r="VOO238" s="494"/>
      <c r="VOP238" s="494"/>
      <c r="VOQ238" s="494"/>
      <c r="VOR238" s="494"/>
      <c r="VOS238" s="494"/>
      <c r="VOT238" s="494"/>
      <c r="VOU238" s="494"/>
      <c r="VOV238" s="494"/>
      <c r="VOW238" s="494"/>
      <c r="VOX238" s="494"/>
      <c r="VOY238" s="494"/>
      <c r="VOZ238" s="494"/>
      <c r="VPA238" s="494"/>
      <c r="VPB238" s="494"/>
      <c r="VPC238" s="494"/>
      <c r="VPD238" s="494"/>
      <c r="VPE238" s="494"/>
      <c r="VPF238" s="494"/>
      <c r="VPG238" s="494"/>
      <c r="VPH238" s="494"/>
      <c r="VPI238" s="494"/>
      <c r="VPJ238" s="494"/>
      <c r="VPK238" s="494"/>
      <c r="VPL238" s="494"/>
      <c r="VPM238" s="494"/>
      <c r="VPN238" s="494"/>
      <c r="VPO238" s="494"/>
      <c r="VPP238" s="494"/>
      <c r="VPQ238" s="494"/>
      <c r="VPR238" s="494"/>
      <c r="VPS238" s="494"/>
      <c r="VPT238" s="494"/>
      <c r="VPU238" s="494"/>
      <c r="VPV238" s="494"/>
      <c r="VPW238" s="494"/>
      <c r="VPX238" s="494"/>
      <c r="VPY238" s="494"/>
      <c r="VPZ238" s="494"/>
      <c r="VQA238" s="494"/>
      <c r="VQB238" s="494"/>
      <c r="VQC238" s="494"/>
      <c r="VQD238" s="494"/>
      <c r="VQE238" s="494"/>
      <c r="VQF238" s="494"/>
      <c r="VQG238" s="494"/>
      <c r="VQH238" s="494"/>
      <c r="VQI238" s="494"/>
      <c r="VQJ238" s="494"/>
      <c r="VQK238" s="494"/>
      <c r="VQL238" s="494"/>
      <c r="VQM238" s="494"/>
      <c r="VQN238" s="494"/>
      <c r="VQO238" s="494"/>
      <c r="VQP238" s="494"/>
      <c r="VQQ238" s="494"/>
      <c r="VQR238" s="494"/>
      <c r="VQS238" s="494"/>
      <c r="VQT238" s="494"/>
      <c r="VQU238" s="494"/>
      <c r="VQV238" s="494"/>
      <c r="VQW238" s="494"/>
      <c r="VQX238" s="494"/>
      <c r="VQY238" s="494"/>
      <c r="VQZ238" s="494"/>
      <c r="VRA238" s="494"/>
      <c r="VRB238" s="494"/>
      <c r="VRC238" s="494"/>
      <c r="VRD238" s="494"/>
      <c r="VRE238" s="494"/>
      <c r="VRF238" s="494"/>
      <c r="VRG238" s="494"/>
      <c r="VRH238" s="494"/>
      <c r="VRI238" s="494"/>
      <c r="VRJ238" s="494"/>
      <c r="VRK238" s="494"/>
      <c r="VRL238" s="494"/>
      <c r="VRM238" s="494"/>
      <c r="VRN238" s="494"/>
      <c r="VRO238" s="494"/>
      <c r="VRP238" s="494"/>
      <c r="VRQ238" s="494"/>
      <c r="VRR238" s="494"/>
      <c r="VRS238" s="494"/>
      <c r="VRT238" s="494"/>
      <c r="VRU238" s="494"/>
      <c r="VRV238" s="494"/>
      <c r="VRW238" s="494"/>
      <c r="VRX238" s="494"/>
      <c r="VRY238" s="494"/>
      <c r="VRZ238" s="494"/>
      <c r="VSA238" s="494"/>
      <c r="VSB238" s="494"/>
      <c r="VSC238" s="494"/>
      <c r="VSD238" s="494"/>
      <c r="VSE238" s="494"/>
      <c r="VSF238" s="494"/>
      <c r="VSG238" s="494"/>
      <c r="VSH238" s="494"/>
      <c r="VSI238" s="494"/>
      <c r="VSJ238" s="494"/>
      <c r="VSK238" s="494"/>
      <c r="VSL238" s="494"/>
      <c r="VSM238" s="494"/>
      <c r="VSN238" s="494"/>
      <c r="VSO238" s="494"/>
      <c r="VSP238" s="494"/>
      <c r="VSQ238" s="494"/>
      <c r="VSR238" s="494"/>
      <c r="VSS238" s="494"/>
      <c r="VST238" s="494"/>
      <c r="VSU238" s="494"/>
      <c r="VSV238" s="494"/>
      <c r="VSW238" s="494"/>
      <c r="VSX238" s="494"/>
      <c r="VSY238" s="494"/>
      <c r="VSZ238" s="494"/>
      <c r="VTA238" s="494"/>
      <c r="VTB238" s="494"/>
      <c r="VTC238" s="494"/>
      <c r="VTD238" s="494"/>
      <c r="VTE238" s="494"/>
      <c r="VTF238" s="494"/>
      <c r="VTG238" s="494"/>
      <c r="VTH238" s="494"/>
      <c r="VTI238" s="494"/>
      <c r="VTJ238" s="494"/>
      <c r="VTK238" s="494"/>
      <c r="VTL238" s="494"/>
      <c r="VTM238" s="494"/>
      <c r="VTN238" s="494"/>
      <c r="VTO238" s="494"/>
      <c r="VTP238" s="494"/>
      <c r="VTQ238" s="494"/>
      <c r="VTR238" s="494"/>
      <c r="VTS238" s="494"/>
      <c r="VTT238" s="494"/>
      <c r="VTU238" s="494"/>
      <c r="VTV238" s="494"/>
      <c r="VTW238" s="494"/>
      <c r="VTX238" s="494"/>
      <c r="VTY238" s="494"/>
      <c r="VTZ238" s="494"/>
      <c r="VUA238" s="494"/>
      <c r="VUB238" s="494"/>
      <c r="VUC238" s="494"/>
      <c r="VUD238" s="494"/>
      <c r="VUE238" s="494"/>
      <c r="VUF238" s="494"/>
      <c r="VUG238" s="494"/>
      <c r="VUH238" s="494"/>
      <c r="VUI238" s="494"/>
      <c r="VUJ238" s="494"/>
      <c r="VUK238" s="494"/>
      <c r="VUL238" s="494"/>
      <c r="VUM238" s="494"/>
      <c r="VUN238" s="494"/>
      <c r="VUO238" s="494"/>
      <c r="VUP238" s="494"/>
      <c r="VUQ238" s="494"/>
      <c r="VUR238" s="494"/>
      <c r="VUS238" s="494"/>
      <c r="VUT238" s="494"/>
      <c r="VUU238" s="494"/>
      <c r="VUV238" s="494"/>
      <c r="VUW238" s="494"/>
      <c r="VUX238" s="494"/>
      <c r="VUY238" s="494"/>
      <c r="VUZ238" s="494"/>
      <c r="VVA238" s="494"/>
      <c r="VVB238" s="494"/>
      <c r="VVC238" s="494"/>
      <c r="VVD238" s="494"/>
      <c r="VVE238" s="494"/>
      <c r="VVF238" s="494"/>
      <c r="VVG238" s="494"/>
      <c r="VVH238" s="494"/>
      <c r="VVI238" s="494"/>
      <c r="VVJ238" s="494"/>
      <c r="VVK238" s="494"/>
      <c r="VVL238" s="494"/>
      <c r="VVM238" s="494"/>
      <c r="VVN238" s="494"/>
      <c r="VVO238" s="494"/>
      <c r="VVP238" s="494"/>
      <c r="VVQ238" s="494"/>
      <c r="VVR238" s="494"/>
      <c r="VVS238" s="494"/>
      <c r="VVT238" s="494"/>
      <c r="VVU238" s="494"/>
      <c r="VVV238" s="494"/>
      <c r="VVW238" s="494"/>
      <c r="VVX238" s="494"/>
      <c r="VVY238" s="494"/>
      <c r="VVZ238" s="494"/>
      <c r="VWA238" s="494"/>
      <c r="VWB238" s="494"/>
      <c r="VWC238" s="494"/>
      <c r="VWD238" s="494"/>
      <c r="VWE238" s="494"/>
      <c r="VWF238" s="494"/>
      <c r="VWG238" s="494"/>
      <c r="VWH238" s="494"/>
      <c r="VWI238" s="494"/>
      <c r="VWJ238" s="494"/>
      <c r="VWK238" s="494"/>
      <c r="VWL238" s="494"/>
      <c r="VWM238" s="494"/>
      <c r="VWN238" s="494"/>
      <c r="VWO238" s="494"/>
      <c r="VWP238" s="494"/>
      <c r="VWQ238" s="494"/>
      <c r="VWR238" s="494"/>
      <c r="VWS238" s="494"/>
      <c r="VWT238" s="494"/>
      <c r="VWU238" s="494"/>
      <c r="VWV238" s="494"/>
      <c r="VWW238" s="494"/>
      <c r="VWX238" s="494"/>
      <c r="VWY238" s="494"/>
      <c r="VWZ238" s="494"/>
      <c r="VXA238" s="494"/>
      <c r="VXB238" s="494"/>
      <c r="VXC238" s="494"/>
      <c r="VXD238" s="494"/>
      <c r="VXE238" s="494"/>
      <c r="VXF238" s="494"/>
      <c r="VXG238" s="494"/>
      <c r="VXH238" s="494"/>
      <c r="VXI238" s="494"/>
      <c r="VXJ238" s="494"/>
      <c r="VXK238" s="494"/>
      <c r="VXL238" s="494"/>
      <c r="VXM238" s="494"/>
      <c r="VXN238" s="494"/>
      <c r="VXO238" s="494"/>
      <c r="VXP238" s="494"/>
      <c r="VXQ238" s="494"/>
      <c r="VXR238" s="494"/>
      <c r="VXS238" s="494"/>
      <c r="VXT238" s="494"/>
      <c r="VXU238" s="494"/>
      <c r="VXV238" s="494"/>
      <c r="VXW238" s="494"/>
      <c r="VXX238" s="494"/>
      <c r="VXY238" s="494"/>
      <c r="VXZ238" s="494"/>
      <c r="VYA238" s="494"/>
      <c r="VYB238" s="494"/>
      <c r="VYC238" s="494"/>
      <c r="VYD238" s="494"/>
      <c r="VYE238" s="494"/>
      <c r="VYF238" s="494"/>
      <c r="VYG238" s="494"/>
      <c r="VYH238" s="494"/>
      <c r="VYI238" s="494"/>
      <c r="VYJ238" s="494"/>
      <c r="VYK238" s="494"/>
      <c r="VYL238" s="494"/>
      <c r="VYM238" s="494"/>
      <c r="VYN238" s="494"/>
      <c r="VYO238" s="494"/>
      <c r="VYP238" s="494"/>
      <c r="VYQ238" s="494"/>
      <c r="VYR238" s="494"/>
      <c r="VYS238" s="494"/>
      <c r="VYT238" s="494"/>
      <c r="VYU238" s="494"/>
      <c r="VYV238" s="494"/>
      <c r="VYW238" s="494"/>
      <c r="VYX238" s="494"/>
      <c r="VYY238" s="494"/>
      <c r="VYZ238" s="494"/>
      <c r="VZA238" s="494"/>
      <c r="VZB238" s="494"/>
      <c r="VZC238" s="494"/>
      <c r="VZD238" s="494"/>
      <c r="VZE238" s="494"/>
      <c r="VZF238" s="494"/>
      <c r="VZG238" s="494"/>
      <c r="VZH238" s="494"/>
      <c r="VZI238" s="494"/>
      <c r="VZJ238" s="494"/>
      <c r="VZK238" s="494"/>
      <c r="VZL238" s="494"/>
      <c r="VZM238" s="494"/>
      <c r="VZN238" s="494"/>
      <c r="VZO238" s="494"/>
      <c r="VZP238" s="494"/>
      <c r="VZQ238" s="494"/>
      <c r="VZR238" s="494"/>
      <c r="VZS238" s="494"/>
      <c r="VZT238" s="494"/>
      <c r="VZU238" s="494"/>
      <c r="VZV238" s="494"/>
      <c r="VZW238" s="494"/>
      <c r="VZX238" s="494"/>
      <c r="VZY238" s="494"/>
      <c r="VZZ238" s="494"/>
      <c r="WAA238" s="494"/>
      <c r="WAB238" s="494"/>
      <c r="WAC238" s="494"/>
      <c r="WAD238" s="494"/>
      <c r="WAE238" s="494"/>
      <c r="WAF238" s="494"/>
      <c r="WAG238" s="494"/>
      <c r="WAH238" s="494"/>
      <c r="WAI238" s="494"/>
      <c r="WAJ238" s="494"/>
      <c r="WAK238" s="494"/>
      <c r="WAL238" s="494"/>
      <c r="WAM238" s="494"/>
      <c r="WAN238" s="494"/>
      <c r="WAO238" s="494"/>
      <c r="WAP238" s="494"/>
      <c r="WAQ238" s="494"/>
      <c r="WAR238" s="494"/>
      <c r="WAS238" s="494"/>
      <c r="WAT238" s="494"/>
      <c r="WAU238" s="494"/>
      <c r="WAV238" s="494"/>
      <c r="WAW238" s="494"/>
      <c r="WAX238" s="494"/>
      <c r="WAY238" s="494"/>
      <c r="WAZ238" s="494"/>
      <c r="WBA238" s="494"/>
      <c r="WBB238" s="494"/>
      <c r="WBC238" s="494"/>
      <c r="WBD238" s="494"/>
      <c r="WBE238" s="494"/>
      <c r="WBF238" s="494"/>
      <c r="WBG238" s="494"/>
      <c r="WBH238" s="494"/>
      <c r="WBI238" s="494"/>
      <c r="WBJ238" s="494"/>
      <c r="WBK238" s="494"/>
      <c r="WBL238" s="494"/>
      <c r="WBM238" s="494"/>
      <c r="WBN238" s="494"/>
      <c r="WBO238" s="494"/>
      <c r="WBP238" s="494"/>
      <c r="WBQ238" s="494"/>
      <c r="WBR238" s="494"/>
      <c r="WBS238" s="494"/>
      <c r="WBT238" s="494"/>
      <c r="WBU238" s="494"/>
      <c r="WBV238" s="494"/>
      <c r="WBW238" s="494"/>
      <c r="WBX238" s="494"/>
      <c r="WBY238" s="494"/>
      <c r="WBZ238" s="494"/>
      <c r="WCA238" s="494"/>
      <c r="WCB238" s="494"/>
      <c r="WCC238" s="494"/>
      <c r="WCD238" s="494"/>
      <c r="WCE238" s="494"/>
      <c r="WCF238" s="494"/>
      <c r="WCG238" s="494"/>
      <c r="WCH238" s="494"/>
      <c r="WCI238" s="494"/>
      <c r="WCJ238" s="494"/>
      <c r="WCK238" s="494"/>
      <c r="WCL238" s="494"/>
      <c r="WCM238" s="494"/>
      <c r="WCN238" s="494"/>
      <c r="WCO238" s="494"/>
      <c r="WCP238" s="494"/>
      <c r="WCQ238" s="494"/>
      <c r="WCR238" s="494"/>
      <c r="WCS238" s="494"/>
      <c r="WCT238" s="494"/>
      <c r="WCU238" s="494"/>
      <c r="WCV238" s="494"/>
      <c r="WCW238" s="494"/>
      <c r="WCX238" s="494"/>
      <c r="WCY238" s="494"/>
      <c r="WCZ238" s="494"/>
      <c r="WDA238" s="494"/>
      <c r="WDB238" s="494"/>
      <c r="WDC238" s="494"/>
      <c r="WDD238" s="494"/>
      <c r="WDE238" s="494"/>
      <c r="WDF238" s="494"/>
      <c r="WDG238" s="494"/>
      <c r="WDH238" s="494"/>
      <c r="WDI238" s="494"/>
      <c r="WDJ238" s="494"/>
      <c r="WDK238" s="494"/>
      <c r="WDL238" s="494"/>
      <c r="WDM238" s="494"/>
      <c r="WDN238" s="494"/>
      <c r="WDO238" s="494"/>
      <c r="WDP238" s="494"/>
      <c r="WDQ238" s="494"/>
      <c r="WDR238" s="494"/>
      <c r="WDS238" s="494"/>
      <c r="WDT238" s="494"/>
      <c r="WDU238" s="494"/>
      <c r="WDV238" s="494"/>
      <c r="WDW238" s="494"/>
      <c r="WDX238" s="494"/>
      <c r="WDY238" s="494"/>
      <c r="WDZ238" s="494"/>
      <c r="WEA238" s="494"/>
      <c r="WEB238" s="494"/>
      <c r="WEC238" s="494"/>
      <c r="WED238" s="494"/>
      <c r="WEE238" s="494"/>
      <c r="WEF238" s="494"/>
      <c r="WEG238" s="494"/>
      <c r="WEH238" s="494"/>
      <c r="WEI238" s="494"/>
      <c r="WEJ238" s="494"/>
      <c r="WEK238" s="494"/>
      <c r="WEL238" s="494"/>
      <c r="WEM238" s="494"/>
      <c r="WEN238" s="494"/>
      <c r="WEO238" s="494"/>
      <c r="WEP238" s="494"/>
      <c r="WEQ238" s="494"/>
      <c r="WER238" s="494"/>
      <c r="WES238" s="494"/>
      <c r="WET238" s="494"/>
      <c r="WEU238" s="494"/>
      <c r="WEV238" s="494"/>
      <c r="WEW238" s="494"/>
      <c r="WEX238" s="494"/>
      <c r="WEY238" s="494"/>
      <c r="WEZ238" s="494"/>
      <c r="WFA238" s="494"/>
      <c r="WFB238" s="494"/>
      <c r="WFC238" s="494"/>
      <c r="WFD238" s="494"/>
      <c r="WFE238" s="494"/>
      <c r="WFF238" s="494"/>
      <c r="WFG238" s="494"/>
      <c r="WFH238" s="494"/>
      <c r="WFI238" s="494"/>
      <c r="WFJ238" s="494"/>
      <c r="WFK238" s="494"/>
      <c r="WFL238" s="494"/>
      <c r="WFM238" s="494"/>
      <c r="WFN238" s="494"/>
      <c r="WFO238" s="494"/>
      <c r="WFP238" s="494"/>
      <c r="WFQ238" s="494"/>
      <c r="WFR238" s="494"/>
      <c r="WFS238" s="494"/>
      <c r="WFT238" s="494"/>
      <c r="WFU238" s="494"/>
      <c r="WFV238" s="494"/>
      <c r="WFW238" s="494"/>
      <c r="WFX238" s="494"/>
      <c r="WFY238" s="494"/>
      <c r="WFZ238" s="494"/>
      <c r="WGA238" s="494"/>
      <c r="WGB238" s="494"/>
      <c r="WGC238" s="494"/>
      <c r="WGD238" s="494"/>
      <c r="WGE238" s="494"/>
      <c r="WGF238" s="494"/>
      <c r="WGG238" s="494"/>
      <c r="WGH238" s="494"/>
      <c r="WGI238" s="494"/>
      <c r="WGJ238" s="494"/>
      <c r="WGK238" s="494"/>
      <c r="WGL238" s="494"/>
      <c r="WGM238" s="494"/>
      <c r="WGN238" s="494"/>
      <c r="WGO238" s="494"/>
      <c r="WGP238" s="494"/>
      <c r="WGQ238" s="494"/>
      <c r="WGR238" s="494"/>
      <c r="WGS238" s="494"/>
      <c r="WGT238" s="494"/>
      <c r="WGU238" s="494"/>
      <c r="WGV238" s="494"/>
      <c r="WGW238" s="494"/>
      <c r="WGX238" s="494"/>
      <c r="WGY238" s="494"/>
      <c r="WGZ238" s="494"/>
      <c r="WHA238" s="494"/>
      <c r="WHB238" s="494"/>
      <c r="WHC238" s="494"/>
      <c r="WHD238" s="494"/>
      <c r="WHE238" s="494"/>
      <c r="WHF238" s="494"/>
      <c r="WHG238" s="494"/>
      <c r="WHH238" s="494"/>
      <c r="WHI238" s="494"/>
      <c r="WHJ238" s="494"/>
      <c r="WHK238" s="494"/>
      <c r="WHL238" s="494"/>
      <c r="WHM238" s="494"/>
      <c r="WHN238" s="494"/>
      <c r="WHO238" s="494"/>
      <c r="WHP238" s="494"/>
      <c r="WHQ238" s="494"/>
      <c r="WHR238" s="494"/>
      <c r="WHS238" s="494"/>
      <c r="WHT238" s="494"/>
      <c r="WHU238" s="494"/>
      <c r="WHV238" s="494"/>
      <c r="WHW238" s="494"/>
      <c r="WHX238" s="494"/>
      <c r="WHY238" s="494"/>
      <c r="WHZ238" s="494"/>
      <c r="WIA238" s="494"/>
      <c r="WIB238" s="494"/>
      <c r="WIC238" s="494"/>
      <c r="WID238" s="494"/>
      <c r="WIE238" s="494"/>
      <c r="WIF238" s="494"/>
      <c r="WIG238" s="494"/>
      <c r="WIH238" s="494"/>
      <c r="WII238" s="494"/>
      <c r="WIJ238" s="494"/>
      <c r="WIK238" s="494"/>
      <c r="WIL238" s="494"/>
      <c r="WIM238" s="494"/>
      <c r="WIN238" s="494"/>
      <c r="WIO238" s="494"/>
      <c r="WIP238" s="494"/>
      <c r="WIQ238" s="494"/>
      <c r="WIR238" s="494"/>
      <c r="WIS238" s="494"/>
      <c r="WIT238" s="494"/>
      <c r="WIU238" s="494"/>
      <c r="WIV238" s="494"/>
      <c r="WIW238" s="494"/>
      <c r="WIX238" s="494"/>
      <c r="WIY238" s="494"/>
      <c r="WIZ238" s="494"/>
      <c r="WJA238" s="494"/>
      <c r="WJB238" s="494"/>
      <c r="WJC238" s="494"/>
      <c r="WJD238" s="494"/>
      <c r="WJE238" s="494"/>
      <c r="WJF238" s="494"/>
      <c r="WJG238" s="494"/>
      <c r="WJH238" s="494"/>
      <c r="WJI238" s="494"/>
      <c r="WJJ238" s="494"/>
      <c r="WJK238" s="494"/>
      <c r="WJL238" s="494"/>
      <c r="WJM238" s="494"/>
      <c r="WJN238" s="494"/>
      <c r="WJO238" s="494"/>
      <c r="WJP238" s="494"/>
      <c r="WJQ238" s="494"/>
      <c r="WJR238" s="494"/>
      <c r="WJS238" s="494"/>
      <c r="WJT238" s="494"/>
      <c r="WJU238" s="494"/>
      <c r="WJV238" s="494"/>
      <c r="WJW238" s="494"/>
      <c r="WJX238" s="494"/>
      <c r="WJY238" s="494"/>
      <c r="WJZ238" s="494"/>
      <c r="WKA238" s="494"/>
      <c r="WKB238" s="494"/>
      <c r="WKC238" s="494"/>
      <c r="WKD238" s="494"/>
      <c r="WKE238" s="494"/>
      <c r="WKF238" s="494"/>
      <c r="WKG238" s="494"/>
      <c r="WKH238" s="494"/>
      <c r="WKI238" s="494"/>
      <c r="WKJ238" s="494"/>
      <c r="WKK238" s="494"/>
      <c r="WKL238" s="494"/>
      <c r="WKM238" s="494"/>
      <c r="WKN238" s="494"/>
      <c r="WKO238" s="494"/>
      <c r="WKP238" s="494"/>
      <c r="WKQ238" s="494"/>
      <c r="WKR238" s="494"/>
      <c r="WKS238" s="494"/>
      <c r="WKT238" s="494"/>
      <c r="WKU238" s="494"/>
      <c r="WKV238" s="494"/>
      <c r="WKW238" s="494"/>
      <c r="WKX238" s="494"/>
      <c r="WKY238" s="494"/>
      <c r="WKZ238" s="494"/>
      <c r="WLA238" s="494"/>
      <c r="WLB238" s="494"/>
      <c r="WLC238" s="494"/>
      <c r="WLD238" s="494"/>
      <c r="WLE238" s="494"/>
      <c r="WLF238" s="494"/>
      <c r="WLG238" s="494"/>
      <c r="WLH238" s="494"/>
      <c r="WLI238" s="494"/>
      <c r="WLJ238" s="494"/>
      <c r="WLK238" s="494"/>
      <c r="WLL238" s="494"/>
      <c r="WLM238" s="494"/>
      <c r="WLN238" s="494"/>
      <c r="WLO238" s="494"/>
      <c r="WLP238" s="494"/>
      <c r="WLQ238" s="494"/>
      <c r="WLR238" s="494"/>
      <c r="WLS238" s="494"/>
      <c r="WLT238" s="494"/>
      <c r="WLU238" s="494"/>
      <c r="WLV238" s="494"/>
      <c r="WLW238" s="494"/>
      <c r="WLX238" s="494"/>
      <c r="WLY238" s="494"/>
      <c r="WLZ238" s="494"/>
      <c r="WMA238" s="494"/>
      <c r="WMB238" s="494"/>
      <c r="WMC238" s="494"/>
      <c r="WMD238" s="494"/>
      <c r="WME238" s="494"/>
      <c r="WMF238" s="494"/>
      <c r="WMG238" s="494"/>
      <c r="WMH238" s="494"/>
      <c r="WMI238" s="494"/>
      <c r="WMJ238" s="494"/>
      <c r="WMK238" s="494"/>
      <c r="WML238" s="494"/>
      <c r="WMM238" s="494"/>
      <c r="WMN238" s="494"/>
      <c r="WMO238" s="494"/>
      <c r="WMP238" s="494"/>
      <c r="WMQ238" s="494"/>
      <c r="WMR238" s="494"/>
      <c r="WMS238" s="494"/>
      <c r="WMT238" s="494"/>
      <c r="WMU238" s="494"/>
      <c r="WMV238" s="494"/>
      <c r="WMW238" s="494"/>
      <c r="WMX238" s="494"/>
      <c r="WMY238" s="494"/>
      <c r="WMZ238" s="494"/>
      <c r="WNA238" s="494"/>
      <c r="WNB238" s="494"/>
      <c r="WNC238" s="494"/>
      <c r="WND238" s="494"/>
      <c r="WNE238" s="494"/>
      <c r="WNF238" s="494"/>
      <c r="WNG238" s="494"/>
      <c r="WNH238" s="494"/>
      <c r="WNI238" s="494"/>
      <c r="WNJ238" s="494"/>
      <c r="WNK238" s="494"/>
      <c r="WNL238" s="494"/>
      <c r="WNM238" s="494"/>
      <c r="WNN238" s="494"/>
      <c r="WNO238" s="494"/>
      <c r="WNP238" s="494"/>
      <c r="WNQ238" s="494"/>
      <c r="WNR238" s="494"/>
      <c r="WNS238" s="494"/>
      <c r="WNT238" s="494"/>
      <c r="WNU238" s="494"/>
      <c r="WNV238" s="494"/>
      <c r="WNW238" s="494"/>
      <c r="WNX238" s="494"/>
      <c r="WNY238" s="494"/>
      <c r="WNZ238" s="494"/>
      <c r="WOA238" s="494"/>
      <c r="WOB238" s="494"/>
      <c r="WOC238" s="494"/>
      <c r="WOD238" s="494"/>
      <c r="WOE238" s="494"/>
      <c r="WOF238" s="494"/>
      <c r="WOG238" s="494"/>
      <c r="WOH238" s="494"/>
      <c r="WOI238" s="494"/>
      <c r="WOJ238" s="494"/>
      <c r="WOK238" s="494"/>
      <c r="WOL238" s="494"/>
      <c r="WOM238" s="494"/>
      <c r="WON238" s="494"/>
      <c r="WOO238" s="494"/>
      <c r="WOP238" s="494"/>
      <c r="WOQ238" s="494"/>
      <c r="WOR238" s="494"/>
      <c r="WOS238" s="494"/>
      <c r="WOT238" s="494"/>
      <c r="WOU238" s="494"/>
      <c r="WOV238" s="494"/>
      <c r="WOW238" s="494"/>
      <c r="WOX238" s="494"/>
      <c r="WOY238" s="494"/>
      <c r="WOZ238" s="494"/>
      <c r="WPA238" s="494"/>
      <c r="WPB238" s="494"/>
      <c r="WPC238" s="494"/>
      <c r="WPD238" s="494"/>
      <c r="WPE238" s="494"/>
      <c r="WPF238" s="494"/>
      <c r="WPG238" s="494"/>
      <c r="WPH238" s="494"/>
      <c r="WPI238" s="494"/>
      <c r="WPJ238" s="494"/>
      <c r="WPK238" s="494"/>
      <c r="WPL238" s="494"/>
      <c r="WPM238" s="494"/>
      <c r="WPN238" s="494"/>
      <c r="WPO238" s="494"/>
      <c r="WPP238" s="494"/>
      <c r="WPQ238" s="494"/>
      <c r="WPR238" s="494"/>
      <c r="WPS238" s="494"/>
      <c r="WPT238" s="494"/>
      <c r="WPU238" s="494"/>
      <c r="WPV238" s="494"/>
      <c r="WPW238" s="494"/>
      <c r="WPX238" s="494"/>
      <c r="WPY238" s="494"/>
      <c r="WPZ238" s="494"/>
      <c r="WQA238" s="494"/>
      <c r="WQB238" s="494"/>
      <c r="WQC238" s="494"/>
      <c r="WQD238" s="494"/>
      <c r="WQE238" s="494"/>
      <c r="WQF238" s="494"/>
      <c r="WQG238" s="494"/>
      <c r="WQH238" s="494"/>
      <c r="WQI238" s="494"/>
      <c r="WQJ238" s="494"/>
      <c r="WQK238" s="494"/>
      <c r="WQL238" s="494"/>
      <c r="WQM238" s="494"/>
      <c r="WQN238" s="494"/>
      <c r="WQO238" s="494"/>
      <c r="WQP238" s="494"/>
      <c r="WQQ238" s="494"/>
      <c r="WQR238" s="494"/>
      <c r="WQS238" s="494"/>
      <c r="WQT238" s="494"/>
      <c r="WQU238" s="494"/>
      <c r="WQV238" s="494"/>
      <c r="WQW238" s="494"/>
      <c r="WQX238" s="494"/>
      <c r="WQY238" s="494"/>
      <c r="WQZ238" s="494"/>
      <c r="WRA238" s="494"/>
      <c r="WRB238" s="494"/>
      <c r="WRC238" s="494"/>
      <c r="WRD238" s="494"/>
      <c r="WRE238" s="494"/>
      <c r="WRF238" s="494"/>
      <c r="WRG238" s="494"/>
      <c r="WRH238" s="494"/>
      <c r="WRI238" s="494"/>
      <c r="WRJ238" s="494"/>
      <c r="WRK238" s="494"/>
      <c r="WRL238" s="494"/>
      <c r="WRM238" s="494"/>
      <c r="WRN238" s="494"/>
      <c r="WRO238" s="494"/>
      <c r="WRP238" s="494"/>
      <c r="WRQ238" s="494"/>
      <c r="WRR238" s="494"/>
      <c r="WRS238" s="494"/>
      <c r="WRT238" s="494"/>
      <c r="WRU238" s="494"/>
      <c r="WRV238" s="494"/>
      <c r="WRW238" s="494"/>
      <c r="WRX238" s="494"/>
      <c r="WRY238" s="494"/>
      <c r="WRZ238" s="494"/>
      <c r="WSA238" s="494"/>
      <c r="WSB238" s="494"/>
      <c r="WSC238" s="494"/>
      <c r="WSD238" s="494"/>
      <c r="WSE238" s="494"/>
      <c r="WSF238" s="494"/>
      <c r="WSG238" s="494"/>
      <c r="WSH238" s="494"/>
      <c r="WSI238" s="494"/>
      <c r="WSJ238" s="494"/>
      <c r="WSK238" s="494"/>
      <c r="WSL238" s="494"/>
      <c r="WSM238" s="494"/>
      <c r="WSN238" s="494"/>
      <c r="WSO238" s="494"/>
      <c r="WSP238" s="494"/>
      <c r="WSQ238" s="494"/>
      <c r="WSR238" s="494"/>
      <c r="WSS238" s="494"/>
      <c r="WST238" s="494"/>
      <c r="WSU238" s="494"/>
      <c r="WSV238" s="494"/>
      <c r="WSW238" s="494"/>
      <c r="WSX238" s="494"/>
      <c r="WSY238" s="494"/>
      <c r="WSZ238" s="494"/>
      <c r="WTA238" s="494"/>
      <c r="WTB238" s="494"/>
      <c r="WTC238" s="494"/>
      <c r="WTD238" s="494"/>
      <c r="WTE238" s="494"/>
      <c r="WTF238" s="494"/>
      <c r="WTG238" s="494"/>
      <c r="WTH238" s="494"/>
      <c r="WTI238" s="494"/>
      <c r="WTJ238" s="494"/>
      <c r="WTK238" s="494"/>
      <c r="WTL238" s="494"/>
      <c r="WTM238" s="494"/>
      <c r="WTN238" s="494"/>
      <c r="WTO238" s="494"/>
      <c r="WTP238" s="494"/>
      <c r="WTQ238" s="494"/>
      <c r="WTR238" s="494"/>
      <c r="WTS238" s="494"/>
      <c r="WTT238" s="494"/>
      <c r="WTU238" s="494"/>
      <c r="WTV238" s="494"/>
      <c r="WTW238" s="494"/>
      <c r="WTX238" s="494"/>
      <c r="WTY238" s="494"/>
      <c r="WTZ238" s="494"/>
      <c r="WUA238" s="494"/>
      <c r="WUB238" s="494"/>
      <c r="WUC238" s="494"/>
      <c r="WUD238" s="494"/>
      <c r="WUE238" s="494"/>
      <c r="WUF238" s="494"/>
      <c r="WUG238" s="494"/>
      <c r="WUH238" s="494"/>
      <c r="WUI238" s="494"/>
      <c r="WUJ238" s="494"/>
      <c r="WUK238" s="494"/>
      <c r="WUL238" s="494"/>
      <c r="WUM238" s="494"/>
      <c r="WUN238" s="494"/>
      <c r="WUO238" s="494"/>
      <c r="WUP238" s="494"/>
      <c r="WUQ238" s="494"/>
      <c r="WUR238" s="494"/>
      <c r="WUS238" s="494"/>
      <c r="WUT238" s="494"/>
      <c r="WUU238" s="494"/>
      <c r="WUV238" s="494"/>
      <c r="WUW238" s="494"/>
      <c r="WUX238" s="494"/>
      <c r="WUY238" s="494"/>
      <c r="WUZ238" s="494"/>
      <c r="WVA238" s="494"/>
      <c r="WVB238" s="494"/>
      <c r="WVC238" s="494"/>
      <c r="WVD238" s="494"/>
      <c r="WVE238" s="494"/>
      <c r="WVF238" s="494"/>
      <c r="WVG238" s="494"/>
      <c r="WVH238" s="494"/>
      <c r="WVI238" s="494"/>
      <c r="WVJ238" s="494"/>
      <c r="WVK238" s="494"/>
      <c r="WVL238" s="494"/>
      <c r="WVM238" s="494"/>
      <c r="WVN238" s="494"/>
      <c r="WVO238" s="494"/>
    </row>
    <row r="239" spans="1:16135" s="449" customFormat="1">
      <c r="A239" s="494"/>
      <c r="B239" s="494"/>
      <c r="C239" s="494"/>
      <c r="D239" s="494"/>
      <c r="E239" s="494"/>
      <c r="F239" s="529"/>
      <c r="G239" s="529"/>
      <c r="I239" s="426"/>
      <c r="BY239" s="494"/>
      <c r="BZ239" s="494"/>
      <c r="CA239" s="494"/>
      <c r="CB239" s="494"/>
      <c r="CC239" s="494"/>
      <c r="CD239" s="494"/>
      <c r="CE239" s="494"/>
      <c r="CF239" s="494"/>
      <c r="CG239" s="494"/>
      <c r="CH239" s="494"/>
      <c r="CI239" s="494"/>
      <c r="CJ239" s="494"/>
      <c r="CK239" s="494"/>
      <c r="CL239" s="494"/>
      <c r="CM239" s="494"/>
      <c r="CN239" s="494"/>
      <c r="CO239" s="494"/>
      <c r="CP239" s="494"/>
      <c r="CQ239" s="494"/>
      <c r="CR239" s="494"/>
      <c r="CS239" s="494"/>
      <c r="CT239" s="494"/>
      <c r="CU239" s="494"/>
      <c r="CV239" s="494"/>
      <c r="CW239" s="494"/>
      <c r="CX239" s="494"/>
      <c r="CY239" s="494"/>
      <c r="CZ239" s="494"/>
      <c r="DA239" s="494"/>
      <c r="DB239" s="494"/>
      <c r="DC239" s="494"/>
      <c r="DD239" s="494"/>
      <c r="DE239" s="494"/>
      <c r="DF239" s="494"/>
      <c r="DG239" s="494"/>
      <c r="DH239" s="494"/>
      <c r="DI239" s="494"/>
      <c r="DJ239" s="494"/>
      <c r="DK239" s="494"/>
      <c r="DL239" s="494"/>
      <c r="DM239" s="494"/>
      <c r="DN239" s="494"/>
      <c r="DO239" s="494"/>
      <c r="DP239" s="494"/>
      <c r="DQ239" s="494"/>
      <c r="DR239" s="494"/>
      <c r="DS239" s="494"/>
      <c r="DT239" s="494"/>
      <c r="DU239" s="494"/>
      <c r="DV239" s="494"/>
      <c r="DW239" s="494"/>
      <c r="DX239" s="494"/>
      <c r="DY239" s="494"/>
      <c r="DZ239" s="494"/>
      <c r="EA239" s="494"/>
      <c r="EB239" s="494"/>
      <c r="EC239" s="494"/>
      <c r="ED239" s="494"/>
      <c r="EE239" s="494"/>
      <c r="EF239" s="494"/>
      <c r="EG239" s="494"/>
      <c r="EH239" s="494"/>
      <c r="EI239" s="494"/>
      <c r="EJ239" s="494"/>
      <c r="EK239" s="494"/>
      <c r="EL239" s="494"/>
      <c r="EM239" s="494"/>
      <c r="EN239" s="494"/>
      <c r="EO239" s="494"/>
      <c r="EP239" s="494"/>
      <c r="EQ239" s="494"/>
      <c r="ER239" s="494"/>
      <c r="ES239" s="494"/>
      <c r="ET239" s="494"/>
      <c r="EU239" s="494"/>
      <c r="EV239" s="494"/>
      <c r="EW239" s="494"/>
      <c r="EX239" s="494"/>
      <c r="EY239" s="494"/>
      <c r="EZ239" s="494"/>
      <c r="FA239" s="494"/>
      <c r="FB239" s="494"/>
      <c r="FC239" s="494"/>
      <c r="FD239" s="494"/>
      <c r="FE239" s="494"/>
      <c r="FF239" s="494"/>
      <c r="FG239" s="494"/>
      <c r="FH239" s="494"/>
      <c r="FI239" s="494"/>
      <c r="FJ239" s="494"/>
      <c r="FK239" s="494"/>
      <c r="FL239" s="494"/>
      <c r="FM239" s="494"/>
      <c r="FN239" s="494"/>
      <c r="FO239" s="494"/>
      <c r="FP239" s="494"/>
      <c r="FQ239" s="494"/>
      <c r="FR239" s="494"/>
      <c r="FS239" s="494"/>
      <c r="FT239" s="494"/>
      <c r="FU239" s="494"/>
      <c r="FV239" s="494"/>
      <c r="FW239" s="494"/>
      <c r="FX239" s="494"/>
      <c r="FY239" s="494"/>
      <c r="FZ239" s="494"/>
      <c r="GA239" s="494"/>
      <c r="GB239" s="494"/>
      <c r="GC239" s="494"/>
      <c r="GD239" s="494"/>
      <c r="GE239" s="494"/>
      <c r="GF239" s="494"/>
      <c r="GG239" s="494"/>
      <c r="GH239" s="494"/>
      <c r="GI239" s="494"/>
      <c r="GJ239" s="494"/>
      <c r="GK239" s="494"/>
      <c r="GL239" s="494"/>
      <c r="GM239" s="494"/>
      <c r="GN239" s="494"/>
      <c r="GO239" s="494"/>
      <c r="GP239" s="494"/>
      <c r="GQ239" s="494"/>
      <c r="GR239" s="494"/>
      <c r="GS239" s="494"/>
      <c r="GT239" s="494"/>
      <c r="GU239" s="494"/>
      <c r="GV239" s="494"/>
      <c r="GW239" s="494"/>
      <c r="GX239" s="494"/>
      <c r="GY239" s="494"/>
      <c r="GZ239" s="494"/>
      <c r="HA239" s="494"/>
      <c r="HB239" s="494"/>
      <c r="HC239" s="494"/>
      <c r="HD239" s="494"/>
      <c r="HE239" s="494"/>
      <c r="HF239" s="494"/>
      <c r="HG239" s="494"/>
      <c r="HH239" s="494"/>
      <c r="HI239" s="494"/>
      <c r="HJ239" s="494"/>
      <c r="HK239" s="494"/>
      <c r="HL239" s="494"/>
      <c r="HM239" s="494"/>
      <c r="HN239" s="494"/>
      <c r="HO239" s="494"/>
      <c r="HP239" s="494"/>
      <c r="HQ239" s="494"/>
      <c r="HR239" s="494"/>
      <c r="HS239" s="494"/>
      <c r="HT239" s="494"/>
      <c r="HU239" s="494"/>
      <c r="HV239" s="494"/>
      <c r="HW239" s="494"/>
      <c r="HX239" s="494"/>
      <c r="HY239" s="494"/>
      <c r="HZ239" s="494"/>
      <c r="IA239" s="494"/>
      <c r="IB239" s="494"/>
      <c r="IC239" s="494"/>
      <c r="ID239" s="494"/>
      <c r="IE239" s="494"/>
      <c r="IF239" s="494"/>
      <c r="IG239" s="494"/>
      <c r="IH239" s="494"/>
      <c r="II239" s="494"/>
      <c r="IJ239" s="494"/>
      <c r="IK239" s="494"/>
      <c r="IL239" s="494"/>
      <c r="IM239" s="494"/>
      <c r="IN239" s="494"/>
      <c r="IO239" s="494"/>
      <c r="IP239" s="494"/>
      <c r="IQ239" s="494"/>
      <c r="IR239" s="494"/>
      <c r="IS239" s="494"/>
      <c r="IT239" s="494"/>
      <c r="IU239" s="494"/>
      <c r="IV239" s="494"/>
      <c r="IW239" s="494"/>
      <c r="IX239" s="494"/>
      <c r="IY239" s="494"/>
      <c r="IZ239" s="494"/>
      <c r="JA239" s="494"/>
      <c r="JB239" s="494"/>
      <c r="JC239" s="494"/>
      <c r="JD239" s="494"/>
      <c r="JE239" s="494"/>
      <c r="JF239" s="494"/>
      <c r="JG239" s="494"/>
      <c r="JH239" s="494"/>
      <c r="JI239" s="494"/>
      <c r="JJ239" s="494"/>
      <c r="JK239" s="494"/>
      <c r="JL239" s="494"/>
      <c r="JM239" s="494"/>
      <c r="JN239" s="494"/>
      <c r="JO239" s="494"/>
      <c r="JP239" s="494"/>
      <c r="JQ239" s="494"/>
      <c r="JR239" s="494"/>
      <c r="JS239" s="494"/>
      <c r="JT239" s="494"/>
      <c r="JU239" s="494"/>
      <c r="JV239" s="494"/>
      <c r="JW239" s="494"/>
      <c r="JX239" s="494"/>
      <c r="JY239" s="494"/>
      <c r="JZ239" s="494"/>
      <c r="KA239" s="494"/>
      <c r="KB239" s="494"/>
      <c r="KC239" s="494"/>
      <c r="KD239" s="494"/>
      <c r="KE239" s="494"/>
      <c r="KF239" s="494"/>
      <c r="KG239" s="494"/>
      <c r="KH239" s="494"/>
      <c r="KI239" s="494"/>
      <c r="KJ239" s="494"/>
      <c r="KK239" s="494"/>
      <c r="KL239" s="494"/>
      <c r="KM239" s="494"/>
      <c r="KN239" s="494"/>
      <c r="KO239" s="494"/>
      <c r="KP239" s="494"/>
      <c r="KQ239" s="494"/>
      <c r="KR239" s="494"/>
      <c r="KS239" s="494"/>
      <c r="KT239" s="494"/>
      <c r="KU239" s="494"/>
      <c r="KV239" s="494"/>
      <c r="KW239" s="494"/>
      <c r="KX239" s="494"/>
      <c r="KY239" s="494"/>
      <c r="KZ239" s="494"/>
      <c r="LA239" s="494"/>
      <c r="LB239" s="494"/>
      <c r="LC239" s="494"/>
      <c r="LD239" s="494"/>
      <c r="LE239" s="494"/>
      <c r="LF239" s="494"/>
      <c r="LG239" s="494"/>
      <c r="LH239" s="494"/>
      <c r="LI239" s="494"/>
      <c r="LJ239" s="494"/>
      <c r="LK239" s="494"/>
      <c r="LL239" s="494"/>
      <c r="LM239" s="494"/>
      <c r="LN239" s="494"/>
      <c r="LO239" s="494"/>
      <c r="LP239" s="494"/>
      <c r="LQ239" s="494"/>
      <c r="LR239" s="494"/>
      <c r="LS239" s="494"/>
      <c r="LT239" s="494"/>
      <c r="LU239" s="494"/>
      <c r="LV239" s="494"/>
      <c r="LW239" s="494"/>
      <c r="LX239" s="494"/>
      <c r="LY239" s="494"/>
      <c r="LZ239" s="494"/>
      <c r="MA239" s="494"/>
      <c r="MB239" s="494"/>
      <c r="MC239" s="494"/>
      <c r="MD239" s="494"/>
      <c r="ME239" s="494"/>
      <c r="MF239" s="494"/>
      <c r="MG239" s="494"/>
      <c r="MH239" s="494"/>
      <c r="MI239" s="494"/>
      <c r="MJ239" s="494"/>
      <c r="MK239" s="494"/>
      <c r="ML239" s="494"/>
      <c r="MM239" s="494"/>
      <c r="MN239" s="494"/>
      <c r="MO239" s="494"/>
      <c r="MP239" s="494"/>
      <c r="MQ239" s="494"/>
      <c r="MR239" s="494"/>
      <c r="MS239" s="494"/>
      <c r="MT239" s="494"/>
      <c r="MU239" s="494"/>
      <c r="MV239" s="494"/>
      <c r="MW239" s="494"/>
      <c r="MX239" s="494"/>
      <c r="MY239" s="494"/>
      <c r="MZ239" s="494"/>
      <c r="NA239" s="494"/>
      <c r="NB239" s="494"/>
      <c r="NC239" s="494"/>
      <c r="ND239" s="494"/>
      <c r="NE239" s="494"/>
      <c r="NF239" s="494"/>
      <c r="NG239" s="494"/>
      <c r="NH239" s="494"/>
      <c r="NI239" s="494"/>
      <c r="NJ239" s="494"/>
      <c r="NK239" s="494"/>
      <c r="NL239" s="494"/>
      <c r="NM239" s="494"/>
      <c r="NN239" s="494"/>
      <c r="NO239" s="494"/>
      <c r="NP239" s="494"/>
      <c r="NQ239" s="494"/>
      <c r="NR239" s="494"/>
      <c r="NS239" s="494"/>
      <c r="NT239" s="494"/>
      <c r="NU239" s="494"/>
      <c r="NV239" s="494"/>
      <c r="NW239" s="494"/>
      <c r="NX239" s="494"/>
      <c r="NY239" s="494"/>
      <c r="NZ239" s="494"/>
      <c r="OA239" s="494"/>
      <c r="OB239" s="494"/>
      <c r="OC239" s="494"/>
      <c r="OD239" s="494"/>
      <c r="OE239" s="494"/>
      <c r="OF239" s="494"/>
      <c r="OG239" s="494"/>
      <c r="OH239" s="494"/>
      <c r="OI239" s="494"/>
      <c r="OJ239" s="494"/>
      <c r="OK239" s="494"/>
      <c r="OL239" s="494"/>
      <c r="OM239" s="494"/>
      <c r="ON239" s="494"/>
      <c r="OO239" s="494"/>
      <c r="OP239" s="494"/>
      <c r="OQ239" s="494"/>
      <c r="OR239" s="494"/>
      <c r="OS239" s="494"/>
      <c r="OT239" s="494"/>
      <c r="OU239" s="494"/>
      <c r="OV239" s="494"/>
      <c r="OW239" s="494"/>
      <c r="OX239" s="494"/>
      <c r="OY239" s="494"/>
      <c r="OZ239" s="494"/>
      <c r="PA239" s="494"/>
      <c r="PB239" s="494"/>
      <c r="PC239" s="494"/>
      <c r="PD239" s="494"/>
      <c r="PE239" s="494"/>
      <c r="PF239" s="494"/>
      <c r="PG239" s="494"/>
      <c r="PH239" s="494"/>
      <c r="PI239" s="494"/>
      <c r="PJ239" s="494"/>
      <c r="PK239" s="494"/>
      <c r="PL239" s="494"/>
      <c r="PM239" s="494"/>
      <c r="PN239" s="494"/>
      <c r="PO239" s="494"/>
      <c r="PP239" s="494"/>
      <c r="PQ239" s="494"/>
      <c r="PR239" s="494"/>
      <c r="PS239" s="494"/>
      <c r="PT239" s="494"/>
      <c r="PU239" s="494"/>
      <c r="PV239" s="494"/>
      <c r="PW239" s="494"/>
      <c r="PX239" s="494"/>
      <c r="PY239" s="494"/>
      <c r="PZ239" s="494"/>
      <c r="QA239" s="494"/>
      <c r="QB239" s="494"/>
      <c r="QC239" s="494"/>
      <c r="QD239" s="494"/>
      <c r="QE239" s="494"/>
      <c r="QF239" s="494"/>
      <c r="QG239" s="494"/>
      <c r="QH239" s="494"/>
      <c r="QI239" s="494"/>
      <c r="QJ239" s="494"/>
      <c r="QK239" s="494"/>
      <c r="QL239" s="494"/>
      <c r="QM239" s="494"/>
      <c r="QN239" s="494"/>
      <c r="QO239" s="494"/>
      <c r="QP239" s="494"/>
      <c r="QQ239" s="494"/>
      <c r="QR239" s="494"/>
      <c r="QS239" s="494"/>
      <c r="QT239" s="494"/>
      <c r="QU239" s="494"/>
      <c r="QV239" s="494"/>
      <c r="QW239" s="494"/>
      <c r="QX239" s="494"/>
      <c r="QY239" s="494"/>
      <c r="QZ239" s="494"/>
      <c r="RA239" s="494"/>
      <c r="RB239" s="494"/>
      <c r="RC239" s="494"/>
      <c r="RD239" s="494"/>
      <c r="RE239" s="494"/>
      <c r="RF239" s="494"/>
      <c r="RG239" s="494"/>
      <c r="RH239" s="494"/>
      <c r="RI239" s="494"/>
      <c r="RJ239" s="494"/>
      <c r="RK239" s="494"/>
      <c r="RL239" s="494"/>
      <c r="RM239" s="494"/>
      <c r="RN239" s="494"/>
      <c r="RO239" s="494"/>
      <c r="RP239" s="494"/>
      <c r="RQ239" s="494"/>
      <c r="RR239" s="494"/>
      <c r="RS239" s="494"/>
      <c r="RT239" s="494"/>
      <c r="RU239" s="494"/>
      <c r="RV239" s="494"/>
      <c r="RW239" s="494"/>
      <c r="RX239" s="494"/>
      <c r="RY239" s="494"/>
      <c r="RZ239" s="494"/>
      <c r="SA239" s="494"/>
      <c r="SB239" s="494"/>
      <c r="SC239" s="494"/>
      <c r="SD239" s="494"/>
      <c r="SE239" s="494"/>
      <c r="SF239" s="494"/>
      <c r="SG239" s="494"/>
      <c r="SH239" s="494"/>
      <c r="SI239" s="494"/>
      <c r="SJ239" s="494"/>
      <c r="SK239" s="494"/>
      <c r="SL239" s="494"/>
      <c r="SM239" s="494"/>
      <c r="SN239" s="494"/>
      <c r="SO239" s="494"/>
      <c r="SP239" s="494"/>
      <c r="SQ239" s="494"/>
      <c r="SR239" s="494"/>
      <c r="SS239" s="494"/>
      <c r="ST239" s="494"/>
      <c r="SU239" s="494"/>
      <c r="SV239" s="494"/>
      <c r="SW239" s="494"/>
      <c r="SX239" s="494"/>
      <c r="SY239" s="494"/>
      <c r="SZ239" s="494"/>
      <c r="TA239" s="494"/>
      <c r="TB239" s="494"/>
      <c r="TC239" s="494"/>
      <c r="TD239" s="494"/>
      <c r="TE239" s="494"/>
      <c r="TF239" s="494"/>
      <c r="TG239" s="494"/>
      <c r="TH239" s="494"/>
      <c r="TI239" s="494"/>
      <c r="TJ239" s="494"/>
      <c r="TK239" s="494"/>
      <c r="TL239" s="494"/>
      <c r="TM239" s="494"/>
      <c r="TN239" s="494"/>
      <c r="TO239" s="494"/>
      <c r="TP239" s="494"/>
      <c r="TQ239" s="494"/>
      <c r="TR239" s="494"/>
      <c r="TS239" s="494"/>
      <c r="TT239" s="494"/>
      <c r="TU239" s="494"/>
      <c r="TV239" s="494"/>
      <c r="TW239" s="494"/>
      <c r="TX239" s="494"/>
      <c r="TY239" s="494"/>
      <c r="TZ239" s="494"/>
      <c r="UA239" s="494"/>
      <c r="UB239" s="494"/>
      <c r="UC239" s="494"/>
      <c r="UD239" s="494"/>
      <c r="UE239" s="494"/>
      <c r="UF239" s="494"/>
      <c r="UG239" s="494"/>
      <c r="UH239" s="494"/>
      <c r="UI239" s="494"/>
      <c r="UJ239" s="494"/>
      <c r="UK239" s="494"/>
      <c r="UL239" s="494"/>
      <c r="UM239" s="494"/>
      <c r="UN239" s="494"/>
      <c r="UO239" s="494"/>
      <c r="UP239" s="494"/>
      <c r="UQ239" s="494"/>
      <c r="UR239" s="494"/>
      <c r="US239" s="494"/>
      <c r="UT239" s="494"/>
      <c r="UU239" s="494"/>
      <c r="UV239" s="494"/>
      <c r="UW239" s="494"/>
      <c r="UX239" s="494"/>
      <c r="UY239" s="494"/>
      <c r="UZ239" s="494"/>
      <c r="VA239" s="494"/>
      <c r="VB239" s="494"/>
      <c r="VC239" s="494"/>
      <c r="VD239" s="494"/>
      <c r="VE239" s="494"/>
      <c r="VF239" s="494"/>
      <c r="VG239" s="494"/>
      <c r="VH239" s="494"/>
      <c r="VI239" s="494"/>
      <c r="VJ239" s="494"/>
      <c r="VK239" s="494"/>
      <c r="VL239" s="494"/>
      <c r="VM239" s="494"/>
      <c r="VN239" s="494"/>
      <c r="VO239" s="494"/>
      <c r="VP239" s="494"/>
      <c r="VQ239" s="494"/>
      <c r="VR239" s="494"/>
      <c r="VS239" s="494"/>
      <c r="VT239" s="494"/>
      <c r="VU239" s="494"/>
      <c r="VV239" s="494"/>
      <c r="VW239" s="494"/>
      <c r="VX239" s="494"/>
      <c r="VY239" s="494"/>
      <c r="VZ239" s="494"/>
      <c r="WA239" s="494"/>
      <c r="WB239" s="494"/>
      <c r="WC239" s="494"/>
      <c r="WD239" s="494"/>
      <c r="WE239" s="494"/>
      <c r="WF239" s="494"/>
      <c r="WG239" s="494"/>
      <c r="WH239" s="494"/>
      <c r="WI239" s="494"/>
      <c r="WJ239" s="494"/>
      <c r="WK239" s="494"/>
      <c r="WL239" s="494"/>
      <c r="WM239" s="494"/>
      <c r="WN239" s="494"/>
      <c r="WO239" s="494"/>
      <c r="WP239" s="494"/>
      <c r="WQ239" s="494"/>
      <c r="WR239" s="494"/>
      <c r="WS239" s="494"/>
      <c r="WT239" s="494"/>
      <c r="WU239" s="494"/>
      <c r="WV239" s="494"/>
      <c r="WW239" s="494"/>
      <c r="WX239" s="494"/>
      <c r="WY239" s="494"/>
      <c r="WZ239" s="494"/>
      <c r="XA239" s="494"/>
      <c r="XB239" s="494"/>
      <c r="XC239" s="494"/>
      <c r="XD239" s="494"/>
      <c r="XE239" s="494"/>
      <c r="XF239" s="494"/>
      <c r="XG239" s="494"/>
      <c r="XH239" s="494"/>
      <c r="XI239" s="494"/>
      <c r="XJ239" s="494"/>
      <c r="XK239" s="494"/>
      <c r="XL239" s="494"/>
      <c r="XM239" s="494"/>
      <c r="XN239" s="494"/>
      <c r="XO239" s="494"/>
      <c r="XP239" s="494"/>
      <c r="XQ239" s="494"/>
      <c r="XR239" s="494"/>
      <c r="XS239" s="494"/>
      <c r="XT239" s="494"/>
      <c r="XU239" s="494"/>
      <c r="XV239" s="494"/>
      <c r="XW239" s="494"/>
      <c r="XX239" s="494"/>
      <c r="XY239" s="494"/>
      <c r="XZ239" s="494"/>
      <c r="YA239" s="494"/>
      <c r="YB239" s="494"/>
      <c r="YC239" s="494"/>
      <c r="YD239" s="494"/>
      <c r="YE239" s="494"/>
      <c r="YF239" s="494"/>
      <c r="YG239" s="494"/>
      <c r="YH239" s="494"/>
      <c r="YI239" s="494"/>
      <c r="YJ239" s="494"/>
      <c r="YK239" s="494"/>
      <c r="YL239" s="494"/>
      <c r="YM239" s="494"/>
      <c r="YN239" s="494"/>
      <c r="YO239" s="494"/>
      <c r="YP239" s="494"/>
      <c r="YQ239" s="494"/>
      <c r="YR239" s="494"/>
      <c r="YS239" s="494"/>
      <c r="YT239" s="494"/>
      <c r="YU239" s="494"/>
      <c r="YV239" s="494"/>
      <c r="YW239" s="494"/>
      <c r="YX239" s="494"/>
      <c r="YY239" s="494"/>
      <c r="YZ239" s="494"/>
      <c r="ZA239" s="494"/>
      <c r="ZB239" s="494"/>
      <c r="ZC239" s="494"/>
      <c r="ZD239" s="494"/>
      <c r="ZE239" s="494"/>
      <c r="ZF239" s="494"/>
      <c r="ZG239" s="494"/>
      <c r="ZH239" s="494"/>
      <c r="ZI239" s="494"/>
      <c r="ZJ239" s="494"/>
      <c r="ZK239" s="494"/>
      <c r="ZL239" s="494"/>
      <c r="ZM239" s="494"/>
      <c r="ZN239" s="494"/>
      <c r="ZO239" s="494"/>
      <c r="ZP239" s="494"/>
      <c r="ZQ239" s="494"/>
      <c r="ZR239" s="494"/>
      <c r="ZS239" s="494"/>
      <c r="ZT239" s="494"/>
      <c r="ZU239" s="494"/>
      <c r="ZV239" s="494"/>
      <c r="ZW239" s="494"/>
      <c r="ZX239" s="494"/>
      <c r="ZY239" s="494"/>
      <c r="ZZ239" s="494"/>
      <c r="AAA239" s="494"/>
      <c r="AAB239" s="494"/>
      <c r="AAC239" s="494"/>
      <c r="AAD239" s="494"/>
      <c r="AAE239" s="494"/>
      <c r="AAF239" s="494"/>
      <c r="AAG239" s="494"/>
      <c r="AAH239" s="494"/>
      <c r="AAI239" s="494"/>
      <c r="AAJ239" s="494"/>
      <c r="AAK239" s="494"/>
      <c r="AAL239" s="494"/>
      <c r="AAM239" s="494"/>
      <c r="AAN239" s="494"/>
      <c r="AAO239" s="494"/>
      <c r="AAP239" s="494"/>
      <c r="AAQ239" s="494"/>
      <c r="AAR239" s="494"/>
      <c r="AAS239" s="494"/>
      <c r="AAT239" s="494"/>
      <c r="AAU239" s="494"/>
      <c r="AAV239" s="494"/>
      <c r="AAW239" s="494"/>
      <c r="AAX239" s="494"/>
      <c r="AAY239" s="494"/>
      <c r="AAZ239" s="494"/>
      <c r="ABA239" s="494"/>
      <c r="ABB239" s="494"/>
      <c r="ABC239" s="494"/>
      <c r="ABD239" s="494"/>
      <c r="ABE239" s="494"/>
      <c r="ABF239" s="494"/>
      <c r="ABG239" s="494"/>
      <c r="ABH239" s="494"/>
      <c r="ABI239" s="494"/>
      <c r="ABJ239" s="494"/>
      <c r="ABK239" s="494"/>
      <c r="ABL239" s="494"/>
      <c r="ABM239" s="494"/>
      <c r="ABN239" s="494"/>
      <c r="ABO239" s="494"/>
      <c r="ABP239" s="494"/>
      <c r="ABQ239" s="494"/>
      <c r="ABR239" s="494"/>
      <c r="ABS239" s="494"/>
      <c r="ABT239" s="494"/>
      <c r="ABU239" s="494"/>
      <c r="ABV239" s="494"/>
      <c r="ABW239" s="494"/>
      <c r="ABX239" s="494"/>
      <c r="ABY239" s="494"/>
      <c r="ABZ239" s="494"/>
      <c r="ACA239" s="494"/>
      <c r="ACB239" s="494"/>
      <c r="ACC239" s="494"/>
      <c r="ACD239" s="494"/>
      <c r="ACE239" s="494"/>
      <c r="ACF239" s="494"/>
      <c r="ACG239" s="494"/>
      <c r="ACH239" s="494"/>
      <c r="ACI239" s="494"/>
      <c r="ACJ239" s="494"/>
      <c r="ACK239" s="494"/>
      <c r="ACL239" s="494"/>
      <c r="ACM239" s="494"/>
      <c r="ACN239" s="494"/>
      <c r="ACO239" s="494"/>
      <c r="ACP239" s="494"/>
      <c r="ACQ239" s="494"/>
      <c r="ACR239" s="494"/>
      <c r="ACS239" s="494"/>
      <c r="ACT239" s="494"/>
      <c r="ACU239" s="494"/>
      <c r="ACV239" s="494"/>
      <c r="ACW239" s="494"/>
      <c r="ACX239" s="494"/>
      <c r="ACY239" s="494"/>
      <c r="ACZ239" s="494"/>
      <c r="ADA239" s="494"/>
      <c r="ADB239" s="494"/>
      <c r="ADC239" s="494"/>
      <c r="ADD239" s="494"/>
      <c r="ADE239" s="494"/>
      <c r="ADF239" s="494"/>
      <c r="ADG239" s="494"/>
      <c r="ADH239" s="494"/>
      <c r="ADI239" s="494"/>
      <c r="ADJ239" s="494"/>
      <c r="ADK239" s="494"/>
      <c r="ADL239" s="494"/>
      <c r="ADM239" s="494"/>
      <c r="ADN239" s="494"/>
      <c r="ADO239" s="494"/>
      <c r="ADP239" s="494"/>
      <c r="ADQ239" s="494"/>
      <c r="ADR239" s="494"/>
      <c r="ADS239" s="494"/>
      <c r="ADT239" s="494"/>
      <c r="ADU239" s="494"/>
      <c r="ADV239" s="494"/>
      <c r="ADW239" s="494"/>
      <c r="ADX239" s="494"/>
      <c r="ADY239" s="494"/>
      <c r="ADZ239" s="494"/>
      <c r="AEA239" s="494"/>
      <c r="AEB239" s="494"/>
      <c r="AEC239" s="494"/>
      <c r="AED239" s="494"/>
      <c r="AEE239" s="494"/>
      <c r="AEF239" s="494"/>
      <c r="AEG239" s="494"/>
      <c r="AEH239" s="494"/>
      <c r="AEI239" s="494"/>
      <c r="AEJ239" s="494"/>
      <c r="AEK239" s="494"/>
      <c r="AEL239" s="494"/>
      <c r="AEM239" s="494"/>
      <c r="AEN239" s="494"/>
      <c r="AEO239" s="494"/>
      <c r="AEP239" s="494"/>
      <c r="AEQ239" s="494"/>
      <c r="AER239" s="494"/>
      <c r="AES239" s="494"/>
      <c r="AET239" s="494"/>
      <c r="AEU239" s="494"/>
      <c r="AEV239" s="494"/>
      <c r="AEW239" s="494"/>
      <c r="AEX239" s="494"/>
      <c r="AEY239" s="494"/>
      <c r="AEZ239" s="494"/>
      <c r="AFA239" s="494"/>
      <c r="AFB239" s="494"/>
      <c r="AFC239" s="494"/>
      <c r="AFD239" s="494"/>
      <c r="AFE239" s="494"/>
      <c r="AFF239" s="494"/>
      <c r="AFG239" s="494"/>
      <c r="AFH239" s="494"/>
      <c r="AFI239" s="494"/>
      <c r="AFJ239" s="494"/>
      <c r="AFK239" s="494"/>
      <c r="AFL239" s="494"/>
      <c r="AFM239" s="494"/>
      <c r="AFN239" s="494"/>
      <c r="AFO239" s="494"/>
      <c r="AFP239" s="494"/>
      <c r="AFQ239" s="494"/>
      <c r="AFR239" s="494"/>
      <c r="AFS239" s="494"/>
      <c r="AFT239" s="494"/>
      <c r="AFU239" s="494"/>
      <c r="AFV239" s="494"/>
      <c r="AFW239" s="494"/>
      <c r="AFX239" s="494"/>
      <c r="AFY239" s="494"/>
      <c r="AFZ239" s="494"/>
      <c r="AGA239" s="494"/>
      <c r="AGB239" s="494"/>
      <c r="AGC239" s="494"/>
      <c r="AGD239" s="494"/>
      <c r="AGE239" s="494"/>
      <c r="AGF239" s="494"/>
      <c r="AGG239" s="494"/>
      <c r="AGH239" s="494"/>
      <c r="AGI239" s="494"/>
      <c r="AGJ239" s="494"/>
      <c r="AGK239" s="494"/>
      <c r="AGL239" s="494"/>
      <c r="AGM239" s="494"/>
      <c r="AGN239" s="494"/>
      <c r="AGO239" s="494"/>
      <c r="AGP239" s="494"/>
      <c r="AGQ239" s="494"/>
      <c r="AGR239" s="494"/>
      <c r="AGS239" s="494"/>
      <c r="AGT239" s="494"/>
      <c r="AGU239" s="494"/>
      <c r="AGV239" s="494"/>
      <c r="AGW239" s="494"/>
      <c r="AGX239" s="494"/>
      <c r="AGY239" s="494"/>
      <c r="AGZ239" s="494"/>
      <c r="AHA239" s="494"/>
      <c r="AHB239" s="494"/>
      <c r="AHC239" s="494"/>
      <c r="AHD239" s="494"/>
      <c r="AHE239" s="494"/>
      <c r="AHF239" s="494"/>
      <c r="AHG239" s="494"/>
      <c r="AHH239" s="494"/>
      <c r="AHI239" s="494"/>
      <c r="AHJ239" s="494"/>
      <c r="AHK239" s="494"/>
      <c r="AHL239" s="494"/>
      <c r="AHM239" s="494"/>
      <c r="AHN239" s="494"/>
      <c r="AHO239" s="494"/>
      <c r="AHP239" s="494"/>
      <c r="AHQ239" s="494"/>
      <c r="AHR239" s="494"/>
      <c r="AHS239" s="494"/>
      <c r="AHT239" s="494"/>
      <c r="AHU239" s="494"/>
      <c r="AHV239" s="494"/>
      <c r="AHW239" s="494"/>
      <c r="AHX239" s="494"/>
      <c r="AHY239" s="494"/>
      <c r="AHZ239" s="494"/>
      <c r="AIA239" s="494"/>
      <c r="AIB239" s="494"/>
      <c r="AIC239" s="494"/>
      <c r="AID239" s="494"/>
      <c r="AIE239" s="494"/>
      <c r="AIF239" s="494"/>
      <c r="AIG239" s="494"/>
      <c r="AIH239" s="494"/>
      <c r="AII239" s="494"/>
      <c r="AIJ239" s="494"/>
      <c r="AIK239" s="494"/>
      <c r="AIL239" s="494"/>
      <c r="AIM239" s="494"/>
      <c r="AIN239" s="494"/>
      <c r="AIO239" s="494"/>
      <c r="AIP239" s="494"/>
      <c r="AIQ239" s="494"/>
      <c r="AIR239" s="494"/>
      <c r="AIS239" s="494"/>
      <c r="AIT239" s="494"/>
      <c r="AIU239" s="494"/>
      <c r="AIV239" s="494"/>
      <c r="AIW239" s="494"/>
      <c r="AIX239" s="494"/>
      <c r="AIY239" s="494"/>
      <c r="AIZ239" s="494"/>
      <c r="AJA239" s="494"/>
      <c r="AJB239" s="494"/>
      <c r="AJC239" s="494"/>
      <c r="AJD239" s="494"/>
      <c r="AJE239" s="494"/>
      <c r="AJF239" s="494"/>
      <c r="AJG239" s="494"/>
      <c r="AJH239" s="494"/>
      <c r="AJI239" s="494"/>
      <c r="AJJ239" s="494"/>
      <c r="AJK239" s="494"/>
      <c r="AJL239" s="494"/>
      <c r="AJM239" s="494"/>
      <c r="AJN239" s="494"/>
      <c r="AJO239" s="494"/>
      <c r="AJP239" s="494"/>
      <c r="AJQ239" s="494"/>
      <c r="AJR239" s="494"/>
      <c r="AJS239" s="494"/>
      <c r="AJT239" s="494"/>
      <c r="AJU239" s="494"/>
      <c r="AJV239" s="494"/>
      <c r="AJW239" s="494"/>
      <c r="AJX239" s="494"/>
      <c r="AJY239" s="494"/>
      <c r="AJZ239" s="494"/>
      <c r="AKA239" s="494"/>
      <c r="AKB239" s="494"/>
      <c r="AKC239" s="494"/>
      <c r="AKD239" s="494"/>
      <c r="AKE239" s="494"/>
      <c r="AKF239" s="494"/>
      <c r="AKG239" s="494"/>
      <c r="AKH239" s="494"/>
      <c r="AKI239" s="494"/>
      <c r="AKJ239" s="494"/>
      <c r="AKK239" s="494"/>
      <c r="AKL239" s="494"/>
      <c r="AKM239" s="494"/>
      <c r="AKN239" s="494"/>
      <c r="AKO239" s="494"/>
      <c r="AKP239" s="494"/>
      <c r="AKQ239" s="494"/>
      <c r="AKR239" s="494"/>
      <c r="AKS239" s="494"/>
      <c r="AKT239" s="494"/>
      <c r="AKU239" s="494"/>
      <c r="AKV239" s="494"/>
      <c r="AKW239" s="494"/>
      <c r="AKX239" s="494"/>
      <c r="AKY239" s="494"/>
      <c r="AKZ239" s="494"/>
      <c r="ALA239" s="494"/>
      <c r="ALB239" s="494"/>
      <c r="ALC239" s="494"/>
      <c r="ALD239" s="494"/>
      <c r="ALE239" s="494"/>
      <c r="ALF239" s="494"/>
      <c r="ALG239" s="494"/>
      <c r="ALH239" s="494"/>
      <c r="ALI239" s="494"/>
      <c r="ALJ239" s="494"/>
      <c r="ALK239" s="494"/>
      <c r="ALL239" s="494"/>
      <c r="ALM239" s="494"/>
      <c r="ALN239" s="494"/>
      <c r="ALO239" s="494"/>
      <c r="ALP239" s="494"/>
      <c r="ALQ239" s="494"/>
      <c r="ALR239" s="494"/>
      <c r="ALS239" s="494"/>
      <c r="ALT239" s="494"/>
      <c r="ALU239" s="494"/>
      <c r="ALV239" s="494"/>
      <c r="ALW239" s="494"/>
      <c r="ALX239" s="494"/>
      <c r="ALY239" s="494"/>
      <c r="ALZ239" s="494"/>
      <c r="AMA239" s="494"/>
      <c r="AMB239" s="494"/>
      <c r="AMC239" s="494"/>
      <c r="AMD239" s="494"/>
      <c r="AME239" s="494"/>
      <c r="AMF239" s="494"/>
      <c r="AMG239" s="494"/>
      <c r="AMH239" s="494"/>
      <c r="AMI239" s="494"/>
      <c r="AMJ239" s="494"/>
      <c r="AMK239" s="494"/>
      <c r="AML239" s="494"/>
      <c r="AMM239" s="494"/>
      <c r="AMN239" s="494"/>
      <c r="AMO239" s="494"/>
      <c r="AMP239" s="494"/>
      <c r="AMQ239" s="494"/>
      <c r="AMR239" s="494"/>
      <c r="AMS239" s="494"/>
      <c r="AMT239" s="494"/>
      <c r="AMU239" s="494"/>
      <c r="AMV239" s="494"/>
      <c r="AMW239" s="494"/>
      <c r="AMX239" s="494"/>
      <c r="AMY239" s="494"/>
      <c r="AMZ239" s="494"/>
      <c r="ANA239" s="494"/>
      <c r="ANB239" s="494"/>
      <c r="ANC239" s="494"/>
      <c r="AND239" s="494"/>
      <c r="ANE239" s="494"/>
      <c r="ANF239" s="494"/>
      <c r="ANG239" s="494"/>
      <c r="ANH239" s="494"/>
      <c r="ANI239" s="494"/>
      <c r="ANJ239" s="494"/>
      <c r="ANK239" s="494"/>
      <c r="ANL239" s="494"/>
      <c r="ANM239" s="494"/>
      <c r="ANN239" s="494"/>
      <c r="ANO239" s="494"/>
      <c r="ANP239" s="494"/>
      <c r="ANQ239" s="494"/>
      <c r="ANR239" s="494"/>
      <c r="ANS239" s="494"/>
      <c r="ANT239" s="494"/>
      <c r="ANU239" s="494"/>
      <c r="ANV239" s="494"/>
      <c r="ANW239" s="494"/>
      <c r="ANX239" s="494"/>
      <c r="ANY239" s="494"/>
      <c r="ANZ239" s="494"/>
      <c r="AOA239" s="494"/>
      <c r="AOB239" s="494"/>
      <c r="AOC239" s="494"/>
      <c r="AOD239" s="494"/>
      <c r="AOE239" s="494"/>
      <c r="AOF239" s="494"/>
      <c r="AOG239" s="494"/>
      <c r="AOH239" s="494"/>
      <c r="AOI239" s="494"/>
      <c r="AOJ239" s="494"/>
      <c r="AOK239" s="494"/>
      <c r="AOL239" s="494"/>
      <c r="AOM239" s="494"/>
      <c r="AON239" s="494"/>
      <c r="AOO239" s="494"/>
      <c r="AOP239" s="494"/>
      <c r="AOQ239" s="494"/>
      <c r="AOR239" s="494"/>
      <c r="AOS239" s="494"/>
      <c r="AOT239" s="494"/>
      <c r="AOU239" s="494"/>
      <c r="AOV239" s="494"/>
      <c r="AOW239" s="494"/>
      <c r="AOX239" s="494"/>
      <c r="AOY239" s="494"/>
      <c r="AOZ239" s="494"/>
      <c r="APA239" s="494"/>
      <c r="APB239" s="494"/>
      <c r="APC239" s="494"/>
      <c r="APD239" s="494"/>
      <c r="APE239" s="494"/>
      <c r="APF239" s="494"/>
      <c r="APG239" s="494"/>
      <c r="APH239" s="494"/>
      <c r="API239" s="494"/>
      <c r="APJ239" s="494"/>
      <c r="APK239" s="494"/>
      <c r="APL239" s="494"/>
      <c r="APM239" s="494"/>
      <c r="APN239" s="494"/>
      <c r="APO239" s="494"/>
      <c r="APP239" s="494"/>
      <c r="APQ239" s="494"/>
      <c r="APR239" s="494"/>
      <c r="APS239" s="494"/>
      <c r="APT239" s="494"/>
      <c r="APU239" s="494"/>
      <c r="APV239" s="494"/>
      <c r="APW239" s="494"/>
      <c r="APX239" s="494"/>
      <c r="APY239" s="494"/>
      <c r="APZ239" s="494"/>
      <c r="AQA239" s="494"/>
      <c r="AQB239" s="494"/>
      <c r="AQC239" s="494"/>
      <c r="AQD239" s="494"/>
      <c r="AQE239" s="494"/>
      <c r="AQF239" s="494"/>
      <c r="AQG239" s="494"/>
      <c r="AQH239" s="494"/>
      <c r="AQI239" s="494"/>
      <c r="AQJ239" s="494"/>
      <c r="AQK239" s="494"/>
      <c r="AQL239" s="494"/>
      <c r="AQM239" s="494"/>
      <c r="AQN239" s="494"/>
      <c r="AQO239" s="494"/>
      <c r="AQP239" s="494"/>
      <c r="AQQ239" s="494"/>
      <c r="AQR239" s="494"/>
      <c r="AQS239" s="494"/>
      <c r="AQT239" s="494"/>
      <c r="AQU239" s="494"/>
      <c r="AQV239" s="494"/>
      <c r="AQW239" s="494"/>
      <c r="AQX239" s="494"/>
      <c r="AQY239" s="494"/>
      <c r="AQZ239" s="494"/>
      <c r="ARA239" s="494"/>
      <c r="ARB239" s="494"/>
      <c r="ARC239" s="494"/>
      <c r="ARD239" s="494"/>
      <c r="ARE239" s="494"/>
      <c r="ARF239" s="494"/>
      <c r="ARG239" s="494"/>
      <c r="ARH239" s="494"/>
      <c r="ARI239" s="494"/>
      <c r="ARJ239" s="494"/>
      <c r="ARK239" s="494"/>
      <c r="ARL239" s="494"/>
      <c r="ARM239" s="494"/>
      <c r="ARN239" s="494"/>
      <c r="ARO239" s="494"/>
      <c r="ARP239" s="494"/>
      <c r="ARQ239" s="494"/>
      <c r="ARR239" s="494"/>
      <c r="ARS239" s="494"/>
      <c r="ART239" s="494"/>
      <c r="ARU239" s="494"/>
      <c r="ARV239" s="494"/>
      <c r="ARW239" s="494"/>
      <c r="ARX239" s="494"/>
      <c r="ARY239" s="494"/>
      <c r="ARZ239" s="494"/>
      <c r="ASA239" s="494"/>
      <c r="ASB239" s="494"/>
      <c r="ASC239" s="494"/>
      <c r="ASD239" s="494"/>
      <c r="ASE239" s="494"/>
      <c r="ASF239" s="494"/>
      <c r="ASG239" s="494"/>
      <c r="ASH239" s="494"/>
      <c r="ASI239" s="494"/>
      <c r="ASJ239" s="494"/>
      <c r="ASK239" s="494"/>
      <c r="ASL239" s="494"/>
      <c r="ASM239" s="494"/>
      <c r="ASN239" s="494"/>
      <c r="ASO239" s="494"/>
      <c r="ASP239" s="494"/>
      <c r="ASQ239" s="494"/>
      <c r="ASR239" s="494"/>
      <c r="ASS239" s="494"/>
      <c r="AST239" s="494"/>
      <c r="ASU239" s="494"/>
      <c r="ASV239" s="494"/>
      <c r="ASW239" s="494"/>
      <c r="ASX239" s="494"/>
      <c r="ASY239" s="494"/>
      <c r="ASZ239" s="494"/>
      <c r="ATA239" s="494"/>
      <c r="ATB239" s="494"/>
      <c r="ATC239" s="494"/>
      <c r="ATD239" s="494"/>
      <c r="ATE239" s="494"/>
      <c r="ATF239" s="494"/>
      <c r="ATG239" s="494"/>
      <c r="ATH239" s="494"/>
      <c r="ATI239" s="494"/>
      <c r="ATJ239" s="494"/>
      <c r="ATK239" s="494"/>
      <c r="ATL239" s="494"/>
      <c r="ATM239" s="494"/>
      <c r="ATN239" s="494"/>
      <c r="ATO239" s="494"/>
      <c r="ATP239" s="494"/>
      <c r="ATQ239" s="494"/>
      <c r="ATR239" s="494"/>
      <c r="ATS239" s="494"/>
      <c r="ATT239" s="494"/>
      <c r="ATU239" s="494"/>
      <c r="ATV239" s="494"/>
      <c r="ATW239" s="494"/>
      <c r="ATX239" s="494"/>
      <c r="ATY239" s="494"/>
      <c r="ATZ239" s="494"/>
      <c r="AUA239" s="494"/>
      <c r="AUB239" s="494"/>
      <c r="AUC239" s="494"/>
      <c r="AUD239" s="494"/>
      <c r="AUE239" s="494"/>
      <c r="AUF239" s="494"/>
      <c r="AUG239" s="494"/>
      <c r="AUH239" s="494"/>
      <c r="AUI239" s="494"/>
      <c r="AUJ239" s="494"/>
      <c r="AUK239" s="494"/>
      <c r="AUL239" s="494"/>
      <c r="AUM239" s="494"/>
      <c r="AUN239" s="494"/>
      <c r="AUO239" s="494"/>
      <c r="AUP239" s="494"/>
      <c r="AUQ239" s="494"/>
      <c r="AUR239" s="494"/>
      <c r="AUS239" s="494"/>
      <c r="AUT239" s="494"/>
      <c r="AUU239" s="494"/>
      <c r="AUV239" s="494"/>
      <c r="AUW239" s="494"/>
      <c r="AUX239" s="494"/>
      <c r="AUY239" s="494"/>
      <c r="AUZ239" s="494"/>
      <c r="AVA239" s="494"/>
      <c r="AVB239" s="494"/>
      <c r="AVC239" s="494"/>
      <c r="AVD239" s="494"/>
      <c r="AVE239" s="494"/>
      <c r="AVF239" s="494"/>
      <c r="AVG239" s="494"/>
      <c r="AVH239" s="494"/>
      <c r="AVI239" s="494"/>
      <c r="AVJ239" s="494"/>
      <c r="AVK239" s="494"/>
      <c r="AVL239" s="494"/>
      <c r="AVM239" s="494"/>
      <c r="AVN239" s="494"/>
      <c r="AVO239" s="494"/>
      <c r="AVP239" s="494"/>
      <c r="AVQ239" s="494"/>
      <c r="AVR239" s="494"/>
      <c r="AVS239" s="494"/>
      <c r="AVT239" s="494"/>
      <c r="AVU239" s="494"/>
      <c r="AVV239" s="494"/>
      <c r="AVW239" s="494"/>
      <c r="AVX239" s="494"/>
      <c r="AVY239" s="494"/>
      <c r="AVZ239" s="494"/>
      <c r="AWA239" s="494"/>
      <c r="AWB239" s="494"/>
      <c r="AWC239" s="494"/>
      <c r="AWD239" s="494"/>
      <c r="AWE239" s="494"/>
      <c r="AWF239" s="494"/>
      <c r="AWG239" s="494"/>
      <c r="AWH239" s="494"/>
      <c r="AWI239" s="494"/>
      <c r="AWJ239" s="494"/>
      <c r="AWK239" s="494"/>
      <c r="AWL239" s="494"/>
      <c r="AWM239" s="494"/>
      <c r="AWN239" s="494"/>
      <c r="AWO239" s="494"/>
      <c r="AWP239" s="494"/>
      <c r="AWQ239" s="494"/>
      <c r="AWR239" s="494"/>
      <c r="AWS239" s="494"/>
      <c r="AWT239" s="494"/>
      <c r="AWU239" s="494"/>
      <c r="AWV239" s="494"/>
      <c r="AWW239" s="494"/>
      <c r="AWX239" s="494"/>
      <c r="AWY239" s="494"/>
      <c r="AWZ239" s="494"/>
      <c r="AXA239" s="494"/>
      <c r="AXB239" s="494"/>
      <c r="AXC239" s="494"/>
      <c r="AXD239" s="494"/>
      <c r="AXE239" s="494"/>
      <c r="AXF239" s="494"/>
      <c r="AXG239" s="494"/>
      <c r="AXH239" s="494"/>
      <c r="AXI239" s="494"/>
      <c r="AXJ239" s="494"/>
      <c r="AXK239" s="494"/>
      <c r="AXL239" s="494"/>
      <c r="AXM239" s="494"/>
      <c r="AXN239" s="494"/>
      <c r="AXO239" s="494"/>
      <c r="AXP239" s="494"/>
      <c r="AXQ239" s="494"/>
      <c r="AXR239" s="494"/>
      <c r="AXS239" s="494"/>
      <c r="AXT239" s="494"/>
      <c r="AXU239" s="494"/>
      <c r="AXV239" s="494"/>
      <c r="AXW239" s="494"/>
      <c r="AXX239" s="494"/>
      <c r="AXY239" s="494"/>
      <c r="AXZ239" s="494"/>
      <c r="AYA239" s="494"/>
      <c r="AYB239" s="494"/>
      <c r="AYC239" s="494"/>
      <c r="AYD239" s="494"/>
      <c r="AYE239" s="494"/>
      <c r="AYF239" s="494"/>
      <c r="AYG239" s="494"/>
      <c r="AYH239" s="494"/>
      <c r="AYI239" s="494"/>
      <c r="AYJ239" s="494"/>
      <c r="AYK239" s="494"/>
      <c r="AYL239" s="494"/>
      <c r="AYM239" s="494"/>
      <c r="AYN239" s="494"/>
      <c r="AYO239" s="494"/>
      <c r="AYP239" s="494"/>
      <c r="AYQ239" s="494"/>
      <c r="AYR239" s="494"/>
      <c r="AYS239" s="494"/>
      <c r="AYT239" s="494"/>
      <c r="AYU239" s="494"/>
      <c r="AYV239" s="494"/>
      <c r="AYW239" s="494"/>
      <c r="AYX239" s="494"/>
      <c r="AYY239" s="494"/>
      <c r="AYZ239" s="494"/>
      <c r="AZA239" s="494"/>
      <c r="AZB239" s="494"/>
      <c r="AZC239" s="494"/>
      <c r="AZD239" s="494"/>
      <c r="AZE239" s="494"/>
      <c r="AZF239" s="494"/>
      <c r="AZG239" s="494"/>
      <c r="AZH239" s="494"/>
      <c r="AZI239" s="494"/>
      <c r="AZJ239" s="494"/>
      <c r="AZK239" s="494"/>
      <c r="AZL239" s="494"/>
      <c r="AZM239" s="494"/>
      <c r="AZN239" s="494"/>
      <c r="AZO239" s="494"/>
      <c r="AZP239" s="494"/>
      <c r="AZQ239" s="494"/>
      <c r="AZR239" s="494"/>
      <c r="AZS239" s="494"/>
      <c r="AZT239" s="494"/>
      <c r="AZU239" s="494"/>
      <c r="AZV239" s="494"/>
      <c r="AZW239" s="494"/>
      <c r="AZX239" s="494"/>
      <c r="AZY239" s="494"/>
      <c r="AZZ239" s="494"/>
      <c r="BAA239" s="494"/>
      <c r="BAB239" s="494"/>
      <c r="BAC239" s="494"/>
      <c r="BAD239" s="494"/>
      <c r="BAE239" s="494"/>
      <c r="BAF239" s="494"/>
      <c r="BAG239" s="494"/>
      <c r="BAH239" s="494"/>
      <c r="BAI239" s="494"/>
      <c r="BAJ239" s="494"/>
      <c r="BAK239" s="494"/>
      <c r="BAL239" s="494"/>
      <c r="BAM239" s="494"/>
      <c r="BAN239" s="494"/>
      <c r="BAO239" s="494"/>
      <c r="BAP239" s="494"/>
      <c r="BAQ239" s="494"/>
      <c r="BAR239" s="494"/>
      <c r="BAS239" s="494"/>
      <c r="BAT239" s="494"/>
      <c r="BAU239" s="494"/>
      <c r="BAV239" s="494"/>
      <c r="BAW239" s="494"/>
      <c r="BAX239" s="494"/>
      <c r="BAY239" s="494"/>
      <c r="BAZ239" s="494"/>
      <c r="BBA239" s="494"/>
      <c r="BBB239" s="494"/>
      <c r="BBC239" s="494"/>
      <c r="BBD239" s="494"/>
      <c r="BBE239" s="494"/>
      <c r="BBF239" s="494"/>
      <c r="BBG239" s="494"/>
      <c r="BBH239" s="494"/>
      <c r="BBI239" s="494"/>
      <c r="BBJ239" s="494"/>
      <c r="BBK239" s="494"/>
      <c r="BBL239" s="494"/>
      <c r="BBM239" s="494"/>
      <c r="BBN239" s="494"/>
      <c r="BBO239" s="494"/>
      <c r="BBP239" s="494"/>
      <c r="BBQ239" s="494"/>
      <c r="BBR239" s="494"/>
      <c r="BBS239" s="494"/>
      <c r="BBT239" s="494"/>
      <c r="BBU239" s="494"/>
      <c r="BBV239" s="494"/>
      <c r="BBW239" s="494"/>
      <c r="BBX239" s="494"/>
      <c r="BBY239" s="494"/>
      <c r="BBZ239" s="494"/>
      <c r="BCA239" s="494"/>
      <c r="BCB239" s="494"/>
      <c r="BCC239" s="494"/>
      <c r="BCD239" s="494"/>
      <c r="BCE239" s="494"/>
      <c r="BCF239" s="494"/>
      <c r="BCG239" s="494"/>
      <c r="BCH239" s="494"/>
      <c r="BCI239" s="494"/>
      <c r="BCJ239" s="494"/>
      <c r="BCK239" s="494"/>
      <c r="BCL239" s="494"/>
      <c r="BCM239" s="494"/>
      <c r="BCN239" s="494"/>
      <c r="BCO239" s="494"/>
      <c r="BCP239" s="494"/>
      <c r="BCQ239" s="494"/>
      <c r="BCR239" s="494"/>
      <c r="BCS239" s="494"/>
      <c r="BCT239" s="494"/>
      <c r="BCU239" s="494"/>
      <c r="BCV239" s="494"/>
      <c r="BCW239" s="494"/>
      <c r="BCX239" s="494"/>
      <c r="BCY239" s="494"/>
      <c r="BCZ239" s="494"/>
      <c r="BDA239" s="494"/>
      <c r="BDB239" s="494"/>
      <c r="BDC239" s="494"/>
      <c r="BDD239" s="494"/>
      <c r="BDE239" s="494"/>
      <c r="BDF239" s="494"/>
      <c r="BDG239" s="494"/>
      <c r="BDH239" s="494"/>
      <c r="BDI239" s="494"/>
      <c r="BDJ239" s="494"/>
      <c r="BDK239" s="494"/>
      <c r="BDL239" s="494"/>
      <c r="BDM239" s="494"/>
      <c r="BDN239" s="494"/>
      <c r="BDO239" s="494"/>
      <c r="BDP239" s="494"/>
      <c r="BDQ239" s="494"/>
      <c r="BDR239" s="494"/>
      <c r="BDS239" s="494"/>
      <c r="BDT239" s="494"/>
      <c r="BDU239" s="494"/>
      <c r="BDV239" s="494"/>
      <c r="BDW239" s="494"/>
      <c r="BDX239" s="494"/>
      <c r="BDY239" s="494"/>
      <c r="BDZ239" s="494"/>
      <c r="BEA239" s="494"/>
      <c r="BEB239" s="494"/>
      <c r="BEC239" s="494"/>
      <c r="BED239" s="494"/>
      <c r="BEE239" s="494"/>
      <c r="BEF239" s="494"/>
      <c r="BEG239" s="494"/>
      <c r="BEH239" s="494"/>
      <c r="BEI239" s="494"/>
      <c r="BEJ239" s="494"/>
      <c r="BEK239" s="494"/>
      <c r="BEL239" s="494"/>
      <c r="BEM239" s="494"/>
      <c r="BEN239" s="494"/>
      <c r="BEO239" s="494"/>
      <c r="BEP239" s="494"/>
      <c r="BEQ239" s="494"/>
      <c r="BER239" s="494"/>
      <c r="BES239" s="494"/>
      <c r="BET239" s="494"/>
      <c r="BEU239" s="494"/>
      <c r="BEV239" s="494"/>
      <c r="BEW239" s="494"/>
      <c r="BEX239" s="494"/>
      <c r="BEY239" s="494"/>
      <c r="BEZ239" s="494"/>
      <c r="BFA239" s="494"/>
      <c r="BFB239" s="494"/>
      <c r="BFC239" s="494"/>
      <c r="BFD239" s="494"/>
      <c r="BFE239" s="494"/>
      <c r="BFF239" s="494"/>
      <c r="BFG239" s="494"/>
      <c r="BFH239" s="494"/>
      <c r="BFI239" s="494"/>
      <c r="BFJ239" s="494"/>
      <c r="BFK239" s="494"/>
      <c r="BFL239" s="494"/>
      <c r="BFM239" s="494"/>
      <c r="BFN239" s="494"/>
      <c r="BFO239" s="494"/>
      <c r="BFP239" s="494"/>
      <c r="BFQ239" s="494"/>
      <c r="BFR239" s="494"/>
      <c r="BFS239" s="494"/>
      <c r="BFT239" s="494"/>
      <c r="BFU239" s="494"/>
      <c r="BFV239" s="494"/>
      <c r="BFW239" s="494"/>
      <c r="BFX239" s="494"/>
      <c r="BFY239" s="494"/>
      <c r="BFZ239" s="494"/>
      <c r="BGA239" s="494"/>
      <c r="BGB239" s="494"/>
      <c r="BGC239" s="494"/>
      <c r="BGD239" s="494"/>
      <c r="BGE239" s="494"/>
      <c r="BGF239" s="494"/>
      <c r="BGG239" s="494"/>
      <c r="BGH239" s="494"/>
      <c r="BGI239" s="494"/>
      <c r="BGJ239" s="494"/>
      <c r="BGK239" s="494"/>
      <c r="BGL239" s="494"/>
      <c r="BGM239" s="494"/>
      <c r="BGN239" s="494"/>
      <c r="BGO239" s="494"/>
      <c r="BGP239" s="494"/>
      <c r="BGQ239" s="494"/>
      <c r="BGR239" s="494"/>
      <c r="BGS239" s="494"/>
      <c r="BGT239" s="494"/>
      <c r="BGU239" s="494"/>
      <c r="BGV239" s="494"/>
      <c r="BGW239" s="494"/>
      <c r="BGX239" s="494"/>
      <c r="BGY239" s="494"/>
      <c r="BGZ239" s="494"/>
      <c r="BHA239" s="494"/>
      <c r="BHB239" s="494"/>
      <c r="BHC239" s="494"/>
      <c r="BHD239" s="494"/>
      <c r="BHE239" s="494"/>
      <c r="BHF239" s="494"/>
      <c r="BHG239" s="494"/>
      <c r="BHH239" s="494"/>
      <c r="BHI239" s="494"/>
      <c r="BHJ239" s="494"/>
      <c r="BHK239" s="494"/>
      <c r="BHL239" s="494"/>
      <c r="BHM239" s="494"/>
      <c r="BHN239" s="494"/>
      <c r="BHO239" s="494"/>
      <c r="BHP239" s="494"/>
      <c r="BHQ239" s="494"/>
      <c r="BHR239" s="494"/>
      <c r="BHS239" s="494"/>
      <c r="BHT239" s="494"/>
      <c r="BHU239" s="494"/>
      <c r="BHV239" s="494"/>
      <c r="BHW239" s="494"/>
      <c r="BHX239" s="494"/>
      <c r="BHY239" s="494"/>
      <c r="BHZ239" s="494"/>
      <c r="BIA239" s="494"/>
      <c r="BIB239" s="494"/>
      <c r="BIC239" s="494"/>
      <c r="BID239" s="494"/>
      <c r="BIE239" s="494"/>
      <c r="BIF239" s="494"/>
      <c r="BIG239" s="494"/>
      <c r="BIH239" s="494"/>
      <c r="BII239" s="494"/>
      <c r="BIJ239" s="494"/>
      <c r="BIK239" s="494"/>
      <c r="BIL239" s="494"/>
      <c r="BIM239" s="494"/>
      <c r="BIN239" s="494"/>
      <c r="BIO239" s="494"/>
      <c r="BIP239" s="494"/>
      <c r="BIQ239" s="494"/>
      <c r="BIR239" s="494"/>
      <c r="BIS239" s="494"/>
      <c r="BIT239" s="494"/>
      <c r="BIU239" s="494"/>
      <c r="BIV239" s="494"/>
      <c r="BIW239" s="494"/>
      <c r="BIX239" s="494"/>
      <c r="BIY239" s="494"/>
      <c r="BIZ239" s="494"/>
      <c r="BJA239" s="494"/>
      <c r="BJB239" s="494"/>
      <c r="BJC239" s="494"/>
      <c r="BJD239" s="494"/>
      <c r="BJE239" s="494"/>
      <c r="BJF239" s="494"/>
      <c r="BJG239" s="494"/>
      <c r="BJH239" s="494"/>
      <c r="BJI239" s="494"/>
      <c r="BJJ239" s="494"/>
      <c r="BJK239" s="494"/>
      <c r="BJL239" s="494"/>
      <c r="BJM239" s="494"/>
      <c r="BJN239" s="494"/>
      <c r="BJO239" s="494"/>
      <c r="BJP239" s="494"/>
      <c r="BJQ239" s="494"/>
      <c r="BJR239" s="494"/>
      <c r="BJS239" s="494"/>
      <c r="BJT239" s="494"/>
      <c r="BJU239" s="494"/>
      <c r="BJV239" s="494"/>
      <c r="BJW239" s="494"/>
      <c r="BJX239" s="494"/>
      <c r="BJY239" s="494"/>
      <c r="BJZ239" s="494"/>
      <c r="BKA239" s="494"/>
      <c r="BKB239" s="494"/>
      <c r="BKC239" s="494"/>
      <c r="BKD239" s="494"/>
      <c r="BKE239" s="494"/>
      <c r="BKF239" s="494"/>
      <c r="BKG239" s="494"/>
      <c r="BKH239" s="494"/>
      <c r="BKI239" s="494"/>
      <c r="BKJ239" s="494"/>
      <c r="BKK239" s="494"/>
      <c r="BKL239" s="494"/>
      <c r="BKM239" s="494"/>
      <c r="BKN239" s="494"/>
      <c r="BKO239" s="494"/>
      <c r="BKP239" s="494"/>
      <c r="BKQ239" s="494"/>
      <c r="BKR239" s="494"/>
      <c r="BKS239" s="494"/>
      <c r="BKT239" s="494"/>
      <c r="BKU239" s="494"/>
      <c r="BKV239" s="494"/>
      <c r="BKW239" s="494"/>
      <c r="BKX239" s="494"/>
      <c r="BKY239" s="494"/>
      <c r="BKZ239" s="494"/>
      <c r="BLA239" s="494"/>
      <c r="BLB239" s="494"/>
      <c r="BLC239" s="494"/>
      <c r="BLD239" s="494"/>
      <c r="BLE239" s="494"/>
      <c r="BLF239" s="494"/>
      <c r="BLG239" s="494"/>
      <c r="BLH239" s="494"/>
      <c r="BLI239" s="494"/>
      <c r="BLJ239" s="494"/>
      <c r="BLK239" s="494"/>
      <c r="BLL239" s="494"/>
      <c r="BLM239" s="494"/>
      <c r="BLN239" s="494"/>
      <c r="BLO239" s="494"/>
      <c r="BLP239" s="494"/>
      <c r="BLQ239" s="494"/>
      <c r="BLR239" s="494"/>
      <c r="BLS239" s="494"/>
      <c r="BLT239" s="494"/>
      <c r="BLU239" s="494"/>
      <c r="BLV239" s="494"/>
      <c r="BLW239" s="494"/>
      <c r="BLX239" s="494"/>
      <c r="BLY239" s="494"/>
      <c r="BLZ239" s="494"/>
      <c r="BMA239" s="494"/>
      <c r="BMB239" s="494"/>
      <c r="BMC239" s="494"/>
      <c r="BMD239" s="494"/>
      <c r="BME239" s="494"/>
      <c r="BMF239" s="494"/>
      <c r="BMG239" s="494"/>
      <c r="BMH239" s="494"/>
      <c r="BMI239" s="494"/>
      <c r="BMJ239" s="494"/>
      <c r="BMK239" s="494"/>
      <c r="BML239" s="494"/>
      <c r="BMM239" s="494"/>
      <c r="BMN239" s="494"/>
      <c r="BMO239" s="494"/>
      <c r="BMP239" s="494"/>
      <c r="BMQ239" s="494"/>
      <c r="BMR239" s="494"/>
      <c r="BMS239" s="494"/>
      <c r="BMT239" s="494"/>
      <c r="BMU239" s="494"/>
      <c r="BMV239" s="494"/>
      <c r="BMW239" s="494"/>
      <c r="BMX239" s="494"/>
      <c r="BMY239" s="494"/>
      <c r="BMZ239" s="494"/>
      <c r="BNA239" s="494"/>
      <c r="BNB239" s="494"/>
      <c r="BNC239" s="494"/>
      <c r="BND239" s="494"/>
      <c r="BNE239" s="494"/>
      <c r="BNF239" s="494"/>
      <c r="BNG239" s="494"/>
      <c r="BNH239" s="494"/>
      <c r="BNI239" s="494"/>
      <c r="BNJ239" s="494"/>
      <c r="BNK239" s="494"/>
      <c r="BNL239" s="494"/>
      <c r="BNM239" s="494"/>
      <c r="BNN239" s="494"/>
      <c r="BNO239" s="494"/>
      <c r="BNP239" s="494"/>
      <c r="BNQ239" s="494"/>
      <c r="BNR239" s="494"/>
      <c r="BNS239" s="494"/>
      <c r="BNT239" s="494"/>
      <c r="BNU239" s="494"/>
      <c r="BNV239" s="494"/>
      <c r="BNW239" s="494"/>
      <c r="BNX239" s="494"/>
      <c r="BNY239" s="494"/>
      <c r="BNZ239" s="494"/>
      <c r="BOA239" s="494"/>
      <c r="BOB239" s="494"/>
      <c r="BOC239" s="494"/>
      <c r="BOD239" s="494"/>
      <c r="BOE239" s="494"/>
      <c r="BOF239" s="494"/>
      <c r="BOG239" s="494"/>
      <c r="BOH239" s="494"/>
      <c r="BOI239" s="494"/>
      <c r="BOJ239" s="494"/>
      <c r="BOK239" s="494"/>
      <c r="BOL239" s="494"/>
      <c r="BOM239" s="494"/>
      <c r="BON239" s="494"/>
      <c r="BOO239" s="494"/>
      <c r="BOP239" s="494"/>
      <c r="BOQ239" s="494"/>
      <c r="BOR239" s="494"/>
      <c r="BOS239" s="494"/>
      <c r="BOT239" s="494"/>
      <c r="BOU239" s="494"/>
      <c r="BOV239" s="494"/>
      <c r="BOW239" s="494"/>
      <c r="BOX239" s="494"/>
      <c r="BOY239" s="494"/>
      <c r="BOZ239" s="494"/>
      <c r="BPA239" s="494"/>
      <c r="BPB239" s="494"/>
      <c r="BPC239" s="494"/>
      <c r="BPD239" s="494"/>
      <c r="BPE239" s="494"/>
      <c r="BPF239" s="494"/>
      <c r="BPG239" s="494"/>
      <c r="BPH239" s="494"/>
      <c r="BPI239" s="494"/>
      <c r="BPJ239" s="494"/>
      <c r="BPK239" s="494"/>
      <c r="BPL239" s="494"/>
      <c r="BPM239" s="494"/>
      <c r="BPN239" s="494"/>
      <c r="BPO239" s="494"/>
      <c r="BPP239" s="494"/>
      <c r="BPQ239" s="494"/>
      <c r="BPR239" s="494"/>
      <c r="BPS239" s="494"/>
      <c r="BPT239" s="494"/>
      <c r="BPU239" s="494"/>
      <c r="BPV239" s="494"/>
      <c r="BPW239" s="494"/>
      <c r="BPX239" s="494"/>
      <c r="BPY239" s="494"/>
      <c r="BPZ239" s="494"/>
      <c r="BQA239" s="494"/>
      <c r="BQB239" s="494"/>
      <c r="BQC239" s="494"/>
      <c r="BQD239" s="494"/>
      <c r="BQE239" s="494"/>
      <c r="BQF239" s="494"/>
      <c r="BQG239" s="494"/>
      <c r="BQH239" s="494"/>
      <c r="BQI239" s="494"/>
      <c r="BQJ239" s="494"/>
      <c r="BQK239" s="494"/>
      <c r="BQL239" s="494"/>
      <c r="BQM239" s="494"/>
      <c r="BQN239" s="494"/>
      <c r="BQO239" s="494"/>
      <c r="BQP239" s="494"/>
      <c r="BQQ239" s="494"/>
      <c r="BQR239" s="494"/>
      <c r="BQS239" s="494"/>
      <c r="BQT239" s="494"/>
      <c r="BQU239" s="494"/>
      <c r="BQV239" s="494"/>
      <c r="BQW239" s="494"/>
      <c r="BQX239" s="494"/>
      <c r="BQY239" s="494"/>
      <c r="BQZ239" s="494"/>
      <c r="BRA239" s="494"/>
      <c r="BRB239" s="494"/>
      <c r="BRC239" s="494"/>
      <c r="BRD239" s="494"/>
      <c r="BRE239" s="494"/>
      <c r="BRF239" s="494"/>
      <c r="BRG239" s="494"/>
      <c r="BRH239" s="494"/>
      <c r="BRI239" s="494"/>
      <c r="BRJ239" s="494"/>
      <c r="BRK239" s="494"/>
      <c r="BRL239" s="494"/>
      <c r="BRM239" s="494"/>
      <c r="BRN239" s="494"/>
      <c r="BRO239" s="494"/>
      <c r="BRP239" s="494"/>
      <c r="BRQ239" s="494"/>
      <c r="BRR239" s="494"/>
      <c r="BRS239" s="494"/>
      <c r="BRT239" s="494"/>
      <c r="BRU239" s="494"/>
      <c r="BRV239" s="494"/>
      <c r="BRW239" s="494"/>
      <c r="BRX239" s="494"/>
      <c r="BRY239" s="494"/>
      <c r="BRZ239" s="494"/>
      <c r="BSA239" s="494"/>
      <c r="BSB239" s="494"/>
      <c r="BSC239" s="494"/>
      <c r="BSD239" s="494"/>
      <c r="BSE239" s="494"/>
      <c r="BSF239" s="494"/>
      <c r="BSG239" s="494"/>
      <c r="BSH239" s="494"/>
      <c r="BSI239" s="494"/>
      <c r="BSJ239" s="494"/>
      <c r="BSK239" s="494"/>
      <c r="BSL239" s="494"/>
      <c r="BSM239" s="494"/>
      <c r="BSN239" s="494"/>
      <c r="BSO239" s="494"/>
      <c r="BSP239" s="494"/>
      <c r="BSQ239" s="494"/>
      <c r="BSR239" s="494"/>
      <c r="BSS239" s="494"/>
      <c r="BST239" s="494"/>
      <c r="BSU239" s="494"/>
      <c r="BSV239" s="494"/>
      <c r="BSW239" s="494"/>
      <c r="BSX239" s="494"/>
      <c r="BSY239" s="494"/>
      <c r="BSZ239" s="494"/>
      <c r="BTA239" s="494"/>
      <c r="BTB239" s="494"/>
      <c r="BTC239" s="494"/>
      <c r="BTD239" s="494"/>
      <c r="BTE239" s="494"/>
      <c r="BTF239" s="494"/>
      <c r="BTG239" s="494"/>
      <c r="BTH239" s="494"/>
      <c r="BTI239" s="494"/>
      <c r="BTJ239" s="494"/>
      <c r="BTK239" s="494"/>
      <c r="BTL239" s="494"/>
      <c r="BTM239" s="494"/>
      <c r="BTN239" s="494"/>
      <c r="BTO239" s="494"/>
      <c r="BTP239" s="494"/>
      <c r="BTQ239" s="494"/>
      <c r="BTR239" s="494"/>
      <c r="BTS239" s="494"/>
      <c r="BTT239" s="494"/>
      <c r="BTU239" s="494"/>
      <c r="BTV239" s="494"/>
      <c r="BTW239" s="494"/>
      <c r="BTX239" s="494"/>
      <c r="BTY239" s="494"/>
      <c r="BTZ239" s="494"/>
      <c r="BUA239" s="494"/>
      <c r="BUB239" s="494"/>
      <c r="BUC239" s="494"/>
      <c r="BUD239" s="494"/>
      <c r="BUE239" s="494"/>
      <c r="BUF239" s="494"/>
      <c r="BUG239" s="494"/>
      <c r="BUH239" s="494"/>
      <c r="BUI239" s="494"/>
      <c r="BUJ239" s="494"/>
      <c r="BUK239" s="494"/>
      <c r="BUL239" s="494"/>
      <c r="BUM239" s="494"/>
      <c r="BUN239" s="494"/>
      <c r="BUO239" s="494"/>
      <c r="BUP239" s="494"/>
      <c r="BUQ239" s="494"/>
      <c r="BUR239" s="494"/>
      <c r="BUS239" s="494"/>
      <c r="BUT239" s="494"/>
      <c r="BUU239" s="494"/>
      <c r="BUV239" s="494"/>
      <c r="BUW239" s="494"/>
      <c r="BUX239" s="494"/>
      <c r="BUY239" s="494"/>
      <c r="BUZ239" s="494"/>
      <c r="BVA239" s="494"/>
      <c r="BVB239" s="494"/>
      <c r="BVC239" s="494"/>
      <c r="BVD239" s="494"/>
      <c r="BVE239" s="494"/>
      <c r="BVF239" s="494"/>
      <c r="BVG239" s="494"/>
      <c r="BVH239" s="494"/>
      <c r="BVI239" s="494"/>
      <c r="BVJ239" s="494"/>
      <c r="BVK239" s="494"/>
      <c r="BVL239" s="494"/>
      <c r="BVM239" s="494"/>
      <c r="BVN239" s="494"/>
      <c r="BVO239" s="494"/>
      <c r="BVP239" s="494"/>
      <c r="BVQ239" s="494"/>
      <c r="BVR239" s="494"/>
      <c r="BVS239" s="494"/>
      <c r="BVT239" s="494"/>
      <c r="BVU239" s="494"/>
      <c r="BVV239" s="494"/>
      <c r="BVW239" s="494"/>
      <c r="BVX239" s="494"/>
      <c r="BVY239" s="494"/>
      <c r="BVZ239" s="494"/>
      <c r="BWA239" s="494"/>
      <c r="BWB239" s="494"/>
      <c r="BWC239" s="494"/>
      <c r="BWD239" s="494"/>
      <c r="BWE239" s="494"/>
      <c r="BWF239" s="494"/>
      <c r="BWG239" s="494"/>
      <c r="BWH239" s="494"/>
      <c r="BWI239" s="494"/>
      <c r="BWJ239" s="494"/>
      <c r="BWK239" s="494"/>
      <c r="BWL239" s="494"/>
      <c r="BWM239" s="494"/>
      <c r="BWN239" s="494"/>
      <c r="BWO239" s="494"/>
      <c r="BWP239" s="494"/>
      <c r="BWQ239" s="494"/>
      <c r="BWR239" s="494"/>
      <c r="BWS239" s="494"/>
      <c r="BWT239" s="494"/>
      <c r="BWU239" s="494"/>
      <c r="BWV239" s="494"/>
      <c r="BWW239" s="494"/>
      <c r="BWX239" s="494"/>
      <c r="BWY239" s="494"/>
      <c r="BWZ239" s="494"/>
      <c r="BXA239" s="494"/>
      <c r="BXB239" s="494"/>
      <c r="BXC239" s="494"/>
      <c r="BXD239" s="494"/>
      <c r="BXE239" s="494"/>
      <c r="BXF239" s="494"/>
      <c r="BXG239" s="494"/>
      <c r="BXH239" s="494"/>
      <c r="BXI239" s="494"/>
      <c r="BXJ239" s="494"/>
      <c r="BXK239" s="494"/>
      <c r="BXL239" s="494"/>
      <c r="BXM239" s="494"/>
      <c r="BXN239" s="494"/>
      <c r="BXO239" s="494"/>
      <c r="BXP239" s="494"/>
      <c r="BXQ239" s="494"/>
      <c r="BXR239" s="494"/>
      <c r="BXS239" s="494"/>
      <c r="BXT239" s="494"/>
      <c r="BXU239" s="494"/>
      <c r="BXV239" s="494"/>
      <c r="BXW239" s="494"/>
      <c r="BXX239" s="494"/>
      <c r="BXY239" s="494"/>
      <c r="BXZ239" s="494"/>
      <c r="BYA239" s="494"/>
      <c r="BYB239" s="494"/>
      <c r="BYC239" s="494"/>
      <c r="BYD239" s="494"/>
      <c r="BYE239" s="494"/>
      <c r="BYF239" s="494"/>
      <c r="BYG239" s="494"/>
      <c r="BYH239" s="494"/>
      <c r="BYI239" s="494"/>
      <c r="BYJ239" s="494"/>
      <c r="BYK239" s="494"/>
      <c r="BYL239" s="494"/>
      <c r="BYM239" s="494"/>
      <c r="BYN239" s="494"/>
      <c r="BYO239" s="494"/>
      <c r="BYP239" s="494"/>
      <c r="BYQ239" s="494"/>
      <c r="BYR239" s="494"/>
      <c r="BYS239" s="494"/>
      <c r="BYT239" s="494"/>
      <c r="BYU239" s="494"/>
      <c r="BYV239" s="494"/>
      <c r="BYW239" s="494"/>
      <c r="BYX239" s="494"/>
      <c r="BYY239" s="494"/>
      <c r="BYZ239" s="494"/>
      <c r="BZA239" s="494"/>
      <c r="BZB239" s="494"/>
      <c r="BZC239" s="494"/>
      <c r="BZD239" s="494"/>
      <c r="BZE239" s="494"/>
      <c r="BZF239" s="494"/>
      <c r="BZG239" s="494"/>
      <c r="BZH239" s="494"/>
      <c r="BZI239" s="494"/>
      <c r="BZJ239" s="494"/>
      <c r="BZK239" s="494"/>
      <c r="BZL239" s="494"/>
      <c r="BZM239" s="494"/>
      <c r="BZN239" s="494"/>
      <c r="BZO239" s="494"/>
      <c r="BZP239" s="494"/>
      <c r="BZQ239" s="494"/>
      <c r="BZR239" s="494"/>
      <c r="BZS239" s="494"/>
      <c r="BZT239" s="494"/>
      <c r="BZU239" s="494"/>
      <c r="BZV239" s="494"/>
      <c r="BZW239" s="494"/>
      <c r="BZX239" s="494"/>
      <c r="BZY239" s="494"/>
      <c r="BZZ239" s="494"/>
      <c r="CAA239" s="494"/>
      <c r="CAB239" s="494"/>
      <c r="CAC239" s="494"/>
      <c r="CAD239" s="494"/>
      <c r="CAE239" s="494"/>
      <c r="CAF239" s="494"/>
      <c r="CAG239" s="494"/>
      <c r="CAH239" s="494"/>
      <c r="CAI239" s="494"/>
      <c r="CAJ239" s="494"/>
      <c r="CAK239" s="494"/>
      <c r="CAL239" s="494"/>
      <c r="CAM239" s="494"/>
      <c r="CAN239" s="494"/>
      <c r="CAO239" s="494"/>
      <c r="CAP239" s="494"/>
      <c r="CAQ239" s="494"/>
      <c r="CAR239" s="494"/>
      <c r="CAS239" s="494"/>
      <c r="CAT239" s="494"/>
      <c r="CAU239" s="494"/>
      <c r="CAV239" s="494"/>
      <c r="CAW239" s="494"/>
      <c r="CAX239" s="494"/>
      <c r="CAY239" s="494"/>
      <c r="CAZ239" s="494"/>
      <c r="CBA239" s="494"/>
      <c r="CBB239" s="494"/>
      <c r="CBC239" s="494"/>
      <c r="CBD239" s="494"/>
      <c r="CBE239" s="494"/>
      <c r="CBF239" s="494"/>
      <c r="CBG239" s="494"/>
      <c r="CBH239" s="494"/>
      <c r="CBI239" s="494"/>
      <c r="CBJ239" s="494"/>
      <c r="CBK239" s="494"/>
      <c r="CBL239" s="494"/>
      <c r="CBM239" s="494"/>
      <c r="CBN239" s="494"/>
      <c r="CBO239" s="494"/>
      <c r="CBP239" s="494"/>
      <c r="CBQ239" s="494"/>
      <c r="CBR239" s="494"/>
      <c r="CBS239" s="494"/>
      <c r="CBT239" s="494"/>
      <c r="CBU239" s="494"/>
      <c r="CBV239" s="494"/>
      <c r="CBW239" s="494"/>
      <c r="CBX239" s="494"/>
      <c r="CBY239" s="494"/>
      <c r="CBZ239" s="494"/>
      <c r="CCA239" s="494"/>
      <c r="CCB239" s="494"/>
      <c r="CCC239" s="494"/>
      <c r="CCD239" s="494"/>
      <c r="CCE239" s="494"/>
      <c r="CCF239" s="494"/>
      <c r="CCG239" s="494"/>
      <c r="CCH239" s="494"/>
      <c r="CCI239" s="494"/>
      <c r="CCJ239" s="494"/>
      <c r="CCK239" s="494"/>
      <c r="CCL239" s="494"/>
      <c r="CCM239" s="494"/>
      <c r="CCN239" s="494"/>
      <c r="CCO239" s="494"/>
      <c r="CCP239" s="494"/>
      <c r="CCQ239" s="494"/>
      <c r="CCR239" s="494"/>
      <c r="CCS239" s="494"/>
      <c r="CCT239" s="494"/>
      <c r="CCU239" s="494"/>
      <c r="CCV239" s="494"/>
      <c r="CCW239" s="494"/>
      <c r="CCX239" s="494"/>
      <c r="CCY239" s="494"/>
      <c r="CCZ239" s="494"/>
      <c r="CDA239" s="494"/>
      <c r="CDB239" s="494"/>
      <c r="CDC239" s="494"/>
      <c r="CDD239" s="494"/>
      <c r="CDE239" s="494"/>
      <c r="CDF239" s="494"/>
      <c r="CDG239" s="494"/>
      <c r="CDH239" s="494"/>
      <c r="CDI239" s="494"/>
      <c r="CDJ239" s="494"/>
      <c r="CDK239" s="494"/>
      <c r="CDL239" s="494"/>
      <c r="CDM239" s="494"/>
      <c r="CDN239" s="494"/>
      <c r="CDO239" s="494"/>
      <c r="CDP239" s="494"/>
      <c r="CDQ239" s="494"/>
      <c r="CDR239" s="494"/>
      <c r="CDS239" s="494"/>
      <c r="CDT239" s="494"/>
      <c r="CDU239" s="494"/>
      <c r="CDV239" s="494"/>
      <c r="CDW239" s="494"/>
      <c r="CDX239" s="494"/>
      <c r="CDY239" s="494"/>
      <c r="CDZ239" s="494"/>
      <c r="CEA239" s="494"/>
      <c r="CEB239" s="494"/>
      <c r="CEC239" s="494"/>
      <c r="CED239" s="494"/>
      <c r="CEE239" s="494"/>
      <c r="CEF239" s="494"/>
      <c r="CEG239" s="494"/>
      <c r="CEH239" s="494"/>
      <c r="CEI239" s="494"/>
      <c r="CEJ239" s="494"/>
      <c r="CEK239" s="494"/>
      <c r="CEL239" s="494"/>
      <c r="CEM239" s="494"/>
      <c r="CEN239" s="494"/>
      <c r="CEO239" s="494"/>
      <c r="CEP239" s="494"/>
      <c r="CEQ239" s="494"/>
      <c r="CER239" s="494"/>
      <c r="CES239" s="494"/>
      <c r="CET239" s="494"/>
      <c r="CEU239" s="494"/>
      <c r="CEV239" s="494"/>
      <c r="CEW239" s="494"/>
      <c r="CEX239" s="494"/>
      <c r="CEY239" s="494"/>
      <c r="CEZ239" s="494"/>
      <c r="CFA239" s="494"/>
      <c r="CFB239" s="494"/>
      <c r="CFC239" s="494"/>
      <c r="CFD239" s="494"/>
      <c r="CFE239" s="494"/>
      <c r="CFF239" s="494"/>
      <c r="CFG239" s="494"/>
      <c r="CFH239" s="494"/>
      <c r="CFI239" s="494"/>
      <c r="CFJ239" s="494"/>
      <c r="CFK239" s="494"/>
      <c r="CFL239" s="494"/>
      <c r="CFM239" s="494"/>
      <c r="CFN239" s="494"/>
      <c r="CFO239" s="494"/>
      <c r="CFP239" s="494"/>
      <c r="CFQ239" s="494"/>
      <c r="CFR239" s="494"/>
      <c r="CFS239" s="494"/>
      <c r="CFT239" s="494"/>
      <c r="CFU239" s="494"/>
      <c r="CFV239" s="494"/>
      <c r="CFW239" s="494"/>
      <c r="CFX239" s="494"/>
      <c r="CFY239" s="494"/>
      <c r="CFZ239" s="494"/>
      <c r="CGA239" s="494"/>
      <c r="CGB239" s="494"/>
      <c r="CGC239" s="494"/>
      <c r="CGD239" s="494"/>
      <c r="CGE239" s="494"/>
      <c r="CGF239" s="494"/>
      <c r="CGG239" s="494"/>
      <c r="CGH239" s="494"/>
      <c r="CGI239" s="494"/>
      <c r="CGJ239" s="494"/>
      <c r="CGK239" s="494"/>
      <c r="CGL239" s="494"/>
      <c r="CGM239" s="494"/>
      <c r="CGN239" s="494"/>
      <c r="CGO239" s="494"/>
      <c r="CGP239" s="494"/>
      <c r="CGQ239" s="494"/>
      <c r="CGR239" s="494"/>
      <c r="CGS239" s="494"/>
      <c r="CGT239" s="494"/>
      <c r="CGU239" s="494"/>
      <c r="CGV239" s="494"/>
      <c r="CGW239" s="494"/>
      <c r="CGX239" s="494"/>
      <c r="CGY239" s="494"/>
      <c r="CGZ239" s="494"/>
      <c r="CHA239" s="494"/>
      <c r="CHB239" s="494"/>
      <c r="CHC239" s="494"/>
      <c r="CHD239" s="494"/>
      <c r="CHE239" s="494"/>
      <c r="CHF239" s="494"/>
      <c r="CHG239" s="494"/>
      <c r="CHH239" s="494"/>
      <c r="CHI239" s="494"/>
      <c r="CHJ239" s="494"/>
      <c r="CHK239" s="494"/>
      <c r="CHL239" s="494"/>
      <c r="CHM239" s="494"/>
      <c r="CHN239" s="494"/>
      <c r="CHO239" s="494"/>
      <c r="CHP239" s="494"/>
      <c r="CHQ239" s="494"/>
      <c r="CHR239" s="494"/>
      <c r="CHS239" s="494"/>
      <c r="CHT239" s="494"/>
      <c r="CHU239" s="494"/>
      <c r="CHV239" s="494"/>
      <c r="CHW239" s="494"/>
      <c r="CHX239" s="494"/>
      <c r="CHY239" s="494"/>
      <c r="CHZ239" s="494"/>
      <c r="CIA239" s="494"/>
      <c r="CIB239" s="494"/>
      <c r="CIC239" s="494"/>
      <c r="CID239" s="494"/>
      <c r="CIE239" s="494"/>
      <c r="CIF239" s="494"/>
      <c r="CIG239" s="494"/>
      <c r="CIH239" s="494"/>
      <c r="CII239" s="494"/>
      <c r="CIJ239" s="494"/>
      <c r="CIK239" s="494"/>
      <c r="CIL239" s="494"/>
      <c r="CIM239" s="494"/>
      <c r="CIN239" s="494"/>
      <c r="CIO239" s="494"/>
      <c r="CIP239" s="494"/>
      <c r="CIQ239" s="494"/>
      <c r="CIR239" s="494"/>
      <c r="CIS239" s="494"/>
      <c r="CIT239" s="494"/>
      <c r="CIU239" s="494"/>
      <c r="CIV239" s="494"/>
      <c r="CIW239" s="494"/>
      <c r="CIX239" s="494"/>
      <c r="CIY239" s="494"/>
      <c r="CIZ239" s="494"/>
      <c r="CJA239" s="494"/>
      <c r="CJB239" s="494"/>
      <c r="CJC239" s="494"/>
      <c r="CJD239" s="494"/>
      <c r="CJE239" s="494"/>
      <c r="CJF239" s="494"/>
      <c r="CJG239" s="494"/>
      <c r="CJH239" s="494"/>
      <c r="CJI239" s="494"/>
      <c r="CJJ239" s="494"/>
      <c r="CJK239" s="494"/>
      <c r="CJL239" s="494"/>
      <c r="CJM239" s="494"/>
      <c r="CJN239" s="494"/>
      <c r="CJO239" s="494"/>
      <c r="CJP239" s="494"/>
      <c r="CJQ239" s="494"/>
      <c r="CJR239" s="494"/>
      <c r="CJS239" s="494"/>
      <c r="CJT239" s="494"/>
      <c r="CJU239" s="494"/>
      <c r="CJV239" s="494"/>
      <c r="CJW239" s="494"/>
      <c r="CJX239" s="494"/>
      <c r="CJY239" s="494"/>
      <c r="CJZ239" s="494"/>
      <c r="CKA239" s="494"/>
      <c r="CKB239" s="494"/>
      <c r="CKC239" s="494"/>
      <c r="CKD239" s="494"/>
      <c r="CKE239" s="494"/>
      <c r="CKF239" s="494"/>
      <c r="CKG239" s="494"/>
      <c r="CKH239" s="494"/>
      <c r="CKI239" s="494"/>
      <c r="CKJ239" s="494"/>
      <c r="CKK239" s="494"/>
      <c r="CKL239" s="494"/>
      <c r="CKM239" s="494"/>
      <c r="CKN239" s="494"/>
      <c r="CKO239" s="494"/>
      <c r="CKP239" s="494"/>
      <c r="CKQ239" s="494"/>
      <c r="CKR239" s="494"/>
      <c r="CKS239" s="494"/>
      <c r="CKT239" s="494"/>
      <c r="CKU239" s="494"/>
      <c r="CKV239" s="494"/>
      <c r="CKW239" s="494"/>
      <c r="CKX239" s="494"/>
      <c r="CKY239" s="494"/>
      <c r="CKZ239" s="494"/>
      <c r="CLA239" s="494"/>
      <c r="CLB239" s="494"/>
      <c r="CLC239" s="494"/>
      <c r="CLD239" s="494"/>
      <c r="CLE239" s="494"/>
      <c r="CLF239" s="494"/>
      <c r="CLG239" s="494"/>
      <c r="CLH239" s="494"/>
      <c r="CLI239" s="494"/>
      <c r="CLJ239" s="494"/>
      <c r="CLK239" s="494"/>
      <c r="CLL239" s="494"/>
      <c r="CLM239" s="494"/>
      <c r="CLN239" s="494"/>
      <c r="CLO239" s="494"/>
      <c r="CLP239" s="494"/>
      <c r="CLQ239" s="494"/>
      <c r="CLR239" s="494"/>
      <c r="CLS239" s="494"/>
      <c r="CLT239" s="494"/>
      <c r="CLU239" s="494"/>
      <c r="CLV239" s="494"/>
      <c r="CLW239" s="494"/>
      <c r="CLX239" s="494"/>
      <c r="CLY239" s="494"/>
      <c r="CLZ239" s="494"/>
      <c r="CMA239" s="494"/>
      <c r="CMB239" s="494"/>
      <c r="CMC239" s="494"/>
      <c r="CMD239" s="494"/>
      <c r="CME239" s="494"/>
      <c r="CMF239" s="494"/>
      <c r="CMG239" s="494"/>
      <c r="CMH239" s="494"/>
      <c r="CMI239" s="494"/>
      <c r="CMJ239" s="494"/>
      <c r="CMK239" s="494"/>
      <c r="CML239" s="494"/>
      <c r="CMM239" s="494"/>
      <c r="CMN239" s="494"/>
      <c r="CMO239" s="494"/>
      <c r="CMP239" s="494"/>
      <c r="CMQ239" s="494"/>
      <c r="CMR239" s="494"/>
      <c r="CMS239" s="494"/>
      <c r="CMT239" s="494"/>
      <c r="CMU239" s="494"/>
      <c r="CMV239" s="494"/>
      <c r="CMW239" s="494"/>
      <c r="CMX239" s="494"/>
      <c r="CMY239" s="494"/>
      <c r="CMZ239" s="494"/>
      <c r="CNA239" s="494"/>
      <c r="CNB239" s="494"/>
      <c r="CNC239" s="494"/>
      <c r="CND239" s="494"/>
      <c r="CNE239" s="494"/>
      <c r="CNF239" s="494"/>
      <c r="CNG239" s="494"/>
      <c r="CNH239" s="494"/>
      <c r="CNI239" s="494"/>
      <c r="CNJ239" s="494"/>
      <c r="CNK239" s="494"/>
      <c r="CNL239" s="494"/>
      <c r="CNM239" s="494"/>
      <c r="CNN239" s="494"/>
      <c r="CNO239" s="494"/>
      <c r="CNP239" s="494"/>
      <c r="CNQ239" s="494"/>
      <c r="CNR239" s="494"/>
      <c r="CNS239" s="494"/>
      <c r="CNT239" s="494"/>
      <c r="CNU239" s="494"/>
      <c r="CNV239" s="494"/>
      <c r="CNW239" s="494"/>
      <c r="CNX239" s="494"/>
      <c r="CNY239" s="494"/>
      <c r="CNZ239" s="494"/>
      <c r="COA239" s="494"/>
      <c r="COB239" s="494"/>
      <c r="COC239" s="494"/>
      <c r="COD239" s="494"/>
      <c r="COE239" s="494"/>
      <c r="COF239" s="494"/>
      <c r="COG239" s="494"/>
      <c r="COH239" s="494"/>
      <c r="COI239" s="494"/>
      <c r="COJ239" s="494"/>
      <c r="COK239" s="494"/>
      <c r="COL239" s="494"/>
      <c r="COM239" s="494"/>
      <c r="CON239" s="494"/>
      <c r="COO239" s="494"/>
      <c r="COP239" s="494"/>
      <c r="COQ239" s="494"/>
      <c r="COR239" s="494"/>
      <c r="COS239" s="494"/>
      <c r="COT239" s="494"/>
      <c r="COU239" s="494"/>
      <c r="COV239" s="494"/>
      <c r="COW239" s="494"/>
      <c r="COX239" s="494"/>
      <c r="COY239" s="494"/>
      <c r="COZ239" s="494"/>
      <c r="CPA239" s="494"/>
      <c r="CPB239" s="494"/>
      <c r="CPC239" s="494"/>
      <c r="CPD239" s="494"/>
      <c r="CPE239" s="494"/>
      <c r="CPF239" s="494"/>
      <c r="CPG239" s="494"/>
      <c r="CPH239" s="494"/>
      <c r="CPI239" s="494"/>
      <c r="CPJ239" s="494"/>
      <c r="CPK239" s="494"/>
      <c r="CPL239" s="494"/>
      <c r="CPM239" s="494"/>
      <c r="CPN239" s="494"/>
      <c r="CPO239" s="494"/>
      <c r="CPP239" s="494"/>
      <c r="CPQ239" s="494"/>
      <c r="CPR239" s="494"/>
      <c r="CPS239" s="494"/>
      <c r="CPT239" s="494"/>
      <c r="CPU239" s="494"/>
      <c r="CPV239" s="494"/>
      <c r="CPW239" s="494"/>
      <c r="CPX239" s="494"/>
      <c r="CPY239" s="494"/>
      <c r="CPZ239" s="494"/>
      <c r="CQA239" s="494"/>
      <c r="CQB239" s="494"/>
      <c r="CQC239" s="494"/>
      <c r="CQD239" s="494"/>
      <c r="CQE239" s="494"/>
      <c r="CQF239" s="494"/>
      <c r="CQG239" s="494"/>
      <c r="CQH239" s="494"/>
      <c r="CQI239" s="494"/>
      <c r="CQJ239" s="494"/>
      <c r="CQK239" s="494"/>
      <c r="CQL239" s="494"/>
      <c r="CQM239" s="494"/>
      <c r="CQN239" s="494"/>
      <c r="CQO239" s="494"/>
      <c r="CQP239" s="494"/>
      <c r="CQQ239" s="494"/>
      <c r="CQR239" s="494"/>
      <c r="CQS239" s="494"/>
      <c r="CQT239" s="494"/>
      <c r="CQU239" s="494"/>
      <c r="CQV239" s="494"/>
      <c r="CQW239" s="494"/>
      <c r="CQX239" s="494"/>
      <c r="CQY239" s="494"/>
      <c r="CQZ239" s="494"/>
      <c r="CRA239" s="494"/>
      <c r="CRB239" s="494"/>
      <c r="CRC239" s="494"/>
      <c r="CRD239" s="494"/>
      <c r="CRE239" s="494"/>
      <c r="CRF239" s="494"/>
      <c r="CRG239" s="494"/>
      <c r="CRH239" s="494"/>
      <c r="CRI239" s="494"/>
      <c r="CRJ239" s="494"/>
      <c r="CRK239" s="494"/>
      <c r="CRL239" s="494"/>
      <c r="CRM239" s="494"/>
      <c r="CRN239" s="494"/>
      <c r="CRO239" s="494"/>
      <c r="CRP239" s="494"/>
      <c r="CRQ239" s="494"/>
      <c r="CRR239" s="494"/>
      <c r="CRS239" s="494"/>
      <c r="CRT239" s="494"/>
      <c r="CRU239" s="494"/>
      <c r="CRV239" s="494"/>
      <c r="CRW239" s="494"/>
      <c r="CRX239" s="494"/>
      <c r="CRY239" s="494"/>
      <c r="CRZ239" s="494"/>
      <c r="CSA239" s="494"/>
      <c r="CSB239" s="494"/>
      <c r="CSC239" s="494"/>
      <c r="CSD239" s="494"/>
      <c r="CSE239" s="494"/>
      <c r="CSF239" s="494"/>
      <c r="CSG239" s="494"/>
      <c r="CSH239" s="494"/>
      <c r="CSI239" s="494"/>
      <c r="CSJ239" s="494"/>
      <c r="CSK239" s="494"/>
      <c r="CSL239" s="494"/>
      <c r="CSM239" s="494"/>
      <c r="CSN239" s="494"/>
      <c r="CSO239" s="494"/>
      <c r="CSP239" s="494"/>
      <c r="CSQ239" s="494"/>
      <c r="CSR239" s="494"/>
      <c r="CSS239" s="494"/>
      <c r="CST239" s="494"/>
      <c r="CSU239" s="494"/>
      <c r="CSV239" s="494"/>
      <c r="CSW239" s="494"/>
      <c r="CSX239" s="494"/>
      <c r="CSY239" s="494"/>
      <c r="CSZ239" s="494"/>
      <c r="CTA239" s="494"/>
      <c r="CTB239" s="494"/>
      <c r="CTC239" s="494"/>
      <c r="CTD239" s="494"/>
      <c r="CTE239" s="494"/>
      <c r="CTF239" s="494"/>
      <c r="CTG239" s="494"/>
      <c r="CTH239" s="494"/>
      <c r="CTI239" s="494"/>
      <c r="CTJ239" s="494"/>
      <c r="CTK239" s="494"/>
      <c r="CTL239" s="494"/>
      <c r="CTM239" s="494"/>
      <c r="CTN239" s="494"/>
      <c r="CTO239" s="494"/>
      <c r="CTP239" s="494"/>
      <c r="CTQ239" s="494"/>
      <c r="CTR239" s="494"/>
      <c r="CTS239" s="494"/>
      <c r="CTT239" s="494"/>
      <c r="CTU239" s="494"/>
      <c r="CTV239" s="494"/>
      <c r="CTW239" s="494"/>
      <c r="CTX239" s="494"/>
      <c r="CTY239" s="494"/>
      <c r="CTZ239" s="494"/>
      <c r="CUA239" s="494"/>
      <c r="CUB239" s="494"/>
      <c r="CUC239" s="494"/>
      <c r="CUD239" s="494"/>
      <c r="CUE239" s="494"/>
      <c r="CUF239" s="494"/>
      <c r="CUG239" s="494"/>
      <c r="CUH239" s="494"/>
      <c r="CUI239" s="494"/>
      <c r="CUJ239" s="494"/>
      <c r="CUK239" s="494"/>
      <c r="CUL239" s="494"/>
      <c r="CUM239" s="494"/>
      <c r="CUN239" s="494"/>
      <c r="CUO239" s="494"/>
      <c r="CUP239" s="494"/>
      <c r="CUQ239" s="494"/>
      <c r="CUR239" s="494"/>
      <c r="CUS239" s="494"/>
      <c r="CUT239" s="494"/>
      <c r="CUU239" s="494"/>
      <c r="CUV239" s="494"/>
      <c r="CUW239" s="494"/>
      <c r="CUX239" s="494"/>
      <c r="CUY239" s="494"/>
      <c r="CUZ239" s="494"/>
      <c r="CVA239" s="494"/>
      <c r="CVB239" s="494"/>
      <c r="CVC239" s="494"/>
      <c r="CVD239" s="494"/>
      <c r="CVE239" s="494"/>
      <c r="CVF239" s="494"/>
      <c r="CVG239" s="494"/>
      <c r="CVH239" s="494"/>
      <c r="CVI239" s="494"/>
      <c r="CVJ239" s="494"/>
      <c r="CVK239" s="494"/>
      <c r="CVL239" s="494"/>
      <c r="CVM239" s="494"/>
      <c r="CVN239" s="494"/>
      <c r="CVO239" s="494"/>
      <c r="CVP239" s="494"/>
      <c r="CVQ239" s="494"/>
      <c r="CVR239" s="494"/>
      <c r="CVS239" s="494"/>
      <c r="CVT239" s="494"/>
      <c r="CVU239" s="494"/>
      <c r="CVV239" s="494"/>
      <c r="CVW239" s="494"/>
      <c r="CVX239" s="494"/>
      <c r="CVY239" s="494"/>
      <c r="CVZ239" s="494"/>
      <c r="CWA239" s="494"/>
      <c r="CWB239" s="494"/>
      <c r="CWC239" s="494"/>
      <c r="CWD239" s="494"/>
      <c r="CWE239" s="494"/>
      <c r="CWF239" s="494"/>
      <c r="CWG239" s="494"/>
      <c r="CWH239" s="494"/>
      <c r="CWI239" s="494"/>
      <c r="CWJ239" s="494"/>
      <c r="CWK239" s="494"/>
      <c r="CWL239" s="494"/>
      <c r="CWM239" s="494"/>
      <c r="CWN239" s="494"/>
      <c r="CWO239" s="494"/>
      <c r="CWP239" s="494"/>
      <c r="CWQ239" s="494"/>
      <c r="CWR239" s="494"/>
      <c r="CWS239" s="494"/>
      <c r="CWT239" s="494"/>
      <c r="CWU239" s="494"/>
      <c r="CWV239" s="494"/>
      <c r="CWW239" s="494"/>
      <c r="CWX239" s="494"/>
      <c r="CWY239" s="494"/>
      <c r="CWZ239" s="494"/>
      <c r="CXA239" s="494"/>
      <c r="CXB239" s="494"/>
      <c r="CXC239" s="494"/>
      <c r="CXD239" s="494"/>
      <c r="CXE239" s="494"/>
      <c r="CXF239" s="494"/>
      <c r="CXG239" s="494"/>
      <c r="CXH239" s="494"/>
      <c r="CXI239" s="494"/>
      <c r="CXJ239" s="494"/>
      <c r="CXK239" s="494"/>
      <c r="CXL239" s="494"/>
      <c r="CXM239" s="494"/>
      <c r="CXN239" s="494"/>
      <c r="CXO239" s="494"/>
      <c r="CXP239" s="494"/>
      <c r="CXQ239" s="494"/>
      <c r="CXR239" s="494"/>
      <c r="CXS239" s="494"/>
      <c r="CXT239" s="494"/>
      <c r="CXU239" s="494"/>
      <c r="CXV239" s="494"/>
      <c r="CXW239" s="494"/>
      <c r="CXX239" s="494"/>
      <c r="CXY239" s="494"/>
      <c r="CXZ239" s="494"/>
      <c r="CYA239" s="494"/>
      <c r="CYB239" s="494"/>
      <c r="CYC239" s="494"/>
      <c r="CYD239" s="494"/>
      <c r="CYE239" s="494"/>
      <c r="CYF239" s="494"/>
      <c r="CYG239" s="494"/>
      <c r="CYH239" s="494"/>
      <c r="CYI239" s="494"/>
      <c r="CYJ239" s="494"/>
      <c r="CYK239" s="494"/>
      <c r="CYL239" s="494"/>
      <c r="CYM239" s="494"/>
      <c r="CYN239" s="494"/>
      <c r="CYO239" s="494"/>
      <c r="CYP239" s="494"/>
      <c r="CYQ239" s="494"/>
      <c r="CYR239" s="494"/>
      <c r="CYS239" s="494"/>
      <c r="CYT239" s="494"/>
      <c r="CYU239" s="494"/>
      <c r="CYV239" s="494"/>
      <c r="CYW239" s="494"/>
      <c r="CYX239" s="494"/>
      <c r="CYY239" s="494"/>
      <c r="CYZ239" s="494"/>
      <c r="CZA239" s="494"/>
      <c r="CZB239" s="494"/>
      <c r="CZC239" s="494"/>
      <c r="CZD239" s="494"/>
      <c r="CZE239" s="494"/>
      <c r="CZF239" s="494"/>
      <c r="CZG239" s="494"/>
      <c r="CZH239" s="494"/>
      <c r="CZI239" s="494"/>
      <c r="CZJ239" s="494"/>
      <c r="CZK239" s="494"/>
      <c r="CZL239" s="494"/>
      <c r="CZM239" s="494"/>
      <c r="CZN239" s="494"/>
      <c r="CZO239" s="494"/>
      <c r="CZP239" s="494"/>
      <c r="CZQ239" s="494"/>
      <c r="CZR239" s="494"/>
      <c r="CZS239" s="494"/>
      <c r="CZT239" s="494"/>
      <c r="CZU239" s="494"/>
      <c r="CZV239" s="494"/>
      <c r="CZW239" s="494"/>
      <c r="CZX239" s="494"/>
      <c r="CZY239" s="494"/>
      <c r="CZZ239" s="494"/>
      <c r="DAA239" s="494"/>
      <c r="DAB239" s="494"/>
      <c r="DAC239" s="494"/>
      <c r="DAD239" s="494"/>
      <c r="DAE239" s="494"/>
      <c r="DAF239" s="494"/>
      <c r="DAG239" s="494"/>
      <c r="DAH239" s="494"/>
      <c r="DAI239" s="494"/>
      <c r="DAJ239" s="494"/>
      <c r="DAK239" s="494"/>
      <c r="DAL239" s="494"/>
      <c r="DAM239" s="494"/>
      <c r="DAN239" s="494"/>
      <c r="DAO239" s="494"/>
      <c r="DAP239" s="494"/>
      <c r="DAQ239" s="494"/>
      <c r="DAR239" s="494"/>
      <c r="DAS239" s="494"/>
      <c r="DAT239" s="494"/>
      <c r="DAU239" s="494"/>
      <c r="DAV239" s="494"/>
      <c r="DAW239" s="494"/>
      <c r="DAX239" s="494"/>
      <c r="DAY239" s="494"/>
      <c r="DAZ239" s="494"/>
      <c r="DBA239" s="494"/>
      <c r="DBB239" s="494"/>
      <c r="DBC239" s="494"/>
      <c r="DBD239" s="494"/>
      <c r="DBE239" s="494"/>
      <c r="DBF239" s="494"/>
      <c r="DBG239" s="494"/>
      <c r="DBH239" s="494"/>
      <c r="DBI239" s="494"/>
      <c r="DBJ239" s="494"/>
      <c r="DBK239" s="494"/>
      <c r="DBL239" s="494"/>
      <c r="DBM239" s="494"/>
      <c r="DBN239" s="494"/>
      <c r="DBO239" s="494"/>
      <c r="DBP239" s="494"/>
      <c r="DBQ239" s="494"/>
      <c r="DBR239" s="494"/>
      <c r="DBS239" s="494"/>
      <c r="DBT239" s="494"/>
      <c r="DBU239" s="494"/>
      <c r="DBV239" s="494"/>
      <c r="DBW239" s="494"/>
      <c r="DBX239" s="494"/>
      <c r="DBY239" s="494"/>
      <c r="DBZ239" s="494"/>
      <c r="DCA239" s="494"/>
      <c r="DCB239" s="494"/>
      <c r="DCC239" s="494"/>
      <c r="DCD239" s="494"/>
      <c r="DCE239" s="494"/>
      <c r="DCF239" s="494"/>
      <c r="DCG239" s="494"/>
      <c r="DCH239" s="494"/>
      <c r="DCI239" s="494"/>
      <c r="DCJ239" s="494"/>
      <c r="DCK239" s="494"/>
      <c r="DCL239" s="494"/>
      <c r="DCM239" s="494"/>
      <c r="DCN239" s="494"/>
      <c r="DCO239" s="494"/>
      <c r="DCP239" s="494"/>
      <c r="DCQ239" s="494"/>
      <c r="DCR239" s="494"/>
      <c r="DCS239" s="494"/>
      <c r="DCT239" s="494"/>
      <c r="DCU239" s="494"/>
      <c r="DCV239" s="494"/>
      <c r="DCW239" s="494"/>
      <c r="DCX239" s="494"/>
      <c r="DCY239" s="494"/>
      <c r="DCZ239" s="494"/>
      <c r="DDA239" s="494"/>
      <c r="DDB239" s="494"/>
      <c r="DDC239" s="494"/>
      <c r="DDD239" s="494"/>
      <c r="DDE239" s="494"/>
      <c r="DDF239" s="494"/>
      <c r="DDG239" s="494"/>
      <c r="DDH239" s="494"/>
      <c r="DDI239" s="494"/>
      <c r="DDJ239" s="494"/>
      <c r="DDK239" s="494"/>
      <c r="DDL239" s="494"/>
      <c r="DDM239" s="494"/>
      <c r="DDN239" s="494"/>
      <c r="DDO239" s="494"/>
      <c r="DDP239" s="494"/>
      <c r="DDQ239" s="494"/>
      <c r="DDR239" s="494"/>
      <c r="DDS239" s="494"/>
      <c r="DDT239" s="494"/>
      <c r="DDU239" s="494"/>
      <c r="DDV239" s="494"/>
      <c r="DDW239" s="494"/>
      <c r="DDX239" s="494"/>
      <c r="DDY239" s="494"/>
      <c r="DDZ239" s="494"/>
      <c r="DEA239" s="494"/>
      <c r="DEB239" s="494"/>
      <c r="DEC239" s="494"/>
      <c r="DED239" s="494"/>
      <c r="DEE239" s="494"/>
      <c r="DEF239" s="494"/>
      <c r="DEG239" s="494"/>
      <c r="DEH239" s="494"/>
      <c r="DEI239" s="494"/>
      <c r="DEJ239" s="494"/>
      <c r="DEK239" s="494"/>
      <c r="DEL239" s="494"/>
      <c r="DEM239" s="494"/>
      <c r="DEN239" s="494"/>
      <c r="DEO239" s="494"/>
      <c r="DEP239" s="494"/>
      <c r="DEQ239" s="494"/>
      <c r="DER239" s="494"/>
      <c r="DES239" s="494"/>
      <c r="DET239" s="494"/>
      <c r="DEU239" s="494"/>
      <c r="DEV239" s="494"/>
      <c r="DEW239" s="494"/>
      <c r="DEX239" s="494"/>
      <c r="DEY239" s="494"/>
      <c r="DEZ239" s="494"/>
      <c r="DFA239" s="494"/>
      <c r="DFB239" s="494"/>
      <c r="DFC239" s="494"/>
      <c r="DFD239" s="494"/>
      <c r="DFE239" s="494"/>
      <c r="DFF239" s="494"/>
      <c r="DFG239" s="494"/>
      <c r="DFH239" s="494"/>
      <c r="DFI239" s="494"/>
      <c r="DFJ239" s="494"/>
      <c r="DFK239" s="494"/>
      <c r="DFL239" s="494"/>
      <c r="DFM239" s="494"/>
      <c r="DFN239" s="494"/>
      <c r="DFO239" s="494"/>
      <c r="DFP239" s="494"/>
      <c r="DFQ239" s="494"/>
      <c r="DFR239" s="494"/>
      <c r="DFS239" s="494"/>
      <c r="DFT239" s="494"/>
      <c r="DFU239" s="494"/>
      <c r="DFV239" s="494"/>
      <c r="DFW239" s="494"/>
      <c r="DFX239" s="494"/>
      <c r="DFY239" s="494"/>
      <c r="DFZ239" s="494"/>
      <c r="DGA239" s="494"/>
      <c r="DGB239" s="494"/>
      <c r="DGC239" s="494"/>
      <c r="DGD239" s="494"/>
      <c r="DGE239" s="494"/>
      <c r="DGF239" s="494"/>
      <c r="DGG239" s="494"/>
      <c r="DGH239" s="494"/>
      <c r="DGI239" s="494"/>
      <c r="DGJ239" s="494"/>
      <c r="DGK239" s="494"/>
      <c r="DGL239" s="494"/>
      <c r="DGM239" s="494"/>
      <c r="DGN239" s="494"/>
      <c r="DGO239" s="494"/>
      <c r="DGP239" s="494"/>
      <c r="DGQ239" s="494"/>
      <c r="DGR239" s="494"/>
      <c r="DGS239" s="494"/>
      <c r="DGT239" s="494"/>
      <c r="DGU239" s="494"/>
      <c r="DGV239" s="494"/>
      <c r="DGW239" s="494"/>
      <c r="DGX239" s="494"/>
      <c r="DGY239" s="494"/>
      <c r="DGZ239" s="494"/>
      <c r="DHA239" s="494"/>
      <c r="DHB239" s="494"/>
      <c r="DHC239" s="494"/>
      <c r="DHD239" s="494"/>
      <c r="DHE239" s="494"/>
      <c r="DHF239" s="494"/>
      <c r="DHG239" s="494"/>
      <c r="DHH239" s="494"/>
      <c r="DHI239" s="494"/>
      <c r="DHJ239" s="494"/>
      <c r="DHK239" s="494"/>
      <c r="DHL239" s="494"/>
      <c r="DHM239" s="494"/>
      <c r="DHN239" s="494"/>
      <c r="DHO239" s="494"/>
      <c r="DHP239" s="494"/>
      <c r="DHQ239" s="494"/>
      <c r="DHR239" s="494"/>
      <c r="DHS239" s="494"/>
      <c r="DHT239" s="494"/>
      <c r="DHU239" s="494"/>
      <c r="DHV239" s="494"/>
      <c r="DHW239" s="494"/>
      <c r="DHX239" s="494"/>
      <c r="DHY239" s="494"/>
      <c r="DHZ239" s="494"/>
      <c r="DIA239" s="494"/>
      <c r="DIB239" s="494"/>
      <c r="DIC239" s="494"/>
      <c r="DID239" s="494"/>
      <c r="DIE239" s="494"/>
      <c r="DIF239" s="494"/>
      <c r="DIG239" s="494"/>
      <c r="DIH239" s="494"/>
      <c r="DII239" s="494"/>
      <c r="DIJ239" s="494"/>
      <c r="DIK239" s="494"/>
      <c r="DIL239" s="494"/>
      <c r="DIM239" s="494"/>
      <c r="DIN239" s="494"/>
      <c r="DIO239" s="494"/>
      <c r="DIP239" s="494"/>
      <c r="DIQ239" s="494"/>
      <c r="DIR239" s="494"/>
      <c r="DIS239" s="494"/>
      <c r="DIT239" s="494"/>
      <c r="DIU239" s="494"/>
      <c r="DIV239" s="494"/>
      <c r="DIW239" s="494"/>
      <c r="DIX239" s="494"/>
      <c r="DIY239" s="494"/>
      <c r="DIZ239" s="494"/>
      <c r="DJA239" s="494"/>
      <c r="DJB239" s="494"/>
      <c r="DJC239" s="494"/>
      <c r="DJD239" s="494"/>
      <c r="DJE239" s="494"/>
      <c r="DJF239" s="494"/>
      <c r="DJG239" s="494"/>
      <c r="DJH239" s="494"/>
      <c r="DJI239" s="494"/>
      <c r="DJJ239" s="494"/>
      <c r="DJK239" s="494"/>
      <c r="DJL239" s="494"/>
      <c r="DJM239" s="494"/>
      <c r="DJN239" s="494"/>
      <c r="DJO239" s="494"/>
      <c r="DJP239" s="494"/>
      <c r="DJQ239" s="494"/>
      <c r="DJR239" s="494"/>
      <c r="DJS239" s="494"/>
      <c r="DJT239" s="494"/>
      <c r="DJU239" s="494"/>
      <c r="DJV239" s="494"/>
      <c r="DJW239" s="494"/>
      <c r="DJX239" s="494"/>
      <c r="DJY239" s="494"/>
      <c r="DJZ239" s="494"/>
      <c r="DKA239" s="494"/>
      <c r="DKB239" s="494"/>
      <c r="DKC239" s="494"/>
      <c r="DKD239" s="494"/>
      <c r="DKE239" s="494"/>
      <c r="DKF239" s="494"/>
      <c r="DKG239" s="494"/>
      <c r="DKH239" s="494"/>
      <c r="DKI239" s="494"/>
      <c r="DKJ239" s="494"/>
      <c r="DKK239" s="494"/>
      <c r="DKL239" s="494"/>
      <c r="DKM239" s="494"/>
      <c r="DKN239" s="494"/>
      <c r="DKO239" s="494"/>
      <c r="DKP239" s="494"/>
      <c r="DKQ239" s="494"/>
      <c r="DKR239" s="494"/>
      <c r="DKS239" s="494"/>
      <c r="DKT239" s="494"/>
      <c r="DKU239" s="494"/>
      <c r="DKV239" s="494"/>
      <c r="DKW239" s="494"/>
      <c r="DKX239" s="494"/>
      <c r="DKY239" s="494"/>
      <c r="DKZ239" s="494"/>
      <c r="DLA239" s="494"/>
      <c r="DLB239" s="494"/>
      <c r="DLC239" s="494"/>
      <c r="DLD239" s="494"/>
      <c r="DLE239" s="494"/>
      <c r="DLF239" s="494"/>
      <c r="DLG239" s="494"/>
      <c r="DLH239" s="494"/>
      <c r="DLI239" s="494"/>
      <c r="DLJ239" s="494"/>
      <c r="DLK239" s="494"/>
      <c r="DLL239" s="494"/>
      <c r="DLM239" s="494"/>
      <c r="DLN239" s="494"/>
      <c r="DLO239" s="494"/>
      <c r="DLP239" s="494"/>
      <c r="DLQ239" s="494"/>
      <c r="DLR239" s="494"/>
      <c r="DLS239" s="494"/>
      <c r="DLT239" s="494"/>
      <c r="DLU239" s="494"/>
      <c r="DLV239" s="494"/>
      <c r="DLW239" s="494"/>
      <c r="DLX239" s="494"/>
      <c r="DLY239" s="494"/>
      <c r="DLZ239" s="494"/>
      <c r="DMA239" s="494"/>
      <c r="DMB239" s="494"/>
      <c r="DMC239" s="494"/>
      <c r="DMD239" s="494"/>
      <c r="DME239" s="494"/>
      <c r="DMF239" s="494"/>
      <c r="DMG239" s="494"/>
      <c r="DMH239" s="494"/>
      <c r="DMI239" s="494"/>
      <c r="DMJ239" s="494"/>
      <c r="DMK239" s="494"/>
      <c r="DML239" s="494"/>
      <c r="DMM239" s="494"/>
      <c r="DMN239" s="494"/>
      <c r="DMO239" s="494"/>
      <c r="DMP239" s="494"/>
      <c r="DMQ239" s="494"/>
      <c r="DMR239" s="494"/>
      <c r="DMS239" s="494"/>
      <c r="DMT239" s="494"/>
      <c r="DMU239" s="494"/>
      <c r="DMV239" s="494"/>
      <c r="DMW239" s="494"/>
      <c r="DMX239" s="494"/>
      <c r="DMY239" s="494"/>
      <c r="DMZ239" s="494"/>
      <c r="DNA239" s="494"/>
      <c r="DNB239" s="494"/>
      <c r="DNC239" s="494"/>
      <c r="DND239" s="494"/>
      <c r="DNE239" s="494"/>
      <c r="DNF239" s="494"/>
      <c r="DNG239" s="494"/>
      <c r="DNH239" s="494"/>
      <c r="DNI239" s="494"/>
      <c r="DNJ239" s="494"/>
      <c r="DNK239" s="494"/>
      <c r="DNL239" s="494"/>
      <c r="DNM239" s="494"/>
      <c r="DNN239" s="494"/>
      <c r="DNO239" s="494"/>
      <c r="DNP239" s="494"/>
      <c r="DNQ239" s="494"/>
      <c r="DNR239" s="494"/>
      <c r="DNS239" s="494"/>
      <c r="DNT239" s="494"/>
      <c r="DNU239" s="494"/>
      <c r="DNV239" s="494"/>
      <c r="DNW239" s="494"/>
      <c r="DNX239" s="494"/>
      <c r="DNY239" s="494"/>
      <c r="DNZ239" s="494"/>
      <c r="DOA239" s="494"/>
      <c r="DOB239" s="494"/>
      <c r="DOC239" s="494"/>
      <c r="DOD239" s="494"/>
      <c r="DOE239" s="494"/>
      <c r="DOF239" s="494"/>
      <c r="DOG239" s="494"/>
      <c r="DOH239" s="494"/>
      <c r="DOI239" s="494"/>
      <c r="DOJ239" s="494"/>
      <c r="DOK239" s="494"/>
      <c r="DOL239" s="494"/>
      <c r="DOM239" s="494"/>
      <c r="DON239" s="494"/>
      <c r="DOO239" s="494"/>
      <c r="DOP239" s="494"/>
      <c r="DOQ239" s="494"/>
      <c r="DOR239" s="494"/>
      <c r="DOS239" s="494"/>
      <c r="DOT239" s="494"/>
      <c r="DOU239" s="494"/>
      <c r="DOV239" s="494"/>
      <c r="DOW239" s="494"/>
      <c r="DOX239" s="494"/>
      <c r="DOY239" s="494"/>
      <c r="DOZ239" s="494"/>
      <c r="DPA239" s="494"/>
      <c r="DPB239" s="494"/>
      <c r="DPC239" s="494"/>
      <c r="DPD239" s="494"/>
      <c r="DPE239" s="494"/>
      <c r="DPF239" s="494"/>
      <c r="DPG239" s="494"/>
      <c r="DPH239" s="494"/>
      <c r="DPI239" s="494"/>
      <c r="DPJ239" s="494"/>
      <c r="DPK239" s="494"/>
      <c r="DPL239" s="494"/>
      <c r="DPM239" s="494"/>
      <c r="DPN239" s="494"/>
      <c r="DPO239" s="494"/>
      <c r="DPP239" s="494"/>
      <c r="DPQ239" s="494"/>
      <c r="DPR239" s="494"/>
      <c r="DPS239" s="494"/>
      <c r="DPT239" s="494"/>
      <c r="DPU239" s="494"/>
      <c r="DPV239" s="494"/>
      <c r="DPW239" s="494"/>
      <c r="DPX239" s="494"/>
      <c r="DPY239" s="494"/>
      <c r="DPZ239" s="494"/>
      <c r="DQA239" s="494"/>
      <c r="DQB239" s="494"/>
      <c r="DQC239" s="494"/>
      <c r="DQD239" s="494"/>
      <c r="DQE239" s="494"/>
      <c r="DQF239" s="494"/>
      <c r="DQG239" s="494"/>
      <c r="DQH239" s="494"/>
      <c r="DQI239" s="494"/>
      <c r="DQJ239" s="494"/>
      <c r="DQK239" s="494"/>
      <c r="DQL239" s="494"/>
      <c r="DQM239" s="494"/>
      <c r="DQN239" s="494"/>
      <c r="DQO239" s="494"/>
      <c r="DQP239" s="494"/>
      <c r="DQQ239" s="494"/>
      <c r="DQR239" s="494"/>
      <c r="DQS239" s="494"/>
      <c r="DQT239" s="494"/>
      <c r="DQU239" s="494"/>
      <c r="DQV239" s="494"/>
      <c r="DQW239" s="494"/>
      <c r="DQX239" s="494"/>
      <c r="DQY239" s="494"/>
      <c r="DQZ239" s="494"/>
      <c r="DRA239" s="494"/>
      <c r="DRB239" s="494"/>
      <c r="DRC239" s="494"/>
      <c r="DRD239" s="494"/>
      <c r="DRE239" s="494"/>
      <c r="DRF239" s="494"/>
      <c r="DRG239" s="494"/>
      <c r="DRH239" s="494"/>
      <c r="DRI239" s="494"/>
      <c r="DRJ239" s="494"/>
      <c r="DRK239" s="494"/>
      <c r="DRL239" s="494"/>
      <c r="DRM239" s="494"/>
      <c r="DRN239" s="494"/>
      <c r="DRO239" s="494"/>
      <c r="DRP239" s="494"/>
      <c r="DRQ239" s="494"/>
      <c r="DRR239" s="494"/>
      <c r="DRS239" s="494"/>
      <c r="DRT239" s="494"/>
      <c r="DRU239" s="494"/>
      <c r="DRV239" s="494"/>
      <c r="DRW239" s="494"/>
      <c r="DRX239" s="494"/>
      <c r="DRY239" s="494"/>
      <c r="DRZ239" s="494"/>
      <c r="DSA239" s="494"/>
      <c r="DSB239" s="494"/>
      <c r="DSC239" s="494"/>
      <c r="DSD239" s="494"/>
      <c r="DSE239" s="494"/>
      <c r="DSF239" s="494"/>
      <c r="DSG239" s="494"/>
      <c r="DSH239" s="494"/>
      <c r="DSI239" s="494"/>
      <c r="DSJ239" s="494"/>
      <c r="DSK239" s="494"/>
      <c r="DSL239" s="494"/>
      <c r="DSM239" s="494"/>
      <c r="DSN239" s="494"/>
      <c r="DSO239" s="494"/>
      <c r="DSP239" s="494"/>
      <c r="DSQ239" s="494"/>
      <c r="DSR239" s="494"/>
      <c r="DSS239" s="494"/>
      <c r="DST239" s="494"/>
      <c r="DSU239" s="494"/>
      <c r="DSV239" s="494"/>
      <c r="DSW239" s="494"/>
      <c r="DSX239" s="494"/>
      <c r="DSY239" s="494"/>
      <c r="DSZ239" s="494"/>
      <c r="DTA239" s="494"/>
      <c r="DTB239" s="494"/>
      <c r="DTC239" s="494"/>
      <c r="DTD239" s="494"/>
      <c r="DTE239" s="494"/>
      <c r="DTF239" s="494"/>
      <c r="DTG239" s="494"/>
      <c r="DTH239" s="494"/>
      <c r="DTI239" s="494"/>
      <c r="DTJ239" s="494"/>
      <c r="DTK239" s="494"/>
      <c r="DTL239" s="494"/>
      <c r="DTM239" s="494"/>
      <c r="DTN239" s="494"/>
      <c r="DTO239" s="494"/>
      <c r="DTP239" s="494"/>
      <c r="DTQ239" s="494"/>
      <c r="DTR239" s="494"/>
      <c r="DTS239" s="494"/>
      <c r="DTT239" s="494"/>
      <c r="DTU239" s="494"/>
      <c r="DTV239" s="494"/>
      <c r="DTW239" s="494"/>
      <c r="DTX239" s="494"/>
      <c r="DTY239" s="494"/>
      <c r="DTZ239" s="494"/>
      <c r="DUA239" s="494"/>
      <c r="DUB239" s="494"/>
      <c r="DUC239" s="494"/>
      <c r="DUD239" s="494"/>
      <c r="DUE239" s="494"/>
      <c r="DUF239" s="494"/>
      <c r="DUG239" s="494"/>
      <c r="DUH239" s="494"/>
      <c r="DUI239" s="494"/>
      <c r="DUJ239" s="494"/>
      <c r="DUK239" s="494"/>
      <c r="DUL239" s="494"/>
      <c r="DUM239" s="494"/>
      <c r="DUN239" s="494"/>
      <c r="DUO239" s="494"/>
      <c r="DUP239" s="494"/>
      <c r="DUQ239" s="494"/>
      <c r="DUR239" s="494"/>
      <c r="DUS239" s="494"/>
      <c r="DUT239" s="494"/>
      <c r="DUU239" s="494"/>
      <c r="DUV239" s="494"/>
      <c r="DUW239" s="494"/>
      <c r="DUX239" s="494"/>
      <c r="DUY239" s="494"/>
      <c r="DUZ239" s="494"/>
      <c r="DVA239" s="494"/>
      <c r="DVB239" s="494"/>
      <c r="DVC239" s="494"/>
      <c r="DVD239" s="494"/>
      <c r="DVE239" s="494"/>
      <c r="DVF239" s="494"/>
      <c r="DVG239" s="494"/>
      <c r="DVH239" s="494"/>
      <c r="DVI239" s="494"/>
      <c r="DVJ239" s="494"/>
      <c r="DVK239" s="494"/>
      <c r="DVL239" s="494"/>
      <c r="DVM239" s="494"/>
      <c r="DVN239" s="494"/>
      <c r="DVO239" s="494"/>
      <c r="DVP239" s="494"/>
      <c r="DVQ239" s="494"/>
      <c r="DVR239" s="494"/>
      <c r="DVS239" s="494"/>
      <c r="DVT239" s="494"/>
      <c r="DVU239" s="494"/>
      <c r="DVV239" s="494"/>
      <c r="DVW239" s="494"/>
      <c r="DVX239" s="494"/>
      <c r="DVY239" s="494"/>
      <c r="DVZ239" s="494"/>
      <c r="DWA239" s="494"/>
      <c r="DWB239" s="494"/>
      <c r="DWC239" s="494"/>
      <c r="DWD239" s="494"/>
      <c r="DWE239" s="494"/>
      <c r="DWF239" s="494"/>
      <c r="DWG239" s="494"/>
      <c r="DWH239" s="494"/>
      <c r="DWI239" s="494"/>
      <c r="DWJ239" s="494"/>
      <c r="DWK239" s="494"/>
      <c r="DWL239" s="494"/>
      <c r="DWM239" s="494"/>
      <c r="DWN239" s="494"/>
      <c r="DWO239" s="494"/>
      <c r="DWP239" s="494"/>
      <c r="DWQ239" s="494"/>
      <c r="DWR239" s="494"/>
      <c r="DWS239" s="494"/>
      <c r="DWT239" s="494"/>
      <c r="DWU239" s="494"/>
      <c r="DWV239" s="494"/>
      <c r="DWW239" s="494"/>
      <c r="DWX239" s="494"/>
      <c r="DWY239" s="494"/>
      <c r="DWZ239" s="494"/>
      <c r="DXA239" s="494"/>
      <c r="DXB239" s="494"/>
      <c r="DXC239" s="494"/>
      <c r="DXD239" s="494"/>
      <c r="DXE239" s="494"/>
      <c r="DXF239" s="494"/>
      <c r="DXG239" s="494"/>
      <c r="DXH239" s="494"/>
      <c r="DXI239" s="494"/>
      <c r="DXJ239" s="494"/>
      <c r="DXK239" s="494"/>
      <c r="DXL239" s="494"/>
      <c r="DXM239" s="494"/>
      <c r="DXN239" s="494"/>
      <c r="DXO239" s="494"/>
      <c r="DXP239" s="494"/>
      <c r="DXQ239" s="494"/>
      <c r="DXR239" s="494"/>
      <c r="DXS239" s="494"/>
      <c r="DXT239" s="494"/>
      <c r="DXU239" s="494"/>
      <c r="DXV239" s="494"/>
      <c r="DXW239" s="494"/>
      <c r="DXX239" s="494"/>
      <c r="DXY239" s="494"/>
      <c r="DXZ239" s="494"/>
      <c r="DYA239" s="494"/>
      <c r="DYB239" s="494"/>
      <c r="DYC239" s="494"/>
      <c r="DYD239" s="494"/>
      <c r="DYE239" s="494"/>
      <c r="DYF239" s="494"/>
      <c r="DYG239" s="494"/>
      <c r="DYH239" s="494"/>
      <c r="DYI239" s="494"/>
      <c r="DYJ239" s="494"/>
      <c r="DYK239" s="494"/>
      <c r="DYL239" s="494"/>
      <c r="DYM239" s="494"/>
      <c r="DYN239" s="494"/>
      <c r="DYO239" s="494"/>
      <c r="DYP239" s="494"/>
      <c r="DYQ239" s="494"/>
      <c r="DYR239" s="494"/>
      <c r="DYS239" s="494"/>
      <c r="DYT239" s="494"/>
      <c r="DYU239" s="494"/>
      <c r="DYV239" s="494"/>
      <c r="DYW239" s="494"/>
      <c r="DYX239" s="494"/>
      <c r="DYY239" s="494"/>
      <c r="DYZ239" s="494"/>
      <c r="DZA239" s="494"/>
      <c r="DZB239" s="494"/>
      <c r="DZC239" s="494"/>
      <c r="DZD239" s="494"/>
      <c r="DZE239" s="494"/>
      <c r="DZF239" s="494"/>
      <c r="DZG239" s="494"/>
      <c r="DZH239" s="494"/>
      <c r="DZI239" s="494"/>
      <c r="DZJ239" s="494"/>
      <c r="DZK239" s="494"/>
      <c r="DZL239" s="494"/>
      <c r="DZM239" s="494"/>
      <c r="DZN239" s="494"/>
      <c r="DZO239" s="494"/>
      <c r="DZP239" s="494"/>
      <c r="DZQ239" s="494"/>
      <c r="DZR239" s="494"/>
      <c r="DZS239" s="494"/>
      <c r="DZT239" s="494"/>
      <c r="DZU239" s="494"/>
      <c r="DZV239" s="494"/>
      <c r="DZW239" s="494"/>
      <c r="DZX239" s="494"/>
      <c r="DZY239" s="494"/>
      <c r="DZZ239" s="494"/>
      <c r="EAA239" s="494"/>
      <c r="EAB239" s="494"/>
      <c r="EAC239" s="494"/>
      <c r="EAD239" s="494"/>
      <c r="EAE239" s="494"/>
      <c r="EAF239" s="494"/>
      <c r="EAG239" s="494"/>
      <c r="EAH239" s="494"/>
      <c r="EAI239" s="494"/>
      <c r="EAJ239" s="494"/>
      <c r="EAK239" s="494"/>
      <c r="EAL239" s="494"/>
      <c r="EAM239" s="494"/>
      <c r="EAN239" s="494"/>
      <c r="EAO239" s="494"/>
      <c r="EAP239" s="494"/>
      <c r="EAQ239" s="494"/>
      <c r="EAR239" s="494"/>
      <c r="EAS239" s="494"/>
      <c r="EAT239" s="494"/>
      <c r="EAU239" s="494"/>
      <c r="EAV239" s="494"/>
      <c r="EAW239" s="494"/>
      <c r="EAX239" s="494"/>
      <c r="EAY239" s="494"/>
      <c r="EAZ239" s="494"/>
      <c r="EBA239" s="494"/>
      <c r="EBB239" s="494"/>
      <c r="EBC239" s="494"/>
      <c r="EBD239" s="494"/>
      <c r="EBE239" s="494"/>
      <c r="EBF239" s="494"/>
      <c r="EBG239" s="494"/>
      <c r="EBH239" s="494"/>
      <c r="EBI239" s="494"/>
      <c r="EBJ239" s="494"/>
      <c r="EBK239" s="494"/>
      <c r="EBL239" s="494"/>
      <c r="EBM239" s="494"/>
      <c r="EBN239" s="494"/>
      <c r="EBO239" s="494"/>
      <c r="EBP239" s="494"/>
      <c r="EBQ239" s="494"/>
      <c r="EBR239" s="494"/>
      <c r="EBS239" s="494"/>
      <c r="EBT239" s="494"/>
      <c r="EBU239" s="494"/>
      <c r="EBV239" s="494"/>
      <c r="EBW239" s="494"/>
      <c r="EBX239" s="494"/>
      <c r="EBY239" s="494"/>
      <c r="EBZ239" s="494"/>
      <c r="ECA239" s="494"/>
      <c r="ECB239" s="494"/>
      <c r="ECC239" s="494"/>
      <c r="ECD239" s="494"/>
      <c r="ECE239" s="494"/>
      <c r="ECF239" s="494"/>
      <c r="ECG239" s="494"/>
      <c r="ECH239" s="494"/>
      <c r="ECI239" s="494"/>
      <c r="ECJ239" s="494"/>
      <c r="ECK239" s="494"/>
      <c r="ECL239" s="494"/>
      <c r="ECM239" s="494"/>
      <c r="ECN239" s="494"/>
      <c r="ECO239" s="494"/>
      <c r="ECP239" s="494"/>
      <c r="ECQ239" s="494"/>
      <c r="ECR239" s="494"/>
      <c r="ECS239" s="494"/>
      <c r="ECT239" s="494"/>
      <c r="ECU239" s="494"/>
      <c r="ECV239" s="494"/>
      <c r="ECW239" s="494"/>
      <c r="ECX239" s="494"/>
      <c r="ECY239" s="494"/>
      <c r="ECZ239" s="494"/>
      <c r="EDA239" s="494"/>
      <c r="EDB239" s="494"/>
      <c r="EDC239" s="494"/>
      <c r="EDD239" s="494"/>
      <c r="EDE239" s="494"/>
      <c r="EDF239" s="494"/>
      <c r="EDG239" s="494"/>
      <c r="EDH239" s="494"/>
      <c r="EDI239" s="494"/>
      <c r="EDJ239" s="494"/>
      <c r="EDK239" s="494"/>
      <c r="EDL239" s="494"/>
      <c r="EDM239" s="494"/>
      <c r="EDN239" s="494"/>
      <c r="EDO239" s="494"/>
      <c r="EDP239" s="494"/>
      <c r="EDQ239" s="494"/>
      <c r="EDR239" s="494"/>
      <c r="EDS239" s="494"/>
      <c r="EDT239" s="494"/>
      <c r="EDU239" s="494"/>
      <c r="EDV239" s="494"/>
      <c r="EDW239" s="494"/>
      <c r="EDX239" s="494"/>
      <c r="EDY239" s="494"/>
      <c r="EDZ239" s="494"/>
      <c r="EEA239" s="494"/>
      <c r="EEB239" s="494"/>
      <c r="EEC239" s="494"/>
      <c r="EED239" s="494"/>
      <c r="EEE239" s="494"/>
      <c r="EEF239" s="494"/>
      <c r="EEG239" s="494"/>
      <c r="EEH239" s="494"/>
      <c r="EEI239" s="494"/>
      <c r="EEJ239" s="494"/>
      <c r="EEK239" s="494"/>
      <c r="EEL239" s="494"/>
      <c r="EEM239" s="494"/>
      <c r="EEN239" s="494"/>
      <c r="EEO239" s="494"/>
      <c r="EEP239" s="494"/>
      <c r="EEQ239" s="494"/>
      <c r="EER239" s="494"/>
      <c r="EES239" s="494"/>
      <c r="EET239" s="494"/>
      <c r="EEU239" s="494"/>
      <c r="EEV239" s="494"/>
      <c r="EEW239" s="494"/>
      <c r="EEX239" s="494"/>
      <c r="EEY239" s="494"/>
      <c r="EEZ239" s="494"/>
      <c r="EFA239" s="494"/>
      <c r="EFB239" s="494"/>
      <c r="EFC239" s="494"/>
      <c r="EFD239" s="494"/>
      <c r="EFE239" s="494"/>
      <c r="EFF239" s="494"/>
      <c r="EFG239" s="494"/>
      <c r="EFH239" s="494"/>
      <c r="EFI239" s="494"/>
      <c r="EFJ239" s="494"/>
      <c r="EFK239" s="494"/>
      <c r="EFL239" s="494"/>
      <c r="EFM239" s="494"/>
      <c r="EFN239" s="494"/>
      <c r="EFO239" s="494"/>
      <c r="EFP239" s="494"/>
      <c r="EFQ239" s="494"/>
      <c r="EFR239" s="494"/>
      <c r="EFS239" s="494"/>
      <c r="EFT239" s="494"/>
      <c r="EFU239" s="494"/>
      <c r="EFV239" s="494"/>
      <c r="EFW239" s="494"/>
      <c r="EFX239" s="494"/>
      <c r="EFY239" s="494"/>
      <c r="EFZ239" s="494"/>
      <c r="EGA239" s="494"/>
      <c r="EGB239" s="494"/>
      <c r="EGC239" s="494"/>
      <c r="EGD239" s="494"/>
      <c r="EGE239" s="494"/>
      <c r="EGF239" s="494"/>
      <c r="EGG239" s="494"/>
      <c r="EGH239" s="494"/>
      <c r="EGI239" s="494"/>
      <c r="EGJ239" s="494"/>
      <c r="EGK239" s="494"/>
      <c r="EGL239" s="494"/>
      <c r="EGM239" s="494"/>
      <c r="EGN239" s="494"/>
      <c r="EGO239" s="494"/>
      <c r="EGP239" s="494"/>
      <c r="EGQ239" s="494"/>
      <c r="EGR239" s="494"/>
      <c r="EGS239" s="494"/>
      <c r="EGT239" s="494"/>
      <c r="EGU239" s="494"/>
      <c r="EGV239" s="494"/>
      <c r="EGW239" s="494"/>
      <c r="EGX239" s="494"/>
      <c r="EGY239" s="494"/>
      <c r="EGZ239" s="494"/>
      <c r="EHA239" s="494"/>
      <c r="EHB239" s="494"/>
      <c r="EHC239" s="494"/>
      <c r="EHD239" s="494"/>
      <c r="EHE239" s="494"/>
      <c r="EHF239" s="494"/>
      <c r="EHG239" s="494"/>
      <c r="EHH239" s="494"/>
      <c r="EHI239" s="494"/>
      <c r="EHJ239" s="494"/>
      <c r="EHK239" s="494"/>
      <c r="EHL239" s="494"/>
      <c r="EHM239" s="494"/>
      <c r="EHN239" s="494"/>
      <c r="EHO239" s="494"/>
      <c r="EHP239" s="494"/>
      <c r="EHQ239" s="494"/>
      <c r="EHR239" s="494"/>
      <c r="EHS239" s="494"/>
      <c r="EHT239" s="494"/>
      <c r="EHU239" s="494"/>
      <c r="EHV239" s="494"/>
      <c r="EHW239" s="494"/>
      <c r="EHX239" s="494"/>
      <c r="EHY239" s="494"/>
      <c r="EHZ239" s="494"/>
      <c r="EIA239" s="494"/>
      <c r="EIB239" s="494"/>
      <c r="EIC239" s="494"/>
      <c r="EID239" s="494"/>
      <c r="EIE239" s="494"/>
      <c r="EIF239" s="494"/>
      <c r="EIG239" s="494"/>
      <c r="EIH239" s="494"/>
      <c r="EII239" s="494"/>
      <c r="EIJ239" s="494"/>
      <c r="EIK239" s="494"/>
      <c r="EIL239" s="494"/>
      <c r="EIM239" s="494"/>
      <c r="EIN239" s="494"/>
      <c r="EIO239" s="494"/>
      <c r="EIP239" s="494"/>
      <c r="EIQ239" s="494"/>
      <c r="EIR239" s="494"/>
      <c r="EIS239" s="494"/>
      <c r="EIT239" s="494"/>
      <c r="EIU239" s="494"/>
      <c r="EIV239" s="494"/>
      <c r="EIW239" s="494"/>
      <c r="EIX239" s="494"/>
      <c r="EIY239" s="494"/>
      <c r="EIZ239" s="494"/>
      <c r="EJA239" s="494"/>
      <c r="EJB239" s="494"/>
      <c r="EJC239" s="494"/>
      <c r="EJD239" s="494"/>
      <c r="EJE239" s="494"/>
      <c r="EJF239" s="494"/>
      <c r="EJG239" s="494"/>
      <c r="EJH239" s="494"/>
      <c r="EJI239" s="494"/>
      <c r="EJJ239" s="494"/>
      <c r="EJK239" s="494"/>
      <c r="EJL239" s="494"/>
      <c r="EJM239" s="494"/>
      <c r="EJN239" s="494"/>
      <c r="EJO239" s="494"/>
      <c r="EJP239" s="494"/>
      <c r="EJQ239" s="494"/>
      <c r="EJR239" s="494"/>
      <c r="EJS239" s="494"/>
      <c r="EJT239" s="494"/>
      <c r="EJU239" s="494"/>
      <c r="EJV239" s="494"/>
      <c r="EJW239" s="494"/>
      <c r="EJX239" s="494"/>
      <c r="EJY239" s="494"/>
      <c r="EJZ239" s="494"/>
      <c r="EKA239" s="494"/>
      <c r="EKB239" s="494"/>
      <c r="EKC239" s="494"/>
      <c r="EKD239" s="494"/>
      <c r="EKE239" s="494"/>
      <c r="EKF239" s="494"/>
      <c r="EKG239" s="494"/>
      <c r="EKH239" s="494"/>
      <c r="EKI239" s="494"/>
      <c r="EKJ239" s="494"/>
      <c r="EKK239" s="494"/>
      <c r="EKL239" s="494"/>
      <c r="EKM239" s="494"/>
      <c r="EKN239" s="494"/>
      <c r="EKO239" s="494"/>
      <c r="EKP239" s="494"/>
      <c r="EKQ239" s="494"/>
      <c r="EKR239" s="494"/>
      <c r="EKS239" s="494"/>
      <c r="EKT239" s="494"/>
      <c r="EKU239" s="494"/>
      <c r="EKV239" s="494"/>
      <c r="EKW239" s="494"/>
      <c r="EKX239" s="494"/>
      <c r="EKY239" s="494"/>
      <c r="EKZ239" s="494"/>
      <c r="ELA239" s="494"/>
      <c r="ELB239" s="494"/>
      <c r="ELC239" s="494"/>
      <c r="ELD239" s="494"/>
      <c r="ELE239" s="494"/>
      <c r="ELF239" s="494"/>
      <c r="ELG239" s="494"/>
      <c r="ELH239" s="494"/>
      <c r="ELI239" s="494"/>
      <c r="ELJ239" s="494"/>
      <c r="ELK239" s="494"/>
      <c r="ELL239" s="494"/>
      <c r="ELM239" s="494"/>
      <c r="ELN239" s="494"/>
      <c r="ELO239" s="494"/>
      <c r="ELP239" s="494"/>
      <c r="ELQ239" s="494"/>
      <c r="ELR239" s="494"/>
      <c r="ELS239" s="494"/>
      <c r="ELT239" s="494"/>
      <c r="ELU239" s="494"/>
      <c r="ELV239" s="494"/>
      <c r="ELW239" s="494"/>
      <c r="ELX239" s="494"/>
      <c r="ELY239" s="494"/>
      <c r="ELZ239" s="494"/>
      <c r="EMA239" s="494"/>
      <c r="EMB239" s="494"/>
      <c r="EMC239" s="494"/>
      <c r="EMD239" s="494"/>
      <c r="EME239" s="494"/>
      <c r="EMF239" s="494"/>
      <c r="EMG239" s="494"/>
      <c r="EMH239" s="494"/>
      <c r="EMI239" s="494"/>
      <c r="EMJ239" s="494"/>
      <c r="EMK239" s="494"/>
      <c r="EML239" s="494"/>
      <c r="EMM239" s="494"/>
      <c r="EMN239" s="494"/>
      <c r="EMO239" s="494"/>
      <c r="EMP239" s="494"/>
      <c r="EMQ239" s="494"/>
      <c r="EMR239" s="494"/>
      <c r="EMS239" s="494"/>
      <c r="EMT239" s="494"/>
      <c r="EMU239" s="494"/>
      <c r="EMV239" s="494"/>
      <c r="EMW239" s="494"/>
      <c r="EMX239" s="494"/>
      <c r="EMY239" s="494"/>
      <c r="EMZ239" s="494"/>
      <c r="ENA239" s="494"/>
      <c r="ENB239" s="494"/>
      <c r="ENC239" s="494"/>
      <c r="END239" s="494"/>
      <c r="ENE239" s="494"/>
      <c r="ENF239" s="494"/>
      <c r="ENG239" s="494"/>
      <c r="ENH239" s="494"/>
      <c r="ENI239" s="494"/>
      <c r="ENJ239" s="494"/>
      <c r="ENK239" s="494"/>
      <c r="ENL239" s="494"/>
      <c r="ENM239" s="494"/>
      <c r="ENN239" s="494"/>
      <c r="ENO239" s="494"/>
      <c r="ENP239" s="494"/>
      <c r="ENQ239" s="494"/>
      <c r="ENR239" s="494"/>
      <c r="ENS239" s="494"/>
      <c r="ENT239" s="494"/>
      <c r="ENU239" s="494"/>
      <c r="ENV239" s="494"/>
      <c r="ENW239" s="494"/>
      <c r="ENX239" s="494"/>
      <c r="ENY239" s="494"/>
      <c r="ENZ239" s="494"/>
      <c r="EOA239" s="494"/>
      <c r="EOB239" s="494"/>
      <c r="EOC239" s="494"/>
      <c r="EOD239" s="494"/>
      <c r="EOE239" s="494"/>
      <c r="EOF239" s="494"/>
      <c r="EOG239" s="494"/>
      <c r="EOH239" s="494"/>
      <c r="EOI239" s="494"/>
      <c r="EOJ239" s="494"/>
      <c r="EOK239" s="494"/>
      <c r="EOL239" s="494"/>
      <c r="EOM239" s="494"/>
      <c r="EON239" s="494"/>
      <c r="EOO239" s="494"/>
      <c r="EOP239" s="494"/>
      <c r="EOQ239" s="494"/>
      <c r="EOR239" s="494"/>
      <c r="EOS239" s="494"/>
      <c r="EOT239" s="494"/>
      <c r="EOU239" s="494"/>
      <c r="EOV239" s="494"/>
      <c r="EOW239" s="494"/>
      <c r="EOX239" s="494"/>
      <c r="EOY239" s="494"/>
      <c r="EOZ239" s="494"/>
      <c r="EPA239" s="494"/>
      <c r="EPB239" s="494"/>
      <c r="EPC239" s="494"/>
      <c r="EPD239" s="494"/>
      <c r="EPE239" s="494"/>
      <c r="EPF239" s="494"/>
      <c r="EPG239" s="494"/>
      <c r="EPH239" s="494"/>
      <c r="EPI239" s="494"/>
      <c r="EPJ239" s="494"/>
      <c r="EPK239" s="494"/>
      <c r="EPL239" s="494"/>
      <c r="EPM239" s="494"/>
      <c r="EPN239" s="494"/>
      <c r="EPO239" s="494"/>
      <c r="EPP239" s="494"/>
      <c r="EPQ239" s="494"/>
      <c r="EPR239" s="494"/>
      <c r="EPS239" s="494"/>
      <c r="EPT239" s="494"/>
      <c r="EPU239" s="494"/>
      <c r="EPV239" s="494"/>
      <c r="EPW239" s="494"/>
      <c r="EPX239" s="494"/>
      <c r="EPY239" s="494"/>
      <c r="EPZ239" s="494"/>
      <c r="EQA239" s="494"/>
      <c r="EQB239" s="494"/>
      <c r="EQC239" s="494"/>
      <c r="EQD239" s="494"/>
      <c r="EQE239" s="494"/>
      <c r="EQF239" s="494"/>
      <c r="EQG239" s="494"/>
      <c r="EQH239" s="494"/>
      <c r="EQI239" s="494"/>
      <c r="EQJ239" s="494"/>
      <c r="EQK239" s="494"/>
      <c r="EQL239" s="494"/>
      <c r="EQM239" s="494"/>
      <c r="EQN239" s="494"/>
      <c r="EQO239" s="494"/>
      <c r="EQP239" s="494"/>
      <c r="EQQ239" s="494"/>
      <c r="EQR239" s="494"/>
      <c r="EQS239" s="494"/>
      <c r="EQT239" s="494"/>
      <c r="EQU239" s="494"/>
      <c r="EQV239" s="494"/>
      <c r="EQW239" s="494"/>
      <c r="EQX239" s="494"/>
      <c r="EQY239" s="494"/>
      <c r="EQZ239" s="494"/>
      <c r="ERA239" s="494"/>
      <c r="ERB239" s="494"/>
      <c r="ERC239" s="494"/>
      <c r="ERD239" s="494"/>
      <c r="ERE239" s="494"/>
      <c r="ERF239" s="494"/>
      <c r="ERG239" s="494"/>
      <c r="ERH239" s="494"/>
      <c r="ERI239" s="494"/>
      <c r="ERJ239" s="494"/>
      <c r="ERK239" s="494"/>
      <c r="ERL239" s="494"/>
      <c r="ERM239" s="494"/>
      <c r="ERN239" s="494"/>
      <c r="ERO239" s="494"/>
      <c r="ERP239" s="494"/>
      <c r="ERQ239" s="494"/>
      <c r="ERR239" s="494"/>
      <c r="ERS239" s="494"/>
      <c r="ERT239" s="494"/>
      <c r="ERU239" s="494"/>
      <c r="ERV239" s="494"/>
      <c r="ERW239" s="494"/>
      <c r="ERX239" s="494"/>
      <c r="ERY239" s="494"/>
      <c r="ERZ239" s="494"/>
      <c r="ESA239" s="494"/>
      <c r="ESB239" s="494"/>
      <c r="ESC239" s="494"/>
      <c r="ESD239" s="494"/>
      <c r="ESE239" s="494"/>
      <c r="ESF239" s="494"/>
      <c r="ESG239" s="494"/>
      <c r="ESH239" s="494"/>
      <c r="ESI239" s="494"/>
      <c r="ESJ239" s="494"/>
      <c r="ESK239" s="494"/>
      <c r="ESL239" s="494"/>
      <c r="ESM239" s="494"/>
      <c r="ESN239" s="494"/>
      <c r="ESO239" s="494"/>
      <c r="ESP239" s="494"/>
      <c r="ESQ239" s="494"/>
      <c r="ESR239" s="494"/>
      <c r="ESS239" s="494"/>
      <c r="EST239" s="494"/>
      <c r="ESU239" s="494"/>
      <c r="ESV239" s="494"/>
      <c r="ESW239" s="494"/>
      <c r="ESX239" s="494"/>
      <c r="ESY239" s="494"/>
      <c r="ESZ239" s="494"/>
      <c r="ETA239" s="494"/>
      <c r="ETB239" s="494"/>
      <c r="ETC239" s="494"/>
      <c r="ETD239" s="494"/>
      <c r="ETE239" s="494"/>
      <c r="ETF239" s="494"/>
      <c r="ETG239" s="494"/>
      <c r="ETH239" s="494"/>
      <c r="ETI239" s="494"/>
      <c r="ETJ239" s="494"/>
      <c r="ETK239" s="494"/>
      <c r="ETL239" s="494"/>
      <c r="ETM239" s="494"/>
      <c r="ETN239" s="494"/>
      <c r="ETO239" s="494"/>
      <c r="ETP239" s="494"/>
      <c r="ETQ239" s="494"/>
      <c r="ETR239" s="494"/>
      <c r="ETS239" s="494"/>
      <c r="ETT239" s="494"/>
      <c r="ETU239" s="494"/>
      <c r="ETV239" s="494"/>
      <c r="ETW239" s="494"/>
      <c r="ETX239" s="494"/>
      <c r="ETY239" s="494"/>
      <c r="ETZ239" s="494"/>
      <c r="EUA239" s="494"/>
      <c r="EUB239" s="494"/>
      <c r="EUC239" s="494"/>
      <c r="EUD239" s="494"/>
      <c r="EUE239" s="494"/>
      <c r="EUF239" s="494"/>
      <c r="EUG239" s="494"/>
      <c r="EUH239" s="494"/>
      <c r="EUI239" s="494"/>
      <c r="EUJ239" s="494"/>
      <c r="EUK239" s="494"/>
      <c r="EUL239" s="494"/>
      <c r="EUM239" s="494"/>
      <c r="EUN239" s="494"/>
      <c r="EUO239" s="494"/>
      <c r="EUP239" s="494"/>
      <c r="EUQ239" s="494"/>
      <c r="EUR239" s="494"/>
      <c r="EUS239" s="494"/>
      <c r="EUT239" s="494"/>
      <c r="EUU239" s="494"/>
      <c r="EUV239" s="494"/>
      <c r="EUW239" s="494"/>
      <c r="EUX239" s="494"/>
      <c r="EUY239" s="494"/>
      <c r="EUZ239" s="494"/>
      <c r="EVA239" s="494"/>
      <c r="EVB239" s="494"/>
      <c r="EVC239" s="494"/>
      <c r="EVD239" s="494"/>
      <c r="EVE239" s="494"/>
      <c r="EVF239" s="494"/>
      <c r="EVG239" s="494"/>
      <c r="EVH239" s="494"/>
      <c r="EVI239" s="494"/>
      <c r="EVJ239" s="494"/>
      <c r="EVK239" s="494"/>
      <c r="EVL239" s="494"/>
      <c r="EVM239" s="494"/>
      <c r="EVN239" s="494"/>
      <c r="EVO239" s="494"/>
      <c r="EVP239" s="494"/>
      <c r="EVQ239" s="494"/>
      <c r="EVR239" s="494"/>
      <c r="EVS239" s="494"/>
      <c r="EVT239" s="494"/>
      <c r="EVU239" s="494"/>
      <c r="EVV239" s="494"/>
      <c r="EVW239" s="494"/>
      <c r="EVX239" s="494"/>
      <c r="EVY239" s="494"/>
      <c r="EVZ239" s="494"/>
      <c r="EWA239" s="494"/>
      <c r="EWB239" s="494"/>
      <c r="EWC239" s="494"/>
      <c r="EWD239" s="494"/>
      <c r="EWE239" s="494"/>
      <c r="EWF239" s="494"/>
      <c r="EWG239" s="494"/>
      <c r="EWH239" s="494"/>
      <c r="EWI239" s="494"/>
      <c r="EWJ239" s="494"/>
      <c r="EWK239" s="494"/>
      <c r="EWL239" s="494"/>
      <c r="EWM239" s="494"/>
      <c r="EWN239" s="494"/>
      <c r="EWO239" s="494"/>
      <c r="EWP239" s="494"/>
      <c r="EWQ239" s="494"/>
      <c r="EWR239" s="494"/>
      <c r="EWS239" s="494"/>
      <c r="EWT239" s="494"/>
      <c r="EWU239" s="494"/>
      <c r="EWV239" s="494"/>
      <c r="EWW239" s="494"/>
      <c r="EWX239" s="494"/>
      <c r="EWY239" s="494"/>
      <c r="EWZ239" s="494"/>
      <c r="EXA239" s="494"/>
      <c r="EXB239" s="494"/>
      <c r="EXC239" s="494"/>
      <c r="EXD239" s="494"/>
      <c r="EXE239" s="494"/>
      <c r="EXF239" s="494"/>
      <c r="EXG239" s="494"/>
      <c r="EXH239" s="494"/>
      <c r="EXI239" s="494"/>
      <c r="EXJ239" s="494"/>
      <c r="EXK239" s="494"/>
      <c r="EXL239" s="494"/>
      <c r="EXM239" s="494"/>
      <c r="EXN239" s="494"/>
      <c r="EXO239" s="494"/>
      <c r="EXP239" s="494"/>
      <c r="EXQ239" s="494"/>
      <c r="EXR239" s="494"/>
      <c r="EXS239" s="494"/>
      <c r="EXT239" s="494"/>
      <c r="EXU239" s="494"/>
      <c r="EXV239" s="494"/>
      <c r="EXW239" s="494"/>
      <c r="EXX239" s="494"/>
      <c r="EXY239" s="494"/>
      <c r="EXZ239" s="494"/>
      <c r="EYA239" s="494"/>
      <c r="EYB239" s="494"/>
      <c r="EYC239" s="494"/>
      <c r="EYD239" s="494"/>
      <c r="EYE239" s="494"/>
      <c r="EYF239" s="494"/>
      <c r="EYG239" s="494"/>
      <c r="EYH239" s="494"/>
      <c r="EYI239" s="494"/>
      <c r="EYJ239" s="494"/>
      <c r="EYK239" s="494"/>
      <c r="EYL239" s="494"/>
      <c r="EYM239" s="494"/>
      <c r="EYN239" s="494"/>
      <c r="EYO239" s="494"/>
      <c r="EYP239" s="494"/>
      <c r="EYQ239" s="494"/>
      <c r="EYR239" s="494"/>
      <c r="EYS239" s="494"/>
      <c r="EYT239" s="494"/>
      <c r="EYU239" s="494"/>
      <c r="EYV239" s="494"/>
      <c r="EYW239" s="494"/>
      <c r="EYX239" s="494"/>
      <c r="EYY239" s="494"/>
      <c r="EYZ239" s="494"/>
      <c r="EZA239" s="494"/>
      <c r="EZB239" s="494"/>
      <c r="EZC239" s="494"/>
      <c r="EZD239" s="494"/>
      <c r="EZE239" s="494"/>
      <c r="EZF239" s="494"/>
      <c r="EZG239" s="494"/>
      <c r="EZH239" s="494"/>
      <c r="EZI239" s="494"/>
      <c r="EZJ239" s="494"/>
      <c r="EZK239" s="494"/>
      <c r="EZL239" s="494"/>
      <c r="EZM239" s="494"/>
      <c r="EZN239" s="494"/>
      <c r="EZO239" s="494"/>
      <c r="EZP239" s="494"/>
      <c r="EZQ239" s="494"/>
      <c r="EZR239" s="494"/>
      <c r="EZS239" s="494"/>
      <c r="EZT239" s="494"/>
      <c r="EZU239" s="494"/>
      <c r="EZV239" s="494"/>
      <c r="EZW239" s="494"/>
      <c r="EZX239" s="494"/>
      <c r="EZY239" s="494"/>
      <c r="EZZ239" s="494"/>
      <c r="FAA239" s="494"/>
      <c r="FAB239" s="494"/>
      <c r="FAC239" s="494"/>
      <c r="FAD239" s="494"/>
      <c r="FAE239" s="494"/>
      <c r="FAF239" s="494"/>
      <c r="FAG239" s="494"/>
      <c r="FAH239" s="494"/>
      <c r="FAI239" s="494"/>
      <c r="FAJ239" s="494"/>
      <c r="FAK239" s="494"/>
      <c r="FAL239" s="494"/>
      <c r="FAM239" s="494"/>
      <c r="FAN239" s="494"/>
      <c r="FAO239" s="494"/>
      <c r="FAP239" s="494"/>
      <c r="FAQ239" s="494"/>
      <c r="FAR239" s="494"/>
      <c r="FAS239" s="494"/>
      <c r="FAT239" s="494"/>
      <c r="FAU239" s="494"/>
      <c r="FAV239" s="494"/>
      <c r="FAW239" s="494"/>
      <c r="FAX239" s="494"/>
      <c r="FAY239" s="494"/>
      <c r="FAZ239" s="494"/>
      <c r="FBA239" s="494"/>
      <c r="FBB239" s="494"/>
      <c r="FBC239" s="494"/>
      <c r="FBD239" s="494"/>
      <c r="FBE239" s="494"/>
      <c r="FBF239" s="494"/>
      <c r="FBG239" s="494"/>
      <c r="FBH239" s="494"/>
      <c r="FBI239" s="494"/>
      <c r="FBJ239" s="494"/>
      <c r="FBK239" s="494"/>
      <c r="FBL239" s="494"/>
      <c r="FBM239" s="494"/>
      <c r="FBN239" s="494"/>
      <c r="FBO239" s="494"/>
      <c r="FBP239" s="494"/>
      <c r="FBQ239" s="494"/>
      <c r="FBR239" s="494"/>
      <c r="FBS239" s="494"/>
      <c r="FBT239" s="494"/>
      <c r="FBU239" s="494"/>
      <c r="FBV239" s="494"/>
      <c r="FBW239" s="494"/>
      <c r="FBX239" s="494"/>
      <c r="FBY239" s="494"/>
      <c r="FBZ239" s="494"/>
      <c r="FCA239" s="494"/>
      <c r="FCB239" s="494"/>
      <c r="FCC239" s="494"/>
      <c r="FCD239" s="494"/>
      <c r="FCE239" s="494"/>
      <c r="FCF239" s="494"/>
      <c r="FCG239" s="494"/>
      <c r="FCH239" s="494"/>
      <c r="FCI239" s="494"/>
      <c r="FCJ239" s="494"/>
      <c r="FCK239" s="494"/>
      <c r="FCL239" s="494"/>
      <c r="FCM239" s="494"/>
      <c r="FCN239" s="494"/>
      <c r="FCO239" s="494"/>
      <c r="FCP239" s="494"/>
      <c r="FCQ239" s="494"/>
      <c r="FCR239" s="494"/>
      <c r="FCS239" s="494"/>
      <c r="FCT239" s="494"/>
      <c r="FCU239" s="494"/>
      <c r="FCV239" s="494"/>
      <c r="FCW239" s="494"/>
      <c r="FCX239" s="494"/>
      <c r="FCY239" s="494"/>
      <c r="FCZ239" s="494"/>
      <c r="FDA239" s="494"/>
      <c r="FDB239" s="494"/>
      <c r="FDC239" s="494"/>
      <c r="FDD239" s="494"/>
      <c r="FDE239" s="494"/>
      <c r="FDF239" s="494"/>
      <c r="FDG239" s="494"/>
      <c r="FDH239" s="494"/>
      <c r="FDI239" s="494"/>
      <c r="FDJ239" s="494"/>
      <c r="FDK239" s="494"/>
      <c r="FDL239" s="494"/>
      <c r="FDM239" s="494"/>
      <c r="FDN239" s="494"/>
      <c r="FDO239" s="494"/>
      <c r="FDP239" s="494"/>
      <c r="FDQ239" s="494"/>
      <c r="FDR239" s="494"/>
      <c r="FDS239" s="494"/>
      <c r="FDT239" s="494"/>
      <c r="FDU239" s="494"/>
      <c r="FDV239" s="494"/>
      <c r="FDW239" s="494"/>
      <c r="FDX239" s="494"/>
      <c r="FDY239" s="494"/>
      <c r="FDZ239" s="494"/>
      <c r="FEA239" s="494"/>
      <c r="FEB239" s="494"/>
      <c r="FEC239" s="494"/>
      <c r="FED239" s="494"/>
      <c r="FEE239" s="494"/>
      <c r="FEF239" s="494"/>
      <c r="FEG239" s="494"/>
      <c r="FEH239" s="494"/>
      <c r="FEI239" s="494"/>
      <c r="FEJ239" s="494"/>
      <c r="FEK239" s="494"/>
      <c r="FEL239" s="494"/>
      <c r="FEM239" s="494"/>
      <c r="FEN239" s="494"/>
      <c r="FEO239" s="494"/>
      <c r="FEP239" s="494"/>
      <c r="FEQ239" s="494"/>
      <c r="FER239" s="494"/>
      <c r="FES239" s="494"/>
      <c r="FET239" s="494"/>
      <c r="FEU239" s="494"/>
      <c r="FEV239" s="494"/>
      <c r="FEW239" s="494"/>
      <c r="FEX239" s="494"/>
      <c r="FEY239" s="494"/>
      <c r="FEZ239" s="494"/>
      <c r="FFA239" s="494"/>
      <c r="FFB239" s="494"/>
      <c r="FFC239" s="494"/>
      <c r="FFD239" s="494"/>
      <c r="FFE239" s="494"/>
      <c r="FFF239" s="494"/>
      <c r="FFG239" s="494"/>
      <c r="FFH239" s="494"/>
      <c r="FFI239" s="494"/>
      <c r="FFJ239" s="494"/>
      <c r="FFK239" s="494"/>
      <c r="FFL239" s="494"/>
      <c r="FFM239" s="494"/>
      <c r="FFN239" s="494"/>
      <c r="FFO239" s="494"/>
      <c r="FFP239" s="494"/>
      <c r="FFQ239" s="494"/>
      <c r="FFR239" s="494"/>
      <c r="FFS239" s="494"/>
      <c r="FFT239" s="494"/>
      <c r="FFU239" s="494"/>
      <c r="FFV239" s="494"/>
      <c r="FFW239" s="494"/>
      <c r="FFX239" s="494"/>
      <c r="FFY239" s="494"/>
      <c r="FFZ239" s="494"/>
      <c r="FGA239" s="494"/>
      <c r="FGB239" s="494"/>
      <c r="FGC239" s="494"/>
      <c r="FGD239" s="494"/>
      <c r="FGE239" s="494"/>
      <c r="FGF239" s="494"/>
      <c r="FGG239" s="494"/>
      <c r="FGH239" s="494"/>
      <c r="FGI239" s="494"/>
      <c r="FGJ239" s="494"/>
      <c r="FGK239" s="494"/>
      <c r="FGL239" s="494"/>
      <c r="FGM239" s="494"/>
      <c r="FGN239" s="494"/>
      <c r="FGO239" s="494"/>
      <c r="FGP239" s="494"/>
      <c r="FGQ239" s="494"/>
      <c r="FGR239" s="494"/>
      <c r="FGS239" s="494"/>
      <c r="FGT239" s="494"/>
      <c r="FGU239" s="494"/>
      <c r="FGV239" s="494"/>
      <c r="FGW239" s="494"/>
      <c r="FGX239" s="494"/>
      <c r="FGY239" s="494"/>
      <c r="FGZ239" s="494"/>
      <c r="FHA239" s="494"/>
      <c r="FHB239" s="494"/>
      <c r="FHC239" s="494"/>
      <c r="FHD239" s="494"/>
      <c r="FHE239" s="494"/>
      <c r="FHF239" s="494"/>
      <c r="FHG239" s="494"/>
      <c r="FHH239" s="494"/>
      <c r="FHI239" s="494"/>
      <c r="FHJ239" s="494"/>
      <c r="FHK239" s="494"/>
      <c r="FHL239" s="494"/>
      <c r="FHM239" s="494"/>
      <c r="FHN239" s="494"/>
      <c r="FHO239" s="494"/>
      <c r="FHP239" s="494"/>
      <c r="FHQ239" s="494"/>
      <c r="FHR239" s="494"/>
      <c r="FHS239" s="494"/>
      <c r="FHT239" s="494"/>
      <c r="FHU239" s="494"/>
      <c r="FHV239" s="494"/>
      <c r="FHW239" s="494"/>
      <c r="FHX239" s="494"/>
      <c r="FHY239" s="494"/>
      <c r="FHZ239" s="494"/>
      <c r="FIA239" s="494"/>
      <c r="FIB239" s="494"/>
      <c r="FIC239" s="494"/>
      <c r="FID239" s="494"/>
      <c r="FIE239" s="494"/>
      <c r="FIF239" s="494"/>
      <c r="FIG239" s="494"/>
      <c r="FIH239" s="494"/>
      <c r="FII239" s="494"/>
      <c r="FIJ239" s="494"/>
      <c r="FIK239" s="494"/>
      <c r="FIL239" s="494"/>
      <c r="FIM239" s="494"/>
      <c r="FIN239" s="494"/>
      <c r="FIO239" s="494"/>
      <c r="FIP239" s="494"/>
      <c r="FIQ239" s="494"/>
      <c r="FIR239" s="494"/>
      <c r="FIS239" s="494"/>
      <c r="FIT239" s="494"/>
      <c r="FIU239" s="494"/>
      <c r="FIV239" s="494"/>
      <c r="FIW239" s="494"/>
      <c r="FIX239" s="494"/>
      <c r="FIY239" s="494"/>
      <c r="FIZ239" s="494"/>
      <c r="FJA239" s="494"/>
      <c r="FJB239" s="494"/>
      <c r="FJC239" s="494"/>
      <c r="FJD239" s="494"/>
      <c r="FJE239" s="494"/>
      <c r="FJF239" s="494"/>
      <c r="FJG239" s="494"/>
      <c r="FJH239" s="494"/>
      <c r="FJI239" s="494"/>
      <c r="FJJ239" s="494"/>
      <c r="FJK239" s="494"/>
      <c r="FJL239" s="494"/>
      <c r="FJM239" s="494"/>
      <c r="FJN239" s="494"/>
      <c r="FJO239" s="494"/>
      <c r="FJP239" s="494"/>
      <c r="FJQ239" s="494"/>
      <c r="FJR239" s="494"/>
      <c r="FJS239" s="494"/>
      <c r="FJT239" s="494"/>
      <c r="FJU239" s="494"/>
      <c r="FJV239" s="494"/>
      <c r="FJW239" s="494"/>
      <c r="FJX239" s="494"/>
      <c r="FJY239" s="494"/>
      <c r="FJZ239" s="494"/>
      <c r="FKA239" s="494"/>
      <c r="FKB239" s="494"/>
      <c r="FKC239" s="494"/>
      <c r="FKD239" s="494"/>
      <c r="FKE239" s="494"/>
      <c r="FKF239" s="494"/>
      <c r="FKG239" s="494"/>
      <c r="FKH239" s="494"/>
      <c r="FKI239" s="494"/>
      <c r="FKJ239" s="494"/>
      <c r="FKK239" s="494"/>
      <c r="FKL239" s="494"/>
      <c r="FKM239" s="494"/>
      <c r="FKN239" s="494"/>
      <c r="FKO239" s="494"/>
      <c r="FKP239" s="494"/>
      <c r="FKQ239" s="494"/>
      <c r="FKR239" s="494"/>
      <c r="FKS239" s="494"/>
      <c r="FKT239" s="494"/>
      <c r="FKU239" s="494"/>
      <c r="FKV239" s="494"/>
      <c r="FKW239" s="494"/>
      <c r="FKX239" s="494"/>
      <c r="FKY239" s="494"/>
      <c r="FKZ239" s="494"/>
      <c r="FLA239" s="494"/>
      <c r="FLB239" s="494"/>
      <c r="FLC239" s="494"/>
      <c r="FLD239" s="494"/>
      <c r="FLE239" s="494"/>
      <c r="FLF239" s="494"/>
      <c r="FLG239" s="494"/>
      <c r="FLH239" s="494"/>
      <c r="FLI239" s="494"/>
      <c r="FLJ239" s="494"/>
      <c r="FLK239" s="494"/>
      <c r="FLL239" s="494"/>
      <c r="FLM239" s="494"/>
      <c r="FLN239" s="494"/>
      <c r="FLO239" s="494"/>
      <c r="FLP239" s="494"/>
      <c r="FLQ239" s="494"/>
      <c r="FLR239" s="494"/>
      <c r="FLS239" s="494"/>
      <c r="FLT239" s="494"/>
      <c r="FLU239" s="494"/>
      <c r="FLV239" s="494"/>
      <c r="FLW239" s="494"/>
      <c r="FLX239" s="494"/>
      <c r="FLY239" s="494"/>
      <c r="FLZ239" s="494"/>
      <c r="FMA239" s="494"/>
      <c r="FMB239" s="494"/>
      <c r="FMC239" s="494"/>
      <c r="FMD239" s="494"/>
      <c r="FME239" s="494"/>
      <c r="FMF239" s="494"/>
      <c r="FMG239" s="494"/>
      <c r="FMH239" s="494"/>
      <c r="FMI239" s="494"/>
      <c r="FMJ239" s="494"/>
      <c r="FMK239" s="494"/>
      <c r="FML239" s="494"/>
      <c r="FMM239" s="494"/>
      <c r="FMN239" s="494"/>
      <c r="FMO239" s="494"/>
      <c r="FMP239" s="494"/>
      <c r="FMQ239" s="494"/>
      <c r="FMR239" s="494"/>
      <c r="FMS239" s="494"/>
      <c r="FMT239" s="494"/>
      <c r="FMU239" s="494"/>
      <c r="FMV239" s="494"/>
      <c r="FMW239" s="494"/>
      <c r="FMX239" s="494"/>
      <c r="FMY239" s="494"/>
      <c r="FMZ239" s="494"/>
      <c r="FNA239" s="494"/>
      <c r="FNB239" s="494"/>
      <c r="FNC239" s="494"/>
      <c r="FND239" s="494"/>
      <c r="FNE239" s="494"/>
      <c r="FNF239" s="494"/>
      <c r="FNG239" s="494"/>
      <c r="FNH239" s="494"/>
      <c r="FNI239" s="494"/>
      <c r="FNJ239" s="494"/>
      <c r="FNK239" s="494"/>
      <c r="FNL239" s="494"/>
      <c r="FNM239" s="494"/>
      <c r="FNN239" s="494"/>
      <c r="FNO239" s="494"/>
      <c r="FNP239" s="494"/>
      <c r="FNQ239" s="494"/>
      <c r="FNR239" s="494"/>
      <c r="FNS239" s="494"/>
      <c r="FNT239" s="494"/>
      <c r="FNU239" s="494"/>
      <c r="FNV239" s="494"/>
      <c r="FNW239" s="494"/>
      <c r="FNX239" s="494"/>
      <c r="FNY239" s="494"/>
      <c r="FNZ239" s="494"/>
      <c r="FOA239" s="494"/>
      <c r="FOB239" s="494"/>
      <c r="FOC239" s="494"/>
      <c r="FOD239" s="494"/>
      <c r="FOE239" s="494"/>
      <c r="FOF239" s="494"/>
      <c r="FOG239" s="494"/>
      <c r="FOH239" s="494"/>
      <c r="FOI239" s="494"/>
      <c r="FOJ239" s="494"/>
      <c r="FOK239" s="494"/>
      <c r="FOL239" s="494"/>
      <c r="FOM239" s="494"/>
      <c r="FON239" s="494"/>
      <c r="FOO239" s="494"/>
      <c r="FOP239" s="494"/>
      <c r="FOQ239" s="494"/>
      <c r="FOR239" s="494"/>
      <c r="FOS239" s="494"/>
      <c r="FOT239" s="494"/>
      <c r="FOU239" s="494"/>
      <c r="FOV239" s="494"/>
      <c r="FOW239" s="494"/>
      <c r="FOX239" s="494"/>
      <c r="FOY239" s="494"/>
      <c r="FOZ239" s="494"/>
      <c r="FPA239" s="494"/>
      <c r="FPB239" s="494"/>
      <c r="FPC239" s="494"/>
      <c r="FPD239" s="494"/>
      <c r="FPE239" s="494"/>
      <c r="FPF239" s="494"/>
      <c r="FPG239" s="494"/>
      <c r="FPH239" s="494"/>
      <c r="FPI239" s="494"/>
      <c r="FPJ239" s="494"/>
      <c r="FPK239" s="494"/>
      <c r="FPL239" s="494"/>
      <c r="FPM239" s="494"/>
      <c r="FPN239" s="494"/>
      <c r="FPO239" s="494"/>
      <c r="FPP239" s="494"/>
      <c r="FPQ239" s="494"/>
      <c r="FPR239" s="494"/>
      <c r="FPS239" s="494"/>
      <c r="FPT239" s="494"/>
      <c r="FPU239" s="494"/>
      <c r="FPV239" s="494"/>
      <c r="FPW239" s="494"/>
      <c r="FPX239" s="494"/>
      <c r="FPY239" s="494"/>
      <c r="FPZ239" s="494"/>
      <c r="FQA239" s="494"/>
      <c r="FQB239" s="494"/>
      <c r="FQC239" s="494"/>
      <c r="FQD239" s="494"/>
      <c r="FQE239" s="494"/>
      <c r="FQF239" s="494"/>
      <c r="FQG239" s="494"/>
      <c r="FQH239" s="494"/>
      <c r="FQI239" s="494"/>
      <c r="FQJ239" s="494"/>
      <c r="FQK239" s="494"/>
      <c r="FQL239" s="494"/>
      <c r="FQM239" s="494"/>
      <c r="FQN239" s="494"/>
      <c r="FQO239" s="494"/>
      <c r="FQP239" s="494"/>
      <c r="FQQ239" s="494"/>
      <c r="FQR239" s="494"/>
      <c r="FQS239" s="494"/>
      <c r="FQT239" s="494"/>
      <c r="FQU239" s="494"/>
      <c r="FQV239" s="494"/>
      <c r="FQW239" s="494"/>
      <c r="FQX239" s="494"/>
      <c r="FQY239" s="494"/>
      <c r="FQZ239" s="494"/>
      <c r="FRA239" s="494"/>
      <c r="FRB239" s="494"/>
      <c r="FRC239" s="494"/>
      <c r="FRD239" s="494"/>
      <c r="FRE239" s="494"/>
      <c r="FRF239" s="494"/>
      <c r="FRG239" s="494"/>
      <c r="FRH239" s="494"/>
      <c r="FRI239" s="494"/>
      <c r="FRJ239" s="494"/>
      <c r="FRK239" s="494"/>
      <c r="FRL239" s="494"/>
      <c r="FRM239" s="494"/>
      <c r="FRN239" s="494"/>
      <c r="FRO239" s="494"/>
      <c r="FRP239" s="494"/>
      <c r="FRQ239" s="494"/>
      <c r="FRR239" s="494"/>
      <c r="FRS239" s="494"/>
      <c r="FRT239" s="494"/>
      <c r="FRU239" s="494"/>
      <c r="FRV239" s="494"/>
      <c r="FRW239" s="494"/>
      <c r="FRX239" s="494"/>
      <c r="FRY239" s="494"/>
      <c r="FRZ239" s="494"/>
      <c r="FSA239" s="494"/>
      <c r="FSB239" s="494"/>
      <c r="FSC239" s="494"/>
      <c r="FSD239" s="494"/>
      <c r="FSE239" s="494"/>
      <c r="FSF239" s="494"/>
      <c r="FSG239" s="494"/>
      <c r="FSH239" s="494"/>
      <c r="FSI239" s="494"/>
      <c r="FSJ239" s="494"/>
      <c r="FSK239" s="494"/>
      <c r="FSL239" s="494"/>
      <c r="FSM239" s="494"/>
      <c r="FSN239" s="494"/>
      <c r="FSO239" s="494"/>
      <c r="FSP239" s="494"/>
      <c r="FSQ239" s="494"/>
      <c r="FSR239" s="494"/>
      <c r="FSS239" s="494"/>
      <c r="FST239" s="494"/>
      <c r="FSU239" s="494"/>
      <c r="FSV239" s="494"/>
      <c r="FSW239" s="494"/>
      <c r="FSX239" s="494"/>
      <c r="FSY239" s="494"/>
      <c r="FSZ239" s="494"/>
      <c r="FTA239" s="494"/>
      <c r="FTB239" s="494"/>
      <c r="FTC239" s="494"/>
      <c r="FTD239" s="494"/>
      <c r="FTE239" s="494"/>
      <c r="FTF239" s="494"/>
      <c r="FTG239" s="494"/>
      <c r="FTH239" s="494"/>
      <c r="FTI239" s="494"/>
      <c r="FTJ239" s="494"/>
      <c r="FTK239" s="494"/>
      <c r="FTL239" s="494"/>
      <c r="FTM239" s="494"/>
      <c r="FTN239" s="494"/>
      <c r="FTO239" s="494"/>
      <c r="FTP239" s="494"/>
      <c r="FTQ239" s="494"/>
      <c r="FTR239" s="494"/>
      <c r="FTS239" s="494"/>
      <c r="FTT239" s="494"/>
      <c r="FTU239" s="494"/>
      <c r="FTV239" s="494"/>
      <c r="FTW239" s="494"/>
      <c r="FTX239" s="494"/>
      <c r="FTY239" s="494"/>
      <c r="FTZ239" s="494"/>
      <c r="FUA239" s="494"/>
      <c r="FUB239" s="494"/>
      <c r="FUC239" s="494"/>
      <c r="FUD239" s="494"/>
      <c r="FUE239" s="494"/>
      <c r="FUF239" s="494"/>
      <c r="FUG239" s="494"/>
      <c r="FUH239" s="494"/>
      <c r="FUI239" s="494"/>
      <c r="FUJ239" s="494"/>
      <c r="FUK239" s="494"/>
      <c r="FUL239" s="494"/>
      <c r="FUM239" s="494"/>
      <c r="FUN239" s="494"/>
      <c r="FUO239" s="494"/>
      <c r="FUP239" s="494"/>
      <c r="FUQ239" s="494"/>
      <c r="FUR239" s="494"/>
      <c r="FUS239" s="494"/>
      <c r="FUT239" s="494"/>
      <c r="FUU239" s="494"/>
      <c r="FUV239" s="494"/>
      <c r="FUW239" s="494"/>
      <c r="FUX239" s="494"/>
      <c r="FUY239" s="494"/>
      <c r="FUZ239" s="494"/>
      <c r="FVA239" s="494"/>
      <c r="FVB239" s="494"/>
      <c r="FVC239" s="494"/>
      <c r="FVD239" s="494"/>
      <c r="FVE239" s="494"/>
      <c r="FVF239" s="494"/>
      <c r="FVG239" s="494"/>
      <c r="FVH239" s="494"/>
      <c r="FVI239" s="494"/>
      <c r="FVJ239" s="494"/>
      <c r="FVK239" s="494"/>
      <c r="FVL239" s="494"/>
      <c r="FVM239" s="494"/>
      <c r="FVN239" s="494"/>
      <c r="FVO239" s="494"/>
      <c r="FVP239" s="494"/>
      <c r="FVQ239" s="494"/>
      <c r="FVR239" s="494"/>
      <c r="FVS239" s="494"/>
      <c r="FVT239" s="494"/>
      <c r="FVU239" s="494"/>
      <c r="FVV239" s="494"/>
      <c r="FVW239" s="494"/>
      <c r="FVX239" s="494"/>
      <c r="FVY239" s="494"/>
      <c r="FVZ239" s="494"/>
      <c r="FWA239" s="494"/>
      <c r="FWB239" s="494"/>
      <c r="FWC239" s="494"/>
      <c r="FWD239" s="494"/>
      <c r="FWE239" s="494"/>
      <c r="FWF239" s="494"/>
      <c r="FWG239" s="494"/>
      <c r="FWH239" s="494"/>
      <c r="FWI239" s="494"/>
      <c r="FWJ239" s="494"/>
      <c r="FWK239" s="494"/>
      <c r="FWL239" s="494"/>
      <c r="FWM239" s="494"/>
      <c r="FWN239" s="494"/>
      <c r="FWO239" s="494"/>
      <c r="FWP239" s="494"/>
      <c r="FWQ239" s="494"/>
      <c r="FWR239" s="494"/>
      <c r="FWS239" s="494"/>
      <c r="FWT239" s="494"/>
      <c r="FWU239" s="494"/>
      <c r="FWV239" s="494"/>
      <c r="FWW239" s="494"/>
      <c r="FWX239" s="494"/>
      <c r="FWY239" s="494"/>
      <c r="FWZ239" s="494"/>
      <c r="FXA239" s="494"/>
      <c r="FXB239" s="494"/>
      <c r="FXC239" s="494"/>
      <c r="FXD239" s="494"/>
      <c r="FXE239" s="494"/>
      <c r="FXF239" s="494"/>
      <c r="FXG239" s="494"/>
      <c r="FXH239" s="494"/>
      <c r="FXI239" s="494"/>
      <c r="FXJ239" s="494"/>
      <c r="FXK239" s="494"/>
      <c r="FXL239" s="494"/>
      <c r="FXM239" s="494"/>
      <c r="FXN239" s="494"/>
      <c r="FXO239" s="494"/>
      <c r="FXP239" s="494"/>
      <c r="FXQ239" s="494"/>
      <c r="FXR239" s="494"/>
      <c r="FXS239" s="494"/>
      <c r="FXT239" s="494"/>
      <c r="FXU239" s="494"/>
      <c r="FXV239" s="494"/>
      <c r="FXW239" s="494"/>
      <c r="FXX239" s="494"/>
      <c r="FXY239" s="494"/>
      <c r="FXZ239" s="494"/>
      <c r="FYA239" s="494"/>
      <c r="FYB239" s="494"/>
      <c r="FYC239" s="494"/>
      <c r="FYD239" s="494"/>
      <c r="FYE239" s="494"/>
      <c r="FYF239" s="494"/>
      <c r="FYG239" s="494"/>
      <c r="FYH239" s="494"/>
      <c r="FYI239" s="494"/>
      <c r="FYJ239" s="494"/>
      <c r="FYK239" s="494"/>
      <c r="FYL239" s="494"/>
      <c r="FYM239" s="494"/>
      <c r="FYN239" s="494"/>
      <c r="FYO239" s="494"/>
      <c r="FYP239" s="494"/>
      <c r="FYQ239" s="494"/>
      <c r="FYR239" s="494"/>
      <c r="FYS239" s="494"/>
      <c r="FYT239" s="494"/>
      <c r="FYU239" s="494"/>
      <c r="FYV239" s="494"/>
      <c r="FYW239" s="494"/>
      <c r="FYX239" s="494"/>
      <c r="FYY239" s="494"/>
      <c r="FYZ239" s="494"/>
      <c r="FZA239" s="494"/>
      <c r="FZB239" s="494"/>
      <c r="FZC239" s="494"/>
      <c r="FZD239" s="494"/>
      <c r="FZE239" s="494"/>
      <c r="FZF239" s="494"/>
      <c r="FZG239" s="494"/>
      <c r="FZH239" s="494"/>
      <c r="FZI239" s="494"/>
      <c r="FZJ239" s="494"/>
      <c r="FZK239" s="494"/>
      <c r="FZL239" s="494"/>
      <c r="FZM239" s="494"/>
      <c r="FZN239" s="494"/>
      <c r="FZO239" s="494"/>
      <c r="FZP239" s="494"/>
      <c r="FZQ239" s="494"/>
      <c r="FZR239" s="494"/>
      <c r="FZS239" s="494"/>
      <c r="FZT239" s="494"/>
      <c r="FZU239" s="494"/>
      <c r="FZV239" s="494"/>
      <c r="FZW239" s="494"/>
      <c r="FZX239" s="494"/>
      <c r="FZY239" s="494"/>
      <c r="FZZ239" s="494"/>
      <c r="GAA239" s="494"/>
      <c r="GAB239" s="494"/>
      <c r="GAC239" s="494"/>
      <c r="GAD239" s="494"/>
      <c r="GAE239" s="494"/>
      <c r="GAF239" s="494"/>
      <c r="GAG239" s="494"/>
      <c r="GAH239" s="494"/>
      <c r="GAI239" s="494"/>
      <c r="GAJ239" s="494"/>
      <c r="GAK239" s="494"/>
      <c r="GAL239" s="494"/>
      <c r="GAM239" s="494"/>
      <c r="GAN239" s="494"/>
      <c r="GAO239" s="494"/>
      <c r="GAP239" s="494"/>
      <c r="GAQ239" s="494"/>
      <c r="GAR239" s="494"/>
      <c r="GAS239" s="494"/>
      <c r="GAT239" s="494"/>
      <c r="GAU239" s="494"/>
      <c r="GAV239" s="494"/>
      <c r="GAW239" s="494"/>
      <c r="GAX239" s="494"/>
      <c r="GAY239" s="494"/>
      <c r="GAZ239" s="494"/>
      <c r="GBA239" s="494"/>
      <c r="GBB239" s="494"/>
      <c r="GBC239" s="494"/>
      <c r="GBD239" s="494"/>
      <c r="GBE239" s="494"/>
      <c r="GBF239" s="494"/>
      <c r="GBG239" s="494"/>
      <c r="GBH239" s="494"/>
      <c r="GBI239" s="494"/>
      <c r="GBJ239" s="494"/>
      <c r="GBK239" s="494"/>
      <c r="GBL239" s="494"/>
      <c r="GBM239" s="494"/>
      <c r="GBN239" s="494"/>
      <c r="GBO239" s="494"/>
      <c r="GBP239" s="494"/>
      <c r="GBQ239" s="494"/>
      <c r="GBR239" s="494"/>
      <c r="GBS239" s="494"/>
      <c r="GBT239" s="494"/>
      <c r="GBU239" s="494"/>
      <c r="GBV239" s="494"/>
      <c r="GBW239" s="494"/>
      <c r="GBX239" s="494"/>
      <c r="GBY239" s="494"/>
      <c r="GBZ239" s="494"/>
      <c r="GCA239" s="494"/>
      <c r="GCB239" s="494"/>
      <c r="GCC239" s="494"/>
      <c r="GCD239" s="494"/>
      <c r="GCE239" s="494"/>
      <c r="GCF239" s="494"/>
      <c r="GCG239" s="494"/>
      <c r="GCH239" s="494"/>
      <c r="GCI239" s="494"/>
      <c r="GCJ239" s="494"/>
      <c r="GCK239" s="494"/>
      <c r="GCL239" s="494"/>
      <c r="GCM239" s="494"/>
      <c r="GCN239" s="494"/>
      <c r="GCO239" s="494"/>
      <c r="GCP239" s="494"/>
      <c r="GCQ239" s="494"/>
      <c r="GCR239" s="494"/>
      <c r="GCS239" s="494"/>
      <c r="GCT239" s="494"/>
      <c r="GCU239" s="494"/>
      <c r="GCV239" s="494"/>
      <c r="GCW239" s="494"/>
      <c r="GCX239" s="494"/>
      <c r="GCY239" s="494"/>
      <c r="GCZ239" s="494"/>
      <c r="GDA239" s="494"/>
      <c r="GDB239" s="494"/>
      <c r="GDC239" s="494"/>
      <c r="GDD239" s="494"/>
      <c r="GDE239" s="494"/>
      <c r="GDF239" s="494"/>
      <c r="GDG239" s="494"/>
      <c r="GDH239" s="494"/>
      <c r="GDI239" s="494"/>
      <c r="GDJ239" s="494"/>
      <c r="GDK239" s="494"/>
      <c r="GDL239" s="494"/>
      <c r="GDM239" s="494"/>
      <c r="GDN239" s="494"/>
      <c r="GDO239" s="494"/>
      <c r="GDP239" s="494"/>
      <c r="GDQ239" s="494"/>
      <c r="GDR239" s="494"/>
      <c r="GDS239" s="494"/>
      <c r="GDT239" s="494"/>
      <c r="GDU239" s="494"/>
      <c r="GDV239" s="494"/>
      <c r="GDW239" s="494"/>
      <c r="GDX239" s="494"/>
      <c r="GDY239" s="494"/>
      <c r="GDZ239" s="494"/>
      <c r="GEA239" s="494"/>
      <c r="GEB239" s="494"/>
      <c r="GEC239" s="494"/>
      <c r="GED239" s="494"/>
      <c r="GEE239" s="494"/>
      <c r="GEF239" s="494"/>
      <c r="GEG239" s="494"/>
      <c r="GEH239" s="494"/>
      <c r="GEI239" s="494"/>
      <c r="GEJ239" s="494"/>
      <c r="GEK239" s="494"/>
      <c r="GEL239" s="494"/>
      <c r="GEM239" s="494"/>
      <c r="GEN239" s="494"/>
      <c r="GEO239" s="494"/>
      <c r="GEP239" s="494"/>
      <c r="GEQ239" s="494"/>
      <c r="GER239" s="494"/>
      <c r="GES239" s="494"/>
      <c r="GET239" s="494"/>
      <c r="GEU239" s="494"/>
      <c r="GEV239" s="494"/>
      <c r="GEW239" s="494"/>
      <c r="GEX239" s="494"/>
      <c r="GEY239" s="494"/>
      <c r="GEZ239" s="494"/>
      <c r="GFA239" s="494"/>
      <c r="GFB239" s="494"/>
      <c r="GFC239" s="494"/>
      <c r="GFD239" s="494"/>
      <c r="GFE239" s="494"/>
      <c r="GFF239" s="494"/>
      <c r="GFG239" s="494"/>
      <c r="GFH239" s="494"/>
      <c r="GFI239" s="494"/>
      <c r="GFJ239" s="494"/>
      <c r="GFK239" s="494"/>
      <c r="GFL239" s="494"/>
      <c r="GFM239" s="494"/>
      <c r="GFN239" s="494"/>
      <c r="GFO239" s="494"/>
      <c r="GFP239" s="494"/>
      <c r="GFQ239" s="494"/>
      <c r="GFR239" s="494"/>
      <c r="GFS239" s="494"/>
      <c r="GFT239" s="494"/>
      <c r="GFU239" s="494"/>
      <c r="GFV239" s="494"/>
      <c r="GFW239" s="494"/>
      <c r="GFX239" s="494"/>
      <c r="GFY239" s="494"/>
      <c r="GFZ239" s="494"/>
      <c r="GGA239" s="494"/>
      <c r="GGB239" s="494"/>
      <c r="GGC239" s="494"/>
      <c r="GGD239" s="494"/>
      <c r="GGE239" s="494"/>
      <c r="GGF239" s="494"/>
      <c r="GGG239" s="494"/>
      <c r="GGH239" s="494"/>
      <c r="GGI239" s="494"/>
      <c r="GGJ239" s="494"/>
      <c r="GGK239" s="494"/>
      <c r="GGL239" s="494"/>
      <c r="GGM239" s="494"/>
      <c r="GGN239" s="494"/>
      <c r="GGO239" s="494"/>
      <c r="GGP239" s="494"/>
      <c r="GGQ239" s="494"/>
      <c r="GGR239" s="494"/>
      <c r="GGS239" s="494"/>
      <c r="GGT239" s="494"/>
      <c r="GGU239" s="494"/>
      <c r="GGV239" s="494"/>
      <c r="GGW239" s="494"/>
      <c r="GGX239" s="494"/>
      <c r="GGY239" s="494"/>
      <c r="GGZ239" s="494"/>
      <c r="GHA239" s="494"/>
      <c r="GHB239" s="494"/>
      <c r="GHC239" s="494"/>
      <c r="GHD239" s="494"/>
      <c r="GHE239" s="494"/>
      <c r="GHF239" s="494"/>
      <c r="GHG239" s="494"/>
      <c r="GHH239" s="494"/>
      <c r="GHI239" s="494"/>
      <c r="GHJ239" s="494"/>
      <c r="GHK239" s="494"/>
      <c r="GHL239" s="494"/>
      <c r="GHM239" s="494"/>
      <c r="GHN239" s="494"/>
      <c r="GHO239" s="494"/>
      <c r="GHP239" s="494"/>
      <c r="GHQ239" s="494"/>
      <c r="GHR239" s="494"/>
      <c r="GHS239" s="494"/>
      <c r="GHT239" s="494"/>
      <c r="GHU239" s="494"/>
      <c r="GHV239" s="494"/>
      <c r="GHW239" s="494"/>
      <c r="GHX239" s="494"/>
      <c r="GHY239" s="494"/>
      <c r="GHZ239" s="494"/>
      <c r="GIA239" s="494"/>
      <c r="GIB239" s="494"/>
      <c r="GIC239" s="494"/>
      <c r="GID239" s="494"/>
      <c r="GIE239" s="494"/>
      <c r="GIF239" s="494"/>
      <c r="GIG239" s="494"/>
      <c r="GIH239" s="494"/>
      <c r="GII239" s="494"/>
      <c r="GIJ239" s="494"/>
      <c r="GIK239" s="494"/>
      <c r="GIL239" s="494"/>
      <c r="GIM239" s="494"/>
      <c r="GIN239" s="494"/>
      <c r="GIO239" s="494"/>
      <c r="GIP239" s="494"/>
      <c r="GIQ239" s="494"/>
      <c r="GIR239" s="494"/>
      <c r="GIS239" s="494"/>
      <c r="GIT239" s="494"/>
      <c r="GIU239" s="494"/>
      <c r="GIV239" s="494"/>
      <c r="GIW239" s="494"/>
      <c r="GIX239" s="494"/>
      <c r="GIY239" s="494"/>
      <c r="GIZ239" s="494"/>
      <c r="GJA239" s="494"/>
      <c r="GJB239" s="494"/>
      <c r="GJC239" s="494"/>
      <c r="GJD239" s="494"/>
      <c r="GJE239" s="494"/>
      <c r="GJF239" s="494"/>
      <c r="GJG239" s="494"/>
      <c r="GJH239" s="494"/>
      <c r="GJI239" s="494"/>
      <c r="GJJ239" s="494"/>
      <c r="GJK239" s="494"/>
      <c r="GJL239" s="494"/>
      <c r="GJM239" s="494"/>
      <c r="GJN239" s="494"/>
      <c r="GJO239" s="494"/>
      <c r="GJP239" s="494"/>
      <c r="GJQ239" s="494"/>
      <c r="GJR239" s="494"/>
      <c r="GJS239" s="494"/>
      <c r="GJT239" s="494"/>
      <c r="GJU239" s="494"/>
      <c r="GJV239" s="494"/>
      <c r="GJW239" s="494"/>
      <c r="GJX239" s="494"/>
      <c r="GJY239" s="494"/>
      <c r="GJZ239" s="494"/>
      <c r="GKA239" s="494"/>
      <c r="GKB239" s="494"/>
      <c r="GKC239" s="494"/>
      <c r="GKD239" s="494"/>
      <c r="GKE239" s="494"/>
      <c r="GKF239" s="494"/>
      <c r="GKG239" s="494"/>
      <c r="GKH239" s="494"/>
      <c r="GKI239" s="494"/>
      <c r="GKJ239" s="494"/>
      <c r="GKK239" s="494"/>
      <c r="GKL239" s="494"/>
      <c r="GKM239" s="494"/>
      <c r="GKN239" s="494"/>
      <c r="GKO239" s="494"/>
      <c r="GKP239" s="494"/>
      <c r="GKQ239" s="494"/>
      <c r="GKR239" s="494"/>
      <c r="GKS239" s="494"/>
      <c r="GKT239" s="494"/>
      <c r="GKU239" s="494"/>
      <c r="GKV239" s="494"/>
      <c r="GKW239" s="494"/>
      <c r="GKX239" s="494"/>
      <c r="GKY239" s="494"/>
      <c r="GKZ239" s="494"/>
      <c r="GLA239" s="494"/>
      <c r="GLB239" s="494"/>
      <c r="GLC239" s="494"/>
      <c r="GLD239" s="494"/>
      <c r="GLE239" s="494"/>
      <c r="GLF239" s="494"/>
      <c r="GLG239" s="494"/>
      <c r="GLH239" s="494"/>
      <c r="GLI239" s="494"/>
      <c r="GLJ239" s="494"/>
      <c r="GLK239" s="494"/>
      <c r="GLL239" s="494"/>
      <c r="GLM239" s="494"/>
      <c r="GLN239" s="494"/>
      <c r="GLO239" s="494"/>
      <c r="GLP239" s="494"/>
      <c r="GLQ239" s="494"/>
      <c r="GLR239" s="494"/>
      <c r="GLS239" s="494"/>
      <c r="GLT239" s="494"/>
      <c r="GLU239" s="494"/>
      <c r="GLV239" s="494"/>
      <c r="GLW239" s="494"/>
      <c r="GLX239" s="494"/>
      <c r="GLY239" s="494"/>
      <c r="GLZ239" s="494"/>
      <c r="GMA239" s="494"/>
      <c r="GMB239" s="494"/>
      <c r="GMC239" s="494"/>
      <c r="GMD239" s="494"/>
      <c r="GME239" s="494"/>
      <c r="GMF239" s="494"/>
      <c r="GMG239" s="494"/>
      <c r="GMH239" s="494"/>
      <c r="GMI239" s="494"/>
      <c r="GMJ239" s="494"/>
      <c r="GMK239" s="494"/>
      <c r="GML239" s="494"/>
      <c r="GMM239" s="494"/>
      <c r="GMN239" s="494"/>
      <c r="GMO239" s="494"/>
      <c r="GMP239" s="494"/>
      <c r="GMQ239" s="494"/>
      <c r="GMR239" s="494"/>
      <c r="GMS239" s="494"/>
      <c r="GMT239" s="494"/>
      <c r="GMU239" s="494"/>
      <c r="GMV239" s="494"/>
      <c r="GMW239" s="494"/>
      <c r="GMX239" s="494"/>
      <c r="GMY239" s="494"/>
      <c r="GMZ239" s="494"/>
      <c r="GNA239" s="494"/>
      <c r="GNB239" s="494"/>
      <c r="GNC239" s="494"/>
      <c r="GND239" s="494"/>
      <c r="GNE239" s="494"/>
      <c r="GNF239" s="494"/>
      <c r="GNG239" s="494"/>
      <c r="GNH239" s="494"/>
      <c r="GNI239" s="494"/>
      <c r="GNJ239" s="494"/>
      <c r="GNK239" s="494"/>
      <c r="GNL239" s="494"/>
      <c r="GNM239" s="494"/>
      <c r="GNN239" s="494"/>
      <c r="GNO239" s="494"/>
      <c r="GNP239" s="494"/>
      <c r="GNQ239" s="494"/>
      <c r="GNR239" s="494"/>
      <c r="GNS239" s="494"/>
      <c r="GNT239" s="494"/>
      <c r="GNU239" s="494"/>
      <c r="GNV239" s="494"/>
      <c r="GNW239" s="494"/>
      <c r="GNX239" s="494"/>
      <c r="GNY239" s="494"/>
      <c r="GNZ239" s="494"/>
      <c r="GOA239" s="494"/>
      <c r="GOB239" s="494"/>
      <c r="GOC239" s="494"/>
      <c r="GOD239" s="494"/>
      <c r="GOE239" s="494"/>
      <c r="GOF239" s="494"/>
      <c r="GOG239" s="494"/>
      <c r="GOH239" s="494"/>
      <c r="GOI239" s="494"/>
      <c r="GOJ239" s="494"/>
      <c r="GOK239" s="494"/>
      <c r="GOL239" s="494"/>
      <c r="GOM239" s="494"/>
      <c r="GON239" s="494"/>
      <c r="GOO239" s="494"/>
      <c r="GOP239" s="494"/>
      <c r="GOQ239" s="494"/>
      <c r="GOR239" s="494"/>
      <c r="GOS239" s="494"/>
      <c r="GOT239" s="494"/>
      <c r="GOU239" s="494"/>
      <c r="GOV239" s="494"/>
      <c r="GOW239" s="494"/>
      <c r="GOX239" s="494"/>
      <c r="GOY239" s="494"/>
      <c r="GOZ239" s="494"/>
      <c r="GPA239" s="494"/>
      <c r="GPB239" s="494"/>
      <c r="GPC239" s="494"/>
      <c r="GPD239" s="494"/>
      <c r="GPE239" s="494"/>
      <c r="GPF239" s="494"/>
      <c r="GPG239" s="494"/>
      <c r="GPH239" s="494"/>
      <c r="GPI239" s="494"/>
      <c r="GPJ239" s="494"/>
      <c r="GPK239" s="494"/>
      <c r="GPL239" s="494"/>
      <c r="GPM239" s="494"/>
      <c r="GPN239" s="494"/>
      <c r="GPO239" s="494"/>
      <c r="GPP239" s="494"/>
      <c r="GPQ239" s="494"/>
      <c r="GPR239" s="494"/>
      <c r="GPS239" s="494"/>
      <c r="GPT239" s="494"/>
      <c r="GPU239" s="494"/>
      <c r="GPV239" s="494"/>
      <c r="GPW239" s="494"/>
      <c r="GPX239" s="494"/>
      <c r="GPY239" s="494"/>
      <c r="GPZ239" s="494"/>
      <c r="GQA239" s="494"/>
      <c r="GQB239" s="494"/>
      <c r="GQC239" s="494"/>
      <c r="GQD239" s="494"/>
      <c r="GQE239" s="494"/>
      <c r="GQF239" s="494"/>
      <c r="GQG239" s="494"/>
      <c r="GQH239" s="494"/>
      <c r="GQI239" s="494"/>
      <c r="GQJ239" s="494"/>
      <c r="GQK239" s="494"/>
      <c r="GQL239" s="494"/>
      <c r="GQM239" s="494"/>
      <c r="GQN239" s="494"/>
      <c r="GQO239" s="494"/>
      <c r="GQP239" s="494"/>
      <c r="GQQ239" s="494"/>
      <c r="GQR239" s="494"/>
      <c r="GQS239" s="494"/>
      <c r="GQT239" s="494"/>
      <c r="GQU239" s="494"/>
      <c r="GQV239" s="494"/>
      <c r="GQW239" s="494"/>
      <c r="GQX239" s="494"/>
      <c r="GQY239" s="494"/>
      <c r="GQZ239" s="494"/>
      <c r="GRA239" s="494"/>
      <c r="GRB239" s="494"/>
      <c r="GRC239" s="494"/>
      <c r="GRD239" s="494"/>
      <c r="GRE239" s="494"/>
      <c r="GRF239" s="494"/>
      <c r="GRG239" s="494"/>
      <c r="GRH239" s="494"/>
      <c r="GRI239" s="494"/>
      <c r="GRJ239" s="494"/>
      <c r="GRK239" s="494"/>
      <c r="GRL239" s="494"/>
      <c r="GRM239" s="494"/>
      <c r="GRN239" s="494"/>
      <c r="GRO239" s="494"/>
      <c r="GRP239" s="494"/>
      <c r="GRQ239" s="494"/>
      <c r="GRR239" s="494"/>
      <c r="GRS239" s="494"/>
      <c r="GRT239" s="494"/>
      <c r="GRU239" s="494"/>
      <c r="GRV239" s="494"/>
      <c r="GRW239" s="494"/>
      <c r="GRX239" s="494"/>
      <c r="GRY239" s="494"/>
      <c r="GRZ239" s="494"/>
      <c r="GSA239" s="494"/>
      <c r="GSB239" s="494"/>
      <c r="GSC239" s="494"/>
      <c r="GSD239" s="494"/>
      <c r="GSE239" s="494"/>
      <c r="GSF239" s="494"/>
      <c r="GSG239" s="494"/>
      <c r="GSH239" s="494"/>
      <c r="GSI239" s="494"/>
      <c r="GSJ239" s="494"/>
      <c r="GSK239" s="494"/>
      <c r="GSL239" s="494"/>
      <c r="GSM239" s="494"/>
      <c r="GSN239" s="494"/>
      <c r="GSO239" s="494"/>
      <c r="GSP239" s="494"/>
      <c r="GSQ239" s="494"/>
      <c r="GSR239" s="494"/>
      <c r="GSS239" s="494"/>
      <c r="GST239" s="494"/>
      <c r="GSU239" s="494"/>
      <c r="GSV239" s="494"/>
      <c r="GSW239" s="494"/>
      <c r="GSX239" s="494"/>
      <c r="GSY239" s="494"/>
      <c r="GSZ239" s="494"/>
      <c r="GTA239" s="494"/>
      <c r="GTB239" s="494"/>
      <c r="GTC239" s="494"/>
      <c r="GTD239" s="494"/>
      <c r="GTE239" s="494"/>
      <c r="GTF239" s="494"/>
      <c r="GTG239" s="494"/>
      <c r="GTH239" s="494"/>
      <c r="GTI239" s="494"/>
      <c r="GTJ239" s="494"/>
      <c r="GTK239" s="494"/>
      <c r="GTL239" s="494"/>
      <c r="GTM239" s="494"/>
      <c r="GTN239" s="494"/>
      <c r="GTO239" s="494"/>
      <c r="GTP239" s="494"/>
      <c r="GTQ239" s="494"/>
      <c r="GTR239" s="494"/>
      <c r="GTS239" s="494"/>
      <c r="GTT239" s="494"/>
      <c r="GTU239" s="494"/>
      <c r="GTV239" s="494"/>
      <c r="GTW239" s="494"/>
      <c r="GTX239" s="494"/>
      <c r="GTY239" s="494"/>
      <c r="GTZ239" s="494"/>
      <c r="GUA239" s="494"/>
      <c r="GUB239" s="494"/>
      <c r="GUC239" s="494"/>
      <c r="GUD239" s="494"/>
      <c r="GUE239" s="494"/>
      <c r="GUF239" s="494"/>
      <c r="GUG239" s="494"/>
      <c r="GUH239" s="494"/>
      <c r="GUI239" s="494"/>
      <c r="GUJ239" s="494"/>
      <c r="GUK239" s="494"/>
      <c r="GUL239" s="494"/>
      <c r="GUM239" s="494"/>
      <c r="GUN239" s="494"/>
      <c r="GUO239" s="494"/>
      <c r="GUP239" s="494"/>
      <c r="GUQ239" s="494"/>
      <c r="GUR239" s="494"/>
      <c r="GUS239" s="494"/>
      <c r="GUT239" s="494"/>
      <c r="GUU239" s="494"/>
      <c r="GUV239" s="494"/>
      <c r="GUW239" s="494"/>
      <c r="GUX239" s="494"/>
      <c r="GUY239" s="494"/>
      <c r="GUZ239" s="494"/>
      <c r="GVA239" s="494"/>
      <c r="GVB239" s="494"/>
      <c r="GVC239" s="494"/>
      <c r="GVD239" s="494"/>
      <c r="GVE239" s="494"/>
      <c r="GVF239" s="494"/>
      <c r="GVG239" s="494"/>
      <c r="GVH239" s="494"/>
      <c r="GVI239" s="494"/>
      <c r="GVJ239" s="494"/>
      <c r="GVK239" s="494"/>
      <c r="GVL239" s="494"/>
      <c r="GVM239" s="494"/>
      <c r="GVN239" s="494"/>
      <c r="GVO239" s="494"/>
      <c r="GVP239" s="494"/>
      <c r="GVQ239" s="494"/>
      <c r="GVR239" s="494"/>
      <c r="GVS239" s="494"/>
      <c r="GVT239" s="494"/>
      <c r="GVU239" s="494"/>
      <c r="GVV239" s="494"/>
      <c r="GVW239" s="494"/>
      <c r="GVX239" s="494"/>
      <c r="GVY239" s="494"/>
      <c r="GVZ239" s="494"/>
      <c r="GWA239" s="494"/>
      <c r="GWB239" s="494"/>
      <c r="GWC239" s="494"/>
      <c r="GWD239" s="494"/>
      <c r="GWE239" s="494"/>
      <c r="GWF239" s="494"/>
      <c r="GWG239" s="494"/>
      <c r="GWH239" s="494"/>
      <c r="GWI239" s="494"/>
      <c r="GWJ239" s="494"/>
      <c r="GWK239" s="494"/>
      <c r="GWL239" s="494"/>
      <c r="GWM239" s="494"/>
      <c r="GWN239" s="494"/>
      <c r="GWO239" s="494"/>
      <c r="GWP239" s="494"/>
      <c r="GWQ239" s="494"/>
      <c r="GWR239" s="494"/>
      <c r="GWS239" s="494"/>
      <c r="GWT239" s="494"/>
      <c r="GWU239" s="494"/>
      <c r="GWV239" s="494"/>
      <c r="GWW239" s="494"/>
      <c r="GWX239" s="494"/>
      <c r="GWY239" s="494"/>
      <c r="GWZ239" s="494"/>
      <c r="GXA239" s="494"/>
      <c r="GXB239" s="494"/>
      <c r="GXC239" s="494"/>
      <c r="GXD239" s="494"/>
      <c r="GXE239" s="494"/>
      <c r="GXF239" s="494"/>
      <c r="GXG239" s="494"/>
      <c r="GXH239" s="494"/>
      <c r="GXI239" s="494"/>
      <c r="GXJ239" s="494"/>
      <c r="GXK239" s="494"/>
      <c r="GXL239" s="494"/>
      <c r="GXM239" s="494"/>
      <c r="GXN239" s="494"/>
      <c r="GXO239" s="494"/>
      <c r="GXP239" s="494"/>
      <c r="GXQ239" s="494"/>
      <c r="GXR239" s="494"/>
      <c r="GXS239" s="494"/>
      <c r="GXT239" s="494"/>
      <c r="GXU239" s="494"/>
      <c r="GXV239" s="494"/>
      <c r="GXW239" s="494"/>
      <c r="GXX239" s="494"/>
      <c r="GXY239" s="494"/>
      <c r="GXZ239" s="494"/>
      <c r="GYA239" s="494"/>
      <c r="GYB239" s="494"/>
      <c r="GYC239" s="494"/>
      <c r="GYD239" s="494"/>
      <c r="GYE239" s="494"/>
      <c r="GYF239" s="494"/>
      <c r="GYG239" s="494"/>
      <c r="GYH239" s="494"/>
      <c r="GYI239" s="494"/>
      <c r="GYJ239" s="494"/>
      <c r="GYK239" s="494"/>
      <c r="GYL239" s="494"/>
      <c r="GYM239" s="494"/>
      <c r="GYN239" s="494"/>
      <c r="GYO239" s="494"/>
      <c r="GYP239" s="494"/>
      <c r="GYQ239" s="494"/>
      <c r="GYR239" s="494"/>
      <c r="GYS239" s="494"/>
      <c r="GYT239" s="494"/>
      <c r="GYU239" s="494"/>
      <c r="GYV239" s="494"/>
      <c r="GYW239" s="494"/>
      <c r="GYX239" s="494"/>
      <c r="GYY239" s="494"/>
      <c r="GYZ239" s="494"/>
      <c r="GZA239" s="494"/>
      <c r="GZB239" s="494"/>
      <c r="GZC239" s="494"/>
      <c r="GZD239" s="494"/>
      <c r="GZE239" s="494"/>
      <c r="GZF239" s="494"/>
      <c r="GZG239" s="494"/>
      <c r="GZH239" s="494"/>
      <c r="GZI239" s="494"/>
      <c r="GZJ239" s="494"/>
      <c r="GZK239" s="494"/>
      <c r="GZL239" s="494"/>
      <c r="GZM239" s="494"/>
      <c r="GZN239" s="494"/>
      <c r="GZO239" s="494"/>
      <c r="GZP239" s="494"/>
      <c r="GZQ239" s="494"/>
      <c r="GZR239" s="494"/>
      <c r="GZS239" s="494"/>
      <c r="GZT239" s="494"/>
      <c r="GZU239" s="494"/>
      <c r="GZV239" s="494"/>
      <c r="GZW239" s="494"/>
      <c r="GZX239" s="494"/>
      <c r="GZY239" s="494"/>
      <c r="GZZ239" s="494"/>
      <c r="HAA239" s="494"/>
      <c r="HAB239" s="494"/>
      <c r="HAC239" s="494"/>
      <c r="HAD239" s="494"/>
      <c r="HAE239" s="494"/>
      <c r="HAF239" s="494"/>
      <c r="HAG239" s="494"/>
      <c r="HAH239" s="494"/>
      <c r="HAI239" s="494"/>
      <c r="HAJ239" s="494"/>
      <c r="HAK239" s="494"/>
      <c r="HAL239" s="494"/>
      <c r="HAM239" s="494"/>
      <c r="HAN239" s="494"/>
      <c r="HAO239" s="494"/>
      <c r="HAP239" s="494"/>
      <c r="HAQ239" s="494"/>
      <c r="HAR239" s="494"/>
      <c r="HAS239" s="494"/>
      <c r="HAT239" s="494"/>
      <c r="HAU239" s="494"/>
      <c r="HAV239" s="494"/>
      <c r="HAW239" s="494"/>
      <c r="HAX239" s="494"/>
      <c r="HAY239" s="494"/>
      <c r="HAZ239" s="494"/>
      <c r="HBA239" s="494"/>
      <c r="HBB239" s="494"/>
      <c r="HBC239" s="494"/>
      <c r="HBD239" s="494"/>
      <c r="HBE239" s="494"/>
      <c r="HBF239" s="494"/>
      <c r="HBG239" s="494"/>
      <c r="HBH239" s="494"/>
      <c r="HBI239" s="494"/>
      <c r="HBJ239" s="494"/>
      <c r="HBK239" s="494"/>
      <c r="HBL239" s="494"/>
      <c r="HBM239" s="494"/>
      <c r="HBN239" s="494"/>
      <c r="HBO239" s="494"/>
      <c r="HBP239" s="494"/>
      <c r="HBQ239" s="494"/>
      <c r="HBR239" s="494"/>
      <c r="HBS239" s="494"/>
      <c r="HBT239" s="494"/>
      <c r="HBU239" s="494"/>
      <c r="HBV239" s="494"/>
      <c r="HBW239" s="494"/>
      <c r="HBX239" s="494"/>
      <c r="HBY239" s="494"/>
      <c r="HBZ239" s="494"/>
      <c r="HCA239" s="494"/>
      <c r="HCB239" s="494"/>
      <c r="HCC239" s="494"/>
      <c r="HCD239" s="494"/>
      <c r="HCE239" s="494"/>
      <c r="HCF239" s="494"/>
      <c r="HCG239" s="494"/>
      <c r="HCH239" s="494"/>
      <c r="HCI239" s="494"/>
      <c r="HCJ239" s="494"/>
      <c r="HCK239" s="494"/>
      <c r="HCL239" s="494"/>
      <c r="HCM239" s="494"/>
      <c r="HCN239" s="494"/>
      <c r="HCO239" s="494"/>
      <c r="HCP239" s="494"/>
      <c r="HCQ239" s="494"/>
      <c r="HCR239" s="494"/>
      <c r="HCS239" s="494"/>
      <c r="HCT239" s="494"/>
      <c r="HCU239" s="494"/>
      <c r="HCV239" s="494"/>
      <c r="HCW239" s="494"/>
      <c r="HCX239" s="494"/>
      <c r="HCY239" s="494"/>
      <c r="HCZ239" s="494"/>
      <c r="HDA239" s="494"/>
      <c r="HDB239" s="494"/>
      <c r="HDC239" s="494"/>
      <c r="HDD239" s="494"/>
      <c r="HDE239" s="494"/>
      <c r="HDF239" s="494"/>
      <c r="HDG239" s="494"/>
      <c r="HDH239" s="494"/>
      <c r="HDI239" s="494"/>
      <c r="HDJ239" s="494"/>
      <c r="HDK239" s="494"/>
      <c r="HDL239" s="494"/>
      <c r="HDM239" s="494"/>
      <c r="HDN239" s="494"/>
      <c r="HDO239" s="494"/>
      <c r="HDP239" s="494"/>
      <c r="HDQ239" s="494"/>
      <c r="HDR239" s="494"/>
      <c r="HDS239" s="494"/>
      <c r="HDT239" s="494"/>
      <c r="HDU239" s="494"/>
      <c r="HDV239" s="494"/>
      <c r="HDW239" s="494"/>
      <c r="HDX239" s="494"/>
      <c r="HDY239" s="494"/>
      <c r="HDZ239" s="494"/>
      <c r="HEA239" s="494"/>
      <c r="HEB239" s="494"/>
      <c r="HEC239" s="494"/>
      <c r="HED239" s="494"/>
      <c r="HEE239" s="494"/>
      <c r="HEF239" s="494"/>
      <c r="HEG239" s="494"/>
      <c r="HEH239" s="494"/>
      <c r="HEI239" s="494"/>
      <c r="HEJ239" s="494"/>
      <c r="HEK239" s="494"/>
      <c r="HEL239" s="494"/>
      <c r="HEM239" s="494"/>
      <c r="HEN239" s="494"/>
      <c r="HEO239" s="494"/>
      <c r="HEP239" s="494"/>
      <c r="HEQ239" s="494"/>
      <c r="HER239" s="494"/>
      <c r="HES239" s="494"/>
      <c r="HET239" s="494"/>
      <c r="HEU239" s="494"/>
      <c r="HEV239" s="494"/>
      <c r="HEW239" s="494"/>
      <c r="HEX239" s="494"/>
      <c r="HEY239" s="494"/>
      <c r="HEZ239" s="494"/>
      <c r="HFA239" s="494"/>
      <c r="HFB239" s="494"/>
      <c r="HFC239" s="494"/>
      <c r="HFD239" s="494"/>
      <c r="HFE239" s="494"/>
      <c r="HFF239" s="494"/>
      <c r="HFG239" s="494"/>
      <c r="HFH239" s="494"/>
      <c r="HFI239" s="494"/>
      <c r="HFJ239" s="494"/>
      <c r="HFK239" s="494"/>
      <c r="HFL239" s="494"/>
      <c r="HFM239" s="494"/>
      <c r="HFN239" s="494"/>
      <c r="HFO239" s="494"/>
      <c r="HFP239" s="494"/>
      <c r="HFQ239" s="494"/>
      <c r="HFR239" s="494"/>
      <c r="HFS239" s="494"/>
      <c r="HFT239" s="494"/>
      <c r="HFU239" s="494"/>
      <c r="HFV239" s="494"/>
      <c r="HFW239" s="494"/>
      <c r="HFX239" s="494"/>
      <c r="HFY239" s="494"/>
      <c r="HFZ239" s="494"/>
      <c r="HGA239" s="494"/>
      <c r="HGB239" s="494"/>
      <c r="HGC239" s="494"/>
      <c r="HGD239" s="494"/>
      <c r="HGE239" s="494"/>
      <c r="HGF239" s="494"/>
      <c r="HGG239" s="494"/>
      <c r="HGH239" s="494"/>
      <c r="HGI239" s="494"/>
      <c r="HGJ239" s="494"/>
      <c r="HGK239" s="494"/>
      <c r="HGL239" s="494"/>
      <c r="HGM239" s="494"/>
      <c r="HGN239" s="494"/>
      <c r="HGO239" s="494"/>
      <c r="HGP239" s="494"/>
      <c r="HGQ239" s="494"/>
      <c r="HGR239" s="494"/>
      <c r="HGS239" s="494"/>
      <c r="HGT239" s="494"/>
      <c r="HGU239" s="494"/>
      <c r="HGV239" s="494"/>
      <c r="HGW239" s="494"/>
      <c r="HGX239" s="494"/>
      <c r="HGY239" s="494"/>
      <c r="HGZ239" s="494"/>
      <c r="HHA239" s="494"/>
      <c r="HHB239" s="494"/>
      <c r="HHC239" s="494"/>
      <c r="HHD239" s="494"/>
      <c r="HHE239" s="494"/>
      <c r="HHF239" s="494"/>
      <c r="HHG239" s="494"/>
      <c r="HHH239" s="494"/>
      <c r="HHI239" s="494"/>
      <c r="HHJ239" s="494"/>
      <c r="HHK239" s="494"/>
      <c r="HHL239" s="494"/>
      <c r="HHM239" s="494"/>
      <c r="HHN239" s="494"/>
      <c r="HHO239" s="494"/>
      <c r="HHP239" s="494"/>
      <c r="HHQ239" s="494"/>
      <c r="HHR239" s="494"/>
      <c r="HHS239" s="494"/>
      <c r="HHT239" s="494"/>
      <c r="HHU239" s="494"/>
      <c r="HHV239" s="494"/>
      <c r="HHW239" s="494"/>
      <c r="HHX239" s="494"/>
      <c r="HHY239" s="494"/>
      <c r="HHZ239" s="494"/>
      <c r="HIA239" s="494"/>
      <c r="HIB239" s="494"/>
      <c r="HIC239" s="494"/>
      <c r="HID239" s="494"/>
      <c r="HIE239" s="494"/>
      <c r="HIF239" s="494"/>
      <c r="HIG239" s="494"/>
      <c r="HIH239" s="494"/>
      <c r="HII239" s="494"/>
      <c r="HIJ239" s="494"/>
      <c r="HIK239" s="494"/>
      <c r="HIL239" s="494"/>
      <c r="HIM239" s="494"/>
      <c r="HIN239" s="494"/>
      <c r="HIO239" s="494"/>
      <c r="HIP239" s="494"/>
      <c r="HIQ239" s="494"/>
      <c r="HIR239" s="494"/>
      <c r="HIS239" s="494"/>
      <c r="HIT239" s="494"/>
      <c r="HIU239" s="494"/>
      <c r="HIV239" s="494"/>
      <c r="HIW239" s="494"/>
      <c r="HIX239" s="494"/>
      <c r="HIY239" s="494"/>
      <c r="HIZ239" s="494"/>
      <c r="HJA239" s="494"/>
      <c r="HJB239" s="494"/>
      <c r="HJC239" s="494"/>
      <c r="HJD239" s="494"/>
      <c r="HJE239" s="494"/>
      <c r="HJF239" s="494"/>
      <c r="HJG239" s="494"/>
      <c r="HJH239" s="494"/>
      <c r="HJI239" s="494"/>
      <c r="HJJ239" s="494"/>
      <c r="HJK239" s="494"/>
      <c r="HJL239" s="494"/>
      <c r="HJM239" s="494"/>
      <c r="HJN239" s="494"/>
      <c r="HJO239" s="494"/>
      <c r="HJP239" s="494"/>
      <c r="HJQ239" s="494"/>
      <c r="HJR239" s="494"/>
      <c r="HJS239" s="494"/>
      <c r="HJT239" s="494"/>
      <c r="HJU239" s="494"/>
      <c r="HJV239" s="494"/>
      <c r="HJW239" s="494"/>
      <c r="HJX239" s="494"/>
      <c r="HJY239" s="494"/>
      <c r="HJZ239" s="494"/>
      <c r="HKA239" s="494"/>
      <c r="HKB239" s="494"/>
      <c r="HKC239" s="494"/>
      <c r="HKD239" s="494"/>
      <c r="HKE239" s="494"/>
      <c r="HKF239" s="494"/>
      <c r="HKG239" s="494"/>
      <c r="HKH239" s="494"/>
      <c r="HKI239" s="494"/>
      <c r="HKJ239" s="494"/>
      <c r="HKK239" s="494"/>
      <c r="HKL239" s="494"/>
      <c r="HKM239" s="494"/>
      <c r="HKN239" s="494"/>
      <c r="HKO239" s="494"/>
      <c r="HKP239" s="494"/>
      <c r="HKQ239" s="494"/>
      <c r="HKR239" s="494"/>
      <c r="HKS239" s="494"/>
      <c r="HKT239" s="494"/>
      <c r="HKU239" s="494"/>
      <c r="HKV239" s="494"/>
      <c r="HKW239" s="494"/>
      <c r="HKX239" s="494"/>
      <c r="HKY239" s="494"/>
      <c r="HKZ239" s="494"/>
      <c r="HLA239" s="494"/>
      <c r="HLB239" s="494"/>
      <c r="HLC239" s="494"/>
      <c r="HLD239" s="494"/>
      <c r="HLE239" s="494"/>
      <c r="HLF239" s="494"/>
      <c r="HLG239" s="494"/>
      <c r="HLH239" s="494"/>
      <c r="HLI239" s="494"/>
      <c r="HLJ239" s="494"/>
      <c r="HLK239" s="494"/>
      <c r="HLL239" s="494"/>
      <c r="HLM239" s="494"/>
      <c r="HLN239" s="494"/>
      <c r="HLO239" s="494"/>
      <c r="HLP239" s="494"/>
      <c r="HLQ239" s="494"/>
      <c r="HLR239" s="494"/>
      <c r="HLS239" s="494"/>
      <c r="HLT239" s="494"/>
      <c r="HLU239" s="494"/>
      <c r="HLV239" s="494"/>
      <c r="HLW239" s="494"/>
      <c r="HLX239" s="494"/>
      <c r="HLY239" s="494"/>
      <c r="HLZ239" s="494"/>
      <c r="HMA239" s="494"/>
      <c r="HMB239" s="494"/>
      <c r="HMC239" s="494"/>
      <c r="HMD239" s="494"/>
      <c r="HME239" s="494"/>
      <c r="HMF239" s="494"/>
      <c r="HMG239" s="494"/>
      <c r="HMH239" s="494"/>
      <c r="HMI239" s="494"/>
      <c r="HMJ239" s="494"/>
      <c r="HMK239" s="494"/>
      <c r="HML239" s="494"/>
      <c r="HMM239" s="494"/>
      <c r="HMN239" s="494"/>
      <c r="HMO239" s="494"/>
      <c r="HMP239" s="494"/>
      <c r="HMQ239" s="494"/>
      <c r="HMR239" s="494"/>
      <c r="HMS239" s="494"/>
      <c r="HMT239" s="494"/>
      <c r="HMU239" s="494"/>
      <c r="HMV239" s="494"/>
      <c r="HMW239" s="494"/>
      <c r="HMX239" s="494"/>
      <c r="HMY239" s="494"/>
      <c r="HMZ239" s="494"/>
      <c r="HNA239" s="494"/>
      <c r="HNB239" s="494"/>
      <c r="HNC239" s="494"/>
      <c r="HND239" s="494"/>
      <c r="HNE239" s="494"/>
      <c r="HNF239" s="494"/>
      <c r="HNG239" s="494"/>
      <c r="HNH239" s="494"/>
      <c r="HNI239" s="494"/>
      <c r="HNJ239" s="494"/>
      <c r="HNK239" s="494"/>
      <c r="HNL239" s="494"/>
      <c r="HNM239" s="494"/>
      <c r="HNN239" s="494"/>
      <c r="HNO239" s="494"/>
      <c r="HNP239" s="494"/>
      <c r="HNQ239" s="494"/>
      <c r="HNR239" s="494"/>
      <c r="HNS239" s="494"/>
      <c r="HNT239" s="494"/>
      <c r="HNU239" s="494"/>
      <c r="HNV239" s="494"/>
      <c r="HNW239" s="494"/>
      <c r="HNX239" s="494"/>
      <c r="HNY239" s="494"/>
      <c r="HNZ239" s="494"/>
      <c r="HOA239" s="494"/>
      <c r="HOB239" s="494"/>
      <c r="HOC239" s="494"/>
      <c r="HOD239" s="494"/>
      <c r="HOE239" s="494"/>
      <c r="HOF239" s="494"/>
      <c r="HOG239" s="494"/>
      <c r="HOH239" s="494"/>
      <c r="HOI239" s="494"/>
      <c r="HOJ239" s="494"/>
      <c r="HOK239" s="494"/>
      <c r="HOL239" s="494"/>
      <c r="HOM239" s="494"/>
      <c r="HON239" s="494"/>
      <c r="HOO239" s="494"/>
      <c r="HOP239" s="494"/>
      <c r="HOQ239" s="494"/>
      <c r="HOR239" s="494"/>
      <c r="HOS239" s="494"/>
      <c r="HOT239" s="494"/>
      <c r="HOU239" s="494"/>
      <c r="HOV239" s="494"/>
      <c r="HOW239" s="494"/>
      <c r="HOX239" s="494"/>
      <c r="HOY239" s="494"/>
      <c r="HOZ239" s="494"/>
      <c r="HPA239" s="494"/>
      <c r="HPB239" s="494"/>
      <c r="HPC239" s="494"/>
      <c r="HPD239" s="494"/>
      <c r="HPE239" s="494"/>
      <c r="HPF239" s="494"/>
      <c r="HPG239" s="494"/>
      <c r="HPH239" s="494"/>
      <c r="HPI239" s="494"/>
      <c r="HPJ239" s="494"/>
      <c r="HPK239" s="494"/>
      <c r="HPL239" s="494"/>
      <c r="HPM239" s="494"/>
      <c r="HPN239" s="494"/>
      <c r="HPO239" s="494"/>
      <c r="HPP239" s="494"/>
      <c r="HPQ239" s="494"/>
      <c r="HPR239" s="494"/>
      <c r="HPS239" s="494"/>
      <c r="HPT239" s="494"/>
      <c r="HPU239" s="494"/>
      <c r="HPV239" s="494"/>
      <c r="HPW239" s="494"/>
      <c r="HPX239" s="494"/>
      <c r="HPY239" s="494"/>
      <c r="HPZ239" s="494"/>
      <c r="HQA239" s="494"/>
      <c r="HQB239" s="494"/>
      <c r="HQC239" s="494"/>
      <c r="HQD239" s="494"/>
      <c r="HQE239" s="494"/>
      <c r="HQF239" s="494"/>
      <c r="HQG239" s="494"/>
      <c r="HQH239" s="494"/>
      <c r="HQI239" s="494"/>
      <c r="HQJ239" s="494"/>
      <c r="HQK239" s="494"/>
      <c r="HQL239" s="494"/>
      <c r="HQM239" s="494"/>
      <c r="HQN239" s="494"/>
      <c r="HQO239" s="494"/>
      <c r="HQP239" s="494"/>
      <c r="HQQ239" s="494"/>
      <c r="HQR239" s="494"/>
      <c r="HQS239" s="494"/>
      <c r="HQT239" s="494"/>
      <c r="HQU239" s="494"/>
      <c r="HQV239" s="494"/>
      <c r="HQW239" s="494"/>
      <c r="HQX239" s="494"/>
      <c r="HQY239" s="494"/>
      <c r="HQZ239" s="494"/>
      <c r="HRA239" s="494"/>
      <c r="HRB239" s="494"/>
      <c r="HRC239" s="494"/>
      <c r="HRD239" s="494"/>
      <c r="HRE239" s="494"/>
      <c r="HRF239" s="494"/>
      <c r="HRG239" s="494"/>
      <c r="HRH239" s="494"/>
      <c r="HRI239" s="494"/>
      <c r="HRJ239" s="494"/>
      <c r="HRK239" s="494"/>
      <c r="HRL239" s="494"/>
      <c r="HRM239" s="494"/>
      <c r="HRN239" s="494"/>
      <c r="HRO239" s="494"/>
      <c r="HRP239" s="494"/>
      <c r="HRQ239" s="494"/>
      <c r="HRR239" s="494"/>
      <c r="HRS239" s="494"/>
      <c r="HRT239" s="494"/>
      <c r="HRU239" s="494"/>
      <c r="HRV239" s="494"/>
      <c r="HRW239" s="494"/>
      <c r="HRX239" s="494"/>
      <c r="HRY239" s="494"/>
      <c r="HRZ239" s="494"/>
      <c r="HSA239" s="494"/>
      <c r="HSB239" s="494"/>
      <c r="HSC239" s="494"/>
      <c r="HSD239" s="494"/>
      <c r="HSE239" s="494"/>
      <c r="HSF239" s="494"/>
      <c r="HSG239" s="494"/>
      <c r="HSH239" s="494"/>
      <c r="HSI239" s="494"/>
      <c r="HSJ239" s="494"/>
      <c r="HSK239" s="494"/>
      <c r="HSL239" s="494"/>
      <c r="HSM239" s="494"/>
      <c r="HSN239" s="494"/>
      <c r="HSO239" s="494"/>
      <c r="HSP239" s="494"/>
      <c r="HSQ239" s="494"/>
      <c r="HSR239" s="494"/>
      <c r="HSS239" s="494"/>
      <c r="HST239" s="494"/>
      <c r="HSU239" s="494"/>
      <c r="HSV239" s="494"/>
      <c r="HSW239" s="494"/>
      <c r="HSX239" s="494"/>
      <c r="HSY239" s="494"/>
      <c r="HSZ239" s="494"/>
      <c r="HTA239" s="494"/>
      <c r="HTB239" s="494"/>
      <c r="HTC239" s="494"/>
      <c r="HTD239" s="494"/>
      <c r="HTE239" s="494"/>
      <c r="HTF239" s="494"/>
      <c r="HTG239" s="494"/>
      <c r="HTH239" s="494"/>
      <c r="HTI239" s="494"/>
      <c r="HTJ239" s="494"/>
      <c r="HTK239" s="494"/>
      <c r="HTL239" s="494"/>
      <c r="HTM239" s="494"/>
      <c r="HTN239" s="494"/>
      <c r="HTO239" s="494"/>
      <c r="HTP239" s="494"/>
      <c r="HTQ239" s="494"/>
      <c r="HTR239" s="494"/>
      <c r="HTS239" s="494"/>
      <c r="HTT239" s="494"/>
      <c r="HTU239" s="494"/>
      <c r="HTV239" s="494"/>
      <c r="HTW239" s="494"/>
      <c r="HTX239" s="494"/>
      <c r="HTY239" s="494"/>
      <c r="HTZ239" s="494"/>
      <c r="HUA239" s="494"/>
      <c r="HUB239" s="494"/>
      <c r="HUC239" s="494"/>
      <c r="HUD239" s="494"/>
      <c r="HUE239" s="494"/>
      <c r="HUF239" s="494"/>
      <c r="HUG239" s="494"/>
      <c r="HUH239" s="494"/>
      <c r="HUI239" s="494"/>
      <c r="HUJ239" s="494"/>
      <c r="HUK239" s="494"/>
      <c r="HUL239" s="494"/>
      <c r="HUM239" s="494"/>
      <c r="HUN239" s="494"/>
      <c r="HUO239" s="494"/>
      <c r="HUP239" s="494"/>
      <c r="HUQ239" s="494"/>
      <c r="HUR239" s="494"/>
      <c r="HUS239" s="494"/>
      <c r="HUT239" s="494"/>
      <c r="HUU239" s="494"/>
      <c r="HUV239" s="494"/>
      <c r="HUW239" s="494"/>
      <c r="HUX239" s="494"/>
      <c r="HUY239" s="494"/>
      <c r="HUZ239" s="494"/>
      <c r="HVA239" s="494"/>
      <c r="HVB239" s="494"/>
      <c r="HVC239" s="494"/>
      <c r="HVD239" s="494"/>
      <c r="HVE239" s="494"/>
      <c r="HVF239" s="494"/>
      <c r="HVG239" s="494"/>
      <c r="HVH239" s="494"/>
      <c r="HVI239" s="494"/>
      <c r="HVJ239" s="494"/>
      <c r="HVK239" s="494"/>
      <c r="HVL239" s="494"/>
      <c r="HVM239" s="494"/>
      <c r="HVN239" s="494"/>
      <c r="HVO239" s="494"/>
      <c r="HVP239" s="494"/>
      <c r="HVQ239" s="494"/>
      <c r="HVR239" s="494"/>
      <c r="HVS239" s="494"/>
      <c r="HVT239" s="494"/>
      <c r="HVU239" s="494"/>
      <c r="HVV239" s="494"/>
      <c r="HVW239" s="494"/>
      <c r="HVX239" s="494"/>
      <c r="HVY239" s="494"/>
      <c r="HVZ239" s="494"/>
      <c r="HWA239" s="494"/>
      <c r="HWB239" s="494"/>
      <c r="HWC239" s="494"/>
      <c r="HWD239" s="494"/>
      <c r="HWE239" s="494"/>
      <c r="HWF239" s="494"/>
      <c r="HWG239" s="494"/>
      <c r="HWH239" s="494"/>
      <c r="HWI239" s="494"/>
      <c r="HWJ239" s="494"/>
      <c r="HWK239" s="494"/>
      <c r="HWL239" s="494"/>
      <c r="HWM239" s="494"/>
      <c r="HWN239" s="494"/>
      <c r="HWO239" s="494"/>
      <c r="HWP239" s="494"/>
      <c r="HWQ239" s="494"/>
      <c r="HWR239" s="494"/>
      <c r="HWS239" s="494"/>
      <c r="HWT239" s="494"/>
      <c r="HWU239" s="494"/>
      <c r="HWV239" s="494"/>
      <c r="HWW239" s="494"/>
      <c r="HWX239" s="494"/>
      <c r="HWY239" s="494"/>
      <c r="HWZ239" s="494"/>
      <c r="HXA239" s="494"/>
      <c r="HXB239" s="494"/>
      <c r="HXC239" s="494"/>
      <c r="HXD239" s="494"/>
      <c r="HXE239" s="494"/>
      <c r="HXF239" s="494"/>
      <c r="HXG239" s="494"/>
      <c r="HXH239" s="494"/>
      <c r="HXI239" s="494"/>
      <c r="HXJ239" s="494"/>
      <c r="HXK239" s="494"/>
      <c r="HXL239" s="494"/>
      <c r="HXM239" s="494"/>
      <c r="HXN239" s="494"/>
      <c r="HXO239" s="494"/>
      <c r="HXP239" s="494"/>
      <c r="HXQ239" s="494"/>
      <c r="HXR239" s="494"/>
      <c r="HXS239" s="494"/>
      <c r="HXT239" s="494"/>
      <c r="HXU239" s="494"/>
      <c r="HXV239" s="494"/>
      <c r="HXW239" s="494"/>
      <c r="HXX239" s="494"/>
      <c r="HXY239" s="494"/>
      <c r="HXZ239" s="494"/>
      <c r="HYA239" s="494"/>
      <c r="HYB239" s="494"/>
      <c r="HYC239" s="494"/>
      <c r="HYD239" s="494"/>
      <c r="HYE239" s="494"/>
      <c r="HYF239" s="494"/>
      <c r="HYG239" s="494"/>
      <c r="HYH239" s="494"/>
      <c r="HYI239" s="494"/>
      <c r="HYJ239" s="494"/>
      <c r="HYK239" s="494"/>
      <c r="HYL239" s="494"/>
      <c r="HYM239" s="494"/>
      <c r="HYN239" s="494"/>
      <c r="HYO239" s="494"/>
      <c r="HYP239" s="494"/>
      <c r="HYQ239" s="494"/>
      <c r="HYR239" s="494"/>
      <c r="HYS239" s="494"/>
      <c r="HYT239" s="494"/>
      <c r="HYU239" s="494"/>
      <c r="HYV239" s="494"/>
      <c r="HYW239" s="494"/>
      <c r="HYX239" s="494"/>
      <c r="HYY239" s="494"/>
      <c r="HYZ239" s="494"/>
      <c r="HZA239" s="494"/>
      <c r="HZB239" s="494"/>
      <c r="HZC239" s="494"/>
      <c r="HZD239" s="494"/>
      <c r="HZE239" s="494"/>
      <c r="HZF239" s="494"/>
      <c r="HZG239" s="494"/>
      <c r="HZH239" s="494"/>
      <c r="HZI239" s="494"/>
      <c r="HZJ239" s="494"/>
      <c r="HZK239" s="494"/>
      <c r="HZL239" s="494"/>
      <c r="HZM239" s="494"/>
      <c r="HZN239" s="494"/>
      <c r="HZO239" s="494"/>
      <c r="HZP239" s="494"/>
      <c r="HZQ239" s="494"/>
      <c r="HZR239" s="494"/>
      <c r="HZS239" s="494"/>
      <c r="HZT239" s="494"/>
      <c r="HZU239" s="494"/>
      <c r="HZV239" s="494"/>
      <c r="HZW239" s="494"/>
      <c r="HZX239" s="494"/>
      <c r="HZY239" s="494"/>
      <c r="HZZ239" s="494"/>
      <c r="IAA239" s="494"/>
      <c r="IAB239" s="494"/>
      <c r="IAC239" s="494"/>
      <c r="IAD239" s="494"/>
      <c r="IAE239" s="494"/>
      <c r="IAF239" s="494"/>
      <c r="IAG239" s="494"/>
      <c r="IAH239" s="494"/>
      <c r="IAI239" s="494"/>
      <c r="IAJ239" s="494"/>
      <c r="IAK239" s="494"/>
      <c r="IAL239" s="494"/>
      <c r="IAM239" s="494"/>
      <c r="IAN239" s="494"/>
      <c r="IAO239" s="494"/>
      <c r="IAP239" s="494"/>
      <c r="IAQ239" s="494"/>
      <c r="IAR239" s="494"/>
      <c r="IAS239" s="494"/>
      <c r="IAT239" s="494"/>
      <c r="IAU239" s="494"/>
      <c r="IAV239" s="494"/>
      <c r="IAW239" s="494"/>
      <c r="IAX239" s="494"/>
      <c r="IAY239" s="494"/>
      <c r="IAZ239" s="494"/>
      <c r="IBA239" s="494"/>
      <c r="IBB239" s="494"/>
      <c r="IBC239" s="494"/>
      <c r="IBD239" s="494"/>
      <c r="IBE239" s="494"/>
      <c r="IBF239" s="494"/>
      <c r="IBG239" s="494"/>
      <c r="IBH239" s="494"/>
      <c r="IBI239" s="494"/>
      <c r="IBJ239" s="494"/>
      <c r="IBK239" s="494"/>
      <c r="IBL239" s="494"/>
      <c r="IBM239" s="494"/>
      <c r="IBN239" s="494"/>
      <c r="IBO239" s="494"/>
      <c r="IBP239" s="494"/>
      <c r="IBQ239" s="494"/>
      <c r="IBR239" s="494"/>
      <c r="IBS239" s="494"/>
      <c r="IBT239" s="494"/>
      <c r="IBU239" s="494"/>
      <c r="IBV239" s="494"/>
      <c r="IBW239" s="494"/>
      <c r="IBX239" s="494"/>
      <c r="IBY239" s="494"/>
      <c r="IBZ239" s="494"/>
      <c r="ICA239" s="494"/>
      <c r="ICB239" s="494"/>
      <c r="ICC239" s="494"/>
      <c r="ICD239" s="494"/>
      <c r="ICE239" s="494"/>
      <c r="ICF239" s="494"/>
      <c r="ICG239" s="494"/>
      <c r="ICH239" s="494"/>
      <c r="ICI239" s="494"/>
      <c r="ICJ239" s="494"/>
      <c r="ICK239" s="494"/>
      <c r="ICL239" s="494"/>
      <c r="ICM239" s="494"/>
      <c r="ICN239" s="494"/>
      <c r="ICO239" s="494"/>
      <c r="ICP239" s="494"/>
      <c r="ICQ239" s="494"/>
      <c r="ICR239" s="494"/>
      <c r="ICS239" s="494"/>
      <c r="ICT239" s="494"/>
      <c r="ICU239" s="494"/>
      <c r="ICV239" s="494"/>
      <c r="ICW239" s="494"/>
      <c r="ICX239" s="494"/>
      <c r="ICY239" s="494"/>
      <c r="ICZ239" s="494"/>
      <c r="IDA239" s="494"/>
      <c r="IDB239" s="494"/>
      <c r="IDC239" s="494"/>
      <c r="IDD239" s="494"/>
      <c r="IDE239" s="494"/>
      <c r="IDF239" s="494"/>
      <c r="IDG239" s="494"/>
      <c r="IDH239" s="494"/>
      <c r="IDI239" s="494"/>
      <c r="IDJ239" s="494"/>
      <c r="IDK239" s="494"/>
      <c r="IDL239" s="494"/>
      <c r="IDM239" s="494"/>
      <c r="IDN239" s="494"/>
      <c r="IDO239" s="494"/>
      <c r="IDP239" s="494"/>
      <c r="IDQ239" s="494"/>
      <c r="IDR239" s="494"/>
      <c r="IDS239" s="494"/>
      <c r="IDT239" s="494"/>
      <c r="IDU239" s="494"/>
      <c r="IDV239" s="494"/>
      <c r="IDW239" s="494"/>
      <c r="IDX239" s="494"/>
      <c r="IDY239" s="494"/>
      <c r="IDZ239" s="494"/>
      <c r="IEA239" s="494"/>
      <c r="IEB239" s="494"/>
      <c r="IEC239" s="494"/>
      <c r="IED239" s="494"/>
      <c r="IEE239" s="494"/>
      <c r="IEF239" s="494"/>
      <c r="IEG239" s="494"/>
      <c r="IEH239" s="494"/>
      <c r="IEI239" s="494"/>
      <c r="IEJ239" s="494"/>
      <c r="IEK239" s="494"/>
      <c r="IEL239" s="494"/>
      <c r="IEM239" s="494"/>
      <c r="IEN239" s="494"/>
      <c r="IEO239" s="494"/>
      <c r="IEP239" s="494"/>
      <c r="IEQ239" s="494"/>
      <c r="IER239" s="494"/>
      <c r="IES239" s="494"/>
      <c r="IET239" s="494"/>
      <c r="IEU239" s="494"/>
      <c r="IEV239" s="494"/>
      <c r="IEW239" s="494"/>
      <c r="IEX239" s="494"/>
      <c r="IEY239" s="494"/>
      <c r="IEZ239" s="494"/>
      <c r="IFA239" s="494"/>
      <c r="IFB239" s="494"/>
      <c r="IFC239" s="494"/>
      <c r="IFD239" s="494"/>
      <c r="IFE239" s="494"/>
      <c r="IFF239" s="494"/>
      <c r="IFG239" s="494"/>
      <c r="IFH239" s="494"/>
      <c r="IFI239" s="494"/>
      <c r="IFJ239" s="494"/>
      <c r="IFK239" s="494"/>
      <c r="IFL239" s="494"/>
      <c r="IFM239" s="494"/>
      <c r="IFN239" s="494"/>
      <c r="IFO239" s="494"/>
      <c r="IFP239" s="494"/>
      <c r="IFQ239" s="494"/>
      <c r="IFR239" s="494"/>
      <c r="IFS239" s="494"/>
      <c r="IFT239" s="494"/>
      <c r="IFU239" s="494"/>
      <c r="IFV239" s="494"/>
      <c r="IFW239" s="494"/>
      <c r="IFX239" s="494"/>
      <c r="IFY239" s="494"/>
      <c r="IFZ239" s="494"/>
      <c r="IGA239" s="494"/>
      <c r="IGB239" s="494"/>
      <c r="IGC239" s="494"/>
      <c r="IGD239" s="494"/>
      <c r="IGE239" s="494"/>
      <c r="IGF239" s="494"/>
      <c r="IGG239" s="494"/>
      <c r="IGH239" s="494"/>
      <c r="IGI239" s="494"/>
      <c r="IGJ239" s="494"/>
      <c r="IGK239" s="494"/>
      <c r="IGL239" s="494"/>
      <c r="IGM239" s="494"/>
      <c r="IGN239" s="494"/>
      <c r="IGO239" s="494"/>
      <c r="IGP239" s="494"/>
      <c r="IGQ239" s="494"/>
      <c r="IGR239" s="494"/>
      <c r="IGS239" s="494"/>
      <c r="IGT239" s="494"/>
      <c r="IGU239" s="494"/>
      <c r="IGV239" s="494"/>
      <c r="IGW239" s="494"/>
      <c r="IGX239" s="494"/>
      <c r="IGY239" s="494"/>
      <c r="IGZ239" s="494"/>
      <c r="IHA239" s="494"/>
      <c r="IHB239" s="494"/>
      <c r="IHC239" s="494"/>
      <c r="IHD239" s="494"/>
      <c r="IHE239" s="494"/>
      <c r="IHF239" s="494"/>
      <c r="IHG239" s="494"/>
      <c r="IHH239" s="494"/>
      <c r="IHI239" s="494"/>
      <c r="IHJ239" s="494"/>
      <c r="IHK239" s="494"/>
      <c r="IHL239" s="494"/>
      <c r="IHM239" s="494"/>
      <c r="IHN239" s="494"/>
      <c r="IHO239" s="494"/>
      <c r="IHP239" s="494"/>
      <c r="IHQ239" s="494"/>
      <c r="IHR239" s="494"/>
      <c r="IHS239" s="494"/>
      <c r="IHT239" s="494"/>
      <c r="IHU239" s="494"/>
      <c r="IHV239" s="494"/>
      <c r="IHW239" s="494"/>
      <c r="IHX239" s="494"/>
      <c r="IHY239" s="494"/>
      <c r="IHZ239" s="494"/>
      <c r="IIA239" s="494"/>
      <c r="IIB239" s="494"/>
      <c r="IIC239" s="494"/>
      <c r="IID239" s="494"/>
      <c r="IIE239" s="494"/>
      <c r="IIF239" s="494"/>
      <c r="IIG239" s="494"/>
      <c r="IIH239" s="494"/>
      <c r="III239" s="494"/>
      <c r="IIJ239" s="494"/>
      <c r="IIK239" s="494"/>
      <c r="IIL239" s="494"/>
      <c r="IIM239" s="494"/>
      <c r="IIN239" s="494"/>
      <c r="IIO239" s="494"/>
      <c r="IIP239" s="494"/>
      <c r="IIQ239" s="494"/>
      <c r="IIR239" s="494"/>
      <c r="IIS239" s="494"/>
      <c r="IIT239" s="494"/>
      <c r="IIU239" s="494"/>
      <c r="IIV239" s="494"/>
      <c r="IIW239" s="494"/>
      <c r="IIX239" s="494"/>
      <c r="IIY239" s="494"/>
      <c r="IIZ239" s="494"/>
      <c r="IJA239" s="494"/>
      <c r="IJB239" s="494"/>
      <c r="IJC239" s="494"/>
      <c r="IJD239" s="494"/>
      <c r="IJE239" s="494"/>
      <c r="IJF239" s="494"/>
      <c r="IJG239" s="494"/>
      <c r="IJH239" s="494"/>
      <c r="IJI239" s="494"/>
      <c r="IJJ239" s="494"/>
      <c r="IJK239" s="494"/>
      <c r="IJL239" s="494"/>
      <c r="IJM239" s="494"/>
      <c r="IJN239" s="494"/>
      <c r="IJO239" s="494"/>
      <c r="IJP239" s="494"/>
      <c r="IJQ239" s="494"/>
      <c r="IJR239" s="494"/>
      <c r="IJS239" s="494"/>
      <c r="IJT239" s="494"/>
      <c r="IJU239" s="494"/>
      <c r="IJV239" s="494"/>
      <c r="IJW239" s="494"/>
      <c r="IJX239" s="494"/>
      <c r="IJY239" s="494"/>
      <c r="IJZ239" s="494"/>
      <c r="IKA239" s="494"/>
      <c r="IKB239" s="494"/>
      <c r="IKC239" s="494"/>
      <c r="IKD239" s="494"/>
      <c r="IKE239" s="494"/>
      <c r="IKF239" s="494"/>
      <c r="IKG239" s="494"/>
      <c r="IKH239" s="494"/>
      <c r="IKI239" s="494"/>
      <c r="IKJ239" s="494"/>
      <c r="IKK239" s="494"/>
      <c r="IKL239" s="494"/>
      <c r="IKM239" s="494"/>
      <c r="IKN239" s="494"/>
      <c r="IKO239" s="494"/>
      <c r="IKP239" s="494"/>
      <c r="IKQ239" s="494"/>
      <c r="IKR239" s="494"/>
      <c r="IKS239" s="494"/>
      <c r="IKT239" s="494"/>
      <c r="IKU239" s="494"/>
      <c r="IKV239" s="494"/>
      <c r="IKW239" s="494"/>
      <c r="IKX239" s="494"/>
      <c r="IKY239" s="494"/>
      <c r="IKZ239" s="494"/>
      <c r="ILA239" s="494"/>
      <c r="ILB239" s="494"/>
      <c r="ILC239" s="494"/>
      <c r="ILD239" s="494"/>
      <c r="ILE239" s="494"/>
      <c r="ILF239" s="494"/>
      <c r="ILG239" s="494"/>
      <c r="ILH239" s="494"/>
      <c r="ILI239" s="494"/>
      <c r="ILJ239" s="494"/>
      <c r="ILK239" s="494"/>
      <c r="ILL239" s="494"/>
      <c r="ILM239" s="494"/>
      <c r="ILN239" s="494"/>
      <c r="ILO239" s="494"/>
      <c r="ILP239" s="494"/>
      <c r="ILQ239" s="494"/>
      <c r="ILR239" s="494"/>
      <c r="ILS239" s="494"/>
      <c r="ILT239" s="494"/>
      <c r="ILU239" s="494"/>
      <c r="ILV239" s="494"/>
      <c r="ILW239" s="494"/>
      <c r="ILX239" s="494"/>
      <c r="ILY239" s="494"/>
      <c r="ILZ239" s="494"/>
      <c r="IMA239" s="494"/>
      <c r="IMB239" s="494"/>
      <c r="IMC239" s="494"/>
      <c r="IMD239" s="494"/>
      <c r="IME239" s="494"/>
      <c r="IMF239" s="494"/>
      <c r="IMG239" s="494"/>
      <c r="IMH239" s="494"/>
      <c r="IMI239" s="494"/>
      <c r="IMJ239" s="494"/>
      <c r="IMK239" s="494"/>
      <c r="IML239" s="494"/>
      <c r="IMM239" s="494"/>
      <c r="IMN239" s="494"/>
      <c r="IMO239" s="494"/>
      <c r="IMP239" s="494"/>
      <c r="IMQ239" s="494"/>
      <c r="IMR239" s="494"/>
      <c r="IMS239" s="494"/>
      <c r="IMT239" s="494"/>
      <c r="IMU239" s="494"/>
      <c r="IMV239" s="494"/>
      <c r="IMW239" s="494"/>
      <c r="IMX239" s="494"/>
      <c r="IMY239" s="494"/>
      <c r="IMZ239" s="494"/>
      <c r="INA239" s="494"/>
      <c r="INB239" s="494"/>
      <c r="INC239" s="494"/>
      <c r="IND239" s="494"/>
      <c r="INE239" s="494"/>
      <c r="INF239" s="494"/>
      <c r="ING239" s="494"/>
      <c r="INH239" s="494"/>
      <c r="INI239" s="494"/>
      <c r="INJ239" s="494"/>
      <c r="INK239" s="494"/>
      <c r="INL239" s="494"/>
      <c r="INM239" s="494"/>
      <c r="INN239" s="494"/>
      <c r="INO239" s="494"/>
      <c r="INP239" s="494"/>
      <c r="INQ239" s="494"/>
      <c r="INR239" s="494"/>
      <c r="INS239" s="494"/>
      <c r="INT239" s="494"/>
      <c r="INU239" s="494"/>
      <c r="INV239" s="494"/>
      <c r="INW239" s="494"/>
      <c r="INX239" s="494"/>
      <c r="INY239" s="494"/>
      <c r="INZ239" s="494"/>
      <c r="IOA239" s="494"/>
      <c r="IOB239" s="494"/>
      <c r="IOC239" s="494"/>
      <c r="IOD239" s="494"/>
      <c r="IOE239" s="494"/>
      <c r="IOF239" s="494"/>
      <c r="IOG239" s="494"/>
      <c r="IOH239" s="494"/>
      <c r="IOI239" s="494"/>
      <c r="IOJ239" s="494"/>
      <c r="IOK239" s="494"/>
      <c r="IOL239" s="494"/>
      <c r="IOM239" s="494"/>
      <c r="ION239" s="494"/>
      <c r="IOO239" s="494"/>
      <c r="IOP239" s="494"/>
      <c r="IOQ239" s="494"/>
      <c r="IOR239" s="494"/>
      <c r="IOS239" s="494"/>
      <c r="IOT239" s="494"/>
      <c r="IOU239" s="494"/>
      <c r="IOV239" s="494"/>
      <c r="IOW239" s="494"/>
      <c r="IOX239" s="494"/>
      <c r="IOY239" s="494"/>
      <c r="IOZ239" s="494"/>
      <c r="IPA239" s="494"/>
      <c r="IPB239" s="494"/>
      <c r="IPC239" s="494"/>
      <c r="IPD239" s="494"/>
      <c r="IPE239" s="494"/>
      <c r="IPF239" s="494"/>
      <c r="IPG239" s="494"/>
      <c r="IPH239" s="494"/>
      <c r="IPI239" s="494"/>
      <c r="IPJ239" s="494"/>
      <c r="IPK239" s="494"/>
      <c r="IPL239" s="494"/>
      <c r="IPM239" s="494"/>
      <c r="IPN239" s="494"/>
      <c r="IPO239" s="494"/>
      <c r="IPP239" s="494"/>
      <c r="IPQ239" s="494"/>
      <c r="IPR239" s="494"/>
      <c r="IPS239" s="494"/>
      <c r="IPT239" s="494"/>
      <c r="IPU239" s="494"/>
      <c r="IPV239" s="494"/>
      <c r="IPW239" s="494"/>
      <c r="IPX239" s="494"/>
      <c r="IPY239" s="494"/>
      <c r="IPZ239" s="494"/>
      <c r="IQA239" s="494"/>
      <c r="IQB239" s="494"/>
      <c r="IQC239" s="494"/>
      <c r="IQD239" s="494"/>
      <c r="IQE239" s="494"/>
      <c r="IQF239" s="494"/>
      <c r="IQG239" s="494"/>
      <c r="IQH239" s="494"/>
      <c r="IQI239" s="494"/>
      <c r="IQJ239" s="494"/>
      <c r="IQK239" s="494"/>
      <c r="IQL239" s="494"/>
      <c r="IQM239" s="494"/>
      <c r="IQN239" s="494"/>
      <c r="IQO239" s="494"/>
      <c r="IQP239" s="494"/>
      <c r="IQQ239" s="494"/>
      <c r="IQR239" s="494"/>
      <c r="IQS239" s="494"/>
      <c r="IQT239" s="494"/>
      <c r="IQU239" s="494"/>
      <c r="IQV239" s="494"/>
      <c r="IQW239" s="494"/>
      <c r="IQX239" s="494"/>
      <c r="IQY239" s="494"/>
      <c r="IQZ239" s="494"/>
      <c r="IRA239" s="494"/>
      <c r="IRB239" s="494"/>
      <c r="IRC239" s="494"/>
      <c r="IRD239" s="494"/>
      <c r="IRE239" s="494"/>
      <c r="IRF239" s="494"/>
      <c r="IRG239" s="494"/>
      <c r="IRH239" s="494"/>
      <c r="IRI239" s="494"/>
      <c r="IRJ239" s="494"/>
      <c r="IRK239" s="494"/>
      <c r="IRL239" s="494"/>
      <c r="IRM239" s="494"/>
      <c r="IRN239" s="494"/>
      <c r="IRO239" s="494"/>
      <c r="IRP239" s="494"/>
      <c r="IRQ239" s="494"/>
      <c r="IRR239" s="494"/>
      <c r="IRS239" s="494"/>
      <c r="IRT239" s="494"/>
      <c r="IRU239" s="494"/>
      <c r="IRV239" s="494"/>
      <c r="IRW239" s="494"/>
      <c r="IRX239" s="494"/>
      <c r="IRY239" s="494"/>
      <c r="IRZ239" s="494"/>
      <c r="ISA239" s="494"/>
      <c r="ISB239" s="494"/>
      <c r="ISC239" s="494"/>
      <c r="ISD239" s="494"/>
      <c r="ISE239" s="494"/>
      <c r="ISF239" s="494"/>
      <c r="ISG239" s="494"/>
      <c r="ISH239" s="494"/>
      <c r="ISI239" s="494"/>
      <c r="ISJ239" s="494"/>
      <c r="ISK239" s="494"/>
      <c r="ISL239" s="494"/>
      <c r="ISM239" s="494"/>
      <c r="ISN239" s="494"/>
      <c r="ISO239" s="494"/>
      <c r="ISP239" s="494"/>
      <c r="ISQ239" s="494"/>
      <c r="ISR239" s="494"/>
      <c r="ISS239" s="494"/>
      <c r="IST239" s="494"/>
      <c r="ISU239" s="494"/>
      <c r="ISV239" s="494"/>
      <c r="ISW239" s="494"/>
      <c r="ISX239" s="494"/>
      <c r="ISY239" s="494"/>
      <c r="ISZ239" s="494"/>
      <c r="ITA239" s="494"/>
      <c r="ITB239" s="494"/>
      <c r="ITC239" s="494"/>
      <c r="ITD239" s="494"/>
      <c r="ITE239" s="494"/>
      <c r="ITF239" s="494"/>
      <c r="ITG239" s="494"/>
      <c r="ITH239" s="494"/>
      <c r="ITI239" s="494"/>
      <c r="ITJ239" s="494"/>
      <c r="ITK239" s="494"/>
      <c r="ITL239" s="494"/>
      <c r="ITM239" s="494"/>
      <c r="ITN239" s="494"/>
      <c r="ITO239" s="494"/>
      <c r="ITP239" s="494"/>
      <c r="ITQ239" s="494"/>
      <c r="ITR239" s="494"/>
      <c r="ITS239" s="494"/>
      <c r="ITT239" s="494"/>
      <c r="ITU239" s="494"/>
      <c r="ITV239" s="494"/>
      <c r="ITW239" s="494"/>
      <c r="ITX239" s="494"/>
      <c r="ITY239" s="494"/>
      <c r="ITZ239" s="494"/>
      <c r="IUA239" s="494"/>
      <c r="IUB239" s="494"/>
      <c r="IUC239" s="494"/>
      <c r="IUD239" s="494"/>
      <c r="IUE239" s="494"/>
      <c r="IUF239" s="494"/>
      <c r="IUG239" s="494"/>
      <c r="IUH239" s="494"/>
      <c r="IUI239" s="494"/>
      <c r="IUJ239" s="494"/>
      <c r="IUK239" s="494"/>
      <c r="IUL239" s="494"/>
      <c r="IUM239" s="494"/>
      <c r="IUN239" s="494"/>
      <c r="IUO239" s="494"/>
      <c r="IUP239" s="494"/>
      <c r="IUQ239" s="494"/>
      <c r="IUR239" s="494"/>
      <c r="IUS239" s="494"/>
      <c r="IUT239" s="494"/>
      <c r="IUU239" s="494"/>
      <c r="IUV239" s="494"/>
      <c r="IUW239" s="494"/>
      <c r="IUX239" s="494"/>
      <c r="IUY239" s="494"/>
      <c r="IUZ239" s="494"/>
      <c r="IVA239" s="494"/>
      <c r="IVB239" s="494"/>
      <c r="IVC239" s="494"/>
      <c r="IVD239" s="494"/>
      <c r="IVE239" s="494"/>
      <c r="IVF239" s="494"/>
      <c r="IVG239" s="494"/>
      <c r="IVH239" s="494"/>
      <c r="IVI239" s="494"/>
      <c r="IVJ239" s="494"/>
      <c r="IVK239" s="494"/>
      <c r="IVL239" s="494"/>
      <c r="IVM239" s="494"/>
      <c r="IVN239" s="494"/>
      <c r="IVO239" s="494"/>
      <c r="IVP239" s="494"/>
      <c r="IVQ239" s="494"/>
      <c r="IVR239" s="494"/>
      <c r="IVS239" s="494"/>
      <c r="IVT239" s="494"/>
      <c r="IVU239" s="494"/>
      <c r="IVV239" s="494"/>
      <c r="IVW239" s="494"/>
      <c r="IVX239" s="494"/>
      <c r="IVY239" s="494"/>
      <c r="IVZ239" s="494"/>
      <c r="IWA239" s="494"/>
      <c r="IWB239" s="494"/>
      <c r="IWC239" s="494"/>
      <c r="IWD239" s="494"/>
      <c r="IWE239" s="494"/>
      <c r="IWF239" s="494"/>
      <c r="IWG239" s="494"/>
      <c r="IWH239" s="494"/>
      <c r="IWI239" s="494"/>
      <c r="IWJ239" s="494"/>
      <c r="IWK239" s="494"/>
      <c r="IWL239" s="494"/>
      <c r="IWM239" s="494"/>
      <c r="IWN239" s="494"/>
      <c r="IWO239" s="494"/>
      <c r="IWP239" s="494"/>
      <c r="IWQ239" s="494"/>
      <c r="IWR239" s="494"/>
      <c r="IWS239" s="494"/>
      <c r="IWT239" s="494"/>
      <c r="IWU239" s="494"/>
      <c r="IWV239" s="494"/>
      <c r="IWW239" s="494"/>
      <c r="IWX239" s="494"/>
      <c r="IWY239" s="494"/>
      <c r="IWZ239" s="494"/>
      <c r="IXA239" s="494"/>
      <c r="IXB239" s="494"/>
      <c r="IXC239" s="494"/>
      <c r="IXD239" s="494"/>
      <c r="IXE239" s="494"/>
      <c r="IXF239" s="494"/>
      <c r="IXG239" s="494"/>
      <c r="IXH239" s="494"/>
      <c r="IXI239" s="494"/>
      <c r="IXJ239" s="494"/>
      <c r="IXK239" s="494"/>
      <c r="IXL239" s="494"/>
      <c r="IXM239" s="494"/>
      <c r="IXN239" s="494"/>
      <c r="IXO239" s="494"/>
      <c r="IXP239" s="494"/>
      <c r="IXQ239" s="494"/>
      <c r="IXR239" s="494"/>
      <c r="IXS239" s="494"/>
      <c r="IXT239" s="494"/>
      <c r="IXU239" s="494"/>
      <c r="IXV239" s="494"/>
      <c r="IXW239" s="494"/>
      <c r="IXX239" s="494"/>
      <c r="IXY239" s="494"/>
      <c r="IXZ239" s="494"/>
      <c r="IYA239" s="494"/>
      <c r="IYB239" s="494"/>
      <c r="IYC239" s="494"/>
      <c r="IYD239" s="494"/>
      <c r="IYE239" s="494"/>
      <c r="IYF239" s="494"/>
      <c r="IYG239" s="494"/>
      <c r="IYH239" s="494"/>
      <c r="IYI239" s="494"/>
      <c r="IYJ239" s="494"/>
      <c r="IYK239" s="494"/>
      <c r="IYL239" s="494"/>
      <c r="IYM239" s="494"/>
      <c r="IYN239" s="494"/>
      <c r="IYO239" s="494"/>
      <c r="IYP239" s="494"/>
      <c r="IYQ239" s="494"/>
      <c r="IYR239" s="494"/>
      <c r="IYS239" s="494"/>
      <c r="IYT239" s="494"/>
      <c r="IYU239" s="494"/>
      <c r="IYV239" s="494"/>
      <c r="IYW239" s="494"/>
      <c r="IYX239" s="494"/>
      <c r="IYY239" s="494"/>
      <c r="IYZ239" s="494"/>
      <c r="IZA239" s="494"/>
      <c r="IZB239" s="494"/>
      <c r="IZC239" s="494"/>
      <c r="IZD239" s="494"/>
      <c r="IZE239" s="494"/>
      <c r="IZF239" s="494"/>
      <c r="IZG239" s="494"/>
      <c r="IZH239" s="494"/>
      <c r="IZI239" s="494"/>
      <c r="IZJ239" s="494"/>
      <c r="IZK239" s="494"/>
      <c r="IZL239" s="494"/>
      <c r="IZM239" s="494"/>
      <c r="IZN239" s="494"/>
      <c r="IZO239" s="494"/>
      <c r="IZP239" s="494"/>
      <c r="IZQ239" s="494"/>
      <c r="IZR239" s="494"/>
      <c r="IZS239" s="494"/>
      <c r="IZT239" s="494"/>
      <c r="IZU239" s="494"/>
      <c r="IZV239" s="494"/>
      <c r="IZW239" s="494"/>
      <c r="IZX239" s="494"/>
      <c r="IZY239" s="494"/>
      <c r="IZZ239" s="494"/>
      <c r="JAA239" s="494"/>
      <c r="JAB239" s="494"/>
      <c r="JAC239" s="494"/>
      <c r="JAD239" s="494"/>
      <c r="JAE239" s="494"/>
      <c r="JAF239" s="494"/>
      <c r="JAG239" s="494"/>
      <c r="JAH239" s="494"/>
      <c r="JAI239" s="494"/>
      <c r="JAJ239" s="494"/>
      <c r="JAK239" s="494"/>
      <c r="JAL239" s="494"/>
      <c r="JAM239" s="494"/>
      <c r="JAN239" s="494"/>
      <c r="JAO239" s="494"/>
      <c r="JAP239" s="494"/>
      <c r="JAQ239" s="494"/>
      <c r="JAR239" s="494"/>
      <c r="JAS239" s="494"/>
      <c r="JAT239" s="494"/>
      <c r="JAU239" s="494"/>
      <c r="JAV239" s="494"/>
      <c r="JAW239" s="494"/>
      <c r="JAX239" s="494"/>
      <c r="JAY239" s="494"/>
      <c r="JAZ239" s="494"/>
      <c r="JBA239" s="494"/>
      <c r="JBB239" s="494"/>
      <c r="JBC239" s="494"/>
      <c r="JBD239" s="494"/>
      <c r="JBE239" s="494"/>
      <c r="JBF239" s="494"/>
      <c r="JBG239" s="494"/>
      <c r="JBH239" s="494"/>
      <c r="JBI239" s="494"/>
      <c r="JBJ239" s="494"/>
      <c r="JBK239" s="494"/>
      <c r="JBL239" s="494"/>
      <c r="JBM239" s="494"/>
      <c r="JBN239" s="494"/>
      <c r="JBO239" s="494"/>
      <c r="JBP239" s="494"/>
      <c r="JBQ239" s="494"/>
      <c r="JBR239" s="494"/>
      <c r="JBS239" s="494"/>
      <c r="JBT239" s="494"/>
      <c r="JBU239" s="494"/>
      <c r="JBV239" s="494"/>
      <c r="JBW239" s="494"/>
      <c r="JBX239" s="494"/>
      <c r="JBY239" s="494"/>
      <c r="JBZ239" s="494"/>
      <c r="JCA239" s="494"/>
      <c r="JCB239" s="494"/>
      <c r="JCC239" s="494"/>
      <c r="JCD239" s="494"/>
      <c r="JCE239" s="494"/>
      <c r="JCF239" s="494"/>
      <c r="JCG239" s="494"/>
      <c r="JCH239" s="494"/>
      <c r="JCI239" s="494"/>
      <c r="JCJ239" s="494"/>
      <c r="JCK239" s="494"/>
      <c r="JCL239" s="494"/>
      <c r="JCM239" s="494"/>
      <c r="JCN239" s="494"/>
      <c r="JCO239" s="494"/>
      <c r="JCP239" s="494"/>
      <c r="JCQ239" s="494"/>
      <c r="JCR239" s="494"/>
      <c r="JCS239" s="494"/>
      <c r="JCT239" s="494"/>
      <c r="JCU239" s="494"/>
      <c r="JCV239" s="494"/>
      <c r="JCW239" s="494"/>
      <c r="JCX239" s="494"/>
      <c r="JCY239" s="494"/>
      <c r="JCZ239" s="494"/>
      <c r="JDA239" s="494"/>
      <c r="JDB239" s="494"/>
      <c r="JDC239" s="494"/>
      <c r="JDD239" s="494"/>
      <c r="JDE239" s="494"/>
      <c r="JDF239" s="494"/>
      <c r="JDG239" s="494"/>
      <c r="JDH239" s="494"/>
      <c r="JDI239" s="494"/>
      <c r="JDJ239" s="494"/>
      <c r="JDK239" s="494"/>
      <c r="JDL239" s="494"/>
      <c r="JDM239" s="494"/>
      <c r="JDN239" s="494"/>
      <c r="JDO239" s="494"/>
      <c r="JDP239" s="494"/>
      <c r="JDQ239" s="494"/>
      <c r="JDR239" s="494"/>
      <c r="JDS239" s="494"/>
      <c r="JDT239" s="494"/>
      <c r="JDU239" s="494"/>
      <c r="JDV239" s="494"/>
      <c r="JDW239" s="494"/>
      <c r="JDX239" s="494"/>
      <c r="JDY239" s="494"/>
      <c r="JDZ239" s="494"/>
      <c r="JEA239" s="494"/>
      <c r="JEB239" s="494"/>
      <c r="JEC239" s="494"/>
      <c r="JED239" s="494"/>
      <c r="JEE239" s="494"/>
      <c r="JEF239" s="494"/>
      <c r="JEG239" s="494"/>
      <c r="JEH239" s="494"/>
      <c r="JEI239" s="494"/>
      <c r="JEJ239" s="494"/>
      <c r="JEK239" s="494"/>
      <c r="JEL239" s="494"/>
      <c r="JEM239" s="494"/>
      <c r="JEN239" s="494"/>
      <c r="JEO239" s="494"/>
      <c r="JEP239" s="494"/>
      <c r="JEQ239" s="494"/>
      <c r="JER239" s="494"/>
      <c r="JES239" s="494"/>
      <c r="JET239" s="494"/>
      <c r="JEU239" s="494"/>
      <c r="JEV239" s="494"/>
      <c r="JEW239" s="494"/>
      <c r="JEX239" s="494"/>
      <c r="JEY239" s="494"/>
      <c r="JEZ239" s="494"/>
      <c r="JFA239" s="494"/>
      <c r="JFB239" s="494"/>
      <c r="JFC239" s="494"/>
      <c r="JFD239" s="494"/>
      <c r="JFE239" s="494"/>
      <c r="JFF239" s="494"/>
      <c r="JFG239" s="494"/>
      <c r="JFH239" s="494"/>
      <c r="JFI239" s="494"/>
      <c r="JFJ239" s="494"/>
      <c r="JFK239" s="494"/>
      <c r="JFL239" s="494"/>
      <c r="JFM239" s="494"/>
      <c r="JFN239" s="494"/>
      <c r="JFO239" s="494"/>
      <c r="JFP239" s="494"/>
      <c r="JFQ239" s="494"/>
      <c r="JFR239" s="494"/>
      <c r="JFS239" s="494"/>
      <c r="JFT239" s="494"/>
      <c r="JFU239" s="494"/>
      <c r="JFV239" s="494"/>
      <c r="JFW239" s="494"/>
      <c r="JFX239" s="494"/>
      <c r="JFY239" s="494"/>
      <c r="JFZ239" s="494"/>
      <c r="JGA239" s="494"/>
      <c r="JGB239" s="494"/>
      <c r="JGC239" s="494"/>
      <c r="JGD239" s="494"/>
      <c r="JGE239" s="494"/>
      <c r="JGF239" s="494"/>
      <c r="JGG239" s="494"/>
      <c r="JGH239" s="494"/>
      <c r="JGI239" s="494"/>
      <c r="JGJ239" s="494"/>
      <c r="JGK239" s="494"/>
      <c r="JGL239" s="494"/>
      <c r="JGM239" s="494"/>
      <c r="JGN239" s="494"/>
      <c r="JGO239" s="494"/>
      <c r="JGP239" s="494"/>
      <c r="JGQ239" s="494"/>
      <c r="JGR239" s="494"/>
      <c r="JGS239" s="494"/>
      <c r="JGT239" s="494"/>
      <c r="JGU239" s="494"/>
      <c r="JGV239" s="494"/>
      <c r="JGW239" s="494"/>
      <c r="JGX239" s="494"/>
      <c r="JGY239" s="494"/>
      <c r="JGZ239" s="494"/>
      <c r="JHA239" s="494"/>
      <c r="JHB239" s="494"/>
      <c r="JHC239" s="494"/>
      <c r="JHD239" s="494"/>
      <c r="JHE239" s="494"/>
      <c r="JHF239" s="494"/>
      <c r="JHG239" s="494"/>
      <c r="JHH239" s="494"/>
      <c r="JHI239" s="494"/>
      <c r="JHJ239" s="494"/>
      <c r="JHK239" s="494"/>
      <c r="JHL239" s="494"/>
      <c r="JHM239" s="494"/>
      <c r="JHN239" s="494"/>
      <c r="JHO239" s="494"/>
      <c r="JHP239" s="494"/>
      <c r="JHQ239" s="494"/>
      <c r="JHR239" s="494"/>
      <c r="JHS239" s="494"/>
      <c r="JHT239" s="494"/>
      <c r="JHU239" s="494"/>
      <c r="JHV239" s="494"/>
      <c r="JHW239" s="494"/>
      <c r="JHX239" s="494"/>
      <c r="JHY239" s="494"/>
      <c r="JHZ239" s="494"/>
      <c r="JIA239" s="494"/>
      <c r="JIB239" s="494"/>
      <c r="JIC239" s="494"/>
      <c r="JID239" s="494"/>
      <c r="JIE239" s="494"/>
      <c r="JIF239" s="494"/>
      <c r="JIG239" s="494"/>
      <c r="JIH239" s="494"/>
      <c r="JII239" s="494"/>
      <c r="JIJ239" s="494"/>
      <c r="JIK239" s="494"/>
      <c r="JIL239" s="494"/>
      <c r="JIM239" s="494"/>
      <c r="JIN239" s="494"/>
      <c r="JIO239" s="494"/>
      <c r="JIP239" s="494"/>
      <c r="JIQ239" s="494"/>
      <c r="JIR239" s="494"/>
      <c r="JIS239" s="494"/>
      <c r="JIT239" s="494"/>
      <c r="JIU239" s="494"/>
      <c r="JIV239" s="494"/>
      <c r="JIW239" s="494"/>
      <c r="JIX239" s="494"/>
      <c r="JIY239" s="494"/>
      <c r="JIZ239" s="494"/>
      <c r="JJA239" s="494"/>
      <c r="JJB239" s="494"/>
      <c r="JJC239" s="494"/>
      <c r="JJD239" s="494"/>
      <c r="JJE239" s="494"/>
      <c r="JJF239" s="494"/>
      <c r="JJG239" s="494"/>
      <c r="JJH239" s="494"/>
      <c r="JJI239" s="494"/>
      <c r="JJJ239" s="494"/>
      <c r="JJK239" s="494"/>
      <c r="JJL239" s="494"/>
      <c r="JJM239" s="494"/>
      <c r="JJN239" s="494"/>
      <c r="JJO239" s="494"/>
      <c r="JJP239" s="494"/>
      <c r="JJQ239" s="494"/>
      <c r="JJR239" s="494"/>
      <c r="JJS239" s="494"/>
      <c r="JJT239" s="494"/>
      <c r="JJU239" s="494"/>
      <c r="JJV239" s="494"/>
      <c r="JJW239" s="494"/>
      <c r="JJX239" s="494"/>
      <c r="JJY239" s="494"/>
      <c r="JJZ239" s="494"/>
      <c r="JKA239" s="494"/>
      <c r="JKB239" s="494"/>
      <c r="JKC239" s="494"/>
      <c r="JKD239" s="494"/>
      <c r="JKE239" s="494"/>
      <c r="JKF239" s="494"/>
      <c r="JKG239" s="494"/>
      <c r="JKH239" s="494"/>
      <c r="JKI239" s="494"/>
      <c r="JKJ239" s="494"/>
      <c r="JKK239" s="494"/>
      <c r="JKL239" s="494"/>
      <c r="JKM239" s="494"/>
      <c r="JKN239" s="494"/>
      <c r="JKO239" s="494"/>
      <c r="JKP239" s="494"/>
      <c r="JKQ239" s="494"/>
      <c r="JKR239" s="494"/>
      <c r="JKS239" s="494"/>
      <c r="JKT239" s="494"/>
      <c r="JKU239" s="494"/>
      <c r="JKV239" s="494"/>
      <c r="JKW239" s="494"/>
      <c r="JKX239" s="494"/>
      <c r="JKY239" s="494"/>
      <c r="JKZ239" s="494"/>
      <c r="JLA239" s="494"/>
      <c r="JLB239" s="494"/>
      <c r="JLC239" s="494"/>
      <c r="JLD239" s="494"/>
      <c r="JLE239" s="494"/>
      <c r="JLF239" s="494"/>
      <c r="JLG239" s="494"/>
      <c r="JLH239" s="494"/>
      <c r="JLI239" s="494"/>
      <c r="JLJ239" s="494"/>
      <c r="JLK239" s="494"/>
      <c r="JLL239" s="494"/>
      <c r="JLM239" s="494"/>
      <c r="JLN239" s="494"/>
      <c r="JLO239" s="494"/>
      <c r="JLP239" s="494"/>
      <c r="JLQ239" s="494"/>
      <c r="JLR239" s="494"/>
      <c r="JLS239" s="494"/>
      <c r="JLT239" s="494"/>
      <c r="JLU239" s="494"/>
      <c r="JLV239" s="494"/>
      <c r="JLW239" s="494"/>
      <c r="JLX239" s="494"/>
      <c r="JLY239" s="494"/>
      <c r="JLZ239" s="494"/>
      <c r="JMA239" s="494"/>
      <c r="JMB239" s="494"/>
      <c r="JMC239" s="494"/>
      <c r="JMD239" s="494"/>
      <c r="JME239" s="494"/>
      <c r="JMF239" s="494"/>
      <c r="JMG239" s="494"/>
      <c r="JMH239" s="494"/>
      <c r="JMI239" s="494"/>
      <c r="JMJ239" s="494"/>
      <c r="JMK239" s="494"/>
      <c r="JML239" s="494"/>
      <c r="JMM239" s="494"/>
      <c r="JMN239" s="494"/>
      <c r="JMO239" s="494"/>
      <c r="JMP239" s="494"/>
      <c r="JMQ239" s="494"/>
      <c r="JMR239" s="494"/>
      <c r="JMS239" s="494"/>
      <c r="JMT239" s="494"/>
      <c r="JMU239" s="494"/>
      <c r="JMV239" s="494"/>
      <c r="JMW239" s="494"/>
      <c r="JMX239" s="494"/>
      <c r="JMY239" s="494"/>
      <c r="JMZ239" s="494"/>
      <c r="JNA239" s="494"/>
      <c r="JNB239" s="494"/>
      <c r="JNC239" s="494"/>
      <c r="JND239" s="494"/>
      <c r="JNE239" s="494"/>
      <c r="JNF239" s="494"/>
      <c r="JNG239" s="494"/>
      <c r="JNH239" s="494"/>
      <c r="JNI239" s="494"/>
      <c r="JNJ239" s="494"/>
      <c r="JNK239" s="494"/>
      <c r="JNL239" s="494"/>
      <c r="JNM239" s="494"/>
      <c r="JNN239" s="494"/>
      <c r="JNO239" s="494"/>
      <c r="JNP239" s="494"/>
      <c r="JNQ239" s="494"/>
      <c r="JNR239" s="494"/>
      <c r="JNS239" s="494"/>
      <c r="JNT239" s="494"/>
      <c r="JNU239" s="494"/>
      <c r="JNV239" s="494"/>
      <c r="JNW239" s="494"/>
      <c r="JNX239" s="494"/>
      <c r="JNY239" s="494"/>
      <c r="JNZ239" s="494"/>
      <c r="JOA239" s="494"/>
      <c r="JOB239" s="494"/>
      <c r="JOC239" s="494"/>
      <c r="JOD239" s="494"/>
      <c r="JOE239" s="494"/>
      <c r="JOF239" s="494"/>
      <c r="JOG239" s="494"/>
      <c r="JOH239" s="494"/>
      <c r="JOI239" s="494"/>
      <c r="JOJ239" s="494"/>
      <c r="JOK239" s="494"/>
      <c r="JOL239" s="494"/>
      <c r="JOM239" s="494"/>
      <c r="JON239" s="494"/>
      <c r="JOO239" s="494"/>
      <c r="JOP239" s="494"/>
      <c r="JOQ239" s="494"/>
      <c r="JOR239" s="494"/>
      <c r="JOS239" s="494"/>
      <c r="JOT239" s="494"/>
      <c r="JOU239" s="494"/>
      <c r="JOV239" s="494"/>
      <c r="JOW239" s="494"/>
      <c r="JOX239" s="494"/>
      <c r="JOY239" s="494"/>
      <c r="JOZ239" s="494"/>
      <c r="JPA239" s="494"/>
      <c r="JPB239" s="494"/>
      <c r="JPC239" s="494"/>
      <c r="JPD239" s="494"/>
      <c r="JPE239" s="494"/>
      <c r="JPF239" s="494"/>
      <c r="JPG239" s="494"/>
      <c r="JPH239" s="494"/>
      <c r="JPI239" s="494"/>
      <c r="JPJ239" s="494"/>
      <c r="JPK239" s="494"/>
      <c r="JPL239" s="494"/>
      <c r="JPM239" s="494"/>
      <c r="JPN239" s="494"/>
      <c r="JPO239" s="494"/>
      <c r="JPP239" s="494"/>
      <c r="JPQ239" s="494"/>
      <c r="JPR239" s="494"/>
      <c r="JPS239" s="494"/>
      <c r="JPT239" s="494"/>
      <c r="JPU239" s="494"/>
      <c r="JPV239" s="494"/>
      <c r="JPW239" s="494"/>
      <c r="JPX239" s="494"/>
      <c r="JPY239" s="494"/>
      <c r="JPZ239" s="494"/>
      <c r="JQA239" s="494"/>
      <c r="JQB239" s="494"/>
      <c r="JQC239" s="494"/>
      <c r="JQD239" s="494"/>
      <c r="JQE239" s="494"/>
      <c r="JQF239" s="494"/>
      <c r="JQG239" s="494"/>
      <c r="JQH239" s="494"/>
      <c r="JQI239" s="494"/>
      <c r="JQJ239" s="494"/>
      <c r="JQK239" s="494"/>
      <c r="JQL239" s="494"/>
      <c r="JQM239" s="494"/>
      <c r="JQN239" s="494"/>
      <c r="JQO239" s="494"/>
      <c r="JQP239" s="494"/>
      <c r="JQQ239" s="494"/>
      <c r="JQR239" s="494"/>
      <c r="JQS239" s="494"/>
      <c r="JQT239" s="494"/>
      <c r="JQU239" s="494"/>
      <c r="JQV239" s="494"/>
      <c r="JQW239" s="494"/>
      <c r="JQX239" s="494"/>
      <c r="JQY239" s="494"/>
      <c r="JQZ239" s="494"/>
      <c r="JRA239" s="494"/>
      <c r="JRB239" s="494"/>
      <c r="JRC239" s="494"/>
      <c r="JRD239" s="494"/>
      <c r="JRE239" s="494"/>
      <c r="JRF239" s="494"/>
      <c r="JRG239" s="494"/>
      <c r="JRH239" s="494"/>
      <c r="JRI239" s="494"/>
      <c r="JRJ239" s="494"/>
      <c r="JRK239" s="494"/>
      <c r="JRL239" s="494"/>
      <c r="JRM239" s="494"/>
      <c r="JRN239" s="494"/>
      <c r="JRO239" s="494"/>
      <c r="JRP239" s="494"/>
      <c r="JRQ239" s="494"/>
      <c r="JRR239" s="494"/>
      <c r="JRS239" s="494"/>
      <c r="JRT239" s="494"/>
      <c r="JRU239" s="494"/>
      <c r="JRV239" s="494"/>
      <c r="JRW239" s="494"/>
      <c r="JRX239" s="494"/>
      <c r="JRY239" s="494"/>
      <c r="JRZ239" s="494"/>
      <c r="JSA239" s="494"/>
      <c r="JSB239" s="494"/>
      <c r="JSC239" s="494"/>
      <c r="JSD239" s="494"/>
      <c r="JSE239" s="494"/>
      <c r="JSF239" s="494"/>
      <c r="JSG239" s="494"/>
      <c r="JSH239" s="494"/>
      <c r="JSI239" s="494"/>
      <c r="JSJ239" s="494"/>
      <c r="JSK239" s="494"/>
      <c r="JSL239" s="494"/>
      <c r="JSM239" s="494"/>
      <c r="JSN239" s="494"/>
      <c r="JSO239" s="494"/>
      <c r="JSP239" s="494"/>
      <c r="JSQ239" s="494"/>
      <c r="JSR239" s="494"/>
      <c r="JSS239" s="494"/>
      <c r="JST239" s="494"/>
      <c r="JSU239" s="494"/>
      <c r="JSV239" s="494"/>
      <c r="JSW239" s="494"/>
      <c r="JSX239" s="494"/>
      <c r="JSY239" s="494"/>
      <c r="JSZ239" s="494"/>
      <c r="JTA239" s="494"/>
      <c r="JTB239" s="494"/>
      <c r="JTC239" s="494"/>
      <c r="JTD239" s="494"/>
      <c r="JTE239" s="494"/>
      <c r="JTF239" s="494"/>
      <c r="JTG239" s="494"/>
      <c r="JTH239" s="494"/>
      <c r="JTI239" s="494"/>
      <c r="JTJ239" s="494"/>
      <c r="JTK239" s="494"/>
      <c r="JTL239" s="494"/>
      <c r="JTM239" s="494"/>
      <c r="JTN239" s="494"/>
      <c r="JTO239" s="494"/>
      <c r="JTP239" s="494"/>
      <c r="JTQ239" s="494"/>
      <c r="JTR239" s="494"/>
      <c r="JTS239" s="494"/>
      <c r="JTT239" s="494"/>
      <c r="JTU239" s="494"/>
      <c r="JTV239" s="494"/>
      <c r="JTW239" s="494"/>
      <c r="JTX239" s="494"/>
      <c r="JTY239" s="494"/>
      <c r="JTZ239" s="494"/>
      <c r="JUA239" s="494"/>
      <c r="JUB239" s="494"/>
      <c r="JUC239" s="494"/>
      <c r="JUD239" s="494"/>
      <c r="JUE239" s="494"/>
      <c r="JUF239" s="494"/>
      <c r="JUG239" s="494"/>
      <c r="JUH239" s="494"/>
      <c r="JUI239" s="494"/>
      <c r="JUJ239" s="494"/>
      <c r="JUK239" s="494"/>
      <c r="JUL239" s="494"/>
      <c r="JUM239" s="494"/>
      <c r="JUN239" s="494"/>
      <c r="JUO239" s="494"/>
      <c r="JUP239" s="494"/>
      <c r="JUQ239" s="494"/>
      <c r="JUR239" s="494"/>
      <c r="JUS239" s="494"/>
      <c r="JUT239" s="494"/>
      <c r="JUU239" s="494"/>
      <c r="JUV239" s="494"/>
      <c r="JUW239" s="494"/>
      <c r="JUX239" s="494"/>
      <c r="JUY239" s="494"/>
      <c r="JUZ239" s="494"/>
      <c r="JVA239" s="494"/>
      <c r="JVB239" s="494"/>
      <c r="JVC239" s="494"/>
      <c r="JVD239" s="494"/>
      <c r="JVE239" s="494"/>
      <c r="JVF239" s="494"/>
      <c r="JVG239" s="494"/>
      <c r="JVH239" s="494"/>
      <c r="JVI239" s="494"/>
      <c r="JVJ239" s="494"/>
      <c r="JVK239" s="494"/>
      <c r="JVL239" s="494"/>
      <c r="JVM239" s="494"/>
      <c r="JVN239" s="494"/>
      <c r="JVO239" s="494"/>
      <c r="JVP239" s="494"/>
      <c r="JVQ239" s="494"/>
      <c r="JVR239" s="494"/>
      <c r="JVS239" s="494"/>
      <c r="JVT239" s="494"/>
      <c r="JVU239" s="494"/>
      <c r="JVV239" s="494"/>
      <c r="JVW239" s="494"/>
      <c r="JVX239" s="494"/>
      <c r="JVY239" s="494"/>
      <c r="JVZ239" s="494"/>
      <c r="JWA239" s="494"/>
      <c r="JWB239" s="494"/>
      <c r="JWC239" s="494"/>
      <c r="JWD239" s="494"/>
      <c r="JWE239" s="494"/>
      <c r="JWF239" s="494"/>
      <c r="JWG239" s="494"/>
      <c r="JWH239" s="494"/>
      <c r="JWI239" s="494"/>
      <c r="JWJ239" s="494"/>
      <c r="JWK239" s="494"/>
      <c r="JWL239" s="494"/>
      <c r="JWM239" s="494"/>
      <c r="JWN239" s="494"/>
      <c r="JWO239" s="494"/>
      <c r="JWP239" s="494"/>
      <c r="JWQ239" s="494"/>
      <c r="JWR239" s="494"/>
      <c r="JWS239" s="494"/>
      <c r="JWT239" s="494"/>
      <c r="JWU239" s="494"/>
      <c r="JWV239" s="494"/>
      <c r="JWW239" s="494"/>
      <c r="JWX239" s="494"/>
      <c r="JWY239" s="494"/>
      <c r="JWZ239" s="494"/>
      <c r="JXA239" s="494"/>
      <c r="JXB239" s="494"/>
      <c r="JXC239" s="494"/>
      <c r="JXD239" s="494"/>
      <c r="JXE239" s="494"/>
      <c r="JXF239" s="494"/>
      <c r="JXG239" s="494"/>
      <c r="JXH239" s="494"/>
      <c r="JXI239" s="494"/>
      <c r="JXJ239" s="494"/>
      <c r="JXK239" s="494"/>
      <c r="JXL239" s="494"/>
      <c r="JXM239" s="494"/>
      <c r="JXN239" s="494"/>
      <c r="JXO239" s="494"/>
      <c r="JXP239" s="494"/>
      <c r="JXQ239" s="494"/>
      <c r="JXR239" s="494"/>
      <c r="JXS239" s="494"/>
      <c r="JXT239" s="494"/>
      <c r="JXU239" s="494"/>
      <c r="JXV239" s="494"/>
      <c r="JXW239" s="494"/>
      <c r="JXX239" s="494"/>
      <c r="JXY239" s="494"/>
      <c r="JXZ239" s="494"/>
      <c r="JYA239" s="494"/>
      <c r="JYB239" s="494"/>
      <c r="JYC239" s="494"/>
      <c r="JYD239" s="494"/>
      <c r="JYE239" s="494"/>
      <c r="JYF239" s="494"/>
      <c r="JYG239" s="494"/>
      <c r="JYH239" s="494"/>
      <c r="JYI239" s="494"/>
      <c r="JYJ239" s="494"/>
      <c r="JYK239" s="494"/>
      <c r="JYL239" s="494"/>
      <c r="JYM239" s="494"/>
      <c r="JYN239" s="494"/>
      <c r="JYO239" s="494"/>
      <c r="JYP239" s="494"/>
      <c r="JYQ239" s="494"/>
      <c r="JYR239" s="494"/>
      <c r="JYS239" s="494"/>
      <c r="JYT239" s="494"/>
      <c r="JYU239" s="494"/>
      <c r="JYV239" s="494"/>
      <c r="JYW239" s="494"/>
      <c r="JYX239" s="494"/>
      <c r="JYY239" s="494"/>
      <c r="JYZ239" s="494"/>
      <c r="JZA239" s="494"/>
      <c r="JZB239" s="494"/>
      <c r="JZC239" s="494"/>
      <c r="JZD239" s="494"/>
      <c r="JZE239" s="494"/>
      <c r="JZF239" s="494"/>
      <c r="JZG239" s="494"/>
      <c r="JZH239" s="494"/>
      <c r="JZI239" s="494"/>
      <c r="JZJ239" s="494"/>
      <c r="JZK239" s="494"/>
      <c r="JZL239" s="494"/>
      <c r="JZM239" s="494"/>
      <c r="JZN239" s="494"/>
      <c r="JZO239" s="494"/>
      <c r="JZP239" s="494"/>
      <c r="JZQ239" s="494"/>
      <c r="JZR239" s="494"/>
      <c r="JZS239" s="494"/>
      <c r="JZT239" s="494"/>
      <c r="JZU239" s="494"/>
      <c r="JZV239" s="494"/>
      <c r="JZW239" s="494"/>
      <c r="JZX239" s="494"/>
      <c r="JZY239" s="494"/>
      <c r="JZZ239" s="494"/>
      <c r="KAA239" s="494"/>
      <c r="KAB239" s="494"/>
      <c r="KAC239" s="494"/>
      <c r="KAD239" s="494"/>
      <c r="KAE239" s="494"/>
      <c r="KAF239" s="494"/>
      <c r="KAG239" s="494"/>
      <c r="KAH239" s="494"/>
      <c r="KAI239" s="494"/>
      <c r="KAJ239" s="494"/>
      <c r="KAK239" s="494"/>
      <c r="KAL239" s="494"/>
      <c r="KAM239" s="494"/>
      <c r="KAN239" s="494"/>
      <c r="KAO239" s="494"/>
      <c r="KAP239" s="494"/>
      <c r="KAQ239" s="494"/>
      <c r="KAR239" s="494"/>
      <c r="KAS239" s="494"/>
      <c r="KAT239" s="494"/>
      <c r="KAU239" s="494"/>
      <c r="KAV239" s="494"/>
      <c r="KAW239" s="494"/>
      <c r="KAX239" s="494"/>
      <c r="KAY239" s="494"/>
      <c r="KAZ239" s="494"/>
      <c r="KBA239" s="494"/>
      <c r="KBB239" s="494"/>
      <c r="KBC239" s="494"/>
      <c r="KBD239" s="494"/>
      <c r="KBE239" s="494"/>
      <c r="KBF239" s="494"/>
      <c r="KBG239" s="494"/>
      <c r="KBH239" s="494"/>
      <c r="KBI239" s="494"/>
      <c r="KBJ239" s="494"/>
      <c r="KBK239" s="494"/>
      <c r="KBL239" s="494"/>
      <c r="KBM239" s="494"/>
      <c r="KBN239" s="494"/>
      <c r="KBO239" s="494"/>
      <c r="KBP239" s="494"/>
      <c r="KBQ239" s="494"/>
      <c r="KBR239" s="494"/>
      <c r="KBS239" s="494"/>
      <c r="KBT239" s="494"/>
      <c r="KBU239" s="494"/>
      <c r="KBV239" s="494"/>
      <c r="KBW239" s="494"/>
      <c r="KBX239" s="494"/>
      <c r="KBY239" s="494"/>
      <c r="KBZ239" s="494"/>
      <c r="KCA239" s="494"/>
      <c r="KCB239" s="494"/>
      <c r="KCC239" s="494"/>
      <c r="KCD239" s="494"/>
      <c r="KCE239" s="494"/>
      <c r="KCF239" s="494"/>
      <c r="KCG239" s="494"/>
      <c r="KCH239" s="494"/>
      <c r="KCI239" s="494"/>
      <c r="KCJ239" s="494"/>
      <c r="KCK239" s="494"/>
      <c r="KCL239" s="494"/>
      <c r="KCM239" s="494"/>
      <c r="KCN239" s="494"/>
      <c r="KCO239" s="494"/>
      <c r="KCP239" s="494"/>
      <c r="KCQ239" s="494"/>
      <c r="KCR239" s="494"/>
      <c r="KCS239" s="494"/>
      <c r="KCT239" s="494"/>
      <c r="KCU239" s="494"/>
      <c r="KCV239" s="494"/>
      <c r="KCW239" s="494"/>
      <c r="KCX239" s="494"/>
      <c r="KCY239" s="494"/>
      <c r="KCZ239" s="494"/>
      <c r="KDA239" s="494"/>
      <c r="KDB239" s="494"/>
      <c r="KDC239" s="494"/>
      <c r="KDD239" s="494"/>
      <c r="KDE239" s="494"/>
      <c r="KDF239" s="494"/>
      <c r="KDG239" s="494"/>
      <c r="KDH239" s="494"/>
      <c r="KDI239" s="494"/>
      <c r="KDJ239" s="494"/>
      <c r="KDK239" s="494"/>
      <c r="KDL239" s="494"/>
      <c r="KDM239" s="494"/>
      <c r="KDN239" s="494"/>
      <c r="KDO239" s="494"/>
      <c r="KDP239" s="494"/>
      <c r="KDQ239" s="494"/>
      <c r="KDR239" s="494"/>
      <c r="KDS239" s="494"/>
      <c r="KDT239" s="494"/>
      <c r="KDU239" s="494"/>
      <c r="KDV239" s="494"/>
      <c r="KDW239" s="494"/>
      <c r="KDX239" s="494"/>
      <c r="KDY239" s="494"/>
      <c r="KDZ239" s="494"/>
      <c r="KEA239" s="494"/>
      <c r="KEB239" s="494"/>
      <c r="KEC239" s="494"/>
      <c r="KED239" s="494"/>
      <c r="KEE239" s="494"/>
      <c r="KEF239" s="494"/>
      <c r="KEG239" s="494"/>
      <c r="KEH239" s="494"/>
      <c r="KEI239" s="494"/>
      <c r="KEJ239" s="494"/>
      <c r="KEK239" s="494"/>
      <c r="KEL239" s="494"/>
      <c r="KEM239" s="494"/>
      <c r="KEN239" s="494"/>
      <c r="KEO239" s="494"/>
      <c r="KEP239" s="494"/>
      <c r="KEQ239" s="494"/>
      <c r="KER239" s="494"/>
      <c r="KES239" s="494"/>
      <c r="KET239" s="494"/>
      <c r="KEU239" s="494"/>
      <c r="KEV239" s="494"/>
      <c r="KEW239" s="494"/>
      <c r="KEX239" s="494"/>
      <c r="KEY239" s="494"/>
      <c r="KEZ239" s="494"/>
      <c r="KFA239" s="494"/>
      <c r="KFB239" s="494"/>
      <c r="KFC239" s="494"/>
      <c r="KFD239" s="494"/>
      <c r="KFE239" s="494"/>
      <c r="KFF239" s="494"/>
      <c r="KFG239" s="494"/>
      <c r="KFH239" s="494"/>
      <c r="KFI239" s="494"/>
      <c r="KFJ239" s="494"/>
      <c r="KFK239" s="494"/>
      <c r="KFL239" s="494"/>
      <c r="KFM239" s="494"/>
      <c r="KFN239" s="494"/>
      <c r="KFO239" s="494"/>
      <c r="KFP239" s="494"/>
      <c r="KFQ239" s="494"/>
      <c r="KFR239" s="494"/>
      <c r="KFS239" s="494"/>
      <c r="KFT239" s="494"/>
      <c r="KFU239" s="494"/>
      <c r="KFV239" s="494"/>
      <c r="KFW239" s="494"/>
      <c r="KFX239" s="494"/>
      <c r="KFY239" s="494"/>
      <c r="KFZ239" s="494"/>
      <c r="KGA239" s="494"/>
      <c r="KGB239" s="494"/>
      <c r="KGC239" s="494"/>
      <c r="KGD239" s="494"/>
      <c r="KGE239" s="494"/>
      <c r="KGF239" s="494"/>
      <c r="KGG239" s="494"/>
      <c r="KGH239" s="494"/>
      <c r="KGI239" s="494"/>
      <c r="KGJ239" s="494"/>
      <c r="KGK239" s="494"/>
      <c r="KGL239" s="494"/>
      <c r="KGM239" s="494"/>
      <c r="KGN239" s="494"/>
      <c r="KGO239" s="494"/>
      <c r="KGP239" s="494"/>
      <c r="KGQ239" s="494"/>
      <c r="KGR239" s="494"/>
      <c r="KGS239" s="494"/>
      <c r="KGT239" s="494"/>
      <c r="KGU239" s="494"/>
      <c r="KGV239" s="494"/>
      <c r="KGW239" s="494"/>
      <c r="KGX239" s="494"/>
      <c r="KGY239" s="494"/>
      <c r="KGZ239" s="494"/>
      <c r="KHA239" s="494"/>
      <c r="KHB239" s="494"/>
      <c r="KHC239" s="494"/>
      <c r="KHD239" s="494"/>
      <c r="KHE239" s="494"/>
      <c r="KHF239" s="494"/>
      <c r="KHG239" s="494"/>
      <c r="KHH239" s="494"/>
      <c r="KHI239" s="494"/>
      <c r="KHJ239" s="494"/>
      <c r="KHK239" s="494"/>
      <c r="KHL239" s="494"/>
      <c r="KHM239" s="494"/>
      <c r="KHN239" s="494"/>
      <c r="KHO239" s="494"/>
      <c r="KHP239" s="494"/>
      <c r="KHQ239" s="494"/>
      <c r="KHR239" s="494"/>
      <c r="KHS239" s="494"/>
      <c r="KHT239" s="494"/>
      <c r="KHU239" s="494"/>
      <c r="KHV239" s="494"/>
      <c r="KHW239" s="494"/>
      <c r="KHX239" s="494"/>
      <c r="KHY239" s="494"/>
      <c r="KHZ239" s="494"/>
      <c r="KIA239" s="494"/>
      <c r="KIB239" s="494"/>
      <c r="KIC239" s="494"/>
      <c r="KID239" s="494"/>
      <c r="KIE239" s="494"/>
      <c r="KIF239" s="494"/>
      <c r="KIG239" s="494"/>
      <c r="KIH239" s="494"/>
      <c r="KII239" s="494"/>
      <c r="KIJ239" s="494"/>
      <c r="KIK239" s="494"/>
      <c r="KIL239" s="494"/>
      <c r="KIM239" s="494"/>
      <c r="KIN239" s="494"/>
      <c r="KIO239" s="494"/>
      <c r="KIP239" s="494"/>
      <c r="KIQ239" s="494"/>
      <c r="KIR239" s="494"/>
      <c r="KIS239" s="494"/>
      <c r="KIT239" s="494"/>
      <c r="KIU239" s="494"/>
      <c r="KIV239" s="494"/>
      <c r="KIW239" s="494"/>
      <c r="KIX239" s="494"/>
      <c r="KIY239" s="494"/>
      <c r="KIZ239" s="494"/>
      <c r="KJA239" s="494"/>
      <c r="KJB239" s="494"/>
      <c r="KJC239" s="494"/>
      <c r="KJD239" s="494"/>
      <c r="KJE239" s="494"/>
      <c r="KJF239" s="494"/>
      <c r="KJG239" s="494"/>
      <c r="KJH239" s="494"/>
      <c r="KJI239" s="494"/>
      <c r="KJJ239" s="494"/>
      <c r="KJK239" s="494"/>
      <c r="KJL239" s="494"/>
      <c r="KJM239" s="494"/>
      <c r="KJN239" s="494"/>
      <c r="KJO239" s="494"/>
      <c r="KJP239" s="494"/>
      <c r="KJQ239" s="494"/>
      <c r="KJR239" s="494"/>
      <c r="KJS239" s="494"/>
      <c r="KJT239" s="494"/>
      <c r="KJU239" s="494"/>
      <c r="KJV239" s="494"/>
      <c r="KJW239" s="494"/>
      <c r="KJX239" s="494"/>
      <c r="KJY239" s="494"/>
      <c r="KJZ239" s="494"/>
      <c r="KKA239" s="494"/>
      <c r="KKB239" s="494"/>
      <c r="KKC239" s="494"/>
      <c r="KKD239" s="494"/>
      <c r="KKE239" s="494"/>
      <c r="KKF239" s="494"/>
      <c r="KKG239" s="494"/>
      <c r="KKH239" s="494"/>
      <c r="KKI239" s="494"/>
      <c r="KKJ239" s="494"/>
      <c r="KKK239" s="494"/>
      <c r="KKL239" s="494"/>
      <c r="KKM239" s="494"/>
      <c r="KKN239" s="494"/>
      <c r="KKO239" s="494"/>
      <c r="KKP239" s="494"/>
      <c r="KKQ239" s="494"/>
      <c r="KKR239" s="494"/>
      <c r="KKS239" s="494"/>
      <c r="KKT239" s="494"/>
      <c r="KKU239" s="494"/>
      <c r="KKV239" s="494"/>
      <c r="KKW239" s="494"/>
      <c r="KKX239" s="494"/>
      <c r="KKY239" s="494"/>
      <c r="KKZ239" s="494"/>
      <c r="KLA239" s="494"/>
      <c r="KLB239" s="494"/>
      <c r="KLC239" s="494"/>
      <c r="KLD239" s="494"/>
      <c r="KLE239" s="494"/>
      <c r="KLF239" s="494"/>
      <c r="KLG239" s="494"/>
      <c r="KLH239" s="494"/>
      <c r="KLI239" s="494"/>
      <c r="KLJ239" s="494"/>
      <c r="KLK239" s="494"/>
      <c r="KLL239" s="494"/>
      <c r="KLM239" s="494"/>
      <c r="KLN239" s="494"/>
      <c r="KLO239" s="494"/>
      <c r="KLP239" s="494"/>
      <c r="KLQ239" s="494"/>
      <c r="KLR239" s="494"/>
      <c r="KLS239" s="494"/>
      <c r="KLT239" s="494"/>
      <c r="KLU239" s="494"/>
      <c r="KLV239" s="494"/>
      <c r="KLW239" s="494"/>
      <c r="KLX239" s="494"/>
      <c r="KLY239" s="494"/>
      <c r="KLZ239" s="494"/>
      <c r="KMA239" s="494"/>
      <c r="KMB239" s="494"/>
      <c r="KMC239" s="494"/>
      <c r="KMD239" s="494"/>
      <c r="KME239" s="494"/>
      <c r="KMF239" s="494"/>
      <c r="KMG239" s="494"/>
      <c r="KMH239" s="494"/>
      <c r="KMI239" s="494"/>
      <c r="KMJ239" s="494"/>
      <c r="KMK239" s="494"/>
      <c r="KML239" s="494"/>
      <c r="KMM239" s="494"/>
      <c r="KMN239" s="494"/>
      <c r="KMO239" s="494"/>
      <c r="KMP239" s="494"/>
      <c r="KMQ239" s="494"/>
      <c r="KMR239" s="494"/>
      <c r="KMS239" s="494"/>
      <c r="KMT239" s="494"/>
      <c r="KMU239" s="494"/>
      <c r="KMV239" s="494"/>
      <c r="KMW239" s="494"/>
      <c r="KMX239" s="494"/>
      <c r="KMY239" s="494"/>
      <c r="KMZ239" s="494"/>
      <c r="KNA239" s="494"/>
      <c r="KNB239" s="494"/>
      <c r="KNC239" s="494"/>
      <c r="KND239" s="494"/>
      <c r="KNE239" s="494"/>
      <c r="KNF239" s="494"/>
      <c r="KNG239" s="494"/>
      <c r="KNH239" s="494"/>
      <c r="KNI239" s="494"/>
      <c r="KNJ239" s="494"/>
      <c r="KNK239" s="494"/>
      <c r="KNL239" s="494"/>
      <c r="KNM239" s="494"/>
      <c r="KNN239" s="494"/>
      <c r="KNO239" s="494"/>
      <c r="KNP239" s="494"/>
      <c r="KNQ239" s="494"/>
      <c r="KNR239" s="494"/>
      <c r="KNS239" s="494"/>
      <c r="KNT239" s="494"/>
      <c r="KNU239" s="494"/>
      <c r="KNV239" s="494"/>
      <c r="KNW239" s="494"/>
      <c r="KNX239" s="494"/>
      <c r="KNY239" s="494"/>
      <c r="KNZ239" s="494"/>
      <c r="KOA239" s="494"/>
      <c r="KOB239" s="494"/>
      <c r="KOC239" s="494"/>
      <c r="KOD239" s="494"/>
      <c r="KOE239" s="494"/>
      <c r="KOF239" s="494"/>
      <c r="KOG239" s="494"/>
      <c r="KOH239" s="494"/>
      <c r="KOI239" s="494"/>
      <c r="KOJ239" s="494"/>
      <c r="KOK239" s="494"/>
      <c r="KOL239" s="494"/>
      <c r="KOM239" s="494"/>
      <c r="KON239" s="494"/>
      <c r="KOO239" s="494"/>
      <c r="KOP239" s="494"/>
      <c r="KOQ239" s="494"/>
      <c r="KOR239" s="494"/>
      <c r="KOS239" s="494"/>
      <c r="KOT239" s="494"/>
      <c r="KOU239" s="494"/>
      <c r="KOV239" s="494"/>
      <c r="KOW239" s="494"/>
      <c r="KOX239" s="494"/>
      <c r="KOY239" s="494"/>
      <c r="KOZ239" s="494"/>
      <c r="KPA239" s="494"/>
      <c r="KPB239" s="494"/>
      <c r="KPC239" s="494"/>
      <c r="KPD239" s="494"/>
      <c r="KPE239" s="494"/>
      <c r="KPF239" s="494"/>
      <c r="KPG239" s="494"/>
      <c r="KPH239" s="494"/>
      <c r="KPI239" s="494"/>
      <c r="KPJ239" s="494"/>
      <c r="KPK239" s="494"/>
      <c r="KPL239" s="494"/>
      <c r="KPM239" s="494"/>
      <c r="KPN239" s="494"/>
      <c r="KPO239" s="494"/>
      <c r="KPP239" s="494"/>
      <c r="KPQ239" s="494"/>
      <c r="KPR239" s="494"/>
      <c r="KPS239" s="494"/>
      <c r="KPT239" s="494"/>
      <c r="KPU239" s="494"/>
      <c r="KPV239" s="494"/>
      <c r="KPW239" s="494"/>
      <c r="KPX239" s="494"/>
      <c r="KPY239" s="494"/>
      <c r="KPZ239" s="494"/>
      <c r="KQA239" s="494"/>
      <c r="KQB239" s="494"/>
      <c r="KQC239" s="494"/>
      <c r="KQD239" s="494"/>
      <c r="KQE239" s="494"/>
      <c r="KQF239" s="494"/>
      <c r="KQG239" s="494"/>
      <c r="KQH239" s="494"/>
      <c r="KQI239" s="494"/>
      <c r="KQJ239" s="494"/>
      <c r="KQK239" s="494"/>
      <c r="KQL239" s="494"/>
      <c r="KQM239" s="494"/>
      <c r="KQN239" s="494"/>
      <c r="KQO239" s="494"/>
      <c r="KQP239" s="494"/>
      <c r="KQQ239" s="494"/>
      <c r="KQR239" s="494"/>
      <c r="KQS239" s="494"/>
      <c r="KQT239" s="494"/>
      <c r="KQU239" s="494"/>
      <c r="KQV239" s="494"/>
      <c r="KQW239" s="494"/>
      <c r="KQX239" s="494"/>
      <c r="KQY239" s="494"/>
      <c r="KQZ239" s="494"/>
      <c r="KRA239" s="494"/>
      <c r="KRB239" s="494"/>
      <c r="KRC239" s="494"/>
      <c r="KRD239" s="494"/>
      <c r="KRE239" s="494"/>
      <c r="KRF239" s="494"/>
      <c r="KRG239" s="494"/>
      <c r="KRH239" s="494"/>
      <c r="KRI239" s="494"/>
      <c r="KRJ239" s="494"/>
      <c r="KRK239" s="494"/>
      <c r="KRL239" s="494"/>
      <c r="KRM239" s="494"/>
      <c r="KRN239" s="494"/>
      <c r="KRO239" s="494"/>
      <c r="KRP239" s="494"/>
      <c r="KRQ239" s="494"/>
      <c r="KRR239" s="494"/>
      <c r="KRS239" s="494"/>
      <c r="KRT239" s="494"/>
      <c r="KRU239" s="494"/>
      <c r="KRV239" s="494"/>
      <c r="KRW239" s="494"/>
      <c r="KRX239" s="494"/>
      <c r="KRY239" s="494"/>
      <c r="KRZ239" s="494"/>
      <c r="KSA239" s="494"/>
      <c r="KSB239" s="494"/>
      <c r="KSC239" s="494"/>
      <c r="KSD239" s="494"/>
      <c r="KSE239" s="494"/>
      <c r="KSF239" s="494"/>
      <c r="KSG239" s="494"/>
      <c r="KSH239" s="494"/>
      <c r="KSI239" s="494"/>
      <c r="KSJ239" s="494"/>
      <c r="KSK239" s="494"/>
      <c r="KSL239" s="494"/>
      <c r="KSM239" s="494"/>
      <c r="KSN239" s="494"/>
      <c r="KSO239" s="494"/>
      <c r="KSP239" s="494"/>
      <c r="KSQ239" s="494"/>
      <c r="KSR239" s="494"/>
      <c r="KSS239" s="494"/>
      <c r="KST239" s="494"/>
      <c r="KSU239" s="494"/>
      <c r="KSV239" s="494"/>
      <c r="KSW239" s="494"/>
      <c r="KSX239" s="494"/>
      <c r="KSY239" s="494"/>
      <c r="KSZ239" s="494"/>
      <c r="KTA239" s="494"/>
      <c r="KTB239" s="494"/>
      <c r="KTC239" s="494"/>
      <c r="KTD239" s="494"/>
      <c r="KTE239" s="494"/>
      <c r="KTF239" s="494"/>
      <c r="KTG239" s="494"/>
      <c r="KTH239" s="494"/>
      <c r="KTI239" s="494"/>
      <c r="KTJ239" s="494"/>
      <c r="KTK239" s="494"/>
      <c r="KTL239" s="494"/>
      <c r="KTM239" s="494"/>
      <c r="KTN239" s="494"/>
      <c r="KTO239" s="494"/>
      <c r="KTP239" s="494"/>
      <c r="KTQ239" s="494"/>
      <c r="KTR239" s="494"/>
      <c r="KTS239" s="494"/>
      <c r="KTT239" s="494"/>
      <c r="KTU239" s="494"/>
      <c r="KTV239" s="494"/>
      <c r="KTW239" s="494"/>
      <c r="KTX239" s="494"/>
      <c r="KTY239" s="494"/>
      <c r="KTZ239" s="494"/>
      <c r="KUA239" s="494"/>
      <c r="KUB239" s="494"/>
      <c r="KUC239" s="494"/>
      <c r="KUD239" s="494"/>
      <c r="KUE239" s="494"/>
      <c r="KUF239" s="494"/>
      <c r="KUG239" s="494"/>
      <c r="KUH239" s="494"/>
      <c r="KUI239" s="494"/>
      <c r="KUJ239" s="494"/>
      <c r="KUK239" s="494"/>
      <c r="KUL239" s="494"/>
      <c r="KUM239" s="494"/>
      <c r="KUN239" s="494"/>
      <c r="KUO239" s="494"/>
      <c r="KUP239" s="494"/>
      <c r="KUQ239" s="494"/>
      <c r="KUR239" s="494"/>
      <c r="KUS239" s="494"/>
      <c r="KUT239" s="494"/>
      <c r="KUU239" s="494"/>
      <c r="KUV239" s="494"/>
      <c r="KUW239" s="494"/>
      <c r="KUX239" s="494"/>
      <c r="KUY239" s="494"/>
      <c r="KUZ239" s="494"/>
      <c r="KVA239" s="494"/>
      <c r="KVB239" s="494"/>
      <c r="KVC239" s="494"/>
      <c r="KVD239" s="494"/>
      <c r="KVE239" s="494"/>
      <c r="KVF239" s="494"/>
      <c r="KVG239" s="494"/>
      <c r="KVH239" s="494"/>
      <c r="KVI239" s="494"/>
      <c r="KVJ239" s="494"/>
      <c r="KVK239" s="494"/>
      <c r="KVL239" s="494"/>
      <c r="KVM239" s="494"/>
      <c r="KVN239" s="494"/>
      <c r="KVO239" s="494"/>
      <c r="KVP239" s="494"/>
      <c r="KVQ239" s="494"/>
      <c r="KVR239" s="494"/>
      <c r="KVS239" s="494"/>
      <c r="KVT239" s="494"/>
      <c r="KVU239" s="494"/>
      <c r="KVV239" s="494"/>
      <c r="KVW239" s="494"/>
      <c r="KVX239" s="494"/>
      <c r="KVY239" s="494"/>
      <c r="KVZ239" s="494"/>
      <c r="KWA239" s="494"/>
      <c r="KWB239" s="494"/>
      <c r="KWC239" s="494"/>
      <c r="KWD239" s="494"/>
      <c r="KWE239" s="494"/>
      <c r="KWF239" s="494"/>
      <c r="KWG239" s="494"/>
      <c r="KWH239" s="494"/>
      <c r="KWI239" s="494"/>
      <c r="KWJ239" s="494"/>
      <c r="KWK239" s="494"/>
      <c r="KWL239" s="494"/>
      <c r="KWM239" s="494"/>
      <c r="KWN239" s="494"/>
      <c r="KWO239" s="494"/>
      <c r="KWP239" s="494"/>
      <c r="KWQ239" s="494"/>
      <c r="KWR239" s="494"/>
      <c r="KWS239" s="494"/>
      <c r="KWT239" s="494"/>
      <c r="KWU239" s="494"/>
      <c r="KWV239" s="494"/>
      <c r="KWW239" s="494"/>
      <c r="KWX239" s="494"/>
      <c r="KWY239" s="494"/>
      <c r="KWZ239" s="494"/>
      <c r="KXA239" s="494"/>
      <c r="KXB239" s="494"/>
      <c r="KXC239" s="494"/>
      <c r="KXD239" s="494"/>
      <c r="KXE239" s="494"/>
      <c r="KXF239" s="494"/>
      <c r="KXG239" s="494"/>
      <c r="KXH239" s="494"/>
      <c r="KXI239" s="494"/>
      <c r="KXJ239" s="494"/>
      <c r="KXK239" s="494"/>
      <c r="KXL239" s="494"/>
      <c r="KXM239" s="494"/>
      <c r="KXN239" s="494"/>
      <c r="KXO239" s="494"/>
      <c r="KXP239" s="494"/>
      <c r="KXQ239" s="494"/>
      <c r="KXR239" s="494"/>
      <c r="KXS239" s="494"/>
      <c r="KXT239" s="494"/>
      <c r="KXU239" s="494"/>
      <c r="KXV239" s="494"/>
      <c r="KXW239" s="494"/>
      <c r="KXX239" s="494"/>
      <c r="KXY239" s="494"/>
      <c r="KXZ239" s="494"/>
      <c r="KYA239" s="494"/>
      <c r="KYB239" s="494"/>
      <c r="KYC239" s="494"/>
      <c r="KYD239" s="494"/>
      <c r="KYE239" s="494"/>
      <c r="KYF239" s="494"/>
      <c r="KYG239" s="494"/>
      <c r="KYH239" s="494"/>
      <c r="KYI239" s="494"/>
      <c r="KYJ239" s="494"/>
      <c r="KYK239" s="494"/>
      <c r="KYL239" s="494"/>
      <c r="KYM239" s="494"/>
      <c r="KYN239" s="494"/>
      <c r="KYO239" s="494"/>
      <c r="KYP239" s="494"/>
      <c r="KYQ239" s="494"/>
      <c r="KYR239" s="494"/>
      <c r="KYS239" s="494"/>
      <c r="KYT239" s="494"/>
      <c r="KYU239" s="494"/>
      <c r="KYV239" s="494"/>
      <c r="KYW239" s="494"/>
      <c r="KYX239" s="494"/>
      <c r="KYY239" s="494"/>
      <c r="KYZ239" s="494"/>
      <c r="KZA239" s="494"/>
      <c r="KZB239" s="494"/>
      <c r="KZC239" s="494"/>
      <c r="KZD239" s="494"/>
      <c r="KZE239" s="494"/>
      <c r="KZF239" s="494"/>
      <c r="KZG239" s="494"/>
      <c r="KZH239" s="494"/>
      <c r="KZI239" s="494"/>
      <c r="KZJ239" s="494"/>
      <c r="KZK239" s="494"/>
      <c r="KZL239" s="494"/>
      <c r="KZM239" s="494"/>
      <c r="KZN239" s="494"/>
      <c r="KZO239" s="494"/>
      <c r="KZP239" s="494"/>
      <c r="KZQ239" s="494"/>
      <c r="KZR239" s="494"/>
      <c r="KZS239" s="494"/>
      <c r="KZT239" s="494"/>
      <c r="KZU239" s="494"/>
      <c r="KZV239" s="494"/>
      <c r="KZW239" s="494"/>
      <c r="KZX239" s="494"/>
      <c r="KZY239" s="494"/>
      <c r="KZZ239" s="494"/>
      <c r="LAA239" s="494"/>
      <c r="LAB239" s="494"/>
      <c r="LAC239" s="494"/>
      <c r="LAD239" s="494"/>
      <c r="LAE239" s="494"/>
      <c r="LAF239" s="494"/>
      <c r="LAG239" s="494"/>
      <c r="LAH239" s="494"/>
      <c r="LAI239" s="494"/>
      <c r="LAJ239" s="494"/>
      <c r="LAK239" s="494"/>
      <c r="LAL239" s="494"/>
      <c r="LAM239" s="494"/>
      <c r="LAN239" s="494"/>
      <c r="LAO239" s="494"/>
      <c r="LAP239" s="494"/>
      <c r="LAQ239" s="494"/>
      <c r="LAR239" s="494"/>
      <c r="LAS239" s="494"/>
      <c r="LAT239" s="494"/>
      <c r="LAU239" s="494"/>
      <c r="LAV239" s="494"/>
      <c r="LAW239" s="494"/>
      <c r="LAX239" s="494"/>
      <c r="LAY239" s="494"/>
      <c r="LAZ239" s="494"/>
      <c r="LBA239" s="494"/>
      <c r="LBB239" s="494"/>
      <c r="LBC239" s="494"/>
      <c r="LBD239" s="494"/>
      <c r="LBE239" s="494"/>
      <c r="LBF239" s="494"/>
      <c r="LBG239" s="494"/>
      <c r="LBH239" s="494"/>
      <c r="LBI239" s="494"/>
      <c r="LBJ239" s="494"/>
      <c r="LBK239" s="494"/>
      <c r="LBL239" s="494"/>
      <c r="LBM239" s="494"/>
      <c r="LBN239" s="494"/>
      <c r="LBO239" s="494"/>
      <c r="LBP239" s="494"/>
      <c r="LBQ239" s="494"/>
      <c r="LBR239" s="494"/>
      <c r="LBS239" s="494"/>
      <c r="LBT239" s="494"/>
      <c r="LBU239" s="494"/>
      <c r="LBV239" s="494"/>
      <c r="LBW239" s="494"/>
      <c r="LBX239" s="494"/>
      <c r="LBY239" s="494"/>
      <c r="LBZ239" s="494"/>
      <c r="LCA239" s="494"/>
      <c r="LCB239" s="494"/>
      <c r="LCC239" s="494"/>
      <c r="LCD239" s="494"/>
      <c r="LCE239" s="494"/>
      <c r="LCF239" s="494"/>
      <c r="LCG239" s="494"/>
      <c r="LCH239" s="494"/>
      <c r="LCI239" s="494"/>
      <c r="LCJ239" s="494"/>
      <c r="LCK239" s="494"/>
      <c r="LCL239" s="494"/>
      <c r="LCM239" s="494"/>
      <c r="LCN239" s="494"/>
      <c r="LCO239" s="494"/>
      <c r="LCP239" s="494"/>
      <c r="LCQ239" s="494"/>
      <c r="LCR239" s="494"/>
      <c r="LCS239" s="494"/>
      <c r="LCT239" s="494"/>
      <c r="LCU239" s="494"/>
      <c r="LCV239" s="494"/>
      <c r="LCW239" s="494"/>
      <c r="LCX239" s="494"/>
      <c r="LCY239" s="494"/>
      <c r="LCZ239" s="494"/>
      <c r="LDA239" s="494"/>
      <c r="LDB239" s="494"/>
      <c r="LDC239" s="494"/>
      <c r="LDD239" s="494"/>
      <c r="LDE239" s="494"/>
      <c r="LDF239" s="494"/>
      <c r="LDG239" s="494"/>
      <c r="LDH239" s="494"/>
      <c r="LDI239" s="494"/>
      <c r="LDJ239" s="494"/>
      <c r="LDK239" s="494"/>
      <c r="LDL239" s="494"/>
      <c r="LDM239" s="494"/>
      <c r="LDN239" s="494"/>
      <c r="LDO239" s="494"/>
      <c r="LDP239" s="494"/>
      <c r="LDQ239" s="494"/>
      <c r="LDR239" s="494"/>
      <c r="LDS239" s="494"/>
      <c r="LDT239" s="494"/>
      <c r="LDU239" s="494"/>
      <c r="LDV239" s="494"/>
      <c r="LDW239" s="494"/>
      <c r="LDX239" s="494"/>
      <c r="LDY239" s="494"/>
      <c r="LDZ239" s="494"/>
      <c r="LEA239" s="494"/>
      <c r="LEB239" s="494"/>
      <c r="LEC239" s="494"/>
      <c r="LED239" s="494"/>
      <c r="LEE239" s="494"/>
      <c r="LEF239" s="494"/>
      <c r="LEG239" s="494"/>
      <c r="LEH239" s="494"/>
      <c r="LEI239" s="494"/>
      <c r="LEJ239" s="494"/>
      <c r="LEK239" s="494"/>
      <c r="LEL239" s="494"/>
      <c r="LEM239" s="494"/>
      <c r="LEN239" s="494"/>
      <c r="LEO239" s="494"/>
      <c r="LEP239" s="494"/>
      <c r="LEQ239" s="494"/>
      <c r="LER239" s="494"/>
      <c r="LES239" s="494"/>
      <c r="LET239" s="494"/>
      <c r="LEU239" s="494"/>
      <c r="LEV239" s="494"/>
      <c r="LEW239" s="494"/>
      <c r="LEX239" s="494"/>
      <c r="LEY239" s="494"/>
      <c r="LEZ239" s="494"/>
      <c r="LFA239" s="494"/>
      <c r="LFB239" s="494"/>
      <c r="LFC239" s="494"/>
      <c r="LFD239" s="494"/>
      <c r="LFE239" s="494"/>
      <c r="LFF239" s="494"/>
      <c r="LFG239" s="494"/>
      <c r="LFH239" s="494"/>
      <c r="LFI239" s="494"/>
      <c r="LFJ239" s="494"/>
      <c r="LFK239" s="494"/>
      <c r="LFL239" s="494"/>
      <c r="LFM239" s="494"/>
      <c r="LFN239" s="494"/>
      <c r="LFO239" s="494"/>
      <c r="LFP239" s="494"/>
      <c r="LFQ239" s="494"/>
      <c r="LFR239" s="494"/>
      <c r="LFS239" s="494"/>
      <c r="LFT239" s="494"/>
      <c r="LFU239" s="494"/>
      <c r="LFV239" s="494"/>
      <c r="LFW239" s="494"/>
      <c r="LFX239" s="494"/>
      <c r="LFY239" s="494"/>
      <c r="LFZ239" s="494"/>
      <c r="LGA239" s="494"/>
      <c r="LGB239" s="494"/>
      <c r="LGC239" s="494"/>
      <c r="LGD239" s="494"/>
      <c r="LGE239" s="494"/>
      <c r="LGF239" s="494"/>
      <c r="LGG239" s="494"/>
      <c r="LGH239" s="494"/>
      <c r="LGI239" s="494"/>
      <c r="LGJ239" s="494"/>
      <c r="LGK239" s="494"/>
      <c r="LGL239" s="494"/>
      <c r="LGM239" s="494"/>
      <c r="LGN239" s="494"/>
      <c r="LGO239" s="494"/>
      <c r="LGP239" s="494"/>
      <c r="LGQ239" s="494"/>
      <c r="LGR239" s="494"/>
      <c r="LGS239" s="494"/>
      <c r="LGT239" s="494"/>
      <c r="LGU239" s="494"/>
      <c r="LGV239" s="494"/>
      <c r="LGW239" s="494"/>
      <c r="LGX239" s="494"/>
      <c r="LGY239" s="494"/>
      <c r="LGZ239" s="494"/>
      <c r="LHA239" s="494"/>
      <c r="LHB239" s="494"/>
      <c r="LHC239" s="494"/>
      <c r="LHD239" s="494"/>
      <c r="LHE239" s="494"/>
      <c r="LHF239" s="494"/>
      <c r="LHG239" s="494"/>
      <c r="LHH239" s="494"/>
      <c r="LHI239" s="494"/>
      <c r="LHJ239" s="494"/>
      <c r="LHK239" s="494"/>
      <c r="LHL239" s="494"/>
      <c r="LHM239" s="494"/>
      <c r="LHN239" s="494"/>
      <c r="LHO239" s="494"/>
      <c r="LHP239" s="494"/>
      <c r="LHQ239" s="494"/>
      <c r="LHR239" s="494"/>
      <c r="LHS239" s="494"/>
      <c r="LHT239" s="494"/>
      <c r="LHU239" s="494"/>
      <c r="LHV239" s="494"/>
      <c r="LHW239" s="494"/>
      <c r="LHX239" s="494"/>
      <c r="LHY239" s="494"/>
      <c r="LHZ239" s="494"/>
      <c r="LIA239" s="494"/>
      <c r="LIB239" s="494"/>
      <c r="LIC239" s="494"/>
      <c r="LID239" s="494"/>
      <c r="LIE239" s="494"/>
      <c r="LIF239" s="494"/>
      <c r="LIG239" s="494"/>
      <c r="LIH239" s="494"/>
      <c r="LII239" s="494"/>
      <c r="LIJ239" s="494"/>
      <c r="LIK239" s="494"/>
      <c r="LIL239" s="494"/>
      <c r="LIM239" s="494"/>
      <c r="LIN239" s="494"/>
      <c r="LIO239" s="494"/>
      <c r="LIP239" s="494"/>
      <c r="LIQ239" s="494"/>
      <c r="LIR239" s="494"/>
      <c r="LIS239" s="494"/>
      <c r="LIT239" s="494"/>
      <c r="LIU239" s="494"/>
      <c r="LIV239" s="494"/>
      <c r="LIW239" s="494"/>
      <c r="LIX239" s="494"/>
      <c r="LIY239" s="494"/>
      <c r="LIZ239" s="494"/>
      <c r="LJA239" s="494"/>
      <c r="LJB239" s="494"/>
      <c r="LJC239" s="494"/>
      <c r="LJD239" s="494"/>
      <c r="LJE239" s="494"/>
      <c r="LJF239" s="494"/>
      <c r="LJG239" s="494"/>
      <c r="LJH239" s="494"/>
      <c r="LJI239" s="494"/>
      <c r="LJJ239" s="494"/>
      <c r="LJK239" s="494"/>
      <c r="LJL239" s="494"/>
      <c r="LJM239" s="494"/>
      <c r="LJN239" s="494"/>
      <c r="LJO239" s="494"/>
      <c r="LJP239" s="494"/>
      <c r="LJQ239" s="494"/>
      <c r="LJR239" s="494"/>
      <c r="LJS239" s="494"/>
      <c r="LJT239" s="494"/>
      <c r="LJU239" s="494"/>
      <c r="LJV239" s="494"/>
      <c r="LJW239" s="494"/>
      <c r="LJX239" s="494"/>
      <c r="LJY239" s="494"/>
      <c r="LJZ239" s="494"/>
      <c r="LKA239" s="494"/>
      <c r="LKB239" s="494"/>
      <c r="LKC239" s="494"/>
      <c r="LKD239" s="494"/>
      <c r="LKE239" s="494"/>
      <c r="LKF239" s="494"/>
      <c r="LKG239" s="494"/>
      <c r="LKH239" s="494"/>
      <c r="LKI239" s="494"/>
      <c r="LKJ239" s="494"/>
      <c r="LKK239" s="494"/>
      <c r="LKL239" s="494"/>
      <c r="LKM239" s="494"/>
      <c r="LKN239" s="494"/>
      <c r="LKO239" s="494"/>
      <c r="LKP239" s="494"/>
      <c r="LKQ239" s="494"/>
      <c r="LKR239" s="494"/>
      <c r="LKS239" s="494"/>
      <c r="LKT239" s="494"/>
      <c r="LKU239" s="494"/>
      <c r="LKV239" s="494"/>
      <c r="LKW239" s="494"/>
      <c r="LKX239" s="494"/>
      <c r="LKY239" s="494"/>
      <c r="LKZ239" s="494"/>
      <c r="LLA239" s="494"/>
      <c r="LLB239" s="494"/>
      <c r="LLC239" s="494"/>
      <c r="LLD239" s="494"/>
      <c r="LLE239" s="494"/>
      <c r="LLF239" s="494"/>
      <c r="LLG239" s="494"/>
      <c r="LLH239" s="494"/>
      <c r="LLI239" s="494"/>
      <c r="LLJ239" s="494"/>
      <c r="LLK239" s="494"/>
      <c r="LLL239" s="494"/>
      <c r="LLM239" s="494"/>
      <c r="LLN239" s="494"/>
      <c r="LLO239" s="494"/>
      <c r="LLP239" s="494"/>
      <c r="LLQ239" s="494"/>
      <c r="LLR239" s="494"/>
      <c r="LLS239" s="494"/>
      <c r="LLT239" s="494"/>
      <c r="LLU239" s="494"/>
      <c r="LLV239" s="494"/>
      <c r="LLW239" s="494"/>
      <c r="LLX239" s="494"/>
      <c r="LLY239" s="494"/>
      <c r="LLZ239" s="494"/>
      <c r="LMA239" s="494"/>
      <c r="LMB239" s="494"/>
      <c r="LMC239" s="494"/>
      <c r="LMD239" s="494"/>
      <c r="LME239" s="494"/>
      <c r="LMF239" s="494"/>
      <c r="LMG239" s="494"/>
      <c r="LMH239" s="494"/>
      <c r="LMI239" s="494"/>
      <c r="LMJ239" s="494"/>
      <c r="LMK239" s="494"/>
      <c r="LML239" s="494"/>
      <c r="LMM239" s="494"/>
      <c r="LMN239" s="494"/>
      <c r="LMO239" s="494"/>
      <c r="LMP239" s="494"/>
      <c r="LMQ239" s="494"/>
      <c r="LMR239" s="494"/>
      <c r="LMS239" s="494"/>
      <c r="LMT239" s="494"/>
      <c r="LMU239" s="494"/>
      <c r="LMV239" s="494"/>
      <c r="LMW239" s="494"/>
      <c r="LMX239" s="494"/>
      <c r="LMY239" s="494"/>
      <c r="LMZ239" s="494"/>
      <c r="LNA239" s="494"/>
      <c r="LNB239" s="494"/>
      <c r="LNC239" s="494"/>
      <c r="LND239" s="494"/>
      <c r="LNE239" s="494"/>
      <c r="LNF239" s="494"/>
      <c r="LNG239" s="494"/>
      <c r="LNH239" s="494"/>
      <c r="LNI239" s="494"/>
      <c r="LNJ239" s="494"/>
      <c r="LNK239" s="494"/>
      <c r="LNL239" s="494"/>
      <c r="LNM239" s="494"/>
      <c r="LNN239" s="494"/>
      <c r="LNO239" s="494"/>
      <c r="LNP239" s="494"/>
      <c r="LNQ239" s="494"/>
      <c r="LNR239" s="494"/>
      <c r="LNS239" s="494"/>
      <c r="LNT239" s="494"/>
      <c r="LNU239" s="494"/>
      <c r="LNV239" s="494"/>
      <c r="LNW239" s="494"/>
      <c r="LNX239" s="494"/>
      <c r="LNY239" s="494"/>
      <c r="LNZ239" s="494"/>
      <c r="LOA239" s="494"/>
      <c r="LOB239" s="494"/>
      <c r="LOC239" s="494"/>
      <c r="LOD239" s="494"/>
      <c r="LOE239" s="494"/>
      <c r="LOF239" s="494"/>
      <c r="LOG239" s="494"/>
      <c r="LOH239" s="494"/>
      <c r="LOI239" s="494"/>
      <c r="LOJ239" s="494"/>
      <c r="LOK239" s="494"/>
      <c r="LOL239" s="494"/>
      <c r="LOM239" s="494"/>
      <c r="LON239" s="494"/>
      <c r="LOO239" s="494"/>
      <c r="LOP239" s="494"/>
      <c r="LOQ239" s="494"/>
      <c r="LOR239" s="494"/>
      <c r="LOS239" s="494"/>
      <c r="LOT239" s="494"/>
      <c r="LOU239" s="494"/>
      <c r="LOV239" s="494"/>
      <c r="LOW239" s="494"/>
      <c r="LOX239" s="494"/>
      <c r="LOY239" s="494"/>
      <c r="LOZ239" s="494"/>
      <c r="LPA239" s="494"/>
      <c r="LPB239" s="494"/>
      <c r="LPC239" s="494"/>
      <c r="LPD239" s="494"/>
      <c r="LPE239" s="494"/>
      <c r="LPF239" s="494"/>
      <c r="LPG239" s="494"/>
      <c r="LPH239" s="494"/>
      <c r="LPI239" s="494"/>
      <c r="LPJ239" s="494"/>
      <c r="LPK239" s="494"/>
      <c r="LPL239" s="494"/>
      <c r="LPM239" s="494"/>
      <c r="LPN239" s="494"/>
      <c r="LPO239" s="494"/>
      <c r="LPP239" s="494"/>
      <c r="LPQ239" s="494"/>
      <c r="LPR239" s="494"/>
      <c r="LPS239" s="494"/>
      <c r="LPT239" s="494"/>
      <c r="LPU239" s="494"/>
      <c r="LPV239" s="494"/>
      <c r="LPW239" s="494"/>
      <c r="LPX239" s="494"/>
      <c r="LPY239" s="494"/>
      <c r="LPZ239" s="494"/>
      <c r="LQA239" s="494"/>
      <c r="LQB239" s="494"/>
      <c r="LQC239" s="494"/>
      <c r="LQD239" s="494"/>
      <c r="LQE239" s="494"/>
      <c r="LQF239" s="494"/>
      <c r="LQG239" s="494"/>
      <c r="LQH239" s="494"/>
      <c r="LQI239" s="494"/>
      <c r="LQJ239" s="494"/>
      <c r="LQK239" s="494"/>
      <c r="LQL239" s="494"/>
      <c r="LQM239" s="494"/>
      <c r="LQN239" s="494"/>
      <c r="LQO239" s="494"/>
      <c r="LQP239" s="494"/>
      <c r="LQQ239" s="494"/>
      <c r="LQR239" s="494"/>
      <c r="LQS239" s="494"/>
      <c r="LQT239" s="494"/>
      <c r="LQU239" s="494"/>
      <c r="LQV239" s="494"/>
      <c r="LQW239" s="494"/>
      <c r="LQX239" s="494"/>
      <c r="LQY239" s="494"/>
      <c r="LQZ239" s="494"/>
      <c r="LRA239" s="494"/>
      <c r="LRB239" s="494"/>
      <c r="LRC239" s="494"/>
      <c r="LRD239" s="494"/>
      <c r="LRE239" s="494"/>
      <c r="LRF239" s="494"/>
      <c r="LRG239" s="494"/>
      <c r="LRH239" s="494"/>
      <c r="LRI239" s="494"/>
      <c r="LRJ239" s="494"/>
      <c r="LRK239" s="494"/>
      <c r="LRL239" s="494"/>
      <c r="LRM239" s="494"/>
      <c r="LRN239" s="494"/>
      <c r="LRO239" s="494"/>
      <c r="LRP239" s="494"/>
      <c r="LRQ239" s="494"/>
      <c r="LRR239" s="494"/>
      <c r="LRS239" s="494"/>
      <c r="LRT239" s="494"/>
      <c r="LRU239" s="494"/>
      <c r="LRV239" s="494"/>
      <c r="LRW239" s="494"/>
      <c r="LRX239" s="494"/>
      <c r="LRY239" s="494"/>
      <c r="LRZ239" s="494"/>
      <c r="LSA239" s="494"/>
      <c r="LSB239" s="494"/>
      <c r="LSC239" s="494"/>
      <c r="LSD239" s="494"/>
      <c r="LSE239" s="494"/>
      <c r="LSF239" s="494"/>
      <c r="LSG239" s="494"/>
      <c r="LSH239" s="494"/>
      <c r="LSI239" s="494"/>
      <c r="LSJ239" s="494"/>
      <c r="LSK239" s="494"/>
      <c r="LSL239" s="494"/>
      <c r="LSM239" s="494"/>
      <c r="LSN239" s="494"/>
      <c r="LSO239" s="494"/>
      <c r="LSP239" s="494"/>
      <c r="LSQ239" s="494"/>
      <c r="LSR239" s="494"/>
      <c r="LSS239" s="494"/>
      <c r="LST239" s="494"/>
      <c r="LSU239" s="494"/>
      <c r="LSV239" s="494"/>
      <c r="LSW239" s="494"/>
      <c r="LSX239" s="494"/>
      <c r="LSY239" s="494"/>
      <c r="LSZ239" s="494"/>
      <c r="LTA239" s="494"/>
      <c r="LTB239" s="494"/>
      <c r="LTC239" s="494"/>
      <c r="LTD239" s="494"/>
      <c r="LTE239" s="494"/>
      <c r="LTF239" s="494"/>
      <c r="LTG239" s="494"/>
      <c r="LTH239" s="494"/>
      <c r="LTI239" s="494"/>
      <c r="LTJ239" s="494"/>
      <c r="LTK239" s="494"/>
      <c r="LTL239" s="494"/>
      <c r="LTM239" s="494"/>
      <c r="LTN239" s="494"/>
      <c r="LTO239" s="494"/>
      <c r="LTP239" s="494"/>
      <c r="LTQ239" s="494"/>
      <c r="LTR239" s="494"/>
      <c r="LTS239" s="494"/>
      <c r="LTT239" s="494"/>
      <c r="LTU239" s="494"/>
      <c r="LTV239" s="494"/>
      <c r="LTW239" s="494"/>
      <c r="LTX239" s="494"/>
      <c r="LTY239" s="494"/>
      <c r="LTZ239" s="494"/>
      <c r="LUA239" s="494"/>
      <c r="LUB239" s="494"/>
      <c r="LUC239" s="494"/>
      <c r="LUD239" s="494"/>
      <c r="LUE239" s="494"/>
      <c r="LUF239" s="494"/>
      <c r="LUG239" s="494"/>
      <c r="LUH239" s="494"/>
      <c r="LUI239" s="494"/>
      <c r="LUJ239" s="494"/>
      <c r="LUK239" s="494"/>
      <c r="LUL239" s="494"/>
      <c r="LUM239" s="494"/>
      <c r="LUN239" s="494"/>
      <c r="LUO239" s="494"/>
      <c r="LUP239" s="494"/>
      <c r="LUQ239" s="494"/>
      <c r="LUR239" s="494"/>
      <c r="LUS239" s="494"/>
      <c r="LUT239" s="494"/>
      <c r="LUU239" s="494"/>
      <c r="LUV239" s="494"/>
      <c r="LUW239" s="494"/>
      <c r="LUX239" s="494"/>
      <c r="LUY239" s="494"/>
      <c r="LUZ239" s="494"/>
      <c r="LVA239" s="494"/>
      <c r="LVB239" s="494"/>
      <c r="LVC239" s="494"/>
      <c r="LVD239" s="494"/>
      <c r="LVE239" s="494"/>
      <c r="LVF239" s="494"/>
      <c r="LVG239" s="494"/>
      <c r="LVH239" s="494"/>
      <c r="LVI239" s="494"/>
      <c r="LVJ239" s="494"/>
      <c r="LVK239" s="494"/>
      <c r="LVL239" s="494"/>
      <c r="LVM239" s="494"/>
      <c r="LVN239" s="494"/>
      <c r="LVO239" s="494"/>
      <c r="LVP239" s="494"/>
      <c r="LVQ239" s="494"/>
      <c r="LVR239" s="494"/>
      <c r="LVS239" s="494"/>
      <c r="LVT239" s="494"/>
      <c r="LVU239" s="494"/>
      <c r="LVV239" s="494"/>
      <c r="LVW239" s="494"/>
      <c r="LVX239" s="494"/>
      <c r="LVY239" s="494"/>
      <c r="LVZ239" s="494"/>
      <c r="LWA239" s="494"/>
      <c r="LWB239" s="494"/>
      <c r="LWC239" s="494"/>
      <c r="LWD239" s="494"/>
      <c r="LWE239" s="494"/>
      <c r="LWF239" s="494"/>
      <c r="LWG239" s="494"/>
      <c r="LWH239" s="494"/>
      <c r="LWI239" s="494"/>
      <c r="LWJ239" s="494"/>
      <c r="LWK239" s="494"/>
      <c r="LWL239" s="494"/>
      <c r="LWM239" s="494"/>
      <c r="LWN239" s="494"/>
      <c r="LWO239" s="494"/>
      <c r="LWP239" s="494"/>
      <c r="LWQ239" s="494"/>
      <c r="LWR239" s="494"/>
      <c r="LWS239" s="494"/>
      <c r="LWT239" s="494"/>
      <c r="LWU239" s="494"/>
      <c r="LWV239" s="494"/>
      <c r="LWW239" s="494"/>
      <c r="LWX239" s="494"/>
      <c r="LWY239" s="494"/>
      <c r="LWZ239" s="494"/>
      <c r="LXA239" s="494"/>
      <c r="LXB239" s="494"/>
      <c r="LXC239" s="494"/>
      <c r="LXD239" s="494"/>
      <c r="LXE239" s="494"/>
      <c r="LXF239" s="494"/>
      <c r="LXG239" s="494"/>
      <c r="LXH239" s="494"/>
      <c r="LXI239" s="494"/>
      <c r="LXJ239" s="494"/>
      <c r="LXK239" s="494"/>
      <c r="LXL239" s="494"/>
      <c r="LXM239" s="494"/>
      <c r="LXN239" s="494"/>
      <c r="LXO239" s="494"/>
      <c r="LXP239" s="494"/>
      <c r="LXQ239" s="494"/>
      <c r="LXR239" s="494"/>
      <c r="LXS239" s="494"/>
      <c r="LXT239" s="494"/>
      <c r="LXU239" s="494"/>
      <c r="LXV239" s="494"/>
      <c r="LXW239" s="494"/>
      <c r="LXX239" s="494"/>
      <c r="LXY239" s="494"/>
      <c r="LXZ239" s="494"/>
      <c r="LYA239" s="494"/>
      <c r="LYB239" s="494"/>
      <c r="LYC239" s="494"/>
      <c r="LYD239" s="494"/>
      <c r="LYE239" s="494"/>
      <c r="LYF239" s="494"/>
      <c r="LYG239" s="494"/>
      <c r="LYH239" s="494"/>
      <c r="LYI239" s="494"/>
      <c r="LYJ239" s="494"/>
      <c r="LYK239" s="494"/>
      <c r="LYL239" s="494"/>
      <c r="LYM239" s="494"/>
      <c r="LYN239" s="494"/>
      <c r="LYO239" s="494"/>
      <c r="LYP239" s="494"/>
      <c r="LYQ239" s="494"/>
      <c r="LYR239" s="494"/>
      <c r="LYS239" s="494"/>
      <c r="LYT239" s="494"/>
      <c r="LYU239" s="494"/>
      <c r="LYV239" s="494"/>
      <c r="LYW239" s="494"/>
      <c r="LYX239" s="494"/>
      <c r="LYY239" s="494"/>
      <c r="LYZ239" s="494"/>
      <c r="LZA239" s="494"/>
      <c r="LZB239" s="494"/>
      <c r="LZC239" s="494"/>
      <c r="LZD239" s="494"/>
      <c r="LZE239" s="494"/>
      <c r="LZF239" s="494"/>
      <c r="LZG239" s="494"/>
      <c r="LZH239" s="494"/>
      <c r="LZI239" s="494"/>
      <c r="LZJ239" s="494"/>
      <c r="LZK239" s="494"/>
      <c r="LZL239" s="494"/>
      <c r="LZM239" s="494"/>
      <c r="LZN239" s="494"/>
      <c r="LZO239" s="494"/>
      <c r="LZP239" s="494"/>
      <c r="LZQ239" s="494"/>
      <c r="LZR239" s="494"/>
      <c r="LZS239" s="494"/>
      <c r="LZT239" s="494"/>
      <c r="LZU239" s="494"/>
      <c r="LZV239" s="494"/>
      <c r="LZW239" s="494"/>
      <c r="LZX239" s="494"/>
      <c r="LZY239" s="494"/>
      <c r="LZZ239" s="494"/>
      <c r="MAA239" s="494"/>
      <c r="MAB239" s="494"/>
      <c r="MAC239" s="494"/>
      <c r="MAD239" s="494"/>
      <c r="MAE239" s="494"/>
      <c r="MAF239" s="494"/>
      <c r="MAG239" s="494"/>
      <c r="MAH239" s="494"/>
      <c r="MAI239" s="494"/>
      <c r="MAJ239" s="494"/>
      <c r="MAK239" s="494"/>
      <c r="MAL239" s="494"/>
      <c r="MAM239" s="494"/>
      <c r="MAN239" s="494"/>
      <c r="MAO239" s="494"/>
      <c r="MAP239" s="494"/>
      <c r="MAQ239" s="494"/>
      <c r="MAR239" s="494"/>
      <c r="MAS239" s="494"/>
      <c r="MAT239" s="494"/>
      <c r="MAU239" s="494"/>
      <c r="MAV239" s="494"/>
      <c r="MAW239" s="494"/>
      <c r="MAX239" s="494"/>
      <c r="MAY239" s="494"/>
      <c r="MAZ239" s="494"/>
      <c r="MBA239" s="494"/>
      <c r="MBB239" s="494"/>
      <c r="MBC239" s="494"/>
      <c r="MBD239" s="494"/>
      <c r="MBE239" s="494"/>
      <c r="MBF239" s="494"/>
      <c r="MBG239" s="494"/>
      <c r="MBH239" s="494"/>
      <c r="MBI239" s="494"/>
      <c r="MBJ239" s="494"/>
      <c r="MBK239" s="494"/>
      <c r="MBL239" s="494"/>
      <c r="MBM239" s="494"/>
      <c r="MBN239" s="494"/>
      <c r="MBO239" s="494"/>
      <c r="MBP239" s="494"/>
      <c r="MBQ239" s="494"/>
      <c r="MBR239" s="494"/>
      <c r="MBS239" s="494"/>
      <c r="MBT239" s="494"/>
      <c r="MBU239" s="494"/>
      <c r="MBV239" s="494"/>
      <c r="MBW239" s="494"/>
      <c r="MBX239" s="494"/>
      <c r="MBY239" s="494"/>
      <c r="MBZ239" s="494"/>
      <c r="MCA239" s="494"/>
      <c r="MCB239" s="494"/>
      <c r="MCC239" s="494"/>
      <c r="MCD239" s="494"/>
      <c r="MCE239" s="494"/>
      <c r="MCF239" s="494"/>
      <c r="MCG239" s="494"/>
      <c r="MCH239" s="494"/>
      <c r="MCI239" s="494"/>
      <c r="MCJ239" s="494"/>
      <c r="MCK239" s="494"/>
      <c r="MCL239" s="494"/>
      <c r="MCM239" s="494"/>
      <c r="MCN239" s="494"/>
      <c r="MCO239" s="494"/>
      <c r="MCP239" s="494"/>
      <c r="MCQ239" s="494"/>
      <c r="MCR239" s="494"/>
      <c r="MCS239" s="494"/>
      <c r="MCT239" s="494"/>
      <c r="MCU239" s="494"/>
      <c r="MCV239" s="494"/>
      <c r="MCW239" s="494"/>
      <c r="MCX239" s="494"/>
      <c r="MCY239" s="494"/>
      <c r="MCZ239" s="494"/>
      <c r="MDA239" s="494"/>
      <c r="MDB239" s="494"/>
      <c r="MDC239" s="494"/>
      <c r="MDD239" s="494"/>
      <c r="MDE239" s="494"/>
      <c r="MDF239" s="494"/>
      <c r="MDG239" s="494"/>
      <c r="MDH239" s="494"/>
      <c r="MDI239" s="494"/>
      <c r="MDJ239" s="494"/>
      <c r="MDK239" s="494"/>
      <c r="MDL239" s="494"/>
      <c r="MDM239" s="494"/>
      <c r="MDN239" s="494"/>
      <c r="MDO239" s="494"/>
      <c r="MDP239" s="494"/>
      <c r="MDQ239" s="494"/>
      <c r="MDR239" s="494"/>
      <c r="MDS239" s="494"/>
      <c r="MDT239" s="494"/>
      <c r="MDU239" s="494"/>
      <c r="MDV239" s="494"/>
      <c r="MDW239" s="494"/>
      <c r="MDX239" s="494"/>
      <c r="MDY239" s="494"/>
      <c r="MDZ239" s="494"/>
      <c r="MEA239" s="494"/>
      <c r="MEB239" s="494"/>
      <c r="MEC239" s="494"/>
      <c r="MED239" s="494"/>
      <c r="MEE239" s="494"/>
      <c r="MEF239" s="494"/>
      <c r="MEG239" s="494"/>
      <c r="MEH239" s="494"/>
      <c r="MEI239" s="494"/>
      <c r="MEJ239" s="494"/>
      <c r="MEK239" s="494"/>
      <c r="MEL239" s="494"/>
      <c r="MEM239" s="494"/>
      <c r="MEN239" s="494"/>
      <c r="MEO239" s="494"/>
      <c r="MEP239" s="494"/>
      <c r="MEQ239" s="494"/>
      <c r="MER239" s="494"/>
      <c r="MES239" s="494"/>
      <c r="MET239" s="494"/>
      <c r="MEU239" s="494"/>
      <c r="MEV239" s="494"/>
      <c r="MEW239" s="494"/>
      <c r="MEX239" s="494"/>
      <c r="MEY239" s="494"/>
      <c r="MEZ239" s="494"/>
      <c r="MFA239" s="494"/>
      <c r="MFB239" s="494"/>
      <c r="MFC239" s="494"/>
      <c r="MFD239" s="494"/>
      <c r="MFE239" s="494"/>
      <c r="MFF239" s="494"/>
      <c r="MFG239" s="494"/>
      <c r="MFH239" s="494"/>
      <c r="MFI239" s="494"/>
      <c r="MFJ239" s="494"/>
      <c r="MFK239" s="494"/>
      <c r="MFL239" s="494"/>
      <c r="MFM239" s="494"/>
      <c r="MFN239" s="494"/>
      <c r="MFO239" s="494"/>
      <c r="MFP239" s="494"/>
      <c r="MFQ239" s="494"/>
      <c r="MFR239" s="494"/>
      <c r="MFS239" s="494"/>
      <c r="MFT239" s="494"/>
      <c r="MFU239" s="494"/>
      <c r="MFV239" s="494"/>
      <c r="MFW239" s="494"/>
      <c r="MFX239" s="494"/>
      <c r="MFY239" s="494"/>
      <c r="MFZ239" s="494"/>
      <c r="MGA239" s="494"/>
      <c r="MGB239" s="494"/>
      <c r="MGC239" s="494"/>
      <c r="MGD239" s="494"/>
      <c r="MGE239" s="494"/>
      <c r="MGF239" s="494"/>
      <c r="MGG239" s="494"/>
      <c r="MGH239" s="494"/>
      <c r="MGI239" s="494"/>
      <c r="MGJ239" s="494"/>
      <c r="MGK239" s="494"/>
      <c r="MGL239" s="494"/>
      <c r="MGM239" s="494"/>
      <c r="MGN239" s="494"/>
      <c r="MGO239" s="494"/>
      <c r="MGP239" s="494"/>
      <c r="MGQ239" s="494"/>
      <c r="MGR239" s="494"/>
      <c r="MGS239" s="494"/>
      <c r="MGT239" s="494"/>
      <c r="MGU239" s="494"/>
      <c r="MGV239" s="494"/>
      <c r="MGW239" s="494"/>
      <c r="MGX239" s="494"/>
      <c r="MGY239" s="494"/>
      <c r="MGZ239" s="494"/>
      <c r="MHA239" s="494"/>
      <c r="MHB239" s="494"/>
      <c r="MHC239" s="494"/>
      <c r="MHD239" s="494"/>
      <c r="MHE239" s="494"/>
      <c r="MHF239" s="494"/>
      <c r="MHG239" s="494"/>
      <c r="MHH239" s="494"/>
      <c r="MHI239" s="494"/>
      <c r="MHJ239" s="494"/>
      <c r="MHK239" s="494"/>
      <c r="MHL239" s="494"/>
      <c r="MHM239" s="494"/>
      <c r="MHN239" s="494"/>
      <c r="MHO239" s="494"/>
      <c r="MHP239" s="494"/>
      <c r="MHQ239" s="494"/>
      <c r="MHR239" s="494"/>
      <c r="MHS239" s="494"/>
      <c r="MHT239" s="494"/>
      <c r="MHU239" s="494"/>
      <c r="MHV239" s="494"/>
      <c r="MHW239" s="494"/>
      <c r="MHX239" s="494"/>
      <c r="MHY239" s="494"/>
      <c r="MHZ239" s="494"/>
      <c r="MIA239" s="494"/>
      <c r="MIB239" s="494"/>
      <c r="MIC239" s="494"/>
      <c r="MID239" s="494"/>
      <c r="MIE239" s="494"/>
      <c r="MIF239" s="494"/>
      <c r="MIG239" s="494"/>
      <c r="MIH239" s="494"/>
      <c r="MII239" s="494"/>
      <c r="MIJ239" s="494"/>
      <c r="MIK239" s="494"/>
      <c r="MIL239" s="494"/>
      <c r="MIM239" s="494"/>
      <c r="MIN239" s="494"/>
      <c r="MIO239" s="494"/>
      <c r="MIP239" s="494"/>
      <c r="MIQ239" s="494"/>
      <c r="MIR239" s="494"/>
      <c r="MIS239" s="494"/>
      <c r="MIT239" s="494"/>
      <c r="MIU239" s="494"/>
      <c r="MIV239" s="494"/>
      <c r="MIW239" s="494"/>
      <c r="MIX239" s="494"/>
      <c r="MIY239" s="494"/>
      <c r="MIZ239" s="494"/>
      <c r="MJA239" s="494"/>
      <c r="MJB239" s="494"/>
      <c r="MJC239" s="494"/>
      <c r="MJD239" s="494"/>
      <c r="MJE239" s="494"/>
      <c r="MJF239" s="494"/>
      <c r="MJG239" s="494"/>
      <c r="MJH239" s="494"/>
      <c r="MJI239" s="494"/>
      <c r="MJJ239" s="494"/>
      <c r="MJK239" s="494"/>
      <c r="MJL239" s="494"/>
      <c r="MJM239" s="494"/>
      <c r="MJN239" s="494"/>
      <c r="MJO239" s="494"/>
      <c r="MJP239" s="494"/>
      <c r="MJQ239" s="494"/>
      <c r="MJR239" s="494"/>
      <c r="MJS239" s="494"/>
      <c r="MJT239" s="494"/>
      <c r="MJU239" s="494"/>
      <c r="MJV239" s="494"/>
      <c r="MJW239" s="494"/>
      <c r="MJX239" s="494"/>
      <c r="MJY239" s="494"/>
      <c r="MJZ239" s="494"/>
      <c r="MKA239" s="494"/>
      <c r="MKB239" s="494"/>
      <c r="MKC239" s="494"/>
      <c r="MKD239" s="494"/>
      <c r="MKE239" s="494"/>
      <c r="MKF239" s="494"/>
      <c r="MKG239" s="494"/>
      <c r="MKH239" s="494"/>
      <c r="MKI239" s="494"/>
      <c r="MKJ239" s="494"/>
      <c r="MKK239" s="494"/>
      <c r="MKL239" s="494"/>
      <c r="MKM239" s="494"/>
      <c r="MKN239" s="494"/>
      <c r="MKO239" s="494"/>
      <c r="MKP239" s="494"/>
      <c r="MKQ239" s="494"/>
      <c r="MKR239" s="494"/>
      <c r="MKS239" s="494"/>
      <c r="MKT239" s="494"/>
      <c r="MKU239" s="494"/>
      <c r="MKV239" s="494"/>
      <c r="MKW239" s="494"/>
      <c r="MKX239" s="494"/>
      <c r="MKY239" s="494"/>
      <c r="MKZ239" s="494"/>
      <c r="MLA239" s="494"/>
      <c r="MLB239" s="494"/>
      <c r="MLC239" s="494"/>
      <c r="MLD239" s="494"/>
      <c r="MLE239" s="494"/>
      <c r="MLF239" s="494"/>
      <c r="MLG239" s="494"/>
      <c r="MLH239" s="494"/>
      <c r="MLI239" s="494"/>
      <c r="MLJ239" s="494"/>
      <c r="MLK239" s="494"/>
      <c r="MLL239" s="494"/>
      <c r="MLM239" s="494"/>
      <c r="MLN239" s="494"/>
      <c r="MLO239" s="494"/>
      <c r="MLP239" s="494"/>
      <c r="MLQ239" s="494"/>
      <c r="MLR239" s="494"/>
      <c r="MLS239" s="494"/>
      <c r="MLT239" s="494"/>
      <c r="MLU239" s="494"/>
      <c r="MLV239" s="494"/>
      <c r="MLW239" s="494"/>
      <c r="MLX239" s="494"/>
      <c r="MLY239" s="494"/>
      <c r="MLZ239" s="494"/>
      <c r="MMA239" s="494"/>
      <c r="MMB239" s="494"/>
      <c r="MMC239" s="494"/>
      <c r="MMD239" s="494"/>
      <c r="MME239" s="494"/>
      <c r="MMF239" s="494"/>
      <c r="MMG239" s="494"/>
      <c r="MMH239" s="494"/>
      <c r="MMI239" s="494"/>
      <c r="MMJ239" s="494"/>
      <c r="MMK239" s="494"/>
      <c r="MML239" s="494"/>
      <c r="MMM239" s="494"/>
      <c r="MMN239" s="494"/>
      <c r="MMO239" s="494"/>
      <c r="MMP239" s="494"/>
      <c r="MMQ239" s="494"/>
      <c r="MMR239" s="494"/>
      <c r="MMS239" s="494"/>
      <c r="MMT239" s="494"/>
      <c r="MMU239" s="494"/>
      <c r="MMV239" s="494"/>
      <c r="MMW239" s="494"/>
      <c r="MMX239" s="494"/>
      <c r="MMY239" s="494"/>
      <c r="MMZ239" s="494"/>
      <c r="MNA239" s="494"/>
      <c r="MNB239" s="494"/>
      <c r="MNC239" s="494"/>
      <c r="MND239" s="494"/>
      <c r="MNE239" s="494"/>
      <c r="MNF239" s="494"/>
      <c r="MNG239" s="494"/>
      <c r="MNH239" s="494"/>
      <c r="MNI239" s="494"/>
      <c r="MNJ239" s="494"/>
      <c r="MNK239" s="494"/>
      <c r="MNL239" s="494"/>
      <c r="MNM239" s="494"/>
      <c r="MNN239" s="494"/>
      <c r="MNO239" s="494"/>
      <c r="MNP239" s="494"/>
      <c r="MNQ239" s="494"/>
      <c r="MNR239" s="494"/>
      <c r="MNS239" s="494"/>
      <c r="MNT239" s="494"/>
      <c r="MNU239" s="494"/>
      <c r="MNV239" s="494"/>
      <c r="MNW239" s="494"/>
      <c r="MNX239" s="494"/>
      <c r="MNY239" s="494"/>
      <c r="MNZ239" s="494"/>
      <c r="MOA239" s="494"/>
      <c r="MOB239" s="494"/>
      <c r="MOC239" s="494"/>
      <c r="MOD239" s="494"/>
      <c r="MOE239" s="494"/>
      <c r="MOF239" s="494"/>
      <c r="MOG239" s="494"/>
      <c r="MOH239" s="494"/>
      <c r="MOI239" s="494"/>
      <c r="MOJ239" s="494"/>
      <c r="MOK239" s="494"/>
      <c r="MOL239" s="494"/>
      <c r="MOM239" s="494"/>
      <c r="MON239" s="494"/>
      <c r="MOO239" s="494"/>
      <c r="MOP239" s="494"/>
      <c r="MOQ239" s="494"/>
      <c r="MOR239" s="494"/>
      <c r="MOS239" s="494"/>
      <c r="MOT239" s="494"/>
      <c r="MOU239" s="494"/>
      <c r="MOV239" s="494"/>
      <c r="MOW239" s="494"/>
      <c r="MOX239" s="494"/>
      <c r="MOY239" s="494"/>
      <c r="MOZ239" s="494"/>
      <c r="MPA239" s="494"/>
      <c r="MPB239" s="494"/>
      <c r="MPC239" s="494"/>
      <c r="MPD239" s="494"/>
      <c r="MPE239" s="494"/>
      <c r="MPF239" s="494"/>
      <c r="MPG239" s="494"/>
      <c r="MPH239" s="494"/>
      <c r="MPI239" s="494"/>
      <c r="MPJ239" s="494"/>
      <c r="MPK239" s="494"/>
      <c r="MPL239" s="494"/>
      <c r="MPM239" s="494"/>
      <c r="MPN239" s="494"/>
      <c r="MPO239" s="494"/>
      <c r="MPP239" s="494"/>
      <c r="MPQ239" s="494"/>
      <c r="MPR239" s="494"/>
      <c r="MPS239" s="494"/>
      <c r="MPT239" s="494"/>
      <c r="MPU239" s="494"/>
      <c r="MPV239" s="494"/>
      <c r="MPW239" s="494"/>
      <c r="MPX239" s="494"/>
      <c r="MPY239" s="494"/>
      <c r="MPZ239" s="494"/>
      <c r="MQA239" s="494"/>
      <c r="MQB239" s="494"/>
      <c r="MQC239" s="494"/>
      <c r="MQD239" s="494"/>
      <c r="MQE239" s="494"/>
      <c r="MQF239" s="494"/>
      <c r="MQG239" s="494"/>
      <c r="MQH239" s="494"/>
      <c r="MQI239" s="494"/>
      <c r="MQJ239" s="494"/>
      <c r="MQK239" s="494"/>
      <c r="MQL239" s="494"/>
      <c r="MQM239" s="494"/>
      <c r="MQN239" s="494"/>
      <c r="MQO239" s="494"/>
      <c r="MQP239" s="494"/>
      <c r="MQQ239" s="494"/>
      <c r="MQR239" s="494"/>
      <c r="MQS239" s="494"/>
      <c r="MQT239" s="494"/>
      <c r="MQU239" s="494"/>
      <c r="MQV239" s="494"/>
      <c r="MQW239" s="494"/>
      <c r="MQX239" s="494"/>
      <c r="MQY239" s="494"/>
      <c r="MQZ239" s="494"/>
      <c r="MRA239" s="494"/>
      <c r="MRB239" s="494"/>
      <c r="MRC239" s="494"/>
      <c r="MRD239" s="494"/>
      <c r="MRE239" s="494"/>
      <c r="MRF239" s="494"/>
      <c r="MRG239" s="494"/>
      <c r="MRH239" s="494"/>
      <c r="MRI239" s="494"/>
      <c r="MRJ239" s="494"/>
      <c r="MRK239" s="494"/>
      <c r="MRL239" s="494"/>
      <c r="MRM239" s="494"/>
      <c r="MRN239" s="494"/>
      <c r="MRO239" s="494"/>
      <c r="MRP239" s="494"/>
      <c r="MRQ239" s="494"/>
      <c r="MRR239" s="494"/>
      <c r="MRS239" s="494"/>
      <c r="MRT239" s="494"/>
      <c r="MRU239" s="494"/>
      <c r="MRV239" s="494"/>
      <c r="MRW239" s="494"/>
      <c r="MRX239" s="494"/>
      <c r="MRY239" s="494"/>
      <c r="MRZ239" s="494"/>
      <c r="MSA239" s="494"/>
      <c r="MSB239" s="494"/>
      <c r="MSC239" s="494"/>
      <c r="MSD239" s="494"/>
      <c r="MSE239" s="494"/>
      <c r="MSF239" s="494"/>
      <c r="MSG239" s="494"/>
      <c r="MSH239" s="494"/>
      <c r="MSI239" s="494"/>
      <c r="MSJ239" s="494"/>
      <c r="MSK239" s="494"/>
      <c r="MSL239" s="494"/>
      <c r="MSM239" s="494"/>
      <c r="MSN239" s="494"/>
      <c r="MSO239" s="494"/>
      <c r="MSP239" s="494"/>
      <c r="MSQ239" s="494"/>
      <c r="MSR239" s="494"/>
      <c r="MSS239" s="494"/>
      <c r="MST239" s="494"/>
      <c r="MSU239" s="494"/>
      <c r="MSV239" s="494"/>
      <c r="MSW239" s="494"/>
      <c r="MSX239" s="494"/>
      <c r="MSY239" s="494"/>
      <c r="MSZ239" s="494"/>
      <c r="MTA239" s="494"/>
      <c r="MTB239" s="494"/>
      <c r="MTC239" s="494"/>
      <c r="MTD239" s="494"/>
      <c r="MTE239" s="494"/>
      <c r="MTF239" s="494"/>
      <c r="MTG239" s="494"/>
      <c r="MTH239" s="494"/>
      <c r="MTI239" s="494"/>
      <c r="MTJ239" s="494"/>
      <c r="MTK239" s="494"/>
      <c r="MTL239" s="494"/>
      <c r="MTM239" s="494"/>
      <c r="MTN239" s="494"/>
      <c r="MTO239" s="494"/>
      <c r="MTP239" s="494"/>
      <c r="MTQ239" s="494"/>
      <c r="MTR239" s="494"/>
      <c r="MTS239" s="494"/>
      <c r="MTT239" s="494"/>
      <c r="MTU239" s="494"/>
      <c r="MTV239" s="494"/>
      <c r="MTW239" s="494"/>
      <c r="MTX239" s="494"/>
      <c r="MTY239" s="494"/>
      <c r="MTZ239" s="494"/>
      <c r="MUA239" s="494"/>
      <c r="MUB239" s="494"/>
      <c r="MUC239" s="494"/>
      <c r="MUD239" s="494"/>
      <c r="MUE239" s="494"/>
      <c r="MUF239" s="494"/>
      <c r="MUG239" s="494"/>
      <c r="MUH239" s="494"/>
      <c r="MUI239" s="494"/>
      <c r="MUJ239" s="494"/>
      <c r="MUK239" s="494"/>
      <c r="MUL239" s="494"/>
      <c r="MUM239" s="494"/>
      <c r="MUN239" s="494"/>
      <c r="MUO239" s="494"/>
      <c r="MUP239" s="494"/>
      <c r="MUQ239" s="494"/>
      <c r="MUR239" s="494"/>
      <c r="MUS239" s="494"/>
      <c r="MUT239" s="494"/>
      <c r="MUU239" s="494"/>
      <c r="MUV239" s="494"/>
      <c r="MUW239" s="494"/>
      <c r="MUX239" s="494"/>
      <c r="MUY239" s="494"/>
      <c r="MUZ239" s="494"/>
      <c r="MVA239" s="494"/>
      <c r="MVB239" s="494"/>
      <c r="MVC239" s="494"/>
      <c r="MVD239" s="494"/>
      <c r="MVE239" s="494"/>
      <c r="MVF239" s="494"/>
      <c r="MVG239" s="494"/>
      <c r="MVH239" s="494"/>
      <c r="MVI239" s="494"/>
      <c r="MVJ239" s="494"/>
      <c r="MVK239" s="494"/>
      <c r="MVL239" s="494"/>
      <c r="MVM239" s="494"/>
      <c r="MVN239" s="494"/>
      <c r="MVO239" s="494"/>
      <c r="MVP239" s="494"/>
      <c r="MVQ239" s="494"/>
      <c r="MVR239" s="494"/>
      <c r="MVS239" s="494"/>
      <c r="MVT239" s="494"/>
      <c r="MVU239" s="494"/>
      <c r="MVV239" s="494"/>
      <c r="MVW239" s="494"/>
      <c r="MVX239" s="494"/>
      <c r="MVY239" s="494"/>
      <c r="MVZ239" s="494"/>
      <c r="MWA239" s="494"/>
      <c r="MWB239" s="494"/>
      <c r="MWC239" s="494"/>
      <c r="MWD239" s="494"/>
      <c r="MWE239" s="494"/>
      <c r="MWF239" s="494"/>
      <c r="MWG239" s="494"/>
      <c r="MWH239" s="494"/>
      <c r="MWI239" s="494"/>
      <c r="MWJ239" s="494"/>
      <c r="MWK239" s="494"/>
      <c r="MWL239" s="494"/>
      <c r="MWM239" s="494"/>
      <c r="MWN239" s="494"/>
      <c r="MWO239" s="494"/>
      <c r="MWP239" s="494"/>
      <c r="MWQ239" s="494"/>
      <c r="MWR239" s="494"/>
      <c r="MWS239" s="494"/>
      <c r="MWT239" s="494"/>
      <c r="MWU239" s="494"/>
      <c r="MWV239" s="494"/>
      <c r="MWW239" s="494"/>
      <c r="MWX239" s="494"/>
      <c r="MWY239" s="494"/>
      <c r="MWZ239" s="494"/>
      <c r="MXA239" s="494"/>
      <c r="MXB239" s="494"/>
      <c r="MXC239" s="494"/>
      <c r="MXD239" s="494"/>
      <c r="MXE239" s="494"/>
      <c r="MXF239" s="494"/>
      <c r="MXG239" s="494"/>
      <c r="MXH239" s="494"/>
      <c r="MXI239" s="494"/>
      <c r="MXJ239" s="494"/>
      <c r="MXK239" s="494"/>
      <c r="MXL239" s="494"/>
      <c r="MXM239" s="494"/>
      <c r="MXN239" s="494"/>
      <c r="MXO239" s="494"/>
      <c r="MXP239" s="494"/>
      <c r="MXQ239" s="494"/>
      <c r="MXR239" s="494"/>
      <c r="MXS239" s="494"/>
      <c r="MXT239" s="494"/>
      <c r="MXU239" s="494"/>
      <c r="MXV239" s="494"/>
      <c r="MXW239" s="494"/>
      <c r="MXX239" s="494"/>
      <c r="MXY239" s="494"/>
      <c r="MXZ239" s="494"/>
      <c r="MYA239" s="494"/>
      <c r="MYB239" s="494"/>
      <c r="MYC239" s="494"/>
      <c r="MYD239" s="494"/>
      <c r="MYE239" s="494"/>
      <c r="MYF239" s="494"/>
      <c r="MYG239" s="494"/>
      <c r="MYH239" s="494"/>
      <c r="MYI239" s="494"/>
      <c r="MYJ239" s="494"/>
      <c r="MYK239" s="494"/>
      <c r="MYL239" s="494"/>
      <c r="MYM239" s="494"/>
      <c r="MYN239" s="494"/>
      <c r="MYO239" s="494"/>
      <c r="MYP239" s="494"/>
      <c r="MYQ239" s="494"/>
      <c r="MYR239" s="494"/>
      <c r="MYS239" s="494"/>
      <c r="MYT239" s="494"/>
      <c r="MYU239" s="494"/>
      <c r="MYV239" s="494"/>
      <c r="MYW239" s="494"/>
      <c r="MYX239" s="494"/>
      <c r="MYY239" s="494"/>
      <c r="MYZ239" s="494"/>
      <c r="MZA239" s="494"/>
      <c r="MZB239" s="494"/>
      <c r="MZC239" s="494"/>
      <c r="MZD239" s="494"/>
      <c r="MZE239" s="494"/>
      <c r="MZF239" s="494"/>
      <c r="MZG239" s="494"/>
      <c r="MZH239" s="494"/>
      <c r="MZI239" s="494"/>
      <c r="MZJ239" s="494"/>
      <c r="MZK239" s="494"/>
      <c r="MZL239" s="494"/>
      <c r="MZM239" s="494"/>
      <c r="MZN239" s="494"/>
      <c r="MZO239" s="494"/>
      <c r="MZP239" s="494"/>
      <c r="MZQ239" s="494"/>
      <c r="MZR239" s="494"/>
      <c r="MZS239" s="494"/>
      <c r="MZT239" s="494"/>
      <c r="MZU239" s="494"/>
      <c r="MZV239" s="494"/>
      <c r="MZW239" s="494"/>
      <c r="MZX239" s="494"/>
      <c r="MZY239" s="494"/>
      <c r="MZZ239" s="494"/>
      <c r="NAA239" s="494"/>
      <c r="NAB239" s="494"/>
      <c r="NAC239" s="494"/>
      <c r="NAD239" s="494"/>
      <c r="NAE239" s="494"/>
      <c r="NAF239" s="494"/>
      <c r="NAG239" s="494"/>
      <c r="NAH239" s="494"/>
      <c r="NAI239" s="494"/>
      <c r="NAJ239" s="494"/>
      <c r="NAK239" s="494"/>
      <c r="NAL239" s="494"/>
      <c r="NAM239" s="494"/>
      <c r="NAN239" s="494"/>
      <c r="NAO239" s="494"/>
      <c r="NAP239" s="494"/>
      <c r="NAQ239" s="494"/>
      <c r="NAR239" s="494"/>
      <c r="NAS239" s="494"/>
      <c r="NAT239" s="494"/>
      <c r="NAU239" s="494"/>
      <c r="NAV239" s="494"/>
      <c r="NAW239" s="494"/>
      <c r="NAX239" s="494"/>
      <c r="NAY239" s="494"/>
      <c r="NAZ239" s="494"/>
      <c r="NBA239" s="494"/>
      <c r="NBB239" s="494"/>
      <c r="NBC239" s="494"/>
      <c r="NBD239" s="494"/>
      <c r="NBE239" s="494"/>
      <c r="NBF239" s="494"/>
      <c r="NBG239" s="494"/>
      <c r="NBH239" s="494"/>
      <c r="NBI239" s="494"/>
      <c r="NBJ239" s="494"/>
      <c r="NBK239" s="494"/>
      <c r="NBL239" s="494"/>
      <c r="NBM239" s="494"/>
      <c r="NBN239" s="494"/>
      <c r="NBO239" s="494"/>
      <c r="NBP239" s="494"/>
      <c r="NBQ239" s="494"/>
      <c r="NBR239" s="494"/>
      <c r="NBS239" s="494"/>
      <c r="NBT239" s="494"/>
      <c r="NBU239" s="494"/>
      <c r="NBV239" s="494"/>
      <c r="NBW239" s="494"/>
      <c r="NBX239" s="494"/>
      <c r="NBY239" s="494"/>
      <c r="NBZ239" s="494"/>
      <c r="NCA239" s="494"/>
      <c r="NCB239" s="494"/>
      <c r="NCC239" s="494"/>
      <c r="NCD239" s="494"/>
      <c r="NCE239" s="494"/>
      <c r="NCF239" s="494"/>
      <c r="NCG239" s="494"/>
      <c r="NCH239" s="494"/>
      <c r="NCI239" s="494"/>
      <c r="NCJ239" s="494"/>
      <c r="NCK239" s="494"/>
      <c r="NCL239" s="494"/>
      <c r="NCM239" s="494"/>
      <c r="NCN239" s="494"/>
      <c r="NCO239" s="494"/>
      <c r="NCP239" s="494"/>
      <c r="NCQ239" s="494"/>
      <c r="NCR239" s="494"/>
      <c r="NCS239" s="494"/>
      <c r="NCT239" s="494"/>
      <c r="NCU239" s="494"/>
      <c r="NCV239" s="494"/>
      <c r="NCW239" s="494"/>
      <c r="NCX239" s="494"/>
      <c r="NCY239" s="494"/>
      <c r="NCZ239" s="494"/>
      <c r="NDA239" s="494"/>
      <c r="NDB239" s="494"/>
      <c r="NDC239" s="494"/>
      <c r="NDD239" s="494"/>
      <c r="NDE239" s="494"/>
      <c r="NDF239" s="494"/>
      <c r="NDG239" s="494"/>
      <c r="NDH239" s="494"/>
      <c r="NDI239" s="494"/>
      <c r="NDJ239" s="494"/>
      <c r="NDK239" s="494"/>
      <c r="NDL239" s="494"/>
      <c r="NDM239" s="494"/>
      <c r="NDN239" s="494"/>
      <c r="NDO239" s="494"/>
      <c r="NDP239" s="494"/>
      <c r="NDQ239" s="494"/>
      <c r="NDR239" s="494"/>
      <c r="NDS239" s="494"/>
      <c r="NDT239" s="494"/>
      <c r="NDU239" s="494"/>
      <c r="NDV239" s="494"/>
      <c r="NDW239" s="494"/>
      <c r="NDX239" s="494"/>
      <c r="NDY239" s="494"/>
      <c r="NDZ239" s="494"/>
      <c r="NEA239" s="494"/>
      <c r="NEB239" s="494"/>
      <c r="NEC239" s="494"/>
      <c r="NED239" s="494"/>
      <c r="NEE239" s="494"/>
      <c r="NEF239" s="494"/>
      <c r="NEG239" s="494"/>
      <c r="NEH239" s="494"/>
      <c r="NEI239" s="494"/>
      <c r="NEJ239" s="494"/>
      <c r="NEK239" s="494"/>
      <c r="NEL239" s="494"/>
      <c r="NEM239" s="494"/>
      <c r="NEN239" s="494"/>
      <c r="NEO239" s="494"/>
      <c r="NEP239" s="494"/>
      <c r="NEQ239" s="494"/>
      <c r="NER239" s="494"/>
      <c r="NES239" s="494"/>
      <c r="NET239" s="494"/>
      <c r="NEU239" s="494"/>
      <c r="NEV239" s="494"/>
      <c r="NEW239" s="494"/>
      <c r="NEX239" s="494"/>
      <c r="NEY239" s="494"/>
      <c r="NEZ239" s="494"/>
      <c r="NFA239" s="494"/>
      <c r="NFB239" s="494"/>
      <c r="NFC239" s="494"/>
      <c r="NFD239" s="494"/>
      <c r="NFE239" s="494"/>
      <c r="NFF239" s="494"/>
      <c r="NFG239" s="494"/>
      <c r="NFH239" s="494"/>
      <c r="NFI239" s="494"/>
      <c r="NFJ239" s="494"/>
      <c r="NFK239" s="494"/>
      <c r="NFL239" s="494"/>
      <c r="NFM239" s="494"/>
      <c r="NFN239" s="494"/>
      <c r="NFO239" s="494"/>
      <c r="NFP239" s="494"/>
      <c r="NFQ239" s="494"/>
      <c r="NFR239" s="494"/>
      <c r="NFS239" s="494"/>
      <c r="NFT239" s="494"/>
      <c r="NFU239" s="494"/>
      <c r="NFV239" s="494"/>
      <c r="NFW239" s="494"/>
      <c r="NFX239" s="494"/>
      <c r="NFY239" s="494"/>
      <c r="NFZ239" s="494"/>
      <c r="NGA239" s="494"/>
      <c r="NGB239" s="494"/>
      <c r="NGC239" s="494"/>
      <c r="NGD239" s="494"/>
      <c r="NGE239" s="494"/>
      <c r="NGF239" s="494"/>
      <c r="NGG239" s="494"/>
      <c r="NGH239" s="494"/>
      <c r="NGI239" s="494"/>
      <c r="NGJ239" s="494"/>
      <c r="NGK239" s="494"/>
      <c r="NGL239" s="494"/>
      <c r="NGM239" s="494"/>
      <c r="NGN239" s="494"/>
      <c r="NGO239" s="494"/>
      <c r="NGP239" s="494"/>
      <c r="NGQ239" s="494"/>
      <c r="NGR239" s="494"/>
      <c r="NGS239" s="494"/>
      <c r="NGT239" s="494"/>
      <c r="NGU239" s="494"/>
      <c r="NGV239" s="494"/>
      <c r="NGW239" s="494"/>
      <c r="NGX239" s="494"/>
      <c r="NGY239" s="494"/>
      <c r="NGZ239" s="494"/>
      <c r="NHA239" s="494"/>
      <c r="NHB239" s="494"/>
      <c r="NHC239" s="494"/>
      <c r="NHD239" s="494"/>
      <c r="NHE239" s="494"/>
      <c r="NHF239" s="494"/>
      <c r="NHG239" s="494"/>
      <c r="NHH239" s="494"/>
      <c r="NHI239" s="494"/>
      <c r="NHJ239" s="494"/>
      <c r="NHK239" s="494"/>
      <c r="NHL239" s="494"/>
      <c r="NHM239" s="494"/>
      <c r="NHN239" s="494"/>
      <c r="NHO239" s="494"/>
      <c r="NHP239" s="494"/>
      <c r="NHQ239" s="494"/>
      <c r="NHR239" s="494"/>
      <c r="NHS239" s="494"/>
      <c r="NHT239" s="494"/>
      <c r="NHU239" s="494"/>
      <c r="NHV239" s="494"/>
      <c r="NHW239" s="494"/>
      <c r="NHX239" s="494"/>
      <c r="NHY239" s="494"/>
      <c r="NHZ239" s="494"/>
      <c r="NIA239" s="494"/>
      <c r="NIB239" s="494"/>
      <c r="NIC239" s="494"/>
      <c r="NID239" s="494"/>
      <c r="NIE239" s="494"/>
      <c r="NIF239" s="494"/>
      <c r="NIG239" s="494"/>
      <c r="NIH239" s="494"/>
      <c r="NII239" s="494"/>
      <c r="NIJ239" s="494"/>
      <c r="NIK239" s="494"/>
      <c r="NIL239" s="494"/>
      <c r="NIM239" s="494"/>
      <c r="NIN239" s="494"/>
      <c r="NIO239" s="494"/>
      <c r="NIP239" s="494"/>
      <c r="NIQ239" s="494"/>
      <c r="NIR239" s="494"/>
      <c r="NIS239" s="494"/>
      <c r="NIT239" s="494"/>
      <c r="NIU239" s="494"/>
      <c r="NIV239" s="494"/>
      <c r="NIW239" s="494"/>
      <c r="NIX239" s="494"/>
      <c r="NIY239" s="494"/>
      <c r="NIZ239" s="494"/>
      <c r="NJA239" s="494"/>
      <c r="NJB239" s="494"/>
      <c r="NJC239" s="494"/>
      <c r="NJD239" s="494"/>
      <c r="NJE239" s="494"/>
      <c r="NJF239" s="494"/>
      <c r="NJG239" s="494"/>
      <c r="NJH239" s="494"/>
      <c r="NJI239" s="494"/>
      <c r="NJJ239" s="494"/>
      <c r="NJK239" s="494"/>
      <c r="NJL239" s="494"/>
      <c r="NJM239" s="494"/>
      <c r="NJN239" s="494"/>
      <c r="NJO239" s="494"/>
      <c r="NJP239" s="494"/>
      <c r="NJQ239" s="494"/>
      <c r="NJR239" s="494"/>
      <c r="NJS239" s="494"/>
      <c r="NJT239" s="494"/>
      <c r="NJU239" s="494"/>
      <c r="NJV239" s="494"/>
      <c r="NJW239" s="494"/>
      <c r="NJX239" s="494"/>
      <c r="NJY239" s="494"/>
      <c r="NJZ239" s="494"/>
      <c r="NKA239" s="494"/>
      <c r="NKB239" s="494"/>
      <c r="NKC239" s="494"/>
      <c r="NKD239" s="494"/>
      <c r="NKE239" s="494"/>
      <c r="NKF239" s="494"/>
      <c r="NKG239" s="494"/>
      <c r="NKH239" s="494"/>
      <c r="NKI239" s="494"/>
      <c r="NKJ239" s="494"/>
      <c r="NKK239" s="494"/>
      <c r="NKL239" s="494"/>
      <c r="NKM239" s="494"/>
      <c r="NKN239" s="494"/>
      <c r="NKO239" s="494"/>
      <c r="NKP239" s="494"/>
      <c r="NKQ239" s="494"/>
      <c r="NKR239" s="494"/>
      <c r="NKS239" s="494"/>
      <c r="NKT239" s="494"/>
      <c r="NKU239" s="494"/>
      <c r="NKV239" s="494"/>
      <c r="NKW239" s="494"/>
      <c r="NKX239" s="494"/>
      <c r="NKY239" s="494"/>
      <c r="NKZ239" s="494"/>
      <c r="NLA239" s="494"/>
      <c r="NLB239" s="494"/>
      <c r="NLC239" s="494"/>
      <c r="NLD239" s="494"/>
      <c r="NLE239" s="494"/>
      <c r="NLF239" s="494"/>
      <c r="NLG239" s="494"/>
      <c r="NLH239" s="494"/>
      <c r="NLI239" s="494"/>
      <c r="NLJ239" s="494"/>
      <c r="NLK239" s="494"/>
      <c r="NLL239" s="494"/>
      <c r="NLM239" s="494"/>
      <c r="NLN239" s="494"/>
      <c r="NLO239" s="494"/>
      <c r="NLP239" s="494"/>
      <c r="NLQ239" s="494"/>
      <c r="NLR239" s="494"/>
      <c r="NLS239" s="494"/>
      <c r="NLT239" s="494"/>
      <c r="NLU239" s="494"/>
      <c r="NLV239" s="494"/>
      <c r="NLW239" s="494"/>
      <c r="NLX239" s="494"/>
      <c r="NLY239" s="494"/>
      <c r="NLZ239" s="494"/>
      <c r="NMA239" s="494"/>
      <c r="NMB239" s="494"/>
      <c r="NMC239" s="494"/>
      <c r="NMD239" s="494"/>
      <c r="NME239" s="494"/>
      <c r="NMF239" s="494"/>
      <c r="NMG239" s="494"/>
      <c r="NMH239" s="494"/>
      <c r="NMI239" s="494"/>
      <c r="NMJ239" s="494"/>
      <c r="NMK239" s="494"/>
      <c r="NML239" s="494"/>
      <c r="NMM239" s="494"/>
      <c r="NMN239" s="494"/>
      <c r="NMO239" s="494"/>
      <c r="NMP239" s="494"/>
      <c r="NMQ239" s="494"/>
      <c r="NMR239" s="494"/>
      <c r="NMS239" s="494"/>
      <c r="NMT239" s="494"/>
      <c r="NMU239" s="494"/>
      <c r="NMV239" s="494"/>
      <c r="NMW239" s="494"/>
      <c r="NMX239" s="494"/>
      <c r="NMY239" s="494"/>
      <c r="NMZ239" s="494"/>
      <c r="NNA239" s="494"/>
      <c r="NNB239" s="494"/>
      <c r="NNC239" s="494"/>
      <c r="NND239" s="494"/>
      <c r="NNE239" s="494"/>
      <c r="NNF239" s="494"/>
      <c r="NNG239" s="494"/>
      <c r="NNH239" s="494"/>
      <c r="NNI239" s="494"/>
      <c r="NNJ239" s="494"/>
      <c r="NNK239" s="494"/>
      <c r="NNL239" s="494"/>
      <c r="NNM239" s="494"/>
      <c r="NNN239" s="494"/>
      <c r="NNO239" s="494"/>
      <c r="NNP239" s="494"/>
      <c r="NNQ239" s="494"/>
      <c r="NNR239" s="494"/>
      <c r="NNS239" s="494"/>
      <c r="NNT239" s="494"/>
      <c r="NNU239" s="494"/>
      <c r="NNV239" s="494"/>
      <c r="NNW239" s="494"/>
      <c r="NNX239" s="494"/>
      <c r="NNY239" s="494"/>
      <c r="NNZ239" s="494"/>
      <c r="NOA239" s="494"/>
      <c r="NOB239" s="494"/>
      <c r="NOC239" s="494"/>
      <c r="NOD239" s="494"/>
      <c r="NOE239" s="494"/>
      <c r="NOF239" s="494"/>
      <c r="NOG239" s="494"/>
      <c r="NOH239" s="494"/>
      <c r="NOI239" s="494"/>
      <c r="NOJ239" s="494"/>
      <c r="NOK239" s="494"/>
      <c r="NOL239" s="494"/>
      <c r="NOM239" s="494"/>
      <c r="NON239" s="494"/>
      <c r="NOO239" s="494"/>
      <c r="NOP239" s="494"/>
      <c r="NOQ239" s="494"/>
      <c r="NOR239" s="494"/>
      <c r="NOS239" s="494"/>
      <c r="NOT239" s="494"/>
      <c r="NOU239" s="494"/>
      <c r="NOV239" s="494"/>
      <c r="NOW239" s="494"/>
      <c r="NOX239" s="494"/>
      <c r="NOY239" s="494"/>
      <c r="NOZ239" s="494"/>
      <c r="NPA239" s="494"/>
      <c r="NPB239" s="494"/>
      <c r="NPC239" s="494"/>
      <c r="NPD239" s="494"/>
      <c r="NPE239" s="494"/>
      <c r="NPF239" s="494"/>
      <c r="NPG239" s="494"/>
      <c r="NPH239" s="494"/>
      <c r="NPI239" s="494"/>
      <c r="NPJ239" s="494"/>
      <c r="NPK239" s="494"/>
      <c r="NPL239" s="494"/>
      <c r="NPM239" s="494"/>
      <c r="NPN239" s="494"/>
      <c r="NPO239" s="494"/>
      <c r="NPP239" s="494"/>
      <c r="NPQ239" s="494"/>
      <c r="NPR239" s="494"/>
      <c r="NPS239" s="494"/>
      <c r="NPT239" s="494"/>
      <c r="NPU239" s="494"/>
      <c r="NPV239" s="494"/>
      <c r="NPW239" s="494"/>
      <c r="NPX239" s="494"/>
      <c r="NPY239" s="494"/>
      <c r="NPZ239" s="494"/>
      <c r="NQA239" s="494"/>
      <c r="NQB239" s="494"/>
      <c r="NQC239" s="494"/>
      <c r="NQD239" s="494"/>
      <c r="NQE239" s="494"/>
      <c r="NQF239" s="494"/>
      <c r="NQG239" s="494"/>
      <c r="NQH239" s="494"/>
      <c r="NQI239" s="494"/>
      <c r="NQJ239" s="494"/>
      <c r="NQK239" s="494"/>
      <c r="NQL239" s="494"/>
      <c r="NQM239" s="494"/>
      <c r="NQN239" s="494"/>
      <c r="NQO239" s="494"/>
      <c r="NQP239" s="494"/>
      <c r="NQQ239" s="494"/>
      <c r="NQR239" s="494"/>
      <c r="NQS239" s="494"/>
      <c r="NQT239" s="494"/>
      <c r="NQU239" s="494"/>
      <c r="NQV239" s="494"/>
      <c r="NQW239" s="494"/>
      <c r="NQX239" s="494"/>
      <c r="NQY239" s="494"/>
      <c r="NQZ239" s="494"/>
      <c r="NRA239" s="494"/>
      <c r="NRB239" s="494"/>
      <c r="NRC239" s="494"/>
      <c r="NRD239" s="494"/>
      <c r="NRE239" s="494"/>
      <c r="NRF239" s="494"/>
      <c r="NRG239" s="494"/>
      <c r="NRH239" s="494"/>
      <c r="NRI239" s="494"/>
      <c r="NRJ239" s="494"/>
      <c r="NRK239" s="494"/>
      <c r="NRL239" s="494"/>
      <c r="NRM239" s="494"/>
      <c r="NRN239" s="494"/>
      <c r="NRO239" s="494"/>
      <c r="NRP239" s="494"/>
      <c r="NRQ239" s="494"/>
      <c r="NRR239" s="494"/>
      <c r="NRS239" s="494"/>
      <c r="NRT239" s="494"/>
      <c r="NRU239" s="494"/>
      <c r="NRV239" s="494"/>
      <c r="NRW239" s="494"/>
      <c r="NRX239" s="494"/>
      <c r="NRY239" s="494"/>
      <c r="NRZ239" s="494"/>
      <c r="NSA239" s="494"/>
      <c r="NSB239" s="494"/>
      <c r="NSC239" s="494"/>
      <c r="NSD239" s="494"/>
      <c r="NSE239" s="494"/>
      <c r="NSF239" s="494"/>
      <c r="NSG239" s="494"/>
      <c r="NSH239" s="494"/>
      <c r="NSI239" s="494"/>
      <c r="NSJ239" s="494"/>
      <c r="NSK239" s="494"/>
      <c r="NSL239" s="494"/>
      <c r="NSM239" s="494"/>
      <c r="NSN239" s="494"/>
      <c r="NSO239" s="494"/>
      <c r="NSP239" s="494"/>
      <c r="NSQ239" s="494"/>
      <c r="NSR239" s="494"/>
      <c r="NSS239" s="494"/>
      <c r="NST239" s="494"/>
      <c r="NSU239" s="494"/>
      <c r="NSV239" s="494"/>
      <c r="NSW239" s="494"/>
      <c r="NSX239" s="494"/>
      <c r="NSY239" s="494"/>
      <c r="NSZ239" s="494"/>
      <c r="NTA239" s="494"/>
      <c r="NTB239" s="494"/>
      <c r="NTC239" s="494"/>
      <c r="NTD239" s="494"/>
      <c r="NTE239" s="494"/>
      <c r="NTF239" s="494"/>
      <c r="NTG239" s="494"/>
      <c r="NTH239" s="494"/>
      <c r="NTI239" s="494"/>
      <c r="NTJ239" s="494"/>
      <c r="NTK239" s="494"/>
      <c r="NTL239" s="494"/>
      <c r="NTM239" s="494"/>
      <c r="NTN239" s="494"/>
      <c r="NTO239" s="494"/>
      <c r="NTP239" s="494"/>
      <c r="NTQ239" s="494"/>
      <c r="NTR239" s="494"/>
      <c r="NTS239" s="494"/>
      <c r="NTT239" s="494"/>
      <c r="NTU239" s="494"/>
      <c r="NTV239" s="494"/>
      <c r="NTW239" s="494"/>
      <c r="NTX239" s="494"/>
      <c r="NTY239" s="494"/>
      <c r="NTZ239" s="494"/>
      <c r="NUA239" s="494"/>
      <c r="NUB239" s="494"/>
      <c r="NUC239" s="494"/>
      <c r="NUD239" s="494"/>
      <c r="NUE239" s="494"/>
      <c r="NUF239" s="494"/>
      <c r="NUG239" s="494"/>
      <c r="NUH239" s="494"/>
      <c r="NUI239" s="494"/>
      <c r="NUJ239" s="494"/>
      <c r="NUK239" s="494"/>
      <c r="NUL239" s="494"/>
      <c r="NUM239" s="494"/>
      <c r="NUN239" s="494"/>
      <c r="NUO239" s="494"/>
      <c r="NUP239" s="494"/>
      <c r="NUQ239" s="494"/>
      <c r="NUR239" s="494"/>
      <c r="NUS239" s="494"/>
      <c r="NUT239" s="494"/>
      <c r="NUU239" s="494"/>
      <c r="NUV239" s="494"/>
      <c r="NUW239" s="494"/>
      <c r="NUX239" s="494"/>
      <c r="NUY239" s="494"/>
      <c r="NUZ239" s="494"/>
      <c r="NVA239" s="494"/>
      <c r="NVB239" s="494"/>
      <c r="NVC239" s="494"/>
      <c r="NVD239" s="494"/>
      <c r="NVE239" s="494"/>
      <c r="NVF239" s="494"/>
      <c r="NVG239" s="494"/>
      <c r="NVH239" s="494"/>
      <c r="NVI239" s="494"/>
      <c r="NVJ239" s="494"/>
      <c r="NVK239" s="494"/>
      <c r="NVL239" s="494"/>
      <c r="NVM239" s="494"/>
      <c r="NVN239" s="494"/>
      <c r="NVO239" s="494"/>
      <c r="NVP239" s="494"/>
      <c r="NVQ239" s="494"/>
      <c r="NVR239" s="494"/>
      <c r="NVS239" s="494"/>
      <c r="NVT239" s="494"/>
      <c r="NVU239" s="494"/>
      <c r="NVV239" s="494"/>
      <c r="NVW239" s="494"/>
      <c r="NVX239" s="494"/>
      <c r="NVY239" s="494"/>
      <c r="NVZ239" s="494"/>
      <c r="NWA239" s="494"/>
      <c r="NWB239" s="494"/>
      <c r="NWC239" s="494"/>
      <c r="NWD239" s="494"/>
      <c r="NWE239" s="494"/>
      <c r="NWF239" s="494"/>
      <c r="NWG239" s="494"/>
      <c r="NWH239" s="494"/>
      <c r="NWI239" s="494"/>
      <c r="NWJ239" s="494"/>
      <c r="NWK239" s="494"/>
      <c r="NWL239" s="494"/>
      <c r="NWM239" s="494"/>
      <c r="NWN239" s="494"/>
      <c r="NWO239" s="494"/>
      <c r="NWP239" s="494"/>
      <c r="NWQ239" s="494"/>
      <c r="NWR239" s="494"/>
      <c r="NWS239" s="494"/>
      <c r="NWT239" s="494"/>
      <c r="NWU239" s="494"/>
      <c r="NWV239" s="494"/>
      <c r="NWW239" s="494"/>
      <c r="NWX239" s="494"/>
      <c r="NWY239" s="494"/>
      <c r="NWZ239" s="494"/>
      <c r="NXA239" s="494"/>
      <c r="NXB239" s="494"/>
      <c r="NXC239" s="494"/>
      <c r="NXD239" s="494"/>
      <c r="NXE239" s="494"/>
      <c r="NXF239" s="494"/>
      <c r="NXG239" s="494"/>
      <c r="NXH239" s="494"/>
      <c r="NXI239" s="494"/>
      <c r="NXJ239" s="494"/>
      <c r="NXK239" s="494"/>
      <c r="NXL239" s="494"/>
      <c r="NXM239" s="494"/>
      <c r="NXN239" s="494"/>
      <c r="NXO239" s="494"/>
      <c r="NXP239" s="494"/>
      <c r="NXQ239" s="494"/>
      <c r="NXR239" s="494"/>
      <c r="NXS239" s="494"/>
      <c r="NXT239" s="494"/>
      <c r="NXU239" s="494"/>
      <c r="NXV239" s="494"/>
      <c r="NXW239" s="494"/>
      <c r="NXX239" s="494"/>
      <c r="NXY239" s="494"/>
      <c r="NXZ239" s="494"/>
      <c r="NYA239" s="494"/>
      <c r="NYB239" s="494"/>
      <c r="NYC239" s="494"/>
      <c r="NYD239" s="494"/>
      <c r="NYE239" s="494"/>
      <c r="NYF239" s="494"/>
      <c r="NYG239" s="494"/>
      <c r="NYH239" s="494"/>
      <c r="NYI239" s="494"/>
      <c r="NYJ239" s="494"/>
      <c r="NYK239" s="494"/>
      <c r="NYL239" s="494"/>
      <c r="NYM239" s="494"/>
      <c r="NYN239" s="494"/>
      <c r="NYO239" s="494"/>
      <c r="NYP239" s="494"/>
      <c r="NYQ239" s="494"/>
      <c r="NYR239" s="494"/>
      <c r="NYS239" s="494"/>
      <c r="NYT239" s="494"/>
      <c r="NYU239" s="494"/>
      <c r="NYV239" s="494"/>
      <c r="NYW239" s="494"/>
      <c r="NYX239" s="494"/>
      <c r="NYY239" s="494"/>
      <c r="NYZ239" s="494"/>
      <c r="NZA239" s="494"/>
      <c r="NZB239" s="494"/>
      <c r="NZC239" s="494"/>
      <c r="NZD239" s="494"/>
      <c r="NZE239" s="494"/>
      <c r="NZF239" s="494"/>
      <c r="NZG239" s="494"/>
      <c r="NZH239" s="494"/>
      <c r="NZI239" s="494"/>
      <c r="NZJ239" s="494"/>
      <c r="NZK239" s="494"/>
      <c r="NZL239" s="494"/>
      <c r="NZM239" s="494"/>
      <c r="NZN239" s="494"/>
      <c r="NZO239" s="494"/>
      <c r="NZP239" s="494"/>
      <c r="NZQ239" s="494"/>
      <c r="NZR239" s="494"/>
      <c r="NZS239" s="494"/>
      <c r="NZT239" s="494"/>
      <c r="NZU239" s="494"/>
      <c r="NZV239" s="494"/>
      <c r="NZW239" s="494"/>
      <c r="NZX239" s="494"/>
      <c r="NZY239" s="494"/>
      <c r="NZZ239" s="494"/>
      <c r="OAA239" s="494"/>
      <c r="OAB239" s="494"/>
      <c r="OAC239" s="494"/>
      <c r="OAD239" s="494"/>
      <c r="OAE239" s="494"/>
      <c r="OAF239" s="494"/>
      <c r="OAG239" s="494"/>
      <c r="OAH239" s="494"/>
      <c r="OAI239" s="494"/>
      <c r="OAJ239" s="494"/>
      <c r="OAK239" s="494"/>
      <c r="OAL239" s="494"/>
      <c r="OAM239" s="494"/>
      <c r="OAN239" s="494"/>
      <c r="OAO239" s="494"/>
      <c r="OAP239" s="494"/>
      <c r="OAQ239" s="494"/>
      <c r="OAR239" s="494"/>
      <c r="OAS239" s="494"/>
      <c r="OAT239" s="494"/>
      <c r="OAU239" s="494"/>
      <c r="OAV239" s="494"/>
      <c r="OAW239" s="494"/>
      <c r="OAX239" s="494"/>
      <c r="OAY239" s="494"/>
      <c r="OAZ239" s="494"/>
      <c r="OBA239" s="494"/>
      <c r="OBB239" s="494"/>
      <c r="OBC239" s="494"/>
      <c r="OBD239" s="494"/>
      <c r="OBE239" s="494"/>
      <c r="OBF239" s="494"/>
      <c r="OBG239" s="494"/>
      <c r="OBH239" s="494"/>
      <c r="OBI239" s="494"/>
      <c r="OBJ239" s="494"/>
      <c r="OBK239" s="494"/>
      <c r="OBL239" s="494"/>
      <c r="OBM239" s="494"/>
      <c r="OBN239" s="494"/>
      <c r="OBO239" s="494"/>
      <c r="OBP239" s="494"/>
      <c r="OBQ239" s="494"/>
      <c r="OBR239" s="494"/>
      <c r="OBS239" s="494"/>
      <c r="OBT239" s="494"/>
      <c r="OBU239" s="494"/>
      <c r="OBV239" s="494"/>
      <c r="OBW239" s="494"/>
      <c r="OBX239" s="494"/>
      <c r="OBY239" s="494"/>
      <c r="OBZ239" s="494"/>
      <c r="OCA239" s="494"/>
      <c r="OCB239" s="494"/>
      <c r="OCC239" s="494"/>
      <c r="OCD239" s="494"/>
      <c r="OCE239" s="494"/>
      <c r="OCF239" s="494"/>
      <c r="OCG239" s="494"/>
      <c r="OCH239" s="494"/>
      <c r="OCI239" s="494"/>
      <c r="OCJ239" s="494"/>
      <c r="OCK239" s="494"/>
      <c r="OCL239" s="494"/>
      <c r="OCM239" s="494"/>
      <c r="OCN239" s="494"/>
      <c r="OCO239" s="494"/>
      <c r="OCP239" s="494"/>
      <c r="OCQ239" s="494"/>
      <c r="OCR239" s="494"/>
      <c r="OCS239" s="494"/>
      <c r="OCT239" s="494"/>
      <c r="OCU239" s="494"/>
      <c r="OCV239" s="494"/>
      <c r="OCW239" s="494"/>
      <c r="OCX239" s="494"/>
      <c r="OCY239" s="494"/>
      <c r="OCZ239" s="494"/>
      <c r="ODA239" s="494"/>
      <c r="ODB239" s="494"/>
      <c r="ODC239" s="494"/>
      <c r="ODD239" s="494"/>
      <c r="ODE239" s="494"/>
      <c r="ODF239" s="494"/>
      <c r="ODG239" s="494"/>
      <c r="ODH239" s="494"/>
      <c r="ODI239" s="494"/>
      <c r="ODJ239" s="494"/>
      <c r="ODK239" s="494"/>
      <c r="ODL239" s="494"/>
      <c r="ODM239" s="494"/>
      <c r="ODN239" s="494"/>
      <c r="ODO239" s="494"/>
      <c r="ODP239" s="494"/>
      <c r="ODQ239" s="494"/>
      <c r="ODR239" s="494"/>
      <c r="ODS239" s="494"/>
      <c r="ODT239" s="494"/>
      <c r="ODU239" s="494"/>
      <c r="ODV239" s="494"/>
      <c r="ODW239" s="494"/>
      <c r="ODX239" s="494"/>
      <c r="ODY239" s="494"/>
      <c r="ODZ239" s="494"/>
      <c r="OEA239" s="494"/>
      <c r="OEB239" s="494"/>
      <c r="OEC239" s="494"/>
      <c r="OED239" s="494"/>
      <c r="OEE239" s="494"/>
      <c r="OEF239" s="494"/>
      <c r="OEG239" s="494"/>
      <c r="OEH239" s="494"/>
      <c r="OEI239" s="494"/>
      <c r="OEJ239" s="494"/>
      <c r="OEK239" s="494"/>
      <c r="OEL239" s="494"/>
      <c r="OEM239" s="494"/>
      <c r="OEN239" s="494"/>
      <c r="OEO239" s="494"/>
      <c r="OEP239" s="494"/>
      <c r="OEQ239" s="494"/>
      <c r="OER239" s="494"/>
      <c r="OES239" s="494"/>
      <c r="OET239" s="494"/>
      <c r="OEU239" s="494"/>
      <c r="OEV239" s="494"/>
      <c r="OEW239" s="494"/>
      <c r="OEX239" s="494"/>
      <c r="OEY239" s="494"/>
      <c r="OEZ239" s="494"/>
      <c r="OFA239" s="494"/>
      <c r="OFB239" s="494"/>
      <c r="OFC239" s="494"/>
      <c r="OFD239" s="494"/>
      <c r="OFE239" s="494"/>
      <c r="OFF239" s="494"/>
      <c r="OFG239" s="494"/>
      <c r="OFH239" s="494"/>
      <c r="OFI239" s="494"/>
      <c r="OFJ239" s="494"/>
      <c r="OFK239" s="494"/>
      <c r="OFL239" s="494"/>
      <c r="OFM239" s="494"/>
      <c r="OFN239" s="494"/>
      <c r="OFO239" s="494"/>
      <c r="OFP239" s="494"/>
      <c r="OFQ239" s="494"/>
      <c r="OFR239" s="494"/>
      <c r="OFS239" s="494"/>
      <c r="OFT239" s="494"/>
      <c r="OFU239" s="494"/>
      <c r="OFV239" s="494"/>
      <c r="OFW239" s="494"/>
      <c r="OFX239" s="494"/>
      <c r="OFY239" s="494"/>
      <c r="OFZ239" s="494"/>
      <c r="OGA239" s="494"/>
      <c r="OGB239" s="494"/>
      <c r="OGC239" s="494"/>
      <c r="OGD239" s="494"/>
      <c r="OGE239" s="494"/>
      <c r="OGF239" s="494"/>
      <c r="OGG239" s="494"/>
      <c r="OGH239" s="494"/>
      <c r="OGI239" s="494"/>
      <c r="OGJ239" s="494"/>
      <c r="OGK239" s="494"/>
      <c r="OGL239" s="494"/>
      <c r="OGM239" s="494"/>
      <c r="OGN239" s="494"/>
      <c r="OGO239" s="494"/>
      <c r="OGP239" s="494"/>
      <c r="OGQ239" s="494"/>
      <c r="OGR239" s="494"/>
      <c r="OGS239" s="494"/>
      <c r="OGT239" s="494"/>
      <c r="OGU239" s="494"/>
      <c r="OGV239" s="494"/>
      <c r="OGW239" s="494"/>
      <c r="OGX239" s="494"/>
      <c r="OGY239" s="494"/>
      <c r="OGZ239" s="494"/>
      <c r="OHA239" s="494"/>
      <c r="OHB239" s="494"/>
      <c r="OHC239" s="494"/>
      <c r="OHD239" s="494"/>
      <c r="OHE239" s="494"/>
      <c r="OHF239" s="494"/>
      <c r="OHG239" s="494"/>
      <c r="OHH239" s="494"/>
      <c r="OHI239" s="494"/>
      <c r="OHJ239" s="494"/>
      <c r="OHK239" s="494"/>
      <c r="OHL239" s="494"/>
      <c r="OHM239" s="494"/>
      <c r="OHN239" s="494"/>
      <c r="OHO239" s="494"/>
      <c r="OHP239" s="494"/>
      <c r="OHQ239" s="494"/>
      <c r="OHR239" s="494"/>
      <c r="OHS239" s="494"/>
      <c r="OHT239" s="494"/>
      <c r="OHU239" s="494"/>
      <c r="OHV239" s="494"/>
      <c r="OHW239" s="494"/>
      <c r="OHX239" s="494"/>
      <c r="OHY239" s="494"/>
      <c r="OHZ239" s="494"/>
      <c r="OIA239" s="494"/>
      <c r="OIB239" s="494"/>
      <c r="OIC239" s="494"/>
      <c r="OID239" s="494"/>
      <c r="OIE239" s="494"/>
      <c r="OIF239" s="494"/>
      <c r="OIG239" s="494"/>
      <c r="OIH239" s="494"/>
      <c r="OII239" s="494"/>
      <c r="OIJ239" s="494"/>
      <c r="OIK239" s="494"/>
      <c r="OIL239" s="494"/>
      <c r="OIM239" s="494"/>
      <c r="OIN239" s="494"/>
      <c r="OIO239" s="494"/>
      <c r="OIP239" s="494"/>
      <c r="OIQ239" s="494"/>
      <c r="OIR239" s="494"/>
      <c r="OIS239" s="494"/>
      <c r="OIT239" s="494"/>
      <c r="OIU239" s="494"/>
      <c r="OIV239" s="494"/>
      <c r="OIW239" s="494"/>
      <c r="OIX239" s="494"/>
      <c r="OIY239" s="494"/>
      <c r="OIZ239" s="494"/>
      <c r="OJA239" s="494"/>
      <c r="OJB239" s="494"/>
      <c r="OJC239" s="494"/>
      <c r="OJD239" s="494"/>
      <c r="OJE239" s="494"/>
      <c r="OJF239" s="494"/>
      <c r="OJG239" s="494"/>
      <c r="OJH239" s="494"/>
      <c r="OJI239" s="494"/>
      <c r="OJJ239" s="494"/>
      <c r="OJK239" s="494"/>
      <c r="OJL239" s="494"/>
      <c r="OJM239" s="494"/>
      <c r="OJN239" s="494"/>
      <c r="OJO239" s="494"/>
      <c r="OJP239" s="494"/>
      <c r="OJQ239" s="494"/>
      <c r="OJR239" s="494"/>
      <c r="OJS239" s="494"/>
      <c r="OJT239" s="494"/>
      <c r="OJU239" s="494"/>
      <c r="OJV239" s="494"/>
      <c r="OJW239" s="494"/>
      <c r="OJX239" s="494"/>
      <c r="OJY239" s="494"/>
      <c r="OJZ239" s="494"/>
      <c r="OKA239" s="494"/>
      <c r="OKB239" s="494"/>
      <c r="OKC239" s="494"/>
      <c r="OKD239" s="494"/>
      <c r="OKE239" s="494"/>
      <c r="OKF239" s="494"/>
      <c r="OKG239" s="494"/>
      <c r="OKH239" s="494"/>
      <c r="OKI239" s="494"/>
      <c r="OKJ239" s="494"/>
      <c r="OKK239" s="494"/>
      <c r="OKL239" s="494"/>
      <c r="OKM239" s="494"/>
      <c r="OKN239" s="494"/>
      <c r="OKO239" s="494"/>
      <c r="OKP239" s="494"/>
      <c r="OKQ239" s="494"/>
      <c r="OKR239" s="494"/>
      <c r="OKS239" s="494"/>
      <c r="OKT239" s="494"/>
      <c r="OKU239" s="494"/>
      <c r="OKV239" s="494"/>
      <c r="OKW239" s="494"/>
      <c r="OKX239" s="494"/>
      <c r="OKY239" s="494"/>
      <c r="OKZ239" s="494"/>
      <c r="OLA239" s="494"/>
      <c r="OLB239" s="494"/>
      <c r="OLC239" s="494"/>
      <c r="OLD239" s="494"/>
      <c r="OLE239" s="494"/>
      <c r="OLF239" s="494"/>
      <c r="OLG239" s="494"/>
      <c r="OLH239" s="494"/>
      <c r="OLI239" s="494"/>
      <c r="OLJ239" s="494"/>
      <c r="OLK239" s="494"/>
      <c r="OLL239" s="494"/>
      <c r="OLM239" s="494"/>
      <c r="OLN239" s="494"/>
      <c r="OLO239" s="494"/>
      <c r="OLP239" s="494"/>
      <c r="OLQ239" s="494"/>
      <c r="OLR239" s="494"/>
      <c r="OLS239" s="494"/>
      <c r="OLT239" s="494"/>
      <c r="OLU239" s="494"/>
      <c r="OLV239" s="494"/>
      <c r="OLW239" s="494"/>
      <c r="OLX239" s="494"/>
      <c r="OLY239" s="494"/>
      <c r="OLZ239" s="494"/>
      <c r="OMA239" s="494"/>
      <c r="OMB239" s="494"/>
      <c r="OMC239" s="494"/>
      <c r="OMD239" s="494"/>
      <c r="OME239" s="494"/>
      <c r="OMF239" s="494"/>
      <c r="OMG239" s="494"/>
      <c r="OMH239" s="494"/>
      <c r="OMI239" s="494"/>
      <c r="OMJ239" s="494"/>
      <c r="OMK239" s="494"/>
      <c r="OML239" s="494"/>
      <c r="OMM239" s="494"/>
      <c r="OMN239" s="494"/>
      <c r="OMO239" s="494"/>
      <c r="OMP239" s="494"/>
      <c r="OMQ239" s="494"/>
      <c r="OMR239" s="494"/>
      <c r="OMS239" s="494"/>
      <c r="OMT239" s="494"/>
      <c r="OMU239" s="494"/>
      <c r="OMV239" s="494"/>
      <c r="OMW239" s="494"/>
      <c r="OMX239" s="494"/>
      <c r="OMY239" s="494"/>
      <c r="OMZ239" s="494"/>
      <c r="ONA239" s="494"/>
      <c r="ONB239" s="494"/>
      <c r="ONC239" s="494"/>
      <c r="OND239" s="494"/>
      <c r="ONE239" s="494"/>
      <c r="ONF239" s="494"/>
      <c r="ONG239" s="494"/>
      <c r="ONH239" s="494"/>
      <c r="ONI239" s="494"/>
      <c r="ONJ239" s="494"/>
      <c r="ONK239" s="494"/>
      <c r="ONL239" s="494"/>
      <c r="ONM239" s="494"/>
      <c r="ONN239" s="494"/>
      <c r="ONO239" s="494"/>
      <c r="ONP239" s="494"/>
      <c r="ONQ239" s="494"/>
      <c r="ONR239" s="494"/>
      <c r="ONS239" s="494"/>
      <c r="ONT239" s="494"/>
      <c r="ONU239" s="494"/>
      <c r="ONV239" s="494"/>
      <c r="ONW239" s="494"/>
      <c r="ONX239" s="494"/>
      <c r="ONY239" s="494"/>
      <c r="ONZ239" s="494"/>
      <c r="OOA239" s="494"/>
      <c r="OOB239" s="494"/>
      <c r="OOC239" s="494"/>
      <c r="OOD239" s="494"/>
      <c r="OOE239" s="494"/>
      <c r="OOF239" s="494"/>
      <c r="OOG239" s="494"/>
      <c r="OOH239" s="494"/>
      <c r="OOI239" s="494"/>
      <c r="OOJ239" s="494"/>
      <c r="OOK239" s="494"/>
      <c r="OOL239" s="494"/>
      <c r="OOM239" s="494"/>
      <c r="OON239" s="494"/>
      <c r="OOO239" s="494"/>
      <c r="OOP239" s="494"/>
      <c r="OOQ239" s="494"/>
      <c r="OOR239" s="494"/>
      <c r="OOS239" s="494"/>
      <c r="OOT239" s="494"/>
      <c r="OOU239" s="494"/>
      <c r="OOV239" s="494"/>
      <c r="OOW239" s="494"/>
      <c r="OOX239" s="494"/>
      <c r="OOY239" s="494"/>
      <c r="OOZ239" s="494"/>
      <c r="OPA239" s="494"/>
      <c r="OPB239" s="494"/>
      <c r="OPC239" s="494"/>
      <c r="OPD239" s="494"/>
      <c r="OPE239" s="494"/>
      <c r="OPF239" s="494"/>
      <c r="OPG239" s="494"/>
      <c r="OPH239" s="494"/>
      <c r="OPI239" s="494"/>
      <c r="OPJ239" s="494"/>
      <c r="OPK239" s="494"/>
      <c r="OPL239" s="494"/>
      <c r="OPM239" s="494"/>
      <c r="OPN239" s="494"/>
      <c r="OPO239" s="494"/>
      <c r="OPP239" s="494"/>
      <c r="OPQ239" s="494"/>
      <c r="OPR239" s="494"/>
      <c r="OPS239" s="494"/>
      <c r="OPT239" s="494"/>
      <c r="OPU239" s="494"/>
      <c r="OPV239" s="494"/>
      <c r="OPW239" s="494"/>
      <c r="OPX239" s="494"/>
      <c r="OPY239" s="494"/>
      <c r="OPZ239" s="494"/>
      <c r="OQA239" s="494"/>
      <c r="OQB239" s="494"/>
      <c r="OQC239" s="494"/>
      <c r="OQD239" s="494"/>
      <c r="OQE239" s="494"/>
      <c r="OQF239" s="494"/>
      <c r="OQG239" s="494"/>
      <c r="OQH239" s="494"/>
      <c r="OQI239" s="494"/>
      <c r="OQJ239" s="494"/>
      <c r="OQK239" s="494"/>
      <c r="OQL239" s="494"/>
      <c r="OQM239" s="494"/>
      <c r="OQN239" s="494"/>
      <c r="OQO239" s="494"/>
      <c r="OQP239" s="494"/>
      <c r="OQQ239" s="494"/>
      <c r="OQR239" s="494"/>
      <c r="OQS239" s="494"/>
      <c r="OQT239" s="494"/>
      <c r="OQU239" s="494"/>
      <c r="OQV239" s="494"/>
      <c r="OQW239" s="494"/>
      <c r="OQX239" s="494"/>
      <c r="OQY239" s="494"/>
      <c r="OQZ239" s="494"/>
      <c r="ORA239" s="494"/>
      <c r="ORB239" s="494"/>
      <c r="ORC239" s="494"/>
      <c r="ORD239" s="494"/>
      <c r="ORE239" s="494"/>
      <c r="ORF239" s="494"/>
      <c r="ORG239" s="494"/>
      <c r="ORH239" s="494"/>
      <c r="ORI239" s="494"/>
      <c r="ORJ239" s="494"/>
      <c r="ORK239" s="494"/>
      <c r="ORL239" s="494"/>
      <c r="ORM239" s="494"/>
      <c r="ORN239" s="494"/>
      <c r="ORO239" s="494"/>
      <c r="ORP239" s="494"/>
      <c r="ORQ239" s="494"/>
      <c r="ORR239" s="494"/>
      <c r="ORS239" s="494"/>
      <c r="ORT239" s="494"/>
      <c r="ORU239" s="494"/>
      <c r="ORV239" s="494"/>
      <c r="ORW239" s="494"/>
      <c r="ORX239" s="494"/>
      <c r="ORY239" s="494"/>
      <c r="ORZ239" s="494"/>
      <c r="OSA239" s="494"/>
      <c r="OSB239" s="494"/>
      <c r="OSC239" s="494"/>
      <c r="OSD239" s="494"/>
      <c r="OSE239" s="494"/>
      <c r="OSF239" s="494"/>
      <c r="OSG239" s="494"/>
      <c r="OSH239" s="494"/>
      <c r="OSI239" s="494"/>
      <c r="OSJ239" s="494"/>
      <c r="OSK239" s="494"/>
      <c r="OSL239" s="494"/>
      <c r="OSM239" s="494"/>
      <c r="OSN239" s="494"/>
      <c r="OSO239" s="494"/>
      <c r="OSP239" s="494"/>
      <c r="OSQ239" s="494"/>
      <c r="OSR239" s="494"/>
      <c r="OSS239" s="494"/>
      <c r="OST239" s="494"/>
      <c r="OSU239" s="494"/>
      <c r="OSV239" s="494"/>
      <c r="OSW239" s="494"/>
      <c r="OSX239" s="494"/>
      <c r="OSY239" s="494"/>
      <c r="OSZ239" s="494"/>
      <c r="OTA239" s="494"/>
      <c r="OTB239" s="494"/>
      <c r="OTC239" s="494"/>
      <c r="OTD239" s="494"/>
      <c r="OTE239" s="494"/>
      <c r="OTF239" s="494"/>
      <c r="OTG239" s="494"/>
      <c r="OTH239" s="494"/>
      <c r="OTI239" s="494"/>
      <c r="OTJ239" s="494"/>
      <c r="OTK239" s="494"/>
      <c r="OTL239" s="494"/>
      <c r="OTM239" s="494"/>
      <c r="OTN239" s="494"/>
      <c r="OTO239" s="494"/>
      <c r="OTP239" s="494"/>
      <c r="OTQ239" s="494"/>
      <c r="OTR239" s="494"/>
      <c r="OTS239" s="494"/>
      <c r="OTT239" s="494"/>
      <c r="OTU239" s="494"/>
      <c r="OTV239" s="494"/>
      <c r="OTW239" s="494"/>
      <c r="OTX239" s="494"/>
      <c r="OTY239" s="494"/>
      <c r="OTZ239" s="494"/>
      <c r="OUA239" s="494"/>
      <c r="OUB239" s="494"/>
      <c r="OUC239" s="494"/>
      <c r="OUD239" s="494"/>
      <c r="OUE239" s="494"/>
      <c r="OUF239" s="494"/>
      <c r="OUG239" s="494"/>
      <c r="OUH239" s="494"/>
      <c r="OUI239" s="494"/>
      <c r="OUJ239" s="494"/>
      <c r="OUK239" s="494"/>
      <c r="OUL239" s="494"/>
      <c r="OUM239" s="494"/>
      <c r="OUN239" s="494"/>
      <c r="OUO239" s="494"/>
      <c r="OUP239" s="494"/>
      <c r="OUQ239" s="494"/>
      <c r="OUR239" s="494"/>
      <c r="OUS239" s="494"/>
      <c r="OUT239" s="494"/>
      <c r="OUU239" s="494"/>
      <c r="OUV239" s="494"/>
      <c r="OUW239" s="494"/>
      <c r="OUX239" s="494"/>
      <c r="OUY239" s="494"/>
      <c r="OUZ239" s="494"/>
      <c r="OVA239" s="494"/>
      <c r="OVB239" s="494"/>
      <c r="OVC239" s="494"/>
      <c r="OVD239" s="494"/>
      <c r="OVE239" s="494"/>
      <c r="OVF239" s="494"/>
      <c r="OVG239" s="494"/>
      <c r="OVH239" s="494"/>
      <c r="OVI239" s="494"/>
      <c r="OVJ239" s="494"/>
      <c r="OVK239" s="494"/>
      <c r="OVL239" s="494"/>
      <c r="OVM239" s="494"/>
      <c r="OVN239" s="494"/>
      <c r="OVO239" s="494"/>
      <c r="OVP239" s="494"/>
      <c r="OVQ239" s="494"/>
      <c r="OVR239" s="494"/>
      <c r="OVS239" s="494"/>
      <c r="OVT239" s="494"/>
      <c r="OVU239" s="494"/>
      <c r="OVV239" s="494"/>
      <c r="OVW239" s="494"/>
      <c r="OVX239" s="494"/>
      <c r="OVY239" s="494"/>
      <c r="OVZ239" s="494"/>
      <c r="OWA239" s="494"/>
      <c r="OWB239" s="494"/>
      <c r="OWC239" s="494"/>
      <c r="OWD239" s="494"/>
      <c r="OWE239" s="494"/>
      <c r="OWF239" s="494"/>
      <c r="OWG239" s="494"/>
      <c r="OWH239" s="494"/>
      <c r="OWI239" s="494"/>
      <c r="OWJ239" s="494"/>
      <c r="OWK239" s="494"/>
      <c r="OWL239" s="494"/>
      <c r="OWM239" s="494"/>
      <c r="OWN239" s="494"/>
      <c r="OWO239" s="494"/>
      <c r="OWP239" s="494"/>
      <c r="OWQ239" s="494"/>
      <c r="OWR239" s="494"/>
      <c r="OWS239" s="494"/>
      <c r="OWT239" s="494"/>
      <c r="OWU239" s="494"/>
      <c r="OWV239" s="494"/>
      <c r="OWW239" s="494"/>
      <c r="OWX239" s="494"/>
      <c r="OWY239" s="494"/>
      <c r="OWZ239" s="494"/>
      <c r="OXA239" s="494"/>
      <c r="OXB239" s="494"/>
      <c r="OXC239" s="494"/>
      <c r="OXD239" s="494"/>
      <c r="OXE239" s="494"/>
      <c r="OXF239" s="494"/>
      <c r="OXG239" s="494"/>
      <c r="OXH239" s="494"/>
      <c r="OXI239" s="494"/>
      <c r="OXJ239" s="494"/>
      <c r="OXK239" s="494"/>
      <c r="OXL239" s="494"/>
      <c r="OXM239" s="494"/>
      <c r="OXN239" s="494"/>
      <c r="OXO239" s="494"/>
      <c r="OXP239" s="494"/>
      <c r="OXQ239" s="494"/>
      <c r="OXR239" s="494"/>
      <c r="OXS239" s="494"/>
      <c r="OXT239" s="494"/>
      <c r="OXU239" s="494"/>
      <c r="OXV239" s="494"/>
      <c r="OXW239" s="494"/>
      <c r="OXX239" s="494"/>
      <c r="OXY239" s="494"/>
      <c r="OXZ239" s="494"/>
      <c r="OYA239" s="494"/>
      <c r="OYB239" s="494"/>
      <c r="OYC239" s="494"/>
      <c r="OYD239" s="494"/>
      <c r="OYE239" s="494"/>
      <c r="OYF239" s="494"/>
      <c r="OYG239" s="494"/>
      <c r="OYH239" s="494"/>
      <c r="OYI239" s="494"/>
      <c r="OYJ239" s="494"/>
      <c r="OYK239" s="494"/>
      <c r="OYL239" s="494"/>
      <c r="OYM239" s="494"/>
      <c r="OYN239" s="494"/>
      <c r="OYO239" s="494"/>
      <c r="OYP239" s="494"/>
      <c r="OYQ239" s="494"/>
      <c r="OYR239" s="494"/>
      <c r="OYS239" s="494"/>
      <c r="OYT239" s="494"/>
      <c r="OYU239" s="494"/>
      <c r="OYV239" s="494"/>
      <c r="OYW239" s="494"/>
      <c r="OYX239" s="494"/>
      <c r="OYY239" s="494"/>
      <c r="OYZ239" s="494"/>
      <c r="OZA239" s="494"/>
      <c r="OZB239" s="494"/>
      <c r="OZC239" s="494"/>
      <c r="OZD239" s="494"/>
      <c r="OZE239" s="494"/>
      <c r="OZF239" s="494"/>
      <c r="OZG239" s="494"/>
      <c r="OZH239" s="494"/>
      <c r="OZI239" s="494"/>
      <c r="OZJ239" s="494"/>
      <c r="OZK239" s="494"/>
      <c r="OZL239" s="494"/>
      <c r="OZM239" s="494"/>
      <c r="OZN239" s="494"/>
      <c r="OZO239" s="494"/>
      <c r="OZP239" s="494"/>
      <c r="OZQ239" s="494"/>
      <c r="OZR239" s="494"/>
      <c r="OZS239" s="494"/>
      <c r="OZT239" s="494"/>
      <c r="OZU239" s="494"/>
      <c r="OZV239" s="494"/>
      <c r="OZW239" s="494"/>
      <c r="OZX239" s="494"/>
      <c r="OZY239" s="494"/>
      <c r="OZZ239" s="494"/>
      <c r="PAA239" s="494"/>
      <c r="PAB239" s="494"/>
      <c r="PAC239" s="494"/>
      <c r="PAD239" s="494"/>
      <c r="PAE239" s="494"/>
      <c r="PAF239" s="494"/>
      <c r="PAG239" s="494"/>
      <c r="PAH239" s="494"/>
      <c r="PAI239" s="494"/>
      <c r="PAJ239" s="494"/>
      <c r="PAK239" s="494"/>
      <c r="PAL239" s="494"/>
      <c r="PAM239" s="494"/>
      <c r="PAN239" s="494"/>
      <c r="PAO239" s="494"/>
      <c r="PAP239" s="494"/>
      <c r="PAQ239" s="494"/>
      <c r="PAR239" s="494"/>
      <c r="PAS239" s="494"/>
      <c r="PAT239" s="494"/>
      <c r="PAU239" s="494"/>
      <c r="PAV239" s="494"/>
      <c r="PAW239" s="494"/>
      <c r="PAX239" s="494"/>
      <c r="PAY239" s="494"/>
      <c r="PAZ239" s="494"/>
      <c r="PBA239" s="494"/>
      <c r="PBB239" s="494"/>
      <c r="PBC239" s="494"/>
      <c r="PBD239" s="494"/>
      <c r="PBE239" s="494"/>
      <c r="PBF239" s="494"/>
      <c r="PBG239" s="494"/>
      <c r="PBH239" s="494"/>
      <c r="PBI239" s="494"/>
      <c r="PBJ239" s="494"/>
      <c r="PBK239" s="494"/>
      <c r="PBL239" s="494"/>
      <c r="PBM239" s="494"/>
      <c r="PBN239" s="494"/>
      <c r="PBO239" s="494"/>
      <c r="PBP239" s="494"/>
      <c r="PBQ239" s="494"/>
      <c r="PBR239" s="494"/>
      <c r="PBS239" s="494"/>
      <c r="PBT239" s="494"/>
      <c r="PBU239" s="494"/>
      <c r="PBV239" s="494"/>
      <c r="PBW239" s="494"/>
      <c r="PBX239" s="494"/>
      <c r="PBY239" s="494"/>
      <c r="PBZ239" s="494"/>
      <c r="PCA239" s="494"/>
      <c r="PCB239" s="494"/>
      <c r="PCC239" s="494"/>
      <c r="PCD239" s="494"/>
      <c r="PCE239" s="494"/>
      <c r="PCF239" s="494"/>
      <c r="PCG239" s="494"/>
      <c r="PCH239" s="494"/>
      <c r="PCI239" s="494"/>
      <c r="PCJ239" s="494"/>
      <c r="PCK239" s="494"/>
      <c r="PCL239" s="494"/>
      <c r="PCM239" s="494"/>
      <c r="PCN239" s="494"/>
      <c r="PCO239" s="494"/>
      <c r="PCP239" s="494"/>
      <c r="PCQ239" s="494"/>
      <c r="PCR239" s="494"/>
      <c r="PCS239" s="494"/>
      <c r="PCT239" s="494"/>
      <c r="PCU239" s="494"/>
      <c r="PCV239" s="494"/>
      <c r="PCW239" s="494"/>
      <c r="PCX239" s="494"/>
      <c r="PCY239" s="494"/>
      <c r="PCZ239" s="494"/>
      <c r="PDA239" s="494"/>
      <c r="PDB239" s="494"/>
      <c r="PDC239" s="494"/>
      <c r="PDD239" s="494"/>
      <c r="PDE239" s="494"/>
      <c r="PDF239" s="494"/>
      <c r="PDG239" s="494"/>
      <c r="PDH239" s="494"/>
      <c r="PDI239" s="494"/>
      <c r="PDJ239" s="494"/>
      <c r="PDK239" s="494"/>
      <c r="PDL239" s="494"/>
      <c r="PDM239" s="494"/>
      <c r="PDN239" s="494"/>
      <c r="PDO239" s="494"/>
      <c r="PDP239" s="494"/>
      <c r="PDQ239" s="494"/>
      <c r="PDR239" s="494"/>
      <c r="PDS239" s="494"/>
      <c r="PDT239" s="494"/>
      <c r="PDU239" s="494"/>
      <c r="PDV239" s="494"/>
      <c r="PDW239" s="494"/>
      <c r="PDX239" s="494"/>
      <c r="PDY239" s="494"/>
      <c r="PDZ239" s="494"/>
      <c r="PEA239" s="494"/>
      <c r="PEB239" s="494"/>
      <c r="PEC239" s="494"/>
      <c r="PED239" s="494"/>
      <c r="PEE239" s="494"/>
      <c r="PEF239" s="494"/>
      <c r="PEG239" s="494"/>
      <c r="PEH239" s="494"/>
      <c r="PEI239" s="494"/>
      <c r="PEJ239" s="494"/>
      <c r="PEK239" s="494"/>
      <c r="PEL239" s="494"/>
      <c r="PEM239" s="494"/>
      <c r="PEN239" s="494"/>
      <c r="PEO239" s="494"/>
      <c r="PEP239" s="494"/>
      <c r="PEQ239" s="494"/>
      <c r="PER239" s="494"/>
      <c r="PES239" s="494"/>
      <c r="PET239" s="494"/>
      <c r="PEU239" s="494"/>
      <c r="PEV239" s="494"/>
      <c r="PEW239" s="494"/>
      <c r="PEX239" s="494"/>
      <c r="PEY239" s="494"/>
      <c r="PEZ239" s="494"/>
      <c r="PFA239" s="494"/>
      <c r="PFB239" s="494"/>
      <c r="PFC239" s="494"/>
      <c r="PFD239" s="494"/>
      <c r="PFE239" s="494"/>
      <c r="PFF239" s="494"/>
      <c r="PFG239" s="494"/>
      <c r="PFH239" s="494"/>
      <c r="PFI239" s="494"/>
      <c r="PFJ239" s="494"/>
      <c r="PFK239" s="494"/>
      <c r="PFL239" s="494"/>
      <c r="PFM239" s="494"/>
      <c r="PFN239" s="494"/>
      <c r="PFO239" s="494"/>
      <c r="PFP239" s="494"/>
      <c r="PFQ239" s="494"/>
      <c r="PFR239" s="494"/>
      <c r="PFS239" s="494"/>
      <c r="PFT239" s="494"/>
      <c r="PFU239" s="494"/>
      <c r="PFV239" s="494"/>
      <c r="PFW239" s="494"/>
      <c r="PFX239" s="494"/>
      <c r="PFY239" s="494"/>
      <c r="PFZ239" s="494"/>
      <c r="PGA239" s="494"/>
      <c r="PGB239" s="494"/>
      <c r="PGC239" s="494"/>
      <c r="PGD239" s="494"/>
      <c r="PGE239" s="494"/>
      <c r="PGF239" s="494"/>
      <c r="PGG239" s="494"/>
      <c r="PGH239" s="494"/>
      <c r="PGI239" s="494"/>
      <c r="PGJ239" s="494"/>
      <c r="PGK239" s="494"/>
      <c r="PGL239" s="494"/>
      <c r="PGM239" s="494"/>
      <c r="PGN239" s="494"/>
      <c r="PGO239" s="494"/>
      <c r="PGP239" s="494"/>
      <c r="PGQ239" s="494"/>
      <c r="PGR239" s="494"/>
      <c r="PGS239" s="494"/>
      <c r="PGT239" s="494"/>
      <c r="PGU239" s="494"/>
      <c r="PGV239" s="494"/>
      <c r="PGW239" s="494"/>
      <c r="PGX239" s="494"/>
      <c r="PGY239" s="494"/>
      <c r="PGZ239" s="494"/>
      <c r="PHA239" s="494"/>
      <c r="PHB239" s="494"/>
      <c r="PHC239" s="494"/>
      <c r="PHD239" s="494"/>
      <c r="PHE239" s="494"/>
      <c r="PHF239" s="494"/>
      <c r="PHG239" s="494"/>
      <c r="PHH239" s="494"/>
      <c r="PHI239" s="494"/>
      <c r="PHJ239" s="494"/>
      <c r="PHK239" s="494"/>
      <c r="PHL239" s="494"/>
      <c r="PHM239" s="494"/>
      <c r="PHN239" s="494"/>
      <c r="PHO239" s="494"/>
      <c r="PHP239" s="494"/>
      <c r="PHQ239" s="494"/>
      <c r="PHR239" s="494"/>
      <c r="PHS239" s="494"/>
      <c r="PHT239" s="494"/>
      <c r="PHU239" s="494"/>
      <c r="PHV239" s="494"/>
      <c r="PHW239" s="494"/>
      <c r="PHX239" s="494"/>
      <c r="PHY239" s="494"/>
      <c r="PHZ239" s="494"/>
      <c r="PIA239" s="494"/>
      <c r="PIB239" s="494"/>
      <c r="PIC239" s="494"/>
      <c r="PID239" s="494"/>
      <c r="PIE239" s="494"/>
      <c r="PIF239" s="494"/>
      <c r="PIG239" s="494"/>
      <c r="PIH239" s="494"/>
      <c r="PII239" s="494"/>
      <c r="PIJ239" s="494"/>
      <c r="PIK239" s="494"/>
      <c r="PIL239" s="494"/>
      <c r="PIM239" s="494"/>
      <c r="PIN239" s="494"/>
      <c r="PIO239" s="494"/>
      <c r="PIP239" s="494"/>
      <c r="PIQ239" s="494"/>
      <c r="PIR239" s="494"/>
      <c r="PIS239" s="494"/>
      <c r="PIT239" s="494"/>
      <c r="PIU239" s="494"/>
      <c r="PIV239" s="494"/>
      <c r="PIW239" s="494"/>
      <c r="PIX239" s="494"/>
      <c r="PIY239" s="494"/>
      <c r="PIZ239" s="494"/>
      <c r="PJA239" s="494"/>
      <c r="PJB239" s="494"/>
      <c r="PJC239" s="494"/>
      <c r="PJD239" s="494"/>
      <c r="PJE239" s="494"/>
      <c r="PJF239" s="494"/>
      <c r="PJG239" s="494"/>
      <c r="PJH239" s="494"/>
      <c r="PJI239" s="494"/>
      <c r="PJJ239" s="494"/>
      <c r="PJK239" s="494"/>
      <c r="PJL239" s="494"/>
      <c r="PJM239" s="494"/>
      <c r="PJN239" s="494"/>
      <c r="PJO239" s="494"/>
      <c r="PJP239" s="494"/>
      <c r="PJQ239" s="494"/>
      <c r="PJR239" s="494"/>
      <c r="PJS239" s="494"/>
      <c r="PJT239" s="494"/>
      <c r="PJU239" s="494"/>
      <c r="PJV239" s="494"/>
      <c r="PJW239" s="494"/>
      <c r="PJX239" s="494"/>
      <c r="PJY239" s="494"/>
      <c r="PJZ239" s="494"/>
      <c r="PKA239" s="494"/>
      <c r="PKB239" s="494"/>
      <c r="PKC239" s="494"/>
      <c r="PKD239" s="494"/>
      <c r="PKE239" s="494"/>
      <c r="PKF239" s="494"/>
      <c r="PKG239" s="494"/>
      <c r="PKH239" s="494"/>
      <c r="PKI239" s="494"/>
      <c r="PKJ239" s="494"/>
      <c r="PKK239" s="494"/>
      <c r="PKL239" s="494"/>
      <c r="PKM239" s="494"/>
      <c r="PKN239" s="494"/>
      <c r="PKO239" s="494"/>
      <c r="PKP239" s="494"/>
      <c r="PKQ239" s="494"/>
      <c r="PKR239" s="494"/>
      <c r="PKS239" s="494"/>
      <c r="PKT239" s="494"/>
      <c r="PKU239" s="494"/>
      <c r="PKV239" s="494"/>
      <c r="PKW239" s="494"/>
      <c r="PKX239" s="494"/>
      <c r="PKY239" s="494"/>
      <c r="PKZ239" s="494"/>
      <c r="PLA239" s="494"/>
      <c r="PLB239" s="494"/>
      <c r="PLC239" s="494"/>
      <c r="PLD239" s="494"/>
      <c r="PLE239" s="494"/>
      <c r="PLF239" s="494"/>
      <c r="PLG239" s="494"/>
      <c r="PLH239" s="494"/>
      <c r="PLI239" s="494"/>
      <c r="PLJ239" s="494"/>
      <c r="PLK239" s="494"/>
      <c r="PLL239" s="494"/>
      <c r="PLM239" s="494"/>
      <c r="PLN239" s="494"/>
      <c r="PLO239" s="494"/>
      <c r="PLP239" s="494"/>
      <c r="PLQ239" s="494"/>
      <c r="PLR239" s="494"/>
      <c r="PLS239" s="494"/>
      <c r="PLT239" s="494"/>
      <c r="PLU239" s="494"/>
      <c r="PLV239" s="494"/>
      <c r="PLW239" s="494"/>
      <c r="PLX239" s="494"/>
      <c r="PLY239" s="494"/>
      <c r="PLZ239" s="494"/>
      <c r="PMA239" s="494"/>
      <c r="PMB239" s="494"/>
      <c r="PMC239" s="494"/>
      <c r="PMD239" s="494"/>
      <c r="PME239" s="494"/>
      <c r="PMF239" s="494"/>
      <c r="PMG239" s="494"/>
      <c r="PMH239" s="494"/>
      <c r="PMI239" s="494"/>
      <c r="PMJ239" s="494"/>
      <c r="PMK239" s="494"/>
      <c r="PML239" s="494"/>
      <c r="PMM239" s="494"/>
      <c r="PMN239" s="494"/>
      <c r="PMO239" s="494"/>
      <c r="PMP239" s="494"/>
      <c r="PMQ239" s="494"/>
      <c r="PMR239" s="494"/>
      <c r="PMS239" s="494"/>
      <c r="PMT239" s="494"/>
      <c r="PMU239" s="494"/>
      <c r="PMV239" s="494"/>
      <c r="PMW239" s="494"/>
      <c r="PMX239" s="494"/>
      <c r="PMY239" s="494"/>
      <c r="PMZ239" s="494"/>
      <c r="PNA239" s="494"/>
      <c r="PNB239" s="494"/>
      <c r="PNC239" s="494"/>
      <c r="PND239" s="494"/>
      <c r="PNE239" s="494"/>
      <c r="PNF239" s="494"/>
      <c r="PNG239" s="494"/>
      <c r="PNH239" s="494"/>
      <c r="PNI239" s="494"/>
      <c r="PNJ239" s="494"/>
      <c r="PNK239" s="494"/>
      <c r="PNL239" s="494"/>
      <c r="PNM239" s="494"/>
      <c r="PNN239" s="494"/>
      <c r="PNO239" s="494"/>
      <c r="PNP239" s="494"/>
      <c r="PNQ239" s="494"/>
      <c r="PNR239" s="494"/>
      <c r="PNS239" s="494"/>
      <c r="PNT239" s="494"/>
      <c r="PNU239" s="494"/>
      <c r="PNV239" s="494"/>
      <c r="PNW239" s="494"/>
      <c r="PNX239" s="494"/>
      <c r="PNY239" s="494"/>
      <c r="PNZ239" s="494"/>
      <c r="POA239" s="494"/>
      <c r="POB239" s="494"/>
      <c r="POC239" s="494"/>
      <c r="POD239" s="494"/>
      <c r="POE239" s="494"/>
      <c r="POF239" s="494"/>
      <c r="POG239" s="494"/>
      <c r="POH239" s="494"/>
      <c r="POI239" s="494"/>
      <c r="POJ239" s="494"/>
      <c r="POK239" s="494"/>
      <c r="POL239" s="494"/>
      <c r="POM239" s="494"/>
      <c r="PON239" s="494"/>
      <c r="POO239" s="494"/>
      <c r="POP239" s="494"/>
      <c r="POQ239" s="494"/>
      <c r="POR239" s="494"/>
      <c r="POS239" s="494"/>
      <c r="POT239" s="494"/>
      <c r="POU239" s="494"/>
      <c r="POV239" s="494"/>
      <c r="POW239" s="494"/>
      <c r="POX239" s="494"/>
      <c r="POY239" s="494"/>
      <c r="POZ239" s="494"/>
      <c r="PPA239" s="494"/>
      <c r="PPB239" s="494"/>
      <c r="PPC239" s="494"/>
      <c r="PPD239" s="494"/>
      <c r="PPE239" s="494"/>
      <c r="PPF239" s="494"/>
      <c r="PPG239" s="494"/>
      <c r="PPH239" s="494"/>
      <c r="PPI239" s="494"/>
      <c r="PPJ239" s="494"/>
      <c r="PPK239" s="494"/>
      <c r="PPL239" s="494"/>
      <c r="PPM239" s="494"/>
      <c r="PPN239" s="494"/>
      <c r="PPO239" s="494"/>
      <c r="PPP239" s="494"/>
      <c r="PPQ239" s="494"/>
      <c r="PPR239" s="494"/>
      <c r="PPS239" s="494"/>
      <c r="PPT239" s="494"/>
      <c r="PPU239" s="494"/>
      <c r="PPV239" s="494"/>
      <c r="PPW239" s="494"/>
      <c r="PPX239" s="494"/>
      <c r="PPY239" s="494"/>
      <c r="PPZ239" s="494"/>
      <c r="PQA239" s="494"/>
      <c r="PQB239" s="494"/>
      <c r="PQC239" s="494"/>
      <c r="PQD239" s="494"/>
      <c r="PQE239" s="494"/>
      <c r="PQF239" s="494"/>
      <c r="PQG239" s="494"/>
      <c r="PQH239" s="494"/>
      <c r="PQI239" s="494"/>
      <c r="PQJ239" s="494"/>
      <c r="PQK239" s="494"/>
      <c r="PQL239" s="494"/>
      <c r="PQM239" s="494"/>
      <c r="PQN239" s="494"/>
      <c r="PQO239" s="494"/>
      <c r="PQP239" s="494"/>
      <c r="PQQ239" s="494"/>
      <c r="PQR239" s="494"/>
      <c r="PQS239" s="494"/>
      <c r="PQT239" s="494"/>
      <c r="PQU239" s="494"/>
      <c r="PQV239" s="494"/>
      <c r="PQW239" s="494"/>
      <c r="PQX239" s="494"/>
      <c r="PQY239" s="494"/>
      <c r="PQZ239" s="494"/>
      <c r="PRA239" s="494"/>
      <c r="PRB239" s="494"/>
      <c r="PRC239" s="494"/>
      <c r="PRD239" s="494"/>
      <c r="PRE239" s="494"/>
      <c r="PRF239" s="494"/>
      <c r="PRG239" s="494"/>
      <c r="PRH239" s="494"/>
      <c r="PRI239" s="494"/>
      <c r="PRJ239" s="494"/>
      <c r="PRK239" s="494"/>
      <c r="PRL239" s="494"/>
      <c r="PRM239" s="494"/>
      <c r="PRN239" s="494"/>
      <c r="PRO239" s="494"/>
      <c r="PRP239" s="494"/>
      <c r="PRQ239" s="494"/>
      <c r="PRR239" s="494"/>
      <c r="PRS239" s="494"/>
      <c r="PRT239" s="494"/>
      <c r="PRU239" s="494"/>
      <c r="PRV239" s="494"/>
      <c r="PRW239" s="494"/>
      <c r="PRX239" s="494"/>
      <c r="PRY239" s="494"/>
      <c r="PRZ239" s="494"/>
      <c r="PSA239" s="494"/>
      <c r="PSB239" s="494"/>
      <c r="PSC239" s="494"/>
      <c r="PSD239" s="494"/>
      <c r="PSE239" s="494"/>
      <c r="PSF239" s="494"/>
      <c r="PSG239" s="494"/>
      <c r="PSH239" s="494"/>
      <c r="PSI239" s="494"/>
      <c r="PSJ239" s="494"/>
      <c r="PSK239" s="494"/>
      <c r="PSL239" s="494"/>
      <c r="PSM239" s="494"/>
      <c r="PSN239" s="494"/>
      <c r="PSO239" s="494"/>
      <c r="PSP239" s="494"/>
      <c r="PSQ239" s="494"/>
      <c r="PSR239" s="494"/>
      <c r="PSS239" s="494"/>
      <c r="PST239" s="494"/>
      <c r="PSU239" s="494"/>
      <c r="PSV239" s="494"/>
      <c r="PSW239" s="494"/>
      <c r="PSX239" s="494"/>
      <c r="PSY239" s="494"/>
      <c r="PSZ239" s="494"/>
      <c r="PTA239" s="494"/>
      <c r="PTB239" s="494"/>
      <c r="PTC239" s="494"/>
      <c r="PTD239" s="494"/>
      <c r="PTE239" s="494"/>
      <c r="PTF239" s="494"/>
      <c r="PTG239" s="494"/>
      <c r="PTH239" s="494"/>
      <c r="PTI239" s="494"/>
      <c r="PTJ239" s="494"/>
      <c r="PTK239" s="494"/>
      <c r="PTL239" s="494"/>
      <c r="PTM239" s="494"/>
      <c r="PTN239" s="494"/>
      <c r="PTO239" s="494"/>
      <c r="PTP239" s="494"/>
      <c r="PTQ239" s="494"/>
      <c r="PTR239" s="494"/>
      <c r="PTS239" s="494"/>
      <c r="PTT239" s="494"/>
      <c r="PTU239" s="494"/>
      <c r="PTV239" s="494"/>
      <c r="PTW239" s="494"/>
      <c r="PTX239" s="494"/>
      <c r="PTY239" s="494"/>
      <c r="PTZ239" s="494"/>
      <c r="PUA239" s="494"/>
      <c r="PUB239" s="494"/>
      <c r="PUC239" s="494"/>
      <c r="PUD239" s="494"/>
      <c r="PUE239" s="494"/>
      <c r="PUF239" s="494"/>
      <c r="PUG239" s="494"/>
      <c r="PUH239" s="494"/>
      <c r="PUI239" s="494"/>
      <c r="PUJ239" s="494"/>
      <c r="PUK239" s="494"/>
      <c r="PUL239" s="494"/>
      <c r="PUM239" s="494"/>
      <c r="PUN239" s="494"/>
      <c r="PUO239" s="494"/>
      <c r="PUP239" s="494"/>
      <c r="PUQ239" s="494"/>
      <c r="PUR239" s="494"/>
      <c r="PUS239" s="494"/>
      <c r="PUT239" s="494"/>
      <c r="PUU239" s="494"/>
      <c r="PUV239" s="494"/>
      <c r="PUW239" s="494"/>
      <c r="PUX239" s="494"/>
      <c r="PUY239" s="494"/>
      <c r="PUZ239" s="494"/>
      <c r="PVA239" s="494"/>
      <c r="PVB239" s="494"/>
      <c r="PVC239" s="494"/>
      <c r="PVD239" s="494"/>
      <c r="PVE239" s="494"/>
      <c r="PVF239" s="494"/>
      <c r="PVG239" s="494"/>
      <c r="PVH239" s="494"/>
      <c r="PVI239" s="494"/>
      <c r="PVJ239" s="494"/>
      <c r="PVK239" s="494"/>
      <c r="PVL239" s="494"/>
      <c r="PVM239" s="494"/>
      <c r="PVN239" s="494"/>
      <c r="PVO239" s="494"/>
      <c r="PVP239" s="494"/>
      <c r="PVQ239" s="494"/>
      <c r="PVR239" s="494"/>
      <c r="PVS239" s="494"/>
      <c r="PVT239" s="494"/>
      <c r="PVU239" s="494"/>
      <c r="PVV239" s="494"/>
      <c r="PVW239" s="494"/>
      <c r="PVX239" s="494"/>
      <c r="PVY239" s="494"/>
      <c r="PVZ239" s="494"/>
      <c r="PWA239" s="494"/>
      <c r="PWB239" s="494"/>
      <c r="PWC239" s="494"/>
      <c r="PWD239" s="494"/>
      <c r="PWE239" s="494"/>
      <c r="PWF239" s="494"/>
      <c r="PWG239" s="494"/>
      <c r="PWH239" s="494"/>
      <c r="PWI239" s="494"/>
      <c r="PWJ239" s="494"/>
      <c r="PWK239" s="494"/>
      <c r="PWL239" s="494"/>
      <c r="PWM239" s="494"/>
      <c r="PWN239" s="494"/>
      <c r="PWO239" s="494"/>
      <c r="PWP239" s="494"/>
      <c r="PWQ239" s="494"/>
      <c r="PWR239" s="494"/>
      <c r="PWS239" s="494"/>
      <c r="PWT239" s="494"/>
      <c r="PWU239" s="494"/>
      <c r="PWV239" s="494"/>
      <c r="PWW239" s="494"/>
      <c r="PWX239" s="494"/>
      <c r="PWY239" s="494"/>
      <c r="PWZ239" s="494"/>
      <c r="PXA239" s="494"/>
      <c r="PXB239" s="494"/>
      <c r="PXC239" s="494"/>
      <c r="PXD239" s="494"/>
      <c r="PXE239" s="494"/>
      <c r="PXF239" s="494"/>
      <c r="PXG239" s="494"/>
      <c r="PXH239" s="494"/>
      <c r="PXI239" s="494"/>
      <c r="PXJ239" s="494"/>
      <c r="PXK239" s="494"/>
      <c r="PXL239" s="494"/>
      <c r="PXM239" s="494"/>
      <c r="PXN239" s="494"/>
      <c r="PXO239" s="494"/>
      <c r="PXP239" s="494"/>
      <c r="PXQ239" s="494"/>
      <c r="PXR239" s="494"/>
      <c r="PXS239" s="494"/>
      <c r="PXT239" s="494"/>
      <c r="PXU239" s="494"/>
      <c r="PXV239" s="494"/>
      <c r="PXW239" s="494"/>
      <c r="PXX239" s="494"/>
      <c r="PXY239" s="494"/>
      <c r="PXZ239" s="494"/>
      <c r="PYA239" s="494"/>
      <c r="PYB239" s="494"/>
      <c r="PYC239" s="494"/>
      <c r="PYD239" s="494"/>
      <c r="PYE239" s="494"/>
      <c r="PYF239" s="494"/>
      <c r="PYG239" s="494"/>
      <c r="PYH239" s="494"/>
      <c r="PYI239" s="494"/>
      <c r="PYJ239" s="494"/>
      <c r="PYK239" s="494"/>
      <c r="PYL239" s="494"/>
      <c r="PYM239" s="494"/>
      <c r="PYN239" s="494"/>
      <c r="PYO239" s="494"/>
      <c r="PYP239" s="494"/>
      <c r="PYQ239" s="494"/>
      <c r="PYR239" s="494"/>
      <c r="PYS239" s="494"/>
      <c r="PYT239" s="494"/>
      <c r="PYU239" s="494"/>
      <c r="PYV239" s="494"/>
      <c r="PYW239" s="494"/>
      <c r="PYX239" s="494"/>
      <c r="PYY239" s="494"/>
      <c r="PYZ239" s="494"/>
      <c r="PZA239" s="494"/>
      <c r="PZB239" s="494"/>
      <c r="PZC239" s="494"/>
      <c r="PZD239" s="494"/>
      <c r="PZE239" s="494"/>
      <c r="PZF239" s="494"/>
      <c r="PZG239" s="494"/>
      <c r="PZH239" s="494"/>
      <c r="PZI239" s="494"/>
      <c r="PZJ239" s="494"/>
      <c r="PZK239" s="494"/>
      <c r="PZL239" s="494"/>
      <c r="PZM239" s="494"/>
      <c r="PZN239" s="494"/>
      <c r="PZO239" s="494"/>
      <c r="PZP239" s="494"/>
      <c r="PZQ239" s="494"/>
      <c r="PZR239" s="494"/>
      <c r="PZS239" s="494"/>
      <c r="PZT239" s="494"/>
      <c r="PZU239" s="494"/>
      <c r="PZV239" s="494"/>
      <c r="PZW239" s="494"/>
      <c r="PZX239" s="494"/>
      <c r="PZY239" s="494"/>
      <c r="PZZ239" s="494"/>
      <c r="QAA239" s="494"/>
      <c r="QAB239" s="494"/>
      <c r="QAC239" s="494"/>
      <c r="QAD239" s="494"/>
      <c r="QAE239" s="494"/>
      <c r="QAF239" s="494"/>
      <c r="QAG239" s="494"/>
      <c r="QAH239" s="494"/>
      <c r="QAI239" s="494"/>
      <c r="QAJ239" s="494"/>
      <c r="QAK239" s="494"/>
      <c r="QAL239" s="494"/>
      <c r="QAM239" s="494"/>
      <c r="QAN239" s="494"/>
      <c r="QAO239" s="494"/>
      <c r="QAP239" s="494"/>
      <c r="QAQ239" s="494"/>
      <c r="QAR239" s="494"/>
      <c r="QAS239" s="494"/>
      <c r="QAT239" s="494"/>
      <c r="QAU239" s="494"/>
      <c r="QAV239" s="494"/>
      <c r="QAW239" s="494"/>
      <c r="QAX239" s="494"/>
      <c r="QAY239" s="494"/>
      <c r="QAZ239" s="494"/>
      <c r="QBA239" s="494"/>
      <c r="QBB239" s="494"/>
      <c r="QBC239" s="494"/>
      <c r="QBD239" s="494"/>
      <c r="QBE239" s="494"/>
      <c r="QBF239" s="494"/>
      <c r="QBG239" s="494"/>
      <c r="QBH239" s="494"/>
      <c r="QBI239" s="494"/>
      <c r="QBJ239" s="494"/>
      <c r="QBK239" s="494"/>
      <c r="QBL239" s="494"/>
      <c r="QBM239" s="494"/>
      <c r="QBN239" s="494"/>
      <c r="QBO239" s="494"/>
      <c r="QBP239" s="494"/>
      <c r="QBQ239" s="494"/>
      <c r="QBR239" s="494"/>
      <c r="QBS239" s="494"/>
      <c r="QBT239" s="494"/>
      <c r="QBU239" s="494"/>
      <c r="QBV239" s="494"/>
      <c r="QBW239" s="494"/>
      <c r="QBX239" s="494"/>
      <c r="QBY239" s="494"/>
      <c r="QBZ239" s="494"/>
      <c r="QCA239" s="494"/>
      <c r="QCB239" s="494"/>
      <c r="QCC239" s="494"/>
      <c r="QCD239" s="494"/>
      <c r="QCE239" s="494"/>
      <c r="QCF239" s="494"/>
      <c r="QCG239" s="494"/>
      <c r="QCH239" s="494"/>
      <c r="QCI239" s="494"/>
      <c r="QCJ239" s="494"/>
      <c r="QCK239" s="494"/>
      <c r="QCL239" s="494"/>
      <c r="QCM239" s="494"/>
      <c r="QCN239" s="494"/>
      <c r="QCO239" s="494"/>
      <c r="QCP239" s="494"/>
      <c r="QCQ239" s="494"/>
      <c r="QCR239" s="494"/>
      <c r="QCS239" s="494"/>
      <c r="QCT239" s="494"/>
      <c r="QCU239" s="494"/>
      <c r="QCV239" s="494"/>
      <c r="QCW239" s="494"/>
      <c r="QCX239" s="494"/>
      <c r="QCY239" s="494"/>
      <c r="QCZ239" s="494"/>
      <c r="QDA239" s="494"/>
      <c r="QDB239" s="494"/>
      <c r="QDC239" s="494"/>
      <c r="QDD239" s="494"/>
      <c r="QDE239" s="494"/>
      <c r="QDF239" s="494"/>
      <c r="QDG239" s="494"/>
      <c r="QDH239" s="494"/>
      <c r="QDI239" s="494"/>
      <c r="QDJ239" s="494"/>
      <c r="QDK239" s="494"/>
      <c r="QDL239" s="494"/>
      <c r="QDM239" s="494"/>
      <c r="QDN239" s="494"/>
      <c r="QDO239" s="494"/>
      <c r="QDP239" s="494"/>
      <c r="QDQ239" s="494"/>
      <c r="QDR239" s="494"/>
      <c r="QDS239" s="494"/>
      <c r="QDT239" s="494"/>
      <c r="QDU239" s="494"/>
      <c r="QDV239" s="494"/>
      <c r="QDW239" s="494"/>
      <c r="QDX239" s="494"/>
      <c r="QDY239" s="494"/>
      <c r="QDZ239" s="494"/>
      <c r="QEA239" s="494"/>
      <c r="QEB239" s="494"/>
      <c r="QEC239" s="494"/>
      <c r="QED239" s="494"/>
      <c r="QEE239" s="494"/>
      <c r="QEF239" s="494"/>
      <c r="QEG239" s="494"/>
      <c r="QEH239" s="494"/>
      <c r="QEI239" s="494"/>
      <c r="QEJ239" s="494"/>
      <c r="QEK239" s="494"/>
      <c r="QEL239" s="494"/>
      <c r="QEM239" s="494"/>
      <c r="QEN239" s="494"/>
      <c r="QEO239" s="494"/>
      <c r="QEP239" s="494"/>
      <c r="QEQ239" s="494"/>
      <c r="QER239" s="494"/>
      <c r="QES239" s="494"/>
      <c r="QET239" s="494"/>
      <c r="QEU239" s="494"/>
      <c r="QEV239" s="494"/>
      <c r="QEW239" s="494"/>
      <c r="QEX239" s="494"/>
      <c r="QEY239" s="494"/>
      <c r="QEZ239" s="494"/>
      <c r="QFA239" s="494"/>
      <c r="QFB239" s="494"/>
      <c r="QFC239" s="494"/>
      <c r="QFD239" s="494"/>
      <c r="QFE239" s="494"/>
      <c r="QFF239" s="494"/>
      <c r="QFG239" s="494"/>
      <c r="QFH239" s="494"/>
      <c r="QFI239" s="494"/>
      <c r="QFJ239" s="494"/>
      <c r="QFK239" s="494"/>
      <c r="QFL239" s="494"/>
      <c r="QFM239" s="494"/>
      <c r="QFN239" s="494"/>
      <c r="QFO239" s="494"/>
      <c r="QFP239" s="494"/>
      <c r="QFQ239" s="494"/>
      <c r="QFR239" s="494"/>
      <c r="QFS239" s="494"/>
      <c r="QFT239" s="494"/>
      <c r="QFU239" s="494"/>
      <c r="QFV239" s="494"/>
      <c r="QFW239" s="494"/>
      <c r="QFX239" s="494"/>
      <c r="QFY239" s="494"/>
      <c r="QFZ239" s="494"/>
      <c r="QGA239" s="494"/>
      <c r="QGB239" s="494"/>
      <c r="QGC239" s="494"/>
      <c r="QGD239" s="494"/>
      <c r="QGE239" s="494"/>
      <c r="QGF239" s="494"/>
      <c r="QGG239" s="494"/>
      <c r="QGH239" s="494"/>
      <c r="QGI239" s="494"/>
      <c r="QGJ239" s="494"/>
      <c r="QGK239" s="494"/>
      <c r="QGL239" s="494"/>
      <c r="QGM239" s="494"/>
      <c r="QGN239" s="494"/>
      <c r="QGO239" s="494"/>
      <c r="QGP239" s="494"/>
      <c r="QGQ239" s="494"/>
      <c r="QGR239" s="494"/>
      <c r="QGS239" s="494"/>
      <c r="QGT239" s="494"/>
      <c r="QGU239" s="494"/>
      <c r="QGV239" s="494"/>
      <c r="QGW239" s="494"/>
      <c r="QGX239" s="494"/>
      <c r="QGY239" s="494"/>
      <c r="QGZ239" s="494"/>
      <c r="QHA239" s="494"/>
      <c r="QHB239" s="494"/>
      <c r="QHC239" s="494"/>
      <c r="QHD239" s="494"/>
      <c r="QHE239" s="494"/>
      <c r="QHF239" s="494"/>
      <c r="QHG239" s="494"/>
      <c r="QHH239" s="494"/>
      <c r="QHI239" s="494"/>
      <c r="QHJ239" s="494"/>
      <c r="QHK239" s="494"/>
      <c r="QHL239" s="494"/>
      <c r="QHM239" s="494"/>
      <c r="QHN239" s="494"/>
      <c r="QHO239" s="494"/>
      <c r="QHP239" s="494"/>
      <c r="QHQ239" s="494"/>
      <c r="QHR239" s="494"/>
      <c r="QHS239" s="494"/>
      <c r="QHT239" s="494"/>
      <c r="QHU239" s="494"/>
      <c r="QHV239" s="494"/>
      <c r="QHW239" s="494"/>
      <c r="QHX239" s="494"/>
      <c r="QHY239" s="494"/>
      <c r="QHZ239" s="494"/>
      <c r="QIA239" s="494"/>
      <c r="QIB239" s="494"/>
      <c r="QIC239" s="494"/>
      <c r="QID239" s="494"/>
      <c r="QIE239" s="494"/>
      <c r="QIF239" s="494"/>
      <c r="QIG239" s="494"/>
      <c r="QIH239" s="494"/>
      <c r="QII239" s="494"/>
      <c r="QIJ239" s="494"/>
      <c r="QIK239" s="494"/>
      <c r="QIL239" s="494"/>
      <c r="QIM239" s="494"/>
      <c r="QIN239" s="494"/>
      <c r="QIO239" s="494"/>
      <c r="QIP239" s="494"/>
      <c r="QIQ239" s="494"/>
      <c r="QIR239" s="494"/>
      <c r="QIS239" s="494"/>
      <c r="QIT239" s="494"/>
      <c r="QIU239" s="494"/>
      <c r="QIV239" s="494"/>
      <c r="QIW239" s="494"/>
      <c r="QIX239" s="494"/>
      <c r="QIY239" s="494"/>
      <c r="QIZ239" s="494"/>
      <c r="QJA239" s="494"/>
      <c r="QJB239" s="494"/>
      <c r="QJC239" s="494"/>
      <c r="QJD239" s="494"/>
      <c r="QJE239" s="494"/>
      <c r="QJF239" s="494"/>
      <c r="QJG239" s="494"/>
      <c r="QJH239" s="494"/>
      <c r="QJI239" s="494"/>
      <c r="QJJ239" s="494"/>
      <c r="QJK239" s="494"/>
      <c r="QJL239" s="494"/>
      <c r="QJM239" s="494"/>
      <c r="QJN239" s="494"/>
      <c r="QJO239" s="494"/>
      <c r="QJP239" s="494"/>
      <c r="QJQ239" s="494"/>
      <c r="QJR239" s="494"/>
      <c r="QJS239" s="494"/>
      <c r="QJT239" s="494"/>
      <c r="QJU239" s="494"/>
      <c r="QJV239" s="494"/>
      <c r="QJW239" s="494"/>
      <c r="QJX239" s="494"/>
      <c r="QJY239" s="494"/>
      <c r="QJZ239" s="494"/>
      <c r="QKA239" s="494"/>
      <c r="QKB239" s="494"/>
      <c r="QKC239" s="494"/>
      <c r="QKD239" s="494"/>
      <c r="QKE239" s="494"/>
      <c r="QKF239" s="494"/>
      <c r="QKG239" s="494"/>
      <c r="QKH239" s="494"/>
      <c r="QKI239" s="494"/>
      <c r="QKJ239" s="494"/>
      <c r="QKK239" s="494"/>
      <c r="QKL239" s="494"/>
      <c r="QKM239" s="494"/>
      <c r="QKN239" s="494"/>
      <c r="QKO239" s="494"/>
      <c r="QKP239" s="494"/>
      <c r="QKQ239" s="494"/>
      <c r="QKR239" s="494"/>
      <c r="QKS239" s="494"/>
      <c r="QKT239" s="494"/>
      <c r="QKU239" s="494"/>
      <c r="QKV239" s="494"/>
      <c r="QKW239" s="494"/>
      <c r="QKX239" s="494"/>
      <c r="QKY239" s="494"/>
      <c r="QKZ239" s="494"/>
      <c r="QLA239" s="494"/>
      <c r="QLB239" s="494"/>
      <c r="QLC239" s="494"/>
      <c r="QLD239" s="494"/>
      <c r="QLE239" s="494"/>
      <c r="QLF239" s="494"/>
      <c r="QLG239" s="494"/>
      <c r="QLH239" s="494"/>
      <c r="QLI239" s="494"/>
      <c r="QLJ239" s="494"/>
      <c r="QLK239" s="494"/>
      <c r="QLL239" s="494"/>
      <c r="QLM239" s="494"/>
      <c r="QLN239" s="494"/>
      <c r="QLO239" s="494"/>
      <c r="QLP239" s="494"/>
      <c r="QLQ239" s="494"/>
      <c r="QLR239" s="494"/>
      <c r="QLS239" s="494"/>
      <c r="QLT239" s="494"/>
      <c r="QLU239" s="494"/>
      <c r="QLV239" s="494"/>
      <c r="QLW239" s="494"/>
      <c r="QLX239" s="494"/>
      <c r="QLY239" s="494"/>
      <c r="QLZ239" s="494"/>
      <c r="QMA239" s="494"/>
      <c r="QMB239" s="494"/>
      <c r="QMC239" s="494"/>
      <c r="QMD239" s="494"/>
      <c r="QME239" s="494"/>
      <c r="QMF239" s="494"/>
      <c r="QMG239" s="494"/>
      <c r="QMH239" s="494"/>
      <c r="QMI239" s="494"/>
      <c r="QMJ239" s="494"/>
      <c r="QMK239" s="494"/>
      <c r="QML239" s="494"/>
      <c r="QMM239" s="494"/>
      <c r="QMN239" s="494"/>
      <c r="QMO239" s="494"/>
      <c r="QMP239" s="494"/>
      <c r="QMQ239" s="494"/>
      <c r="QMR239" s="494"/>
      <c r="QMS239" s="494"/>
      <c r="QMT239" s="494"/>
      <c r="QMU239" s="494"/>
      <c r="QMV239" s="494"/>
      <c r="QMW239" s="494"/>
      <c r="QMX239" s="494"/>
      <c r="QMY239" s="494"/>
      <c r="QMZ239" s="494"/>
      <c r="QNA239" s="494"/>
      <c r="QNB239" s="494"/>
      <c r="QNC239" s="494"/>
      <c r="QND239" s="494"/>
      <c r="QNE239" s="494"/>
      <c r="QNF239" s="494"/>
      <c r="QNG239" s="494"/>
      <c r="QNH239" s="494"/>
      <c r="QNI239" s="494"/>
      <c r="QNJ239" s="494"/>
      <c r="QNK239" s="494"/>
      <c r="QNL239" s="494"/>
      <c r="QNM239" s="494"/>
      <c r="QNN239" s="494"/>
      <c r="QNO239" s="494"/>
      <c r="QNP239" s="494"/>
      <c r="QNQ239" s="494"/>
      <c r="QNR239" s="494"/>
      <c r="QNS239" s="494"/>
      <c r="QNT239" s="494"/>
      <c r="QNU239" s="494"/>
      <c r="QNV239" s="494"/>
      <c r="QNW239" s="494"/>
      <c r="QNX239" s="494"/>
      <c r="QNY239" s="494"/>
      <c r="QNZ239" s="494"/>
      <c r="QOA239" s="494"/>
      <c r="QOB239" s="494"/>
      <c r="QOC239" s="494"/>
      <c r="QOD239" s="494"/>
      <c r="QOE239" s="494"/>
      <c r="QOF239" s="494"/>
      <c r="QOG239" s="494"/>
      <c r="QOH239" s="494"/>
      <c r="QOI239" s="494"/>
      <c r="QOJ239" s="494"/>
      <c r="QOK239" s="494"/>
      <c r="QOL239" s="494"/>
      <c r="QOM239" s="494"/>
      <c r="QON239" s="494"/>
      <c r="QOO239" s="494"/>
      <c r="QOP239" s="494"/>
      <c r="QOQ239" s="494"/>
      <c r="QOR239" s="494"/>
      <c r="QOS239" s="494"/>
      <c r="QOT239" s="494"/>
      <c r="QOU239" s="494"/>
      <c r="QOV239" s="494"/>
      <c r="QOW239" s="494"/>
      <c r="QOX239" s="494"/>
      <c r="QOY239" s="494"/>
      <c r="QOZ239" s="494"/>
      <c r="QPA239" s="494"/>
      <c r="QPB239" s="494"/>
      <c r="QPC239" s="494"/>
      <c r="QPD239" s="494"/>
      <c r="QPE239" s="494"/>
      <c r="QPF239" s="494"/>
      <c r="QPG239" s="494"/>
      <c r="QPH239" s="494"/>
      <c r="QPI239" s="494"/>
      <c r="QPJ239" s="494"/>
      <c r="QPK239" s="494"/>
      <c r="QPL239" s="494"/>
      <c r="QPM239" s="494"/>
      <c r="QPN239" s="494"/>
      <c r="QPO239" s="494"/>
      <c r="QPP239" s="494"/>
      <c r="QPQ239" s="494"/>
      <c r="QPR239" s="494"/>
      <c r="QPS239" s="494"/>
      <c r="QPT239" s="494"/>
      <c r="QPU239" s="494"/>
      <c r="QPV239" s="494"/>
      <c r="QPW239" s="494"/>
      <c r="QPX239" s="494"/>
      <c r="QPY239" s="494"/>
      <c r="QPZ239" s="494"/>
      <c r="QQA239" s="494"/>
      <c r="QQB239" s="494"/>
      <c r="QQC239" s="494"/>
      <c r="QQD239" s="494"/>
      <c r="QQE239" s="494"/>
      <c r="QQF239" s="494"/>
      <c r="QQG239" s="494"/>
      <c r="QQH239" s="494"/>
      <c r="QQI239" s="494"/>
      <c r="QQJ239" s="494"/>
      <c r="QQK239" s="494"/>
      <c r="QQL239" s="494"/>
      <c r="QQM239" s="494"/>
      <c r="QQN239" s="494"/>
      <c r="QQO239" s="494"/>
      <c r="QQP239" s="494"/>
      <c r="QQQ239" s="494"/>
      <c r="QQR239" s="494"/>
      <c r="QQS239" s="494"/>
      <c r="QQT239" s="494"/>
      <c r="QQU239" s="494"/>
      <c r="QQV239" s="494"/>
      <c r="QQW239" s="494"/>
      <c r="QQX239" s="494"/>
      <c r="QQY239" s="494"/>
      <c r="QQZ239" s="494"/>
      <c r="QRA239" s="494"/>
      <c r="QRB239" s="494"/>
      <c r="QRC239" s="494"/>
      <c r="QRD239" s="494"/>
      <c r="QRE239" s="494"/>
      <c r="QRF239" s="494"/>
      <c r="QRG239" s="494"/>
      <c r="QRH239" s="494"/>
      <c r="QRI239" s="494"/>
      <c r="QRJ239" s="494"/>
      <c r="QRK239" s="494"/>
      <c r="QRL239" s="494"/>
      <c r="QRM239" s="494"/>
      <c r="QRN239" s="494"/>
      <c r="QRO239" s="494"/>
      <c r="QRP239" s="494"/>
      <c r="QRQ239" s="494"/>
      <c r="QRR239" s="494"/>
      <c r="QRS239" s="494"/>
      <c r="QRT239" s="494"/>
      <c r="QRU239" s="494"/>
      <c r="QRV239" s="494"/>
      <c r="QRW239" s="494"/>
      <c r="QRX239" s="494"/>
      <c r="QRY239" s="494"/>
      <c r="QRZ239" s="494"/>
      <c r="QSA239" s="494"/>
      <c r="QSB239" s="494"/>
      <c r="QSC239" s="494"/>
      <c r="QSD239" s="494"/>
      <c r="QSE239" s="494"/>
      <c r="QSF239" s="494"/>
      <c r="QSG239" s="494"/>
      <c r="QSH239" s="494"/>
      <c r="QSI239" s="494"/>
      <c r="QSJ239" s="494"/>
      <c r="QSK239" s="494"/>
      <c r="QSL239" s="494"/>
      <c r="QSM239" s="494"/>
      <c r="QSN239" s="494"/>
      <c r="QSO239" s="494"/>
      <c r="QSP239" s="494"/>
      <c r="QSQ239" s="494"/>
      <c r="QSR239" s="494"/>
      <c r="QSS239" s="494"/>
      <c r="QST239" s="494"/>
      <c r="QSU239" s="494"/>
      <c r="QSV239" s="494"/>
      <c r="QSW239" s="494"/>
      <c r="QSX239" s="494"/>
      <c r="QSY239" s="494"/>
      <c r="QSZ239" s="494"/>
      <c r="QTA239" s="494"/>
      <c r="QTB239" s="494"/>
      <c r="QTC239" s="494"/>
      <c r="QTD239" s="494"/>
      <c r="QTE239" s="494"/>
      <c r="QTF239" s="494"/>
      <c r="QTG239" s="494"/>
      <c r="QTH239" s="494"/>
      <c r="QTI239" s="494"/>
      <c r="QTJ239" s="494"/>
      <c r="QTK239" s="494"/>
      <c r="QTL239" s="494"/>
      <c r="QTM239" s="494"/>
      <c r="QTN239" s="494"/>
      <c r="QTO239" s="494"/>
      <c r="QTP239" s="494"/>
      <c r="QTQ239" s="494"/>
      <c r="QTR239" s="494"/>
      <c r="QTS239" s="494"/>
      <c r="QTT239" s="494"/>
      <c r="QTU239" s="494"/>
      <c r="QTV239" s="494"/>
      <c r="QTW239" s="494"/>
      <c r="QTX239" s="494"/>
      <c r="QTY239" s="494"/>
      <c r="QTZ239" s="494"/>
      <c r="QUA239" s="494"/>
      <c r="QUB239" s="494"/>
      <c r="QUC239" s="494"/>
      <c r="QUD239" s="494"/>
      <c r="QUE239" s="494"/>
      <c r="QUF239" s="494"/>
      <c r="QUG239" s="494"/>
      <c r="QUH239" s="494"/>
      <c r="QUI239" s="494"/>
      <c r="QUJ239" s="494"/>
      <c r="QUK239" s="494"/>
      <c r="QUL239" s="494"/>
      <c r="QUM239" s="494"/>
      <c r="QUN239" s="494"/>
      <c r="QUO239" s="494"/>
      <c r="QUP239" s="494"/>
      <c r="QUQ239" s="494"/>
      <c r="QUR239" s="494"/>
      <c r="QUS239" s="494"/>
      <c r="QUT239" s="494"/>
      <c r="QUU239" s="494"/>
      <c r="QUV239" s="494"/>
      <c r="QUW239" s="494"/>
      <c r="QUX239" s="494"/>
      <c r="QUY239" s="494"/>
      <c r="QUZ239" s="494"/>
      <c r="QVA239" s="494"/>
      <c r="QVB239" s="494"/>
      <c r="QVC239" s="494"/>
      <c r="QVD239" s="494"/>
      <c r="QVE239" s="494"/>
      <c r="QVF239" s="494"/>
      <c r="QVG239" s="494"/>
      <c r="QVH239" s="494"/>
      <c r="QVI239" s="494"/>
      <c r="QVJ239" s="494"/>
      <c r="QVK239" s="494"/>
      <c r="QVL239" s="494"/>
      <c r="QVM239" s="494"/>
      <c r="QVN239" s="494"/>
      <c r="QVO239" s="494"/>
      <c r="QVP239" s="494"/>
      <c r="QVQ239" s="494"/>
      <c r="QVR239" s="494"/>
      <c r="QVS239" s="494"/>
      <c r="QVT239" s="494"/>
      <c r="QVU239" s="494"/>
      <c r="QVV239" s="494"/>
      <c r="QVW239" s="494"/>
      <c r="QVX239" s="494"/>
      <c r="QVY239" s="494"/>
      <c r="QVZ239" s="494"/>
      <c r="QWA239" s="494"/>
      <c r="QWB239" s="494"/>
      <c r="QWC239" s="494"/>
      <c r="QWD239" s="494"/>
      <c r="QWE239" s="494"/>
      <c r="QWF239" s="494"/>
      <c r="QWG239" s="494"/>
      <c r="QWH239" s="494"/>
      <c r="QWI239" s="494"/>
      <c r="QWJ239" s="494"/>
      <c r="QWK239" s="494"/>
      <c r="QWL239" s="494"/>
      <c r="QWM239" s="494"/>
      <c r="QWN239" s="494"/>
      <c r="QWO239" s="494"/>
      <c r="QWP239" s="494"/>
      <c r="QWQ239" s="494"/>
      <c r="QWR239" s="494"/>
      <c r="QWS239" s="494"/>
      <c r="QWT239" s="494"/>
      <c r="QWU239" s="494"/>
      <c r="QWV239" s="494"/>
      <c r="QWW239" s="494"/>
      <c r="QWX239" s="494"/>
      <c r="QWY239" s="494"/>
      <c r="QWZ239" s="494"/>
      <c r="QXA239" s="494"/>
      <c r="QXB239" s="494"/>
      <c r="QXC239" s="494"/>
      <c r="QXD239" s="494"/>
      <c r="QXE239" s="494"/>
      <c r="QXF239" s="494"/>
      <c r="QXG239" s="494"/>
      <c r="QXH239" s="494"/>
      <c r="QXI239" s="494"/>
      <c r="QXJ239" s="494"/>
      <c r="QXK239" s="494"/>
      <c r="QXL239" s="494"/>
      <c r="QXM239" s="494"/>
      <c r="QXN239" s="494"/>
      <c r="QXO239" s="494"/>
      <c r="QXP239" s="494"/>
      <c r="QXQ239" s="494"/>
      <c r="QXR239" s="494"/>
      <c r="QXS239" s="494"/>
      <c r="QXT239" s="494"/>
      <c r="QXU239" s="494"/>
      <c r="QXV239" s="494"/>
      <c r="QXW239" s="494"/>
      <c r="QXX239" s="494"/>
      <c r="QXY239" s="494"/>
      <c r="QXZ239" s="494"/>
      <c r="QYA239" s="494"/>
      <c r="QYB239" s="494"/>
      <c r="QYC239" s="494"/>
      <c r="QYD239" s="494"/>
      <c r="QYE239" s="494"/>
      <c r="QYF239" s="494"/>
      <c r="QYG239" s="494"/>
      <c r="QYH239" s="494"/>
      <c r="QYI239" s="494"/>
      <c r="QYJ239" s="494"/>
      <c r="QYK239" s="494"/>
      <c r="QYL239" s="494"/>
      <c r="QYM239" s="494"/>
      <c r="QYN239" s="494"/>
      <c r="QYO239" s="494"/>
      <c r="QYP239" s="494"/>
      <c r="QYQ239" s="494"/>
      <c r="QYR239" s="494"/>
      <c r="QYS239" s="494"/>
      <c r="QYT239" s="494"/>
      <c r="QYU239" s="494"/>
      <c r="QYV239" s="494"/>
      <c r="QYW239" s="494"/>
      <c r="QYX239" s="494"/>
      <c r="QYY239" s="494"/>
      <c r="QYZ239" s="494"/>
      <c r="QZA239" s="494"/>
      <c r="QZB239" s="494"/>
      <c r="QZC239" s="494"/>
      <c r="QZD239" s="494"/>
      <c r="QZE239" s="494"/>
      <c r="QZF239" s="494"/>
      <c r="QZG239" s="494"/>
      <c r="QZH239" s="494"/>
      <c r="QZI239" s="494"/>
      <c r="QZJ239" s="494"/>
      <c r="QZK239" s="494"/>
      <c r="QZL239" s="494"/>
      <c r="QZM239" s="494"/>
      <c r="QZN239" s="494"/>
      <c r="QZO239" s="494"/>
      <c r="QZP239" s="494"/>
      <c r="QZQ239" s="494"/>
      <c r="QZR239" s="494"/>
      <c r="QZS239" s="494"/>
      <c r="QZT239" s="494"/>
      <c r="QZU239" s="494"/>
      <c r="QZV239" s="494"/>
      <c r="QZW239" s="494"/>
      <c r="QZX239" s="494"/>
      <c r="QZY239" s="494"/>
      <c r="QZZ239" s="494"/>
      <c r="RAA239" s="494"/>
      <c r="RAB239" s="494"/>
      <c r="RAC239" s="494"/>
      <c r="RAD239" s="494"/>
      <c r="RAE239" s="494"/>
      <c r="RAF239" s="494"/>
      <c r="RAG239" s="494"/>
      <c r="RAH239" s="494"/>
      <c r="RAI239" s="494"/>
      <c r="RAJ239" s="494"/>
      <c r="RAK239" s="494"/>
      <c r="RAL239" s="494"/>
      <c r="RAM239" s="494"/>
      <c r="RAN239" s="494"/>
      <c r="RAO239" s="494"/>
      <c r="RAP239" s="494"/>
      <c r="RAQ239" s="494"/>
      <c r="RAR239" s="494"/>
      <c r="RAS239" s="494"/>
      <c r="RAT239" s="494"/>
      <c r="RAU239" s="494"/>
      <c r="RAV239" s="494"/>
      <c r="RAW239" s="494"/>
      <c r="RAX239" s="494"/>
      <c r="RAY239" s="494"/>
      <c r="RAZ239" s="494"/>
      <c r="RBA239" s="494"/>
      <c r="RBB239" s="494"/>
      <c r="RBC239" s="494"/>
      <c r="RBD239" s="494"/>
      <c r="RBE239" s="494"/>
      <c r="RBF239" s="494"/>
      <c r="RBG239" s="494"/>
      <c r="RBH239" s="494"/>
      <c r="RBI239" s="494"/>
      <c r="RBJ239" s="494"/>
      <c r="RBK239" s="494"/>
      <c r="RBL239" s="494"/>
      <c r="RBM239" s="494"/>
      <c r="RBN239" s="494"/>
      <c r="RBO239" s="494"/>
      <c r="RBP239" s="494"/>
      <c r="RBQ239" s="494"/>
      <c r="RBR239" s="494"/>
      <c r="RBS239" s="494"/>
      <c r="RBT239" s="494"/>
      <c r="RBU239" s="494"/>
      <c r="RBV239" s="494"/>
      <c r="RBW239" s="494"/>
      <c r="RBX239" s="494"/>
      <c r="RBY239" s="494"/>
      <c r="RBZ239" s="494"/>
      <c r="RCA239" s="494"/>
      <c r="RCB239" s="494"/>
      <c r="RCC239" s="494"/>
      <c r="RCD239" s="494"/>
      <c r="RCE239" s="494"/>
      <c r="RCF239" s="494"/>
      <c r="RCG239" s="494"/>
      <c r="RCH239" s="494"/>
      <c r="RCI239" s="494"/>
      <c r="RCJ239" s="494"/>
      <c r="RCK239" s="494"/>
      <c r="RCL239" s="494"/>
      <c r="RCM239" s="494"/>
      <c r="RCN239" s="494"/>
      <c r="RCO239" s="494"/>
      <c r="RCP239" s="494"/>
      <c r="RCQ239" s="494"/>
      <c r="RCR239" s="494"/>
      <c r="RCS239" s="494"/>
      <c r="RCT239" s="494"/>
      <c r="RCU239" s="494"/>
      <c r="RCV239" s="494"/>
      <c r="RCW239" s="494"/>
      <c r="RCX239" s="494"/>
      <c r="RCY239" s="494"/>
      <c r="RCZ239" s="494"/>
      <c r="RDA239" s="494"/>
      <c r="RDB239" s="494"/>
      <c r="RDC239" s="494"/>
      <c r="RDD239" s="494"/>
      <c r="RDE239" s="494"/>
      <c r="RDF239" s="494"/>
      <c r="RDG239" s="494"/>
      <c r="RDH239" s="494"/>
      <c r="RDI239" s="494"/>
      <c r="RDJ239" s="494"/>
      <c r="RDK239" s="494"/>
      <c r="RDL239" s="494"/>
      <c r="RDM239" s="494"/>
      <c r="RDN239" s="494"/>
      <c r="RDO239" s="494"/>
      <c r="RDP239" s="494"/>
      <c r="RDQ239" s="494"/>
      <c r="RDR239" s="494"/>
      <c r="RDS239" s="494"/>
      <c r="RDT239" s="494"/>
      <c r="RDU239" s="494"/>
      <c r="RDV239" s="494"/>
      <c r="RDW239" s="494"/>
      <c r="RDX239" s="494"/>
      <c r="RDY239" s="494"/>
      <c r="RDZ239" s="494"/>
      <c r="REA239" s="494"/>
      <c r="REB239" s="494"/>
      <c r="REC239" s="494"/>
      <c r="RED239" s="494"/>
      <c r="REE239" s="494"/>
      <c r="REF239" s="494"/>
      <c r="REG239" s="494"/>
      <c r="REH239" s="494"/>
      <c r="REI239" s="494"/>
      <c r="REJ239" s="494"/>
      <c r="REK239" s="494"/>
      <c r="REL239" s="494"/>
      <c r="REM239" s="494"/>
      <c r="REN239" s="494"/>
      <c r="REO239" s="494"/>
      <c r="REP239" s="494"/>
      <c r="REQ239" s="494"/>
      <c r="RER239" s="494"/>
      <c r="RES239" s="494"/>
      <c r="RET239" s="494"/>
      <c r="REU239" s="494"/>
      <c r="REV239" s="494"/>
      <c r="REW239" s="494"/>
      <c r="REX239" s="494"/>
      <c r="REY239" s="494"/>
      <c r="REZ239" s="494"/>
      <c r="RFA239" s="494"/>
      <c r="RFB239" s="494"/>
      <c r="RFC239" s="494"/>
      <c r="RFD239" s="494"/>
      <c r="RFE239" s="494"/>
      <c r="RFF239" s="494"/>
      <c r="RFG239" s="494"/>
      <c r="RFH239" s="494"/>
      <c r="RFI239" s="494"/>
      <c r="RFJ239" s="494"/>
      <c r="RFK239" s="494"/>
      <c r="RFL239" s="494"/>
      <c r="RFM239" s="494"/>
      <c r="RFN239" s="494"/>
      <c r="RFO239" s="494"/>
      <c r="RFP239" s="494"/>
      <c r="RFQ239" s="494"/>
      <c r="RFR239" s="494"/>
      <c r="RFS239" s="494"/>
      <c r="RFT239" s="494"/>
      <c r="RFU239" s="494"/>
      <c r="RFV239" s="494"/>
      <c r="RFW239" s="494"/>
      <c r="RFX239" s="494"/>
      <c r="RFY239" s="494"/>
      <c r="RFZ239" s="494"/>
      <c r="RGA239" s="494"/>
      <c r="RGB239" s="494"/>
      <c r="RGC239" s="494"/>
      <c r="RGD239" s="494"/>
      <c r="RGE239" s="494"/>
      <c r="RGF239" s="494"/>
      <c r="RGG239" s="494"/>
      <c r="RGH239" s="494"/>
      <c r="RGI239" s="494"/>
      <c r="RGJ239" s="494"/>
      <c r="RGK239" s="494"/>
      <c r="RGL239" s="494"/>
      <c r="RGM239" s="494"/>
      <c r="RGN239" s="494"/>
      <c r="RGO239" s="494"/>
      <c r="RGP239" s="494"/>
      <c r="RGQ239" s="494"/>
      <c r="RGR239" s="494"/>
      <c r="RGS239" s="494"/>
      <c r="RGT239" s="494"/>
      <c r="RGU239" s="494"/>
      <c r="RGV239" s="494"/>
      <c r="RGW239" s="494"/>
      <c r="RGX239" s="494"/>
      <c r="RGY239" s="494"/>
      <c r="RGZ239" s="494"/>
      <c r="RHA239" s="494"/>
      <c r="RHB239" s="494"/>
      <c r="RHC239" s="494"/>
      <c r="RHD239" s="494"/>
      <c r="RHE239" s="494"/>
      <c r="RHF239" s="494"/>
      <c r="RHG239" s="494"/>
      <c r="RHH239" s="494"/>
      <c r="RHI239" s="494"/>
      <c r="RHJ239" s="494"/>
      <c r="RHK239" s="494"/>
      <c r="RHL239" s="494"/>
      <c r="RHM239" s="494"/>
      <c r="RHN239" s="494"/>
      <c r="RHO239" s="494"/>
      <c r="RHP239" s="494"/>
      <c r="RHQ239" s="494"/>
      <c r="RHR239" s="494"/>
      <c r="RHS239" s="494"/>
      <c r="RHT239" s="494"/>
      <c r="RHU239" s="494"/>
      <c r="RHV239" s="494"/>
      <c r="RHW239" s="494"/>
      <c r="RHX239" s="494"/>
      <c r="RHY239" s="494"/>
      <c r="RHZ239" s="494"/>
      <c r="RIA239" s="494"/>
      <c r="RIB239" s="494"/>
      <c r="RIC239" s="494"/>
      <c r="RID239" s="494"/>
      <c r="RIE239" s="494"/>
      <c r="RIF239" s="494"/>
      <c r="RIG239" s="494"/>
      <c r="RIH239" s="494"/>
      <c r="RII239" s="494"/>
      <c r="RIJ239" s="494"/>
      <c r="RIK239" s="494"/>
      <c r="RIL239" s="494"/>
      <c r="RIM239" s="494"/>
      <c r="RIN239" s="494"/>
      <c r="RIO239" s="494"/>
      <c r="RIP239" s="494"/>
      <c r="RIQ239" s="494"/>
      <c r="RIR239" s="494"/>
      <c r="RIS239" s="494"/>
      <c r="RIT239" s="494"/>
      <c r="RIU239" s="494"/>
      <c r="RIV239" s="494"/>
      <c r="RIW239" s="494"/>
      <c r="RIX239" s="494"/>
      <c r="RIY239" s="494"/>
      <c r="RIZ239" s="494"/>
      <c r="RJA239" s="494"/>
      <c r="RJB239" s="494"/>
      <c r="RJC239" s="494"/>
      <c r="RJD239" s="494"/>
      <c r="RJE239" s="494"/>
      <c r="RJF239" s="494"/>
      <c r="RJG239" s="494"/>
      <c r="RJH239" s="494"/>
      <c r="RJI239" s="494"/>
      <c r="RJJ239" s="494"/>
      <c r="RJK239" s="494"/>
      <c r="RJL239" s="494"/>
      <c r="RJM239" s="494"/>
      <c r="RJN239" s="494"/>
      <c r="RJO239" s="494"/>
      <c r="RJP239" s="494"/>
      <c r="RJQ239" s="494"/>
      <c r="RJR239" s="494"/>
      <c r="RJS239" s="494"/>
      <c r="RJT239" s="494"/>
      <c r="RJU239" s="494"/>
      <c r="RJV239" s="494"/>
      <c r="RJW239" s="494"/>
      <c r="RJX239" s="494"/>
      <c r="RJY239" s="494"/>
      <c r="RJZ239" s="494"/>
      <c r="RKA239" s="494"/>
      <c r="RKB239" s="494"/>
      <c r="RKC239" s="494"/>
      <c r="RKD239" s="494"/>
      <c r="RKE239" s="494"/>
      <c r="RKF239" s="494"/>
      <c r="RKG239" s="494"/>
      <c r="RKH239" s="494"/>
      <c r="RKI239" s="494"/>
      <c r="RKJ239" s="494"/>
      <c r="RKK239" s="494"/>
      <c r="RKL239" s="494"/>
      <c r="RKM239" s="494"/>
      <c r="RKN239" s="494"/>
      <c r="RKO239" s="494"/>
      <c r="RKP239" s="494"/>
      <c r="RKQ239" s="494"/>
      <c r="RKR239" s="494"/>
      <c r="RKS239" s="494"/>
      <c r="RKT239" s="494"/>
      <c r="RKU239" s="494"/>
      <c r="RKV239" s="494"/>
      <c r="RKW239" s="494"/>
      <c r="RKX239" s="494"/>
      <c r="RKY239" s="494"/>
      <c r="RKZ239" s="494"/>
      <c r="RLA239" s="494"/>
      <c r="RLB239" s="494"/>
      <c r="RLC239" s="494"/>
      <c r="RLD239" s="494"/>
      <c r="RLE239" s="494"/>
      <c r="RLF239" s="494"/>
      <c r="RLG239" s="494"/>
      <c r="RLH239" s="494"/>
      <c r="RLI239" s="494"/>
      <c r="RLJ239" s="494"/>
      <c r="RLK239" s="494"/>
      <c r="RLL239" s="494"/>
      <c r="RLM239" s="494"/>
      <c r="RLN239" s="494"/>
      <c r="RLO239" s="494"/>
      <c r="RLP239" s="494"/>
      <c r="RLQ239" s="494"/>
      <c r="RLR239" s="494"/>
      <c r="RLS239" s="494"/>
      <c r="RLT239" s="494"/>
      <c r="RLU239" s="494"/>
      <c r="RLV239" s="494"/>
      <c r="RLW239" s="494"/>
      <c r="RLX239" s="494"/>
      <c r="RLY239" s="494"/>
      <c r="RLZ239" s="494"/>
      <c r="RMA239" s="494"/>
      <c r="RMB239" s="494"/>
      <c r="RMC239" s="494"/>
      <c r="RMD239" s="494"/>
      <c r="RME239" s="494"/>
      <c r="RMF239" s="494"/>
      <c r="RMG239" s="494"/>
      <c r="RMH239" s="494"/>
      <c r="RMI239" s="494"/>
      <c r="RMJ239" s="494"/>
      <c r="RMK239" s="494"/>
      <c r="RML239" s="494"/>
      <c r="RMM239" s="494"/>
      <c r="RMN239" s="494"/>
      <c r="RMO239" s="494"/>
      <c r="RMP239" s="494"/>
      <c r="RMQ239" s="494"/>
      <c r="RMR239" s="494"/>
      <c r="RMS239" s="494"/>
      <c r="RMT239" s="494"/>
      <c r="RMU239" s="494"/>
      <c r="RMV239" s="494"/>
      <c r="RMW239" s="494"/>
      <c r="RMX239" s="494"/>
      <c r="RMY239" s="494"/>
      <c r="RMZ239" s="494"/>
      <c r="RNA239" s="494"/>
      <c r="RNB239" s="494"/>
      <c r="RNC239" s="494"/>
      <c r="RND239" s="494"/>
      <c r="RNE239" s="494"/>
      <c r="RNF239" s="494"/>
      <c r="RNG239" s="494"/>
      <c r="RNH239" s="494"/>
      <c r="RNI239" s="494"/>
      <c r="RNJ239" s="494"/>
      <c r="RNK239" s="494"/>
      <c r="RNL239" s="494"/>
      <c r="RNM239" s="494"/>
      <c r="RNN239" s="494"/>
      <c r="RNO239" s="494"/>
      <c r="RNP239" s="494"/>
      <c r="RNQ239" s="494"/>
      <c r="RNR239" s="494"/>
      <c r="RNS239" s="494"/>
      <c r="RNT239" s="494"/>
      <c r="RNU239" s="494"/>
      <c r="RNV239" s="494"/>
      <c r="RNW239" s="494"/>
      <c r="RNX239" s="494"/>
      <c r="RNY239" s="494"/>
      <c r="RNZ239" s="494"/>
      <c r="ROA239" s="494"/>
      <c r="ROB239" s="494"/>
      <c r="ROC239" s="494"/>
      <c r="ROD239" s="494"/>
      <c r="ROE239" s="494"/>
      <c r="ROF239" s="494"/>
      <c r="ROG239" s="494"/>
      <c r="ROH239" s="494"/>
      <c r="ROI239" s="494"/>
      <c r="ROJ239" s="494"/>
      <c r="ROK239" s="494"/>
      <c r="ROL239" s="494"/>
      <c r="ROM239" s="494"/>
      <c r="RON239" s="494"/>
      <c r="ROO239" s="494"/>
      <c r="ROP239" s="494"/>
      <c r="ROQ239" s="494"/>
      <c r="ROR239" s="494"/>
      <c r="ROS239" s="494"/>
      <c r="ROT239" s="494"/>
      <c r="ROU239" s="494"/>
      <c r="ROV239" s="494"/>
      <c r="ROW239" s="494"/>
      <c r="ROX239" s="494"/>
      <c r="ROY239" s="494"/>
      <c r="ROZ239" s="494"/>
      <c r="RPA239" s="494"/>
      <c r="RPB239" s="494"/>
      <c r="RPC239" s="494"/>
      <c r="RPD239" s="494"/>
      <c r="RPE239" s="494"/>
      <c r="RPF239" s="494"/>
      <c r="RPG239" s="494"/>
      <c r="RPH239" s="494"/>
      <c r="RPI239" s="494"/>
      <c r="RPJ239" s="494"/>
      <c r="RPK239" s="494"/>
      <c r="RPL239" s="494"/>
      <c r="RPM239" s="494"/>
      <c r="RPN239" s="494"/>
      <c r="RPO239" s="494"/>
      <c r="RPP239" s="494"/>
      <c r="RPQ239" s="494"/>
      <c r="RPR239" s="494"/>
      <c r="RPS239" s="494"/>
      <c r="RPT239" s="494"/>
      <c r="RPU239" s="494"/>
      <c r="RPV239" s="494"/>
      <c r="RPW239" s="494"/>
      <c r="RPX239" s="494"/>
      <c r="RPY239" s="494"/>
      <c r="RPZ239" s="494"/>
      <c r="RQA239" s="494"/>
      <c r="RQB239" s="494"/>
      <c r="RQC239" s="494"/>
      <c r="RQD239" s="494"/>
      <c r="RQE239" s="494"/>
      <c r="RQF239" s="494"/>
      <c r="RQG239" s="494"/>
      <c r="RQH239" s="494"/>
      <c r="RQI239" s="494"/>
      <c r="RQJ239" s="494"/>
      <c r="RQK239" s="494"/>
      <c r="RQL239" s="494"/>
      <c r="RQM239" s="494"/>
      <c r="RQN239" s="494"/>
      <c r="RQO239" s="494"/>
      <c r="RQP239" s="494"/>
      <c r="RQQ239" s="494"/>
      <c r="RQR239" s="494"/>
      <c r="RQS239" s="494"/>
      <c r="RQT239" s="494"/>
      <c r="RQU239" s="494"/>
      <c r="RQV239" s="494"/>
      <c r="RQW239" s="494"/>
      <c r="RQX239" s="494"/>
      <c r="RQY239" s="494"/>
      <c r="RQZ239" s="494"/>
      <c r="RRA239" s="494"/>
      <c r="RRB239" s="494"/>
      <c r="RRC239" s="494"/>
      <c r="RRD239" s="494"/>
      <c r="RRE239" s="494"/>
      <c r="RRF239" s="494"/>
      <c r="RRG239" s="494"/>
      <c r="RRH239" s="494"/>
      <c r="RRI239" s="494"/>
      <c r="RRJ239" s="494"/>
      <c r="RRK239" s="494"/>
      <c r="RRL239" s="494"/>
      <c r="RRM239" s="494"/>
      <c r="RRN239" s="494"/>
      <c r="RRO239" s="494"/>
      <c r="RRP239" s="494"/>
      <c r="RRQ239" s="494"/>
      <c r="RRR239" s="494"/>
      <c r="RRS239" s="494"/>
      <c r="RRT239" s="494"/>
      <c r="RRU239" s="494"/>
      <c r="RRV239" s="494"/>
      <c r="RRW239" s="494"/>
      <c r="RRX239" s="494"/>
      <c r="RRY239" s="494"/>
      <c r="RRZ239" s="494"/>
      <c r="RSA239" s="494"/>
      <c r="RSB239" s="494"/>
      <c r="RSC239" s="494"/>
      <c r="RSD239" s="494"/>
      <c r="RSE239" s="494"/>
      <c r="RSF239" s="494"/>
      <c r="RSG239" s="494"/>
      <c r="RSH239" s="494"/>
      <c r="RSI239" s="494"/>
      <c r="RSJ239" s="494"/>
      <c r="RSK239" s="494"/>
      <c r="RSL239" s="494"/>
      <c r="RSM239" s="494"/>
      <c r="RSN239" s="494"/>
      <c r="RSO239" s="494"/>
      <c r="RSP239" s="494"/>
      <c r="RSQ239" s="494"/>
      <c r="RSR239" s="494"/>
      <c r="RSS239" s="494"/>
      <c r="RST239" s="494"/>
      <c r="RSU239" s="494"/>
      <c r="RSV239" s="494"/>
      <c r="RSW239" s="494"/>
      <c r="RSX239" s="494"/>
      <c r="RSY239" s="494"/>
      <c r="RSZ239" s="494"/>
      <c r="RTA239" s="494"/>
      <c r="RTB239" s="494"/>
      <c r="RTC239" s="494"/>
      <c r="RTD239" s="494"/>
      <c r="RTE239" s="494"/>
      <c r="RTF239" s="494"/>
      <c r="RTG239" s="494"/>
      <c r="RTH239" s="494"/>
      <c r="RTI239" s="494"/>
      <c r="RTJ239" s="494"/>
      <c r="RTK239" s="494"/>
      <c r="RTL239" s="494"/>
      <c r="RTM239" s="494"/>
      <c r="RTN239" s="494"/>
      <c r="RTO239" s="494"/>
      <c r="RTP239" s="494"/>
      <c r="RTQ239" s="494"/>
      <c r="RTR239" s="494"/>
      <c r="RTS239" s="494"/>
      <c r="RTT239" s="494"/>
      <c r="RTU239" s="494"/>
      <c r="RTV239" s="494"/>
      <c r="RTW239" s="494"/>
      <c r="RTX239" s="494"/>
      <c r="RTY239" s="494"/>
      <c r="RTZ239" s="494"/>
      <c r="RUA239" s="494"/>
      <c r="RUB239" s="494"/>
      <c r="RUC239" s="494"/>
      <c r="RUD239" s="494"/>
      <c r="RUE239" s="494"/>
      <c r="RUF239" s="494"/>
      <c r="RUG239" s="494"/>
      <c r="RUH239" s="494"/>
      <c r="RUI239" s="494"/>
      <c r="RUJ239" s="494"/>
      <c r="RUK239" s="494"/>
      <c r="RUL239" s="494"/>
      <c r="RUM239" s="494"/>
      <c r="RUN239" s="494"/>
      <c r="RUO239" s="494"/>
      <c r="RUP239" s="494"/>
      <c r="RUQ239" s="494"/>
      <c r="RUR239" s="494"/>
      <c r="RUS239" s="494"/>
      <c r="RUT239" s="494"/>
      <c r="RUU239" s="494"/>
      <c r="RUV239" s="494"/>
      <c r="RUW239" s="494"/>
      <c r="RUX239" s="494"/>
      <c r="RUY239" s="494"/>
      <c r="RUZ239" s="494"/>
      <c r="RVA239" s="494"/>
      <c r="RVB239" s="494"/>
      <c r="RVC239" s="494"/>
      <c r="RVD239" s="494"/>
      <c r="RVE239" s="494"/>
      <c r="RVF239" s="494"/>
      <c r="RVG239" s="494"/>
      <c r="RVH239" s="494"/>
      <c r="RVI239" s="494"/>
      <c r="RVJ239" s="494"/>
      <c r="RVK239" s="494"/>
      <c r="RVL239" s="494"/>
      <c r="RVM239" s="494"/>
      <c r="RVN239" s="494"/>
      <c r="RVO239" s="494"/>
      <c r="RVP239" s="494"/>
      <c r="RVQ239" s="494"/>
      <c r="RVR239" s="494"/>
      <c r="RVS239" s="494"/>
      <c r="RVT239" s="494"/>
      <c r="RVU239" s="494"/>
      <c r="RVV239" s="494"/>
      <c r="RVW239" s="494"/>
      <c r="RVX239" s="494"/>
      <c r="RVY239" s="494"/>
      <c r="RVZ239" s="494"/>
      <c r="RWA239" s="494"/>
      <c r="RWB239" s="494"/>
      <c r="RWC239" s="494"/>
      <c r="RWD239" s="494"/>
      <c r="RWE239" s="494"/>
      <c r="RWF239" s="494"/>
      <c r="RWG239" s="494"/>
      <c r="RWH239" s="494"/>
      <c r="RWI239" s="494"/>
      <c r="RWJ239" s="494"/>
      <c r="RWK239" s="494"/>
      <c r="RWL239" s="494"/>
      <c r="RWM239" s="494"/>
      <c r="RWN239" s="494"/>
      <c r="RWO239" s="494"/>
      <c r="RWP239" s="494"/>
      <c r="RWQ239" s="494"/>
      <c r="RWR239" s="494"/>
      <c r="RWS239" s="494"/>
      <c r="RWT239" s="494"/>
      <c r="RWU239" s="494"/>
      <c r="RWV239" s="494"/>
      <c r="RWW239" s="494"/>
      <c r="RWX239" s="494"/>
      <c r="RWY239" s="494"/>
      <c r="RWZ239" s="494"/>
      <c r="RXA239" s="494"/>
      <c r="RXB239" s="494"/>
      <c r="RXC239" s="494"/>
      <c r="RXD239" s="494"/>
      <c r="RXE239" s="494"/>
      <c r="RXF239" s="494"/>
      <c r="RXG239" s="494"/>
      <c r="RXH239" s="494"/>
      <c r="RXI239" s="494"/>
      <c r="RXJ239" s="494"/>
      <c r="RXK239" s="494"/>
      <c r="RXL239" s="494"/>
      <c r="RXM239" s="494"/>
      <c r="RXN239" s="494"/>
      <c r="RXO239" s="494"/>
      <c r="RXP239" s="494"/>
      <c r="RXQ239" s="494"/>
      <c r="RXR239" s="494"/>
      <c r="RXS239" s="494"/>
      <c r="RXT239" s="494"/>
      <c r="RXU239" s="494"/>
      <c r="RXV239" s="494"/>
      <c r="RXW239" s="494"/>
      <c r="RXX239" s="494"/>
      <c r="RXY239" s="494"/>
      <c r="RXZ239" s="494"/>
      <c r="RYA239" s="494"/>
      <c r="RYB239" s="494"/>
      <c r="RYC239" s="494"/>
      <c r="RYD239" s="494"/>
      <c r="RYE239" s="494"/>
      <c r="RYF239" s="494"/>
      <c r="RYG239" s="494"/>
      <c r="RYH239" s="494"/>
      <c r="RYI239" s="494"/>
      <c r="RYJ239" s="494"/>
      <c r="RYK239" s="494"/>
      <c r="RYL239" s="494"/>
      <c r="RYM239" s="494"/>
      <c r="RYN239" s="494"/>
      <c r="RYO239" s="494"/>
      <c r="RYP239" s="494"/>
      <c r="RYQ239" s="494"/>
      <c r="RYR239" s="494"/>
      <c r="RYS239" s="494"/>
      <c r="RYT239" s="494"/>
      <c r="RYU239" s="494"/>
      <c r="RYV239" s="494"/>
      <c r="RYW239" s="494"/>
      <c r="RYX239" s="494"/>
      <c r="RYY239" s="494"/>
      <c r="RYZ239" s="494"/>
      <c r="RZA239" s="494"/>
      <c r="RZB239" s="494"/>
      <c r="RZC239" s="494"/>
      <c r="RZD239" s="494"/>
      <c r="RZE239" s="494"/>
      <c r="RZF239" s="494"/>
      <c r="RZG239" s="494"/>
      <c r="RZH239" s="494"/>
      <c r="RZI239" s="494"/>
      <c r="RZJ239" s="494"/>
      <c r="RZK239" s="494"/>
      <c r="RZL239" s="494"/>
      <c r="RZM239" s="494"/>
      <c r="RZN239" s="494"/>
      <c r="RZO239" s="494"/>
      <c r="RZP239" s="494"/>
      <c r="RZQ239" s="494"/>
      <c r="RZR239" s="494"/>
      <c r="RZS239" s="494"/>
      <c r="RZT239" s="494"/>
      <c r="RZU239" s="494"/>
      <c r="RZV239" s="494"/>
      <c r="RZW239" s="494"/>
      <c r="RZX239" s="494"/>
      <c r="RZY239" s="494"/>
      <c r="RZZ239" s="494"/>
      <c r="SAA239" s="494"/>
      <c r="SAB239" s="494"/>
      <c r="SAC239" s="494"/>
      <c r="SAD239" s="494"/>
      <c r="SAE239" s="494"/>
      <c r="SAF239" s="494"/>
      <c r="SAG239" s="494"/>
      <c r="SAH239" s="494"/>
      <c r="SAI239" s="494"/>
      <c r="SAJ239" s="494"/>
      <c r="SAK239" s="494"/>
      <c r="SAL239" s="494"/>
      <c r="SAM239" s="494"/>
      <c r="SAN239" s="494"/>
      <c r="SAO239" s="494"/>
      <c r="SAP239" s="494"/>
      <c r="SAQ239" s="494"/>
      <c r="SAR239" s="494"/>
      <c r="SAS239" s="494"/>
      <c r="SAT239" s="494"/>
      <c r="SAU239" s="494"/>
      <c r="SAV239" s="494"/>
      <c r="SAW239" s="494"/>
      <c r="SAX239" s="494"/>
      <c r="SAY239" s="494"/>
      <c r="SAZ239" s="494"/>
      <c r="SBA239" s="494"/>
      <c r="SBB239" s="494"/>
      <c r="SBC239" s="494"/>
      <c r="SBD239" s="494"/>
      <c r="SBE239" s="494"/>
      <c r="SBF239" s="494"/>
      <c r="SBG239" s="494"/>
      <c r="SBH239" s="494"/>
      <c r="SBI239" s="494"/>
      <c r="SBJ239" s="494"/>
      <c r="SBK239" s="494"/>
      <c r="SBL239" s="494"/>
      <c r="SBM239" s="494"/>
      <c r="SBN239" s="494"/>
      <c r="SBO239" s="494"/>
      <c r="SBP239" s="494"/>
      <c r="SBQ239" s="494"/>
      <c r="SBR239" s="494"/>
      <c r="SBS239" s="494"/>
      <c r="SBT239" s="494"/>
      <c r="SBU239" s="494"/>
      <c r="SBV239" s="494"/>
      <c r="SBW239" s="494"/>
      <c r="SBX239" s="494"/>
      <c r="SBY239" s="494"/>
      <c r="SBZ239" s="494"/>
      <c r="SCA239" s="494"/>
      <c r="SCB239" s="494"/>
      <c r="SCC239" s="494"/>
      <c r="SCD239" s="494"/>
      <c r="SCE239" s="494"/>
      <c r="SCF239" s="494"/>
      <c r="SCG239" s="494"/>
      <c r="SCH239" s="494"/>
      <c r="SCI239" s="494"/>
      <c r="SCJ239" s="494"/>
      <c r="SCK239" s="494"/>
      <c r="SCL239" s="494"/>
      <c r="SCM239" s="494"/>
      <c r="SCN239" s="494"/>
      <c r="SCO239" s="494"/>
      <c r="SCP239" s="494"/>
      <c r="SCQ239" s="494"/>
      <c r="SCR239" s="494"/>
      <c r="SCS239" s="494"/>
      <c r="SCT239" s="494"/>
      <c r="SCU239" s="494"/>
      <c r="SCV239" s="494"/>
      <c r="SCW239" s="494"/>
      <c r="SCX239" s="494"/>
      <c r="SCY239" s="494"/>
      <c r="SCZ239" s="494"/>
      <c r="SDA239" s="494"/>
      <c r="SDB239" s="494"/>
      <c r="SDC239" s="494"/>
      <c r="SDD239" s="494"/>
      <c r="SDE239" s="494"/>
      <c r="SDF239" s="494"/>
      <c r="SDG239" s="494"/>
      <c r="SDH239" s="494"/>
      <c r="SDI239" s="494"/>
      <c r="SDJ239" s="494"/>
      <c r="SDK239" s="494"/>
      <c r="SDL239" s="494"/>
      <c r="SDM239" s="494"/>
      <c r="SDN239" s="494"/>
      <c r="SDO239" s="494"/>
      <c r="SDP239" s="494"/>
      <c r="SDQ239" s="494"/>
      <c r="SDR239" s="494"/>
      <c r="SDS239" s="494"/>
      <c r="SDT239" s="494"/>
      <c r="SDU239" s="494"/>
      <c r="SDV239" s="494"/>
      <c r="SDW239" s="494"/>
      <c r="SDX239" s="494"/>
      <c r="SDY239" s="494"/>
      <c r="SDZ239" s="494"/>
      <c r="SEA239" s="494"/>
      <c r="SEB239" s="494"/>
      <c r="SEC239" s="494"/>
      <c r="SED239" s="494"/>
      <c r="SEE239" s="494"/>
      <c r="SEF239" s="494"/>
      <c r="SEG239" s="494"/>
      <c r="SEH239" s="494"/>
      <c r="SEI239" s="494"/>
      <c r="SEJ239" s="494"/>
      <c r="SEK239" s="494"/>
      <c r="SEL239" s="494"/>
      <c r="SEM239" s="494"/>
      <c r="SEN239" s="494"/>
      <c r="SEO239" s="494"/>
      <c r="SEP239" s="494"/>
      <c r="SEQ239" s="494"/>
      <c r="SER239" s="494"/>
      <c r="SES239" s="494"/>
      <c r="SET239" s="494"/>
      <c r="SEU239" s="494"/>
      <c r="SEV239" s="494"/>
      <c r="SEW239" s="494"/>
      <c r="SEX239" s="494"/>
      <c r="SEY239" s="494"/>
      <c r="SEZ239" s="494"/>
      <c r="SFA239" s="494"/>
      <c r="SFB239" s="494"/>
      <c r="SFC239" s="494"/>
      <c r="SFD239" s="494"/>
      <c r="SFE239" s="494"/>
      <c r="SFF239" s="494"/>
      <c r="SFG239" s="494"/>
      <c r="SFH239" s="494"/>
      <c r="SFI239" s="494"/>
      <c r="SFJ239" s="494"/>
      <c r="SFK239" s="494"/>
      <c r="SFL239" s="494"/>
      <c r="SFM239" s="494"/>
      <c r="SFN239" s="494"/>
      <c r="SFO239" s="494"/>
      <c r="SFP239" s="494"/>
      <c r="SFQ239" s="494"/>
      <c r="SFR239" s="494"/>
      <c r="SFS239" s="494"/>
      <c r="SFT239" s="494"/>
      <c r="SFU239" s="494"/>
      <c r="SFV239" s="494"/>
      <c r="SFW239" s="494"/>
      <c r="SFX239" s="494"/>
      <c r="SFY239" s="494"/>
      <c r="SFZ239" s="494"/>
      <c r="SGA239" s="494"/>
      <c r="SGB239" s="494"/>
      <c r="SGC239" s="494"/>
      <c r="SGD239" s="494"/>
      <c r="SGE239" s="494"/>
      <c r="SGF239" s="494"/>
      <c r="SGG239" s="494"/>
      <c r="SGH239" s="494"/>
      <c r="SGI239" s="494"/>
      <c r="SGJ239" s="494"/>
      <c r="SGK239" s="494"/>
      <c r="SGL239" s="494"/>
      <c r="SGM239" s="494"/>
      <c r="SGN239" s="494"/>
      <c r="SGO239" s="494"/>
      <c r="SGP239" s="494"/>
      <c r="SGQ239" s="494"/>
      <c r="SGR239" s="494"/>
      <c r="SGS239" s="494"/>
      <c r="SGT239" s="494"/>
      <c r="SGU239" s="494"/>
      <c r="SGV239" s="494"/>
      <c r="SGW239" s="494"/>
      <c r="SGX239" s="494"/>
      <c r="SGY239" s="494"/>
      <c r="SGZ239" s="494"/>
      <c r="SHA239" s="494"/>
      <c r="SHB239" s="494"/>
      <c r="SHC239" s="494"/>
      <c r="SHD239" s="494"/>
      <c r="SHE239" s="494"/>
      <c r="SHF239" s="494"/>
      <c r="SHG239" s="494"/>
      <c r="SHH239" s="494"/>
      <c r="SHI239" s="494"/>
      <c r="SHJ239" s="494"/>
      <c r="SHK239" s="494"/>
      <c r="SHL239" s="494"/>
      <c r="SHM239" s="494"/>
      <c r="SHN239" s="494"/>
      <c r="SHO239" s="494"/>
      <c r="SHP239" s="494"/>
      <c r="SHQ239" s="494"/>
      <c r="SHR239" s="494"/>
      <c r="SHS239" s="494"/>
      <c r="SHT239" s="494"/>
      <c r="SHU239" s="494"/>
      <c r="SHV239" s="494"/>
      <c r="SHW239" s="494"/>
      <c r="SHX239" s="494"/>
      <c r="SHY239" s="494"/>
      <c r="SHZ239" s="494"/>
      <c r="SIA239" s="494"/>
      <c r="SIB239" s="494"/>
      <c r="SIC239" s="494"/>
      <c r="SID239" s="494"/>
      <c r="SIE239" s="494"/>
      <c r="SIF239" s="494"/>
      <c r="SIG239" s="494"/>
      <c r="SIH239" s="494"/>
      <c r="SII239" s="494"/>
      <c r="SIJ239" s="494"/>
      <c r="SIK239" s="494"/>
      <c r="SIL239" s="494"/>
      <c r="SIM239" s="494"/>
      <c r="SIN239" s="494"/>
      <c r="SIO239" s="494"/>
      <c r="SIP239" s="494"/>
      <c r="SIQ239" s="494"/>
      <c r="SIR239" s="494"/>
      <c r="SIS239" s="494"/>
      <c r="SIT239" s="494"/>
      <c r="SIU239" s="494"/>
      <c r="SIV239" s="494"/>
      <c r="SIW239" s="494"/>
      <c r="SIX239" s="494"/>
      <c r="SIY239" s="494"/>
      <c r="SIZ239" s="494"/>
      <c r="SJA239" s="494"/>
      <c r="SJB239" s="494"/>
      <c r="SJC239" s="494"/>
      <c r="SJD239" s="494"/>
      <c r="SJE239" s="494"/>
      <c r="SJF239" s="494"/>
      <c r="SJG239" s="494"/>
      <c r="SJH239" s="494"/>
      <c r="SJI239" s="494"/>
      <c r="SJJ239" s="494"/>
      <c r="SJK239" s="494"/>
      <c r="SJL239" s="494"/>
      <c r="SJM239" s="494"/>
      <c r="SJN239" s="494"/>
      <c r="SJO239" s="494"/>
      <c r="SJP239" s="494"/>
      <c r="SJQ239" s="494"/>
      <c r="SJR239" s="494"/>
      <c r="SJS239" s="494"/>
      <c r="SJT239" s="494"/>
      <c r="SJU239" s="494"/>
      <c r="SJV239" s="494"/>
      <c r="SJW239" s="494"/>
      <c r="SJX239" s="494"/>
      <c r="SJY239" s="494"/>
      <c r="SJZ239" s="494"/>
      <c r="SKA239" s="494"/>
      <c r="SKB239" s="494"/>
      <c r="SKC239" s="494"/>
      <c r="SKD239" s="494"/>
      <c r="SKE239" s="494"/>
      <c r="SKF239" s="494"/>
      <c r="SKG239" s="494"/>
      <c r="SKH239" s="494"/>
      <c r="SKI239" s="494"/>
      <c r="SKJ239" s="494"/>
      <c r="SKK239" s="494"/>
      <c r="SKL239" s="494"/>
      <c r="SKM239" s="494"/>
      <c r="SKN239" s="494"/>
      <c r="SKO239" s="494"/>
      <c r="SKP239" s="494"/>
      <c r="SKQ239" s="494"/>
      <c r="SKR239" s="494"/>
      <c r="SKS239" s="494"/>
      <c r="SKT239" s="494"/>
      <c r="SKU239" s="494"/>
      <c r="SKV239" s="494"/>
      <c r="SKW239" s="494"/>
      <c r="SKX239" s="494"/>
      <c r="SKY239" s="494"/>
      <c r="SKZ239" s="494"/>
      <c r="SLA239" s="494"/>
      <c r="SLB239" s="494"/>
      <c r="SLC239" s="494"/>
      <c r="SLD239" s="494"/>
      <c r="SLE239" s="494"/>
      <c r="SLF239" s="494"/>
      <c r="SLG239" s="494"/>
      <c r="SLH239" s="494"/>
      <c r="SLI239" s="494"/>
      <c r="SLJ239" s="494"/>
      <c r="SLK239" s="494"/>
      <c r="SLL239" s="494"/>
      <c r="SLM239" s="494"/>
      <c r="SLN239" s="494"/>
      <c r="SLO239" s="494"/>
      <c r="SLP239" s="494"/>
      <c r="SLQ239" s="494"/>
      <c r="SLR239" s="494"/>
      <c r="SLS239" s="494"/>
      <c r="SLT239" s="494"/>
      <c r="SLU239" s="494"/>
      <c r="SLV239" s="494"/>
      <c r="SLW239" s="494"/>
      <c r="SLX239" s="494"/>
      <c r="SLY239" s="494"/>
      <c r="SLZ239" s="494"/>
      <c r="SMA239" s="494"/>
      <c r="SMB239" s="494"/>
      <c r="SMC239" s="494"/>
      <c r="SMD239" s="494"/>
      <c r="SME239" s="494"/>
      <c r="SMF239" s="494"/>
      <c r="SMG239" s="494"/>
      <c r="SMH239" s="494"/>
      <c r="SMI239" s="494"/>
      <c r="SMJ239" s="494"/>
      <c r="SMK239" s="494"/>
      <c r="SML239" s="494"/>
      <c r="SMM239" s="494"/>
      <c r="SMN239" s="494"/>
      <c r="SMO239" s="494"/>
      <c r="SMP239" s="494"/>
      <c r="SMQ239" s="494"/>
      <c r="SMR239" s="494"/>
      <c r="SMS239" s="494"/>
      <c r="SMT239" s="494"/>
      <c r="SMU239" s="494"/>
      <c r="SMV239" s="494"/>
      <c r="SMW239" s="494"/>
      <c r="SMX239" s="494"/>
      <c r="SMY239" s="494"/>
      <c r="SMZ239" s="494"/>
      <c r="SNA239" s="494"/>
      <c r="SNB239" s="494"/>
      <c r="SNC239" s="494"/>
      <c r="SND239" s="494"/>
      <c r="SNE239" s="494"/>
      <c r="SNF239" s="494"/>
      <c r="SNG239" s="494"/>
      <c r="SNH239" s="494"/>
      <c r="SNI239" s="494"/>
      <c r="SNJ239" s="494"/>
      <c r="SNK239" s="494"/>
      <c r="SNL239" s="494"/>
      <c r="SNM239" s="494"/>
      <c r="SNN239" s="494"/>
      <c r="SNO239" s="494"/>
      <c r="SNP239" s="494"/>
      <c r="SNQ239" s="494"/>
      <c r="SNR239" s="494"/>
      <c r="SNS239" s="494"/>
      <c r="SNT239" s="494"/>
      <c r="SNU239" s="494"/>
      <c r="SNV239" s="494"/>
      <c r="SNW239" s="494"/>
      <c r="SNX239" s="494"/>
      <c r="SNY239" s="494"/>
      <c r="SNZ239" s="494"/>
      <c r="SOA239" s="494"/>
      <c r="SOB239" s="494"/>
      <c r="SOC239" s="494"/>
      <c r="SOD239" s="494"/>
      <c r="SOE239" s="494"/>
      <c r="SOF239" s="494"/>
      <c r="SOG239" s="494"/>
      <c r="SOH239" s="494"/>
      <c r="SOI239" s="494"/>
      <c r="SOJ239" s="494"/>
      <c r="SOK239" s="494"/>
      <c r="SOL239" s="494"/>
      <c r="SOM239" s="494"/>
      <c r="SON239" s="494"/>
      <c r="SOO239" s="494"/>
      <c r="SOP239" s="494"/>
      <c r="SOQ239" s="494"/>
      <c r="SOR239" s="494"/>
      <c r="SOS239" s="494"/>
      <c r="SOT239" s="494"/>
      <c r="SOU239" s="494"/>
      <c r="SOV239" s="494"/>
      <c r="SOW239" s="494"/>
      <c r="SOX239" s="494"/>
      <c r="SOY239" s="494"/>
      <c r="SOZ239" s="494"/>
      <c r="SPA239" s="494"/>
      <c r="SPB239" s="494"/>
      <c r="SPC239" s="494"/>
      <c r="SPD239" s="494"/>
      <c r="SPE239" s="494"/>
      <c r="SPF239" s="494"/>
      <c r="SPG239" s="494"/>
      <c r="SPH239" s="494"/>
      <c r="SPI239" s="494"/>
      <c r="SPJ239" s="494"/>
      <c r="SPK239" s="494"/>
      <c r="SPL239" s="494"/>
      <c r="SPM239" s="494"/>
      <c r="SPN239" s="494"/>
      <c r="SPO239" s="494"/>
      <c r="SPP239" s="494"/>
      <c r="SPQ239" s="494"/>
      <c r="SPR239" s="494"/>
      <c r="SPS239" s="494"/>
      <c r="SPT239" s="494"/>
      <c r="SPU239" s="494"/>
      <c r="SPV239" s="494"/>
      <c r="SPW239" s="494"/>
      <c r="SPX239" s="494"/>
      <c r="SPY239" s="494"/>
      <c r="SPZ239" s="494"/>
      <c r="SQA239" s="494"/>
      <c r="SQB239" s="494"/>
      <c r="SQC239" s="494"/>
      <c r="SQD239" s="494"/>
      <c r="SQE239" s="494"/>
      <c r="SQF239" s="494"/>
      <c r="SQG239" s="494"/>
      <c r="SQH239" s="494"/>
      <c r="SQI239" s="494"/>
      <c r="SQJ239" s="494"/>
      <c r="SQK239" s="494"/>
      <c r="SQL239" s="494"/>
      <c r="SQM239" s="494"/>
      <c r="SQN239" s="494"/>
      <c r="SQO239" s="494"/>
      <c r="SQP239" s="494"/>
      <c r="SQQ239" s="494"/>
      <c r="SQR239" s="494"/>
      <c r="SQS239" s="494"/>
      <c r="SQT239" s="494"/>
      <c r="SQU239" s="494"/>
      <c r="SQV239" s="494"/>
      <c r="SQW239" s="494"/>
      <c r="SQX239" s="494"/>
      <c r="SQY239" s="494"/>
      <c r="SQZ239" s="494"/>
      <c r="SRA239" s="494"/>
      <c r="SRB239" s="494"/>
      <c r="SRC239" s="494"/>
      <c r="SRD239" s="494"/>
      <c r="SRE239" s="494"/>
      <c r="SRF239" s="494"/>
      <c r="SRG239" s="494"/>
      <c r="SRH239" s="494"/>
      <c r="SRI239" s="494"/>
      <c r="SRJ239" s="494"/>
      <c r="SRK239" s="494"/>
      <c r="SRL239" s="494"/>
      <c r="SRM239" s="494"/>
      <c r="SRN239" s="494"/>
      <c r="SRO239" s="494"/>
      <c r="SRP239" s="494"/>
      <c r="SRQ239" s="494"/>
      <c r="SRR239" s="494"/>
      <c r="SRS239" s="494"/>
      <c r="SRT239" s="494"/>
      <c r="SRU239" s="494"/>
      <c r="SRV239" s="494"/>
      <c r="SRW239" s="494"/>
      <c r="SRX239" s="494"/>
      <c r="SRY239" s="494"/>
      <c r="SRZ239" s="494"/>
      <c r="SSA239" s="494"/>
      <c r="SSB239" s="494"/>
      <c r="SSC239" s="494"/>
      <c r="SSD239" s="494"/>
      <c r="SSE239" s="494"/>
      <c r="SSF239" s="494"/>
      <c r="SSG239" s="494"/>
      <c r="SSH239" s="494"/>
      <c r="SSI239" s="494"/>
      <c r="SSJ239" s="494"/>
      <c r="SSK239" s="494"/>
      <c r="SSL239" s="494"/>
      <c r="SSM239" s="494"/>
      <c r="SSN239" s="494"/>
      <c r="SSO239" s="494"/>
      <c r="SSP239" s="494"/>
      <c r="SSQ239" s="494"/>
      <c r="SSR239" s="494"/>
      <c r="SSS239" s="494"/>
      <c r="SST239" s="494"/>
      <c r="SSU239" s="494"/>
      <c r="SSV239" s="494"/>
      <c r="SSW239" s="494"/>
      <c r="SSX239" s="494"/>
      <c r="SSY239" s="494"/>
      <c r="SSZ239" s="494"/>
      <c r="STA239" s="494"/>
      <c r="STB239" s="494"/>
      <c r="STC239" s="494"/>
      <c r="STD239" s="494"/>
      <c r="STE239" s="494"/>
      <c r="STF239" s="494"/>
      <c r="STG239" s="494"/>
      <c r="STH239" s="494"/>
      <c r="STI239" s="494"/>
      <c r="STJ239" s="494"/>
      <c r="STK239" s="494"/>
      <c r="STL239" s="494"/>
      <c r="STM239" s="494"/>
      <c r="STN239" s="494"/>
      <c r="STO239" s="494"/>
      <c r="STP239" s="494"/>
      <c r="STQ239" s="494"/>
      <c r="STR239" s="494"/>
      <c r="STS239" s="494"/>
      <c r="STT239" s="494"/>
      <c r="STU239" s="494"/>
      <c r="STV239" s="494"/>
      <c r="STW239" s="494"/>
      <c r="STX239" s="494"/>
      <c r="STY239" s="494"/>
      <c r="STZ239" s="494"/>
      <c r="SUA239" s="494"/>
      <c r="SUB239" s="494"/>
      <c r="SUC239" s="494"/>
      <c r="SUD239" s="494"/>
      <c r="SUE239" s="494"/>
      <c r="SUF239" s="494"/>
      <c r="SUG239" s="494"/>
      <c r="SUH239" s="494"/>
      <c r="SUI239" s="494"/>
      <c r="SUJ239" s="494"/>
      <c r="SUK239" s="494"/>
      <c r="SUL239" s="494"/>
      <c r="SUM239" s="494"/>
      <c r="SUN239" s="494"/>
      <c r="SUO239" s="494"/>
      <c r="SUP239" s="494"/>
      <c r="SUQ239" s="494"/>
      <c r="SUR239" s="494"/>
      <c r="SUS239" s="494"/>
      <c r="SUT239" s="494"/>
      <c r="SUU239" s="494"/>
      <c r="SUV239" s="494"/>
      <c r="SUW239" s="494"/>
      <c r="SUX239" s="494"/>
      <c r="SUY239" s="494"/>
      <c r="SUZ239" s="494"/>
      <c r="SVA239" s="494"/>
      <c r="SVB239" s="494"/>
      <c r="SVC239" s="494"/>
      <c r="SVD239" s="494"/>
      <c r="SVE239" s="494"/>
      <c r="SVF239" s="494"/>
      <c r="SVG239" s="494"/>
      <c r="SVH239" s="494"/>
      <c r="SVI239" s="494"/>
      <c r="SVJ239" s="494"/>
      <c r="SVK239" s="494"/>
      <c r="SVL239" s="494"/>
      <c r="SVM239" s="494"/>
      <c r="SVN239" s="494"/>
      <c r="SVO239" s="494"/>
      <c r="SVP239" s="494"/>
      <c r="SVQ239" s="494"/>
      <c r="SVR239" s="494"/>
      <c r="SVS239" s="494"/>
      <c r="SVT239" s="494"/>
      <c r="SVU239" s="494"/>
      <c r="SVV239" s="494"/>
      <c r="SVW239" s="494"/>
      <c r="SVX239" s="494"/>
      <c r="SVY239" s="494"/>
      <c r="SVZ239" s="494"/>
      <c r="SWA239" s="494"/>
      <c r="SWB239" s="494"/>
      <c r="SWC239" s="494"/>
      <c r="SWD239" s="494"/>
      <c r="SWE239" s="494"/>
      <c r="SWF239" s="494"/>
      <c r="SWG239" s="494"/>
      <c r="SWH239" s="494"/>
      <c r="SWI239" s="494"/>
      <c r="SWJ239" s="494"/>
      <c r="SWK239" s="494"/>
      <c r="SWL239" s="494"/>
      <c r="SWM239" s="494"/>
      <c r="SWN239" s="494"/>
      <c r="SWO239" s="494"/>
      <c r="SWP239" s="494"/>
      <c r="SWQ239" s="494"/>
      <c r="SWR239" s="494"/>
      <c r="SWS239" s="494"/>
      <c r="SWT239" s="494"/>
      <c r="SWU239" s="494"/>
      <c r="SWV239" s="494"/>
      <c r="SWW239" s="494"/>
      <c r="SWX239" s="494"/>
      <c r="SWY239" s="494"/>
      <c r="SWZ239" s="494"/>
      <c r="SXA239" s="494"/>
      <c r="SXB239" s="494"/>
      <c r="SXC239" s="494"/>
      <c r="SXD239" s="494"/>
      <c r="SXE239" s="494"/>
      <c r="SXF239" s="494"/>
      <c r="SXG239" s="494"/>
      <c r="SXH239" s="494"/>
      <c r="SXI239" s="494"/>
      <c r="SXJ239" s="494"/>
      <c r="SXK239" s="494"/>
      <c r="SXL239" s="494"/>
      <c r="SXM239" s="494"/>
      <c r="SXN239" s="494"/>
      <c r="SXO239" s="494"/>
      <c r="SXP239" s="494"/>
      <c r="SXQ239" s="494"/>
      <c r="SXR239" s="494"/>
      <c r="SXS239" s="494"/>
      <c r="SXT239" s="494"/>
      <c r="SXU239" s="494"/>
      <c r="SXV239" s="494"/>
      <c r="SXW239" s="494"/>
      <c r="SXX239" s="494"/>
      <c r="SXY239" s="494"/>
      <c r="SXZ239" s="494"/>
      <c r="SYA239" s="494"/>
      <c r="SYB239" s="494"/>
      <c r="SYC239" s="494"/>
      <c r="SYD239" s="494"/>
      <c r="SYE239" s="494"/>
      <c r="SYF239" s="494"/>
      <c r="SYG239" s="494"/>
      <c r="SYH239" s="494"/>
      <c r="SYI239" s="494"/>
      <c r="SYJ239" s="494"/>
      <c r="SYK239" s="494"/>
      <c r="SYL239" s="494"/>
      <c r="SYM239" s="494"/>
      <c r="SYN239" s="494"/>
      <c r="SYO239" s="494"/>
      <c r="SYP239" s="494"/>
      <c r="SYQ239" s="494"/>
      <c r="SYR239" s="494"/>
      <c r="SYS239" s="494"/>
      <c r="SYT239" s="494"/>
      <c r="SYU239" s="494"/>
      <c r="SYV239" s="494"/>
      <c r="SYW239" s="494"/>
      <c r="SYX239" s="494"/>
      <c r="SYY239" s="494"/>
      <c r="SYZ239" s="494"/>
      <c r="SZA239" s="494"/>
      <c r="SZB239" s="494"/>
      <c r="SZC239" s="494"/>
      <c r="SZD239" s="494"/>
      <c r="SZE239" s="494"/>
      <c r="SZF239" s="494"/>
      <c r="SZG239" s="494"/>
      <c r="SZH239" s="494"/>
      <c r="SZI239" s="494"/>
      <c r="SZJ239" s="494"/>
      <c r="SZK239" s="494"/>
      <c r="SZL239" s="494"/>
      <c r="SZM239" s="494"/>
      <c r="SZN239" s="494"/>
      <c r="SZO239" s="494"/>
      <c r="SZP239" s="494"/>
      <c r="SZQ239" s="494"/>
      <c r="SZR239" s="494"/>
      <c r="SZS239" s="494"/>
      <c r="SZT239" s="494"/>
      <c r="SZU239" s="494"/>
      <c r="SZV239" s="494"/>
      <c r="SZW239" s="494"/>
      <c r="SZX239" s="494"/>
      <c r="SZY239" s="494"/>
      <c r="SZZ239" s="494"/>
      <c r="TAA239" s="494"/>
      <c r="TAB239" s="494"/>
      <c r="TAC239" s="494"/>
      <c r="TAD239" s="494"/>
      <c r="TAE239" s="494"/>
      <c r="TAF239" s="494"/>
      <c r="TAG239" s="494"/>
      <c r="TAH239" s="494"/>
      <c r="TAI239" s="494"/>
      <c r="TAJ239" s="494"/>
      <c r="TAK239" s="494"/>
      <c r="TAL239" s="494"/>
      <c r="TAM239" s="494"/>
      <c r="TAN239" s="494"/>
      <c r="TAO239" s="494"/>
      <c r="TAP239" s="494"/>
      <c r="TAQ239" s="494"/>
      <c r="TAR239" s="494"/>
      <c r="TAS239" s="494"/>
      <c r="TAT239" s="494"/>
      <c r="TAU239" s="494"/>
      <c r="TAV239" s="494"/>
      <c r="TAW239" s="494"/>
      <c r="TAX239" s="494"/>
      <c r="TAY239" s="494"/>
      <c r="TAZ239" s="494"/>
      <c r="TBA239" s="494"/>
      <c r="TBB239" s="494"/>
      <c r="TBC239" s="494"/>
      <c r="TBD239" s="494"/>
      <c r="TBE239" s="494"/>
      <c r="TBF239" s="494"/>
      <c r="TBG239" s="494"/>
      <c r="TBH239" s="494"/>
      <c r="TBI239" s="494"/>
      <c r="TBJ239" s="494"/>
      <c r="TBK239" s="494"/>
      <c r="TBL239" s="494"/>
      <c r="TBM239" s="494"/>
      <c r="TBN239" s="494"/>
      <c r="TBO239" s="494"/>
      <c r="TBP239" s="494"/>
      <c r="TBQ239" s="494"/>
      <c r="TBR239" s="494"/>
      <c r="TBS239" s="494"/>
      <c r="TBT239" s="494"/>
      <c r="TBU239" s="494"/>
      <c r="TBV239" s="494"/>
      <c r="TBW239" s="494"/>
      <c r="TBX239" s="494"/>
      <c r="TBY239" s="494"/>
      <c r="TBZ239" s="494"/>
      <c r="TCA239" s="494"/>
      <c r="TCB239" s="494"/>
      <c r="TCC239" s="494"/>
      <c r="TCD239" s="494"/>
      <c r="TCE239" s="494"/>
      <c r="TCF239" s="494"/>
      <c r="TCG239" s="494"/>
      <c r="TCH239" s="494"/>
      <c r="TCI239" s="494"/>
      <c r="TCJ239" s="494"/>
      <c r="TCK239" s="494"/>
      <c r="TCL239" s="494"/>
      <c r="TCM239" s="494"/>
      <c r="TCN239" s="494"/>
      <c r="TCO239" s="494"/>
      <c r="TCP239" s="494"/>
      <c r="TCQ239" s="494"/>
      <c r="TCR239" s="494"/>
      <c r="TCS239" s="494"/>
      <c r="TCT239" s="494"/>
      <c r="TCU239" s="494"/>
      <c r="TCV239" s="494"/>
      <c r="TCW239" s="494"/>
      <c r="TCX239" s="494"/>
      <c r="TCY239" s="494"/>
      <c r="TCZ239" s="494"/>
      <c r="TDA239" s="494"/>
      <c r="TDB239" s="494"/>
      <c r="TDC239" s="494"/>
      <c r="TDD239" s="494"/>
      <c r="TDE239" s="494"/>
      <c r="TDF239" s="494"/>
      <c r="TDG239" s="494"/>
      <c r="TDH239" s="494"/>
      <c r="TDI239" s="494"/>
      <c r="TDJ239" s="494"/>
      <c r="TDK239" s="494"/>
      <c r="TDL239" s="494"/>
      <c r="TDM239" s="494"/>
      <c r="TDN239" s="494"/>
      <c r="TDO239" s="494"/>
      <c r="TDP239" s="494"/>
      <c r="TDQ239" s="494"/>
      <c r="TDR239" s="494"/>
      <c r="TDS239" s="494"/>
      <c r="TDT239" s="494"/>
      <c r="TDU239" s="494"/>
      <c r="TDV239" s="494"/>
      <c r="TDW239" s="494"/>
      <c r="TDX239" s="494"/>
      <c r="TDY239" s="494"/>
      <c r="TDZ239" s="494"/>
      <c r="TEA239" s="494"/>
      <c r="TEB239" s="494"/>
      <c r="TEC239" s="494"/>
      <c r="TED239" s="494"/>
      <c r="TEE239" s="494"/>
      <c r="TEF239" s="494"/>
      <c r="TEG239" s="494"/>
      <c r="TEH239" s="494"/>
      <c r="TEI239" s="494"/>
      <c r="TEJ239" s="494"/>
      <c r="TEK239" s="494"/>
      <c r="TEL239" s="494"/>
      <c r="TEM239" s="494"/>
      <c r="TEN239" s="494"/>
      <c r="TEO239" s="494"/>
      <c r="TEP239" s="494"/>
      <c r="TEQ239" s="494"/>
      <c r="TER239" s="494"/>
      <c r="TES239" s="494"/>
      <c r="TET239" s="494"/>
      <c r="TEU239" s="494"/>
      <c r="TEV239" s="494"/>
      <c r="TEW239" s="494"/>
      <c r="TEX239" s="494"/>
      <c r="TEY239" s="494"/>
      <c r="TEZ239" s="494"/>
      <c r="TFA239" s="494"/>
      <c r="TFB239" s="494"/>
      <c r="TFC239" s="494"/>
      <c r="TFD239" s="494"/>
      <c r="TFE239" s="494"/>
      <c r="TFF239" s="494"/>
      <c r="TFG239" s="494"/>
      <c r="TFH239" s="494"/>
      <c r="TFI239" s="494"/>
      <c r="TFJ239" s="494"/>
      <c r="TFK239" s="494"/>
      <c r="TFL239" s="494"/>
      <c r="TFM239" s="494"/>
      <c r="TFN239" s="494"/>
      <c r="TFO239" s="494"/>
      <c r="TFP239" s="494"/>
      <c r="TFQ239" s="494"/>
      <c r="TFR239" s="494"/>
      <c r="TFS239" s="494"/>
      <c r="TFT239" s="494"/>
      <c r="TFU239" s="494"/>
      <c r="TFV239" s="494"/>
      <c r="TFW239" s="494"/>
      <c r="TFX239" s="494"/>
      <c r="TFY239" s="494"/>
      <c r="TFZ239" s="494"/>
      <c r="TGA239" s="494"/>
      <c r="TGB239" s="494"/>
      <c r="TGC239" s="494"/>
      <c r="TGD239" s="494"/>
      <c r="TGE239" s="494"/>
      <c r="TGF239" s="494"/>
      <c r="TGG239" s="494"/>
      <c r="TGH239" s="494"/>
      <c r="TGI239" s="494"/>
      <c r="TGJ239" s="494"/>
      <c r="TGK239" s="494"/>
      <c r="TGL239" s="494"/>
      <c r="TGM239" s="494"/>
      <c r="TGN239" s="494"/>
      <c r="TGO239" s="494"/>
      <c r="TGP239" s="494"/>
      <c r="TGQ239" s="494"/>
      <c r="TGR239" s="494"/>
      <c r="TGS239" s="494"/>
      <c r="TGT239" s="494"/>
      <c r="TGU239" s="494"/>
      <c r="TGV239" s="494"/>
      <c r="TGW239" s="494"/>
      <c r="TGX239" s="494"/>
      <c r="TGY239" s="494"/>
      <c r="TGZ239" s="494"/>
      <c r="THA239" s="494"/>
      <c r="THB239" s="494"/>
      <c r="THC239" s="494"/>
      <c r="THD239" s="494"/>
      <c r="THE239" s="494"/>
      <c r="THF239" s="494"/>
      <c r="THG239" s="494"/>
      <c r="THH239" s="494"/>
      <c r="THI239" s="494"/>
      <c r="THJ239" s="494"/>
      <c r="THK239" s="494"/>
      <c r="THL239" s="494"/>
      <c r="THM239" s="494"/>
      <c r="THN239" s="494"/>
      <c r="THO239" s="494"/>
      <c r="THP239" s="494"/>
      <c r="THQ239" s="494"/>
      <c r="THR239" s="494"/>
      <c r="THS239" s="494"/>
      <c r="THT239" s="494"/>
      <c r="THU239" s="494"/>
      <c r="THV239" s="494"/>
      <c r="THW239" s="494"/>
      <c r="THX239" s="494"/>
      <c r="THY239" s="494"/>
      <c r="THZ239" s="494"/>
      <c r="TIA239" s="494"/>
      <c r="TIB239" s="494"/>
      <c r="TIC239" s="494"/>
      <c r="TID239" s="494"/>
      <c r="TIE239" s="494"/>
      <c r="TIF239" s="494"/>
      <c r="TIG239" s="494"/>
      <c r="TIH239" s="494"/>
      <c r="TII239" s="494"/>
      <c r="TIJ239" s="494"/>
      <c r="TIK239" s="494"/>
      <c r="TIL239" s="494"/>
      <c r="TIM239" s="494"/>
      <c r="TIN239" s="494"/>
      <c r="TIO239" s="494"/>
      <c r="TIP239" s="494"/>
      <c r="TIQ239" s="494"/>
      <c r="TIR239" s="494"/>
      <c r="TIS239" s="494"/>
      <c r="TIT239" s="494"/>
      <c r="TIU239" s="494"/>
      <c r="TIV239" s="494"/>
      <c r="TIW239" s="494"/>
      <c r="TIX239" s="494"/>
      <c r="TIY239" s="494"/>
      <c r="TIZ239" s="494"/>
      <c r="TJA239" s="494"/>
      <c r="TJB239" s="494"/>
      <c r="TJC239" s="494"/>
      <c r="TJD239" s="494"/>
      <c r="TJE239" s="494"/>
      <c r="TJF239" s="494"/>
      <c r="TJG239" s="494"/>
      <c r="TJH239" s="494"/>
      <c r="TJI239" s="494"/>
      <c r="TJJ239" s="494"/>
      <c r="TJK239" s="494"/>
      <c r="TJL239" s="494"/>
      <c r="TJM239" s="494"/>
      <c r="TJN239" s="494"/>
      <c r="TJO239" s="494"/>
      <c r="TJP239" s="494"/>
      <c r="TJQ239" s="494"/>
      <c r="TJR239" s="494"/>
      <c r="TJS239" s="494"/>
      <c r="TJT239" s="494"/>
      <c r="TJU239" s="494"/>
      <c r="TJV239" s="494"/>
      <c r="TJW239" s="494"/>
      <c r="TJX239" s="494"/>
      <c r="TJY239" s="494"/>
      <c r="TJZ239" s="494"/>
      <c r="TKA239" s="494"/>
      <c r="TKB239" s="494"/>
      <c r="TKC239" s="494"/>
      <c r="TKD239" s="494"/>
      <c r="TKE239" s="494"/>
      <c r="TKF239" s="494"/>
      <c r="TKG239" s="494"/>
      <c r="TKH239" s="494"/>
      <c r="TKI239" s="494"/>
      <c r="TKJ239" s="494"/>
      <c r="TKK239" s="494"/>
      <c r="TKL239" s="494"/>
      <c r="TKM239" s="494"/>
      <c r="TKN239" s="494"/>
      <c r="TKO239" s="494"/>
      <c r="TKP239" s="494"/>
      <c r="TKQ239" s="494"/>
      <c r="TKR239" s="494"/>
      <c r="TKS239" s="494"/>
      <c r="TKT239" s="494"/>
      <c r="TKU239" s="494"/>
      <c r="TKV239" s="494"/>
      <c r="TKW239" s="494"/>
      <c r="TKX239" s="494"/>
      <c r="TKY239" s="494"/>
      <c r="TKZ239" s="494"/>
      <c r="TLA239" s="494"/>
      <c r="TLB239" s="494"/>
      <c r="TLC239" s="494"/>
      <c r="TLD239" s="494"/>
      <c r="TLE239" s="494"/>
      <c r="TLF239" s="494"/>
      <c r="TLG239" s="494"/>
      <c r="TLH239" s="494"/>
      <c r="TLI239" s="494"/>
      <c r="TLJ239" s="494"/>
      <c r="TLK239" s="494"/>
      <c r="TLL239" s="494"/>
      <c r="TLM239" s="494"/>
      <c r="TLN239" s="494"/>
      <c r="TLO239" s="494"/>
      <c r="TLP239" s="494"/>
      <c r="TLQ239" s="494"/>
      <c r="TLR239" s="494"/>
      <c r="TLS239" s="494"/>
      <c r="TLT239" s="494"/>
      <c r="TLU239" s="494"/>
      <c r="TLV239" s="494"/>
      <c r="TLW239" s="494"/>
      <c r="TLX239" s="494"/>
      <c r="TLY239" s="494"/>
      <c r="TLZ239" s="494"/>
      <c r="TMA239" s="494"/>
      <c r="TMB239" s="494"/>
      <c r="TMC239" s="494"/>
      <c r="TMD239" s="494"/>
      <c r="TME239" s="494"/>
      <c r="TMF239" s="494"/>
      <c r="TMG239" s="494"/>
      <c r="TMH239" s="494"/>
      <c r="TMI239" s="494"/>
      <c r="TMJ239" s="494"/>
      <c r="TMK239" s="494"/>
      <c r="TML239" s="494"/>
      <c r="TMM239" s="494"/>
      <c r="TMN239" s="494"/>
      <c r="TMO239" s="494"/>
      <c r="TMP239" s="494"/>
      <c r="TMQ239" s="494"/>
      <c r="TMR239" s="494"/>
      <c r="TMS239" s="494"/>
      <c r="TMT239" s="494"/>
      <c r="TMU239" s="494"/>
      <c r="TMV239" s="494"/>
      <c r="TMW239" s="494"/>
      <c r="TMX239" s="494"/>
      <c r="TMY239" s="494"/>
      <c r="TMZ239" s="494"/>
      <c r="TNA239" s="494"/>
      <c r="TNB239" s="494"/>
      <c r="TNC239" s="494"/>
      <c r="TND239" s="494"/>
      <c r="TNE239" s="494"/>
      <c r="TNF239" s="494"/>
      <c r="TNG239" s="494"/>
      <c r="TNH239" s="494"/>
      <c r="TNI239" s="494"/>
      <c r="TNJ239" s="494"/>
      <c r="TNK239" s="494"/>
      <c r="TNL239" s="494"/>
      <c r="TNM239" s="494"/>
      <c r="TNN239" s="494"/>
      <c r="TNO239" s="494"/>
      <c r="TNP239" s="494"/>
      <c r="TNQ239" s="494"/>
      <c r="TNR239" s="494"/>
      <c r="TNS239" s="494"/>
      <c r="TNT239" s="494"/>
      <c r="TNU239" s="494"/>
      <c r="TNV239" s="494"/>
      <c r="TNW239" s="494"/>
      <c r="TNX239" s="494"/>
      <c r="TNY239" s="494"/>
      <c r="TNZ239" s="494"/>
      <c r="TOA239" s="494"/>
      <c r="TOB239" s="494"/>
      <c r="TOC239" s="494"/>
      <c r="TOD239" s="494"/>
      <c r="TOE239" s="494"/>
      <c r="TOF239" s="494"/>
      <c r="TOG239" s="494"/>
      <c r="TOH239" s="494"/>
      <c r="TOI239" s="494"/>
      <c r="TOJ239" s="494"/>
      <c r="TOK239" s="494"/>
      <c r="TOL239" s="494"/>
      <c r="TOM239" s="494"/>
      <c r="TON239" s="494"/>
      <c r="TOO239" s="494"/>
      <c r="TOP239" s="494"/>
      <c r="TOQ239" s="494"/>
      <c r="TOR239" s="494"/>
      <c r="TOS239" s="494"/>
      <c r="TOT239" s="494"/>
      <c r="TOU239" s="494"/>
      <c r="TOV239" s="494"/>
      <c r="TOW239" s="494"/>
      <c r="TOX239" s="494"/>
      <c r="TOY239" s="494"/>
      <c r="TOZ239" s="494"/>
      <c r="TPA239" s="494"/>
      <c r="TPB239" s="494"/>
      <c r="TPC239" s="494"/>
      <c r="TPD239" s="494"/>
      <c r="TPE239" s="494"/>
      <c r="TPF239" s="494"/>
      <c r="TPG239" s="494"/>
      <c r="TPH239" s="494"/>
      <c r="TPI239" s="494"/>
      <c r="TPJ239" s="494"/>
      <c r="TPK239" s="494"/>
      <c r="TPL239" s="494"/>
      <c r="TPM239" s="494"/>
      <c r="TPN239" s="494"/>
      <c r="TPO239" s="494"/>
      <c r="TPP239" s="494"/>
      <c r="TPQ239" s="494"/>
      <c r="TPR239" s="494"/>
      <c r="TPS239" s="494"/>
      <c r="TPT239" s="494"/>
      <c r="TPU239" s="494"/>
      <c r="TPV239" s="494"/>
      <c r="TPW239" s="494"/>
      <c r="TPX239" s="494"/>
      <c r="TPY239" s="494"/>
      <c r="TPZ239" s="494"/>
      <c r="TQA239" s="494"/>
      <c r="TQB239" s="494"/>
      <c r="TQC239" s="494"/>
      <c r="TQD239" s="494"/>
      <c r="TQE239" s="494"/>
      <c r="TQF239" s="494"/>
      <c r="TQG239" s="494"/>
      <c r="TQH239" s="494"/>
      <c r="TQI239" s="494"/>
      <c r="TQJ239" s="494"/>
      <c r="TQK239" s="494"/>
      <c r="TQL239" s="494"/>
      <c r="TQM239" s="494"/>
      <c r="TQN239" s="494"/>
      <c r="TQO239" s="494"/>
      <c r="TQP239" s="494"/>
      <c r="TQQ239" s="494"/>
      <c r="TQR239" s="494"/>
      <c r="TQS239" s="494"/>
      <c r="TQT239" s="494"/>
      <c r="TQU239" s="494"/>
      <c r="TQV239" s="494"/>
      <c r="TQW239" s="494"/>
      <c r="TQX239" s="494"/>
      <c r="TQY239" s="494"/>
      <c r="TQZ239" s="494"/>
      <c r="TRA239" s="494"/>
      <c r="TRB239" s="494"/>
      <c r="TRC239" s="494"/>
      <c r="TRD239" s="494"/>
      <c r="TRE239" s="494"/>
      <c r="TRF239" s="494"/>
      <c r="TRG239" s="494"/>
      <c r="TRH239" s="494"/>
      <c r="TRI239" s="494"/>
      <c r="TRJ239" s="494"/>
      <c r="TRK239" s="494"/>
      <c r="TRL239" s="494"/>
      <c r="TRM239" s="494"/>
      <c r="TRN239" s="494"/>
      <c r="TRO239" s="494"/>
      <c r="TRP239" s="494"/>
      <c r="TRQ239" s="494"/>
      <c r="TRR239" s="494"/>
      <c r="TRS239" s="494"/>
      <c r="TRT239" s="494"/>
      <c r="TRU239" s="494"/>
      <c r="TRV239" s="494"/>
      <c r="TRW239" s="494"/>
      <c r="TRX239" s="494"/>
      <c r="TRY239" s="494"/>
      <c r="TRZ239" s="494"/>
      <c r="TSA239" s="494"/>
      <c r="TSB239" s="494"/>
      <c r="TSC239" s="494"/>
      <c r="TSD239" s="494"/>
      <c r="TSE239" s="494"/>
      <c r="TSF239" s="494"/>
      <c r="TSG239" s="494"/>
      <c r="TSH239" s="494"/>
      <c r="TSI239" s="494"/>
      <c r="TSJ239" s="494"/>
      <c r="TSK239" s="494"/>
      <c r="TSL239" s="494"/>
      <c r="TSM239" s="494"/>
      <c r="TSN239" s="494"/>
      <c r="TSO239" s="494"/>
      <c r="TSP239" s="494"/>
      <c r="TSQ239" s="494"/>
      <c r="TSR239" s="494"/>
      <c r="TSS239" s="494"/>
      <c r="TST239" s="494"/>
      <c r="TSU239" s="494"/>
      <c r="TSV239" s="494"/>
      <c r="TSW239" s="494"/>
      <c r="TSX239" s="494"/>
      <c r="TSY239" s="494"/>
      <c r="TSZ239" s="494"/>
      <c r="TTA239" s="494"/>
      <c r="TTB239" s="494"/>
      <c r="TTC239" s="494"/>
      <c r="TTD239" s="494"/>
      <c r="TTE239" s="494"/>
      <c r="TTF239" s="494"/>
      <c r="TTG239" s="494"/>
      <c r="TTH239" s="494"/>
      <c r="TTI239" s="494"/>
      <c r="TTJ239" s="494"/>
      <c r="TTK239" s="494"/>
      <c r="TTL239" s="494"/>
      <c r="TTM239" s="494"/>
      <c r="TTN239" s="494"/>
      <c r="TTO239" s="494"/>
      <c r="TTP239" s="494"/>
      <c r="TTQ239" s="494"/>
      <c r="TTR239" s="494"/>
      <c r="TTS239" s="494"/>
      <c r="TTT239" s="494"/>
      <c r="TTU239" s="494"/>
      <c r="TTV239" s="494"/>
      <c r="TTW239" s="494"/>
      <c r="TTX239" s="494"/>
      <c r="TTY239" s="494"/>
      <c r="TTZ239" s="494"/>
      <c r="TUA239" s="494"/>
      <c r="TUB239" s="494"/>
      <c r="TUC239" s="494"/>
      <c r="TUD239" s="494"/>
      <c r="TUE239" s="494"/>
      <c r="TUF239" s="494"/>
      <c r="TUG239" s="494"/>
      <c r="TUH239" s="494"/>
      <c r="TUI239" s="494"/>
      <c r="TUJ239" s="494"/>
      <c r="TUK239" s="494"/>
      <c r="TUL239" s="494"/>
      <c r="TUM239" s="494"/>
      <c r="TUN239" s="494"/>
      <c r="TUO239" s="494"/>
      <c r="TUP239" s="494"/>
      <c r="TUQ239" s="494"/>
      <c r="TUR239" s="494"/>
      <c r="TUS239" s="494"/>
      <c r="TUT239" s="494"/>
      <c r="TUU239" s="494"/>
      <c r="TUV239" s="494"/>
      <c r="TUW239" s="494"/>
      <c r="TUX239" s="494"/>
      <c r="TUY239" s="494"/>
      <c r="TUZ239" s="494"/>
      <c r="TVA239" s="494"/>
      <c r="TVB239" s="494"/>
      <c r="TVC239" s="494"/>
      <c r="TVD239" s="494"/>
      <c r="TVE239" s="494"/>
      <c r="TVF239" s="494"/>
      <c r="TVG239" s="494"/>
      <c r="TVH239" s="494"/>
      <c r="TVI239" s="494"/>
      <c r="TVJ239" s="494"/>
      <c r="TVK239" s="494"/>
      <c r="TVL239" s="494"/>
      <c r="TVM239" s="494"/>
      <c r="TVN239" s="494"/>
      <c r="TVO239" s="494"/>
      <c r="TVP239" s="494"/>
      <c r="TVQ239" s="494"/>
      <c r="TVR239" s="494"/>
      <c r="TVS239" s="494"/>
      <c r="TVT239" s="494"/>
      <c r="TVU239" s="494"/>
      <c r="TVV239" s="494"/>
      <c r="TVW239" s="494"/>
      <c r="TVX239" s="494"/>
      <c r="TVY239" s="494"/>
      <c r="TVZ239" s="494"/>
      <c r="TWA239" s="494"/>
      <c r="TWB239" s="494"/>
      <c r="TWC239" s="494"/>
      <c r="TWD239" s="494"/>
      <c r="TWE239" s="494"/>
      <c r="TWF239" s="494"/>
      <c r="TWG239" s="494"/>
      <c r="TWH239" s="494"/>
      <c r="TWI239" s="494"/>
      <c r="TWJ239" s="494"/>
      <c r="TWK239" s="494"/>
      <c r="TWL239" s="494"/>
      <c r="TWM239" s="494"/>
      <c r="TWN239" s="494"/>
      <c r="TWO239" s="494"/>
      <c r="TWP239" s="494"/>
      <c r="TWQ239" s="494"/>
      <c r="TWR239" s="494"/>
      <c r="TWS239" s="494"/>
      <c r="TWT239" s="494"/>
      <c r="TWU239" s="494"/>
      <c r="TWV239" s="494"/>
      <c r="TWW239" s="494"/>
      <c r="TWX239" s="494"/>
      <c r="TWY239" s="494"/>
      <c r="TWZ239" s="494"/>
      <c r="TXA239" s="494"/>
      <c r="TXB239" s="494"/>
      <c r="TXC239" s="494"/>
      <c r="TXD239" s="494"/>
      <c r="TXE239" s="494"/>
      <c r="TXF239" s="494"/>
      <c r="TXG239" s="494"/>
      <c r="TXH239" s="494"/>
      <c r="TXI239" s="494"/>
      <c r="TXJ239" s="494"/>
      <c r="TXK239" s="494"/>
      <c r="TXL239" s="494"/>
      <c r="TXM239" s="494"/>
      <c r="TXN239" s="494"/>
      <c r="TXO239" s="494"/>
      <c r="TXP239" s="494"/>
      <c r="TXQ239" s="494"/>
      <c r="TXR239" s="494"/>
      <c r="TXS239" s="494"/>
      <c r="TXT239" s="494"/>
      <c r="TXU239" s="494"/>
      <c r="TXV239" s="494"/>
      <c r="TXW239" s="494"/>
      <c r="TXX239" s="494"/>
      <c r="TXY239" s="494"/>
      <c r="TXZ239" s="494"/>
      <c r="TYA239" s="494"/>
      <c r="TYB239" s="494"/>
      <c r="TYC239" s="494"/>
      <c r="TYD239" s="494"/>
      <c r="TYE239" s="494"/>
      <c r="TYF239" s="494"/>
      <c r="TYG239" s="494"/>
      <c r="TYH239" s="494"/>
      <c r="TYI239" s="494"/>
      <c r="TYJ239" s="494"/>
      <c r="TYK239" s="494"/>
      <c r="TYL239" s="494"/>
      <c r="TYM239" s="494"/>
      <c r="TYN239" s="494"/>
      <c r="TYO239" s="494"/>
      <c r="TYP239" s="494"/>
      <c r="TYQ239" s="494"/>
      <c r="TYR239" s="494"/>
      <c r="TYS239" s="494"/>
      <c r="TYT239" s="494"/>
      <c r="TYU239" s="494"/>
      <c r="TYV239" s="494"/>
      <c r="TYW239" s="494"/>
      <c r="TYX239" s="494"/>
      <c r="TYY239" s="494"/>
      <c r="TYZ239" s="494"/>
      <c r="TZA239" s="494"/>
      <c r="TZB239" s="494"/>
      <c r="TZC239" s="494"/>
      <c r="TZD239" s="494"/>
      <c r="TZE239" s="494"/>
      <c r="TZF239" s="494"/>
      <c r="TZG239" s="494"/>
      <c r="TZH239" s="494"/>
      <c r="TZI239" s="494"/>
      <c r="TZJ239" s="494"/>
      <c r="TZK239" s="494"/>
      <c r="TZL239" s="494"/>
      <c r="TZM239" s="494"/>
      <c r="TZN239" s="494"/>
      <c r="TZO239" s="494"/>
      <c r="TZP239" s="494"/>
      <c r="TZQ239" s="494"/>
      <c r="TZR239" s="494"/>
      <c r="TZS239" s="494"/>
      <c r="TZT239" s="494"/>
      <c r="TZU239" s="494"/>
      <c r="TZV239" s="494"/>
      <c r="TZW239" s="494"/>
      <c r="TZX239" s="494"/>
      <c r="TZY239" s="494"/>
      <c r="TZZ239" s="494"/>
      <c r="UAA239" s="494"/>
      <c r="UAB239" s="494"/>
      <c r="UAC239" s="494"/>
      <c r="UAD239" s="494"/>
      <c r="UAE239" s="494"/>
      <c r="UAF239" s="494"/>
      <c r="UAG239" s="494"/>
      <c r="UAH239" s="494"/>
      <c r="UAI239" s="494"/>
      <c r="UAJ239" s="494"/>
      <c r="UAK239" s="494"/>
      <c r="UAL239" s="494"/>
      <c r="UAM239" s="494"/>
      <c r="UAN239" s="494"/>
      <c r="UAO239" s="494"/>
      <c r="UAP239" s="494"/>
      <c r="UAQ239" s="494"/>
      <c r="UAR239" s="494"/>
      <c r="UAS239" s="494"/>
      <c r="UAT239" s="494"/>
      <c r="UAU239" s="494"/>
      <c r="UAV239" s="494"/>
      <c r="UAW239" s="494"/>
      <c r="UAX239" s="494"/>
      <c r="UAY239" s="494"/>
      <c r="UAZ239" s="494"/>
      <c r="UBA239" s="494"/>
      <c r="UBB239" s="494"/>
      <c r="UBC239" s="494"/>
      <c r="UBD239" s="494"/>
      <c r="UBE239" s="494"/>
      <c r="UBF239" s="494"/>
      <c r="UBG239" s="494"/>
      <c r="UBH239" s="494"/>
      <c r="UBI239" s="494"/>
      <c r="UBJ239" s="494"/>
      <c r="UBK239" s="494"/>
      <c r="UBL239" s="494"/>
      <c r="UBM239" s="494"/>
      <c r="UBN239" s="494"/>
      <c r="UBO239" s="494"/>
      <c r="UBP239" s="494"/>
      <c r="UBQ239" s="494"/>
      <c r="UBR239" s="494"/>
      <c r="UBS239" s="494"/>
      <c r="UBT239" s="494"/>
      <c r="UBU239" s="494"/>
      <c r="UBV239" s="494"/>
      <c r="UBW239" s="494"/>
      <c r="UBX239" s="494"/>
      <c r="UBY239" s="494"/>
      <c r="UBZ239" s="494"/>
      <c r="UCA239" s="494"/>
      <c r="UCB239" s="494"/>
      <c r="UCC239" s="494"/>
      <c r="UCD239" s="494"/>
      <c r="UCE239" s="494"/>
      <c r="UCF239" s="494"/>
      <c r="UCG239" s="494"/>
      <c r="UCH239" s="494"/>
      <c r="UCI239" s="494"/>
      <c r="UCJ239" s="494"/>
      <c r="UCK239" s="494"/>
      <c r="UCL239" s="494"/>
      <c r="UCM239" s="494"/>
      <c r="UCN239" s="494"/>
      <c r="UCO239" s="494"/>
      <c r="UCP239" s="494"/>
      <c r="UCQ239" s="494"/>
      <c r="UCR239" s="494"/>
      <c r="UCS239" s="494"/>
      <c r="UCT239" s="494"/>
      <c r="UCU239" s="494"/>
      <c r="UCV239" s="494"/>
      <c r="UCW239" s="494"/>
      <c r="UCX239" s="494"/>
      <c r="UCY239" s="494"/>
      <c r="UCZ239" s="494"/>
      <c r="UDA239" s="494"/>
      <c r="UDB239" s="494"/>
      <c r="UDC239" s="494"/>
      <c r="UDD239" s="494"/>
      <c r="UDE239" s="494"/>
      <c r="UDF239" s="494"/>
      <c r="UDG239" s="494"/>
      <c r="UDH239" s="494"/>
      <c r="UDI239" s="494"/>
      <c r="UDJ239" s="494"/>
      <c r="UDK239" s="494"/>
      <c r="UDL239" s="494"/>
      <c r="UDM239" s="494"/>
      <c r="UDN239" s="494"/>
      <c r="UDO239" s="494"/>
      <c r="UDP239" s="494"/>
      <c r="UDQ239" s="494"/>
      <c r="UDR239" s="494"/>
      <c r="UDS239" s="494"/>
      <c r="UDT239" s="494"/>
      <c r="UDU239" s="494"/>
      <c r="UDV239" s="494"/>
      <c r="UDW239" s="494"/>
      <c r="UDX239" s="494"/>
      <c r="UDY239" s="494"/>
      <c r="UDZ239" s="494"/>
      <c r="UEA239" s="494"/>
      <c r="UEB239" s="494"/>
      <c r="UEC239" s="494"/>
      <c r="UED239" s="494"/>
      <c r="UEE239" s="494"/>
      <c r="UEF239" s="494"/>
      <c r="UEG239" s="494"/>
      <c r="UEH239" s="494"/>
      <c r="UEI239" s="494"/>
      <c r="UEJ239" s="494"/>
      <c r="UEK239" s="494"/>
      <c r="UEL239" s="494"/>
      <c r="UEM239" s="494"/>
      <c r="UEN239" s="494"/>
      <c r="UEO239" s="494"/>
      <c r="UEP239" s="494"/>
      <c r="UEQ239" s="494"/>
      <c r="UER239" s="494"/>
      <c r="UES239" s="494"/>
      <c r="UET239" s="494"/>
      <c r="UEU239" s="494"/>
      <c r="UEV239" s="494"/>
      <c r="UEW239" s="494"/>
      <c r="UEX239" s="494"/>
      <c r="UEY239" s="494"/>
      <c r="UEZ239" s="494"/>
      <c r="UFA239" s="494"/>
      <c r="UFB239" s="494"/>
      <c r="UFC239" s="494"/>
      <c r="UFD239" s="494"/>
      <c r="UFE239" s="494"/>
      <c r="UFF239" s="494"/>
      <c r="UFG239" s="494"/>
      <c r="UFH239" s="494"/>
      <c r="UFI239" s="494"/>
      <c r="UFJ239" s="494"/>
      <c r="UFK239" s="494"/>
      <c r="UFL239" s="494"/>
      <c r="UFM239" s="494"/>
      <c r="UFN239" s="494"/>
      <c r="UFO239" s="494"/>
      <c r="UFP239" s="494"/>
      <c r="UFQ239" s="494"/>
      <c r="UFR239" s="494"/>
      <c r="UFS239" s="494"/>
      <c r="UFT239" s="494"/>
      <c r="UFU239" s="494"/>
      <c r="UFV239" s="494"/>
      <c r="UFW239" s="494"/>
      <c r="UFX239" s="494"/>
      <c r="UFY239" s="494"/>
      <c r="UFZ239" s="494"/>
      <c r="UGA239" s="494"/>
      <c r="UGB239" s="494"/>
      <c r="UGC239" s="494"/>
      <c r="UGD239" s="494"/>
      <c r="UGE239" s="494"/>
      <c r="UGF239" s="494"/>
      <c r="UGG239" s="494"/>
      <c r="UGH239" s="494"/>
      <c r="UGI239" s="494"/>
      <c r="UGJ239" s="494"/>
      <c r="UGK239" s="494"/>
      <c r="UGL239" s="494"/>
      <c r="UGM239" s="494"/>
      <c r="UGN239" s="494"/>
      <c r="UGO239" s="494"/>
      <c r="UGP239" s="494"/>
      <c r="UGQ239" s="494"/>
      <c r="UGR239" s="494"/>
      <c r="UGS239" s="494"/>
      <c r="UGT239" s="494"/>
      <c r="UGU239" s="494"/>
      <c r="UGV239" s="494"/>
      <c r="UGW239" s="494"/>
      <c r="UGX239" s="494"/>
      <c r="UGY239" s="494"/>
      <c r="UGZ239" s="494"/>
      <c r="UHA239" s="494"/>
      <c r="UHB239" s="494"/>
      <c r="UHC239" s="494"/>
      <c r="UHD239" s="494"/>
      <c r="UHE239" s="494"/>
      <c r="UHF239" s="494"/>
      <c r="UHG239" s="494"/>
      <c r="UHH239" s="494"/>
      <c r="UHI239" s="494"/>
      <c r="UHJ239" s="494"/>
      <c r="UHK239" s="494"/>
      <c r="UHL239" s="494"/>
      <c r="UHM239" s="494"/>
      <c r="UHN239" s="494"/>
      <c r="UHO239" s="494"/>
      <c r="UHP239" s="494"/>
      <c r="UHQ239" s="494"/>
      <c r="UHR239" s="494"/>
      <c r="UHS239" s="494"/>
      <c r="UHT239" s="494"/>
      <c r="UHU239" s="494"/>
      <c r="UHV239" s="494"/>
      <c r="UHW239" s="494"/>
      <c r="UHX239" s="494"/>
      <c r="UHY239" s="494"/>
      <c r="UHZ239" s="494"/>
      <c r="UIA239" s="494"/>
      <c r="UIB239" s="494"/>
      <c r="UIC239" s="494"/>
      <c r="UID239" s="494"/>
      <c r="UIE239" s="494"/>
      <c r="UIF239" s="494"/>
      <c r="UIG239" s="494"/>
      <c r="UIH239" s="494"/>
      <c r="UII239" s="494"/>
      <c r="UIJ239" s="494"/>
      <c r="UIK239" s="494"/>
      <c r="UIL239" s="494"/>
      <c r="UIM239" s="494"/>
      <c r="UIN239" s="494"/>
      <c r="UIO239" s="494"/>
      <c r="UIP239" s="494"/>
      <c r="UIQ239" s="494"/>
      <c r="UIR239" s="494"/>
      <c r="UIS239" s="494"/>
      <c r="UIT239" s="494"/>
      <c r="UIU239" s="494"/>
      <c r="UIV239" s="494"/>
      <c r="UIW239" s="494"/>
      <c r="UIX239" s="494"/>
      <c r="UIY239" s="494"/>
      <c r="UIZ239" s="494"/>
      <c r="UJA239" s="494"/>
      <c r="UJB239" s="494"/>
      <c r="UJC239" s="494"/>
      <c r="UJD239" s="494"/>
      <c r="UJE239" s="494"/>
      <c r="UJF239" s="494"/>
      <c r="UJG239" s="494"/>
      <c r="UJH239" s="494"/>
      <c r="UJI239" s="494"/>
      <c r="UJJ239" s="494"/>
      <c r="UJK239" s="494"/>
      <c r="UJL239" s="494"/>
      <c r="UJM239" s="494"/>
      <c r="UJN239" s="494"/>
      <c r="UJO239" s="494"/>
      <c r="UJP239" s="494"/>
      <c r="UJQ239" s="494"/>
      <c r="UJR239" s="494"/>
      <c r="UJS239" s="494"/>
      <c r="UJT239" s="494"/>
      <c r="UJU239" s="494"/>
      <c r="UJV239" s="494"/>
      <c r="UJW239" s="494"/>
      <c r="UJX239" s="494"/>
      <c r="UJY239" s="494"/>
      <c r="UJZ239" s="494"/>
      <c r="UKA239" s="494"/>
      <c r="UKB239" s="494"/>
      <c r="UKC239" s="494"/>
      <c r="UKD239" s="494"/>
      <c r="UKE239" s="494"/>
      <c r="UKF239" s="494"/>
      <c r="UKG239" s="494"/>
      <c r="UKH239" s="494"/>
      <c r="UKI239" s="494"/>
      <c r="UKJ239" s="494"/>
      <c r="UKK239" s="494"/>
      <c r="UKL239" s="494"/>
      <c r="UKM239" s="494"/>
      <c r="UKN239" s="494"/>
      <c r="UKO239" s="494"/>
      <c r="UKP239" s="494"/>
      <c r="UKQ239" s="494"/>
      <c r="UKR239" s="494"/>
      <c r="UKS239" s="494"/>
      <c r="UKT239" s="494"/>
      <c r="UKU239" s="494"/>
      <c r="UKV239" s="494"/>
      <c r="UKW239" s="494"/>
      <c r="UKX239" s="494"/>
      <c r="UKY239" s="494"/>
      <c r="UKZ239" s="494"/>
      <c r="ULA239" s="494"/>
      <c r="ULB239" s="494"/>
      <c r="ULC239" s="494"/>
      <c r="ULD239" s="494"/>
      <c r="ULE239" s="494"/>
      <c r="ULF239" s="494"/>
      <c r="ULG239" s="494"/>
      <c r="ULH239" s="494"/>
      <c r="ULI239" s="494"/>
      <c r="ULJ239" s="494"/>
      <c r="ULK239" s="494"/>
      <c r="ULL239" s="494"/>
      <c r="ULM239" s="494"/>
      <c r="ULN239" s="494"/>
      <c r="ULO239" s="494"/>
      <c r="ULP239" s="494"/>
      <c r="ULQ239" s="494"/>
      <c r="ULR239" s="494"/>
      <c r="ULS239" s="494"/>
      <c r="ULT239" s="494"/>
      <c r="ULU239" s="494"/>
      <c r="ULV239" s="494"/>
      <c r="ULW239" s="494"/>
      <c r="ULX239" s="494"/>
      <c r="ULY239" s="494"/>
      <c r="ULZ239" s="494"/>
      <c r="UMA239" s="494"/>
      <c r="UMB239" s="494"/>
      <c r="UMC239" s="494"/>
      <c r="UMD239" s="494"/>
      <c r="UME239" s="494"/>
      <c r="UMF239" s="494"/>
      <c r="UMG239" s="494"/>
      <c r="UMH239" s="494"/>
      <c r="UMI239" s="494"/>
      <c r="UMJ239" s="494"/>
      <c r="UMK239" s="494"/>
      <c r="UML239" s="494"/>
      <c r="UMM239" s="494"/>
      <c r="UMN239" s="494"/>
      <c r="UMO239" s="494"/>
      <c r="UMP239" s="494"/>
      <c r="UMQ239" s="494"/>
      <c r="UMR239" s="494"/>
      <c r="UMS239" s="494"/>
      <c r="UMT239" s="494"/>
      <c r="UMU239" s="494"/>
      <c r="UMV239" s="494"/>
      <c r="UMW239" s="494"/>
      <c r="UMX239" s="494"/>
      <c r="UMY239" s="494"/>
      <c r="UMZ239" s="494"/>
      <c r="UNA239" s="494"/>
      <c r="UNB239" s="494"/>
      <c r="UNC239" s="494"/>
      <c r="UND239" s="494"/>
      <c r="UNE239" s="494"/>
      <c r="UNF239" s="494"/>
      <c r="UNG239" s="494"/>
      <c r="UNH239" s="494"/>
      <c r="UNI239" s="494"/>
      <c r="UNJ239" s="494"/>
      <c r="UNK239" s="494"/>
      <c r="UNL239" s="494"/>
      <c r="UNM239" s="494"/>
      <c r="UNN239" s="494"/>
      <c r="UNO239" s="494"/>
      <c r="UNP239" s="494"/>
      <c r="UNQ239" s="494"/>
      <c r="UNR239" s="494"/>
      <c r="UNS239" s="494"/>
      <c r="UNT239" s="494"/>
      <c r="UNU239" s="494"/>
      <c r="UNV239" s="494"/>
      <c r="UNW239" s="494"/>
      <c r="UNX239" s="494"/>
      <c r="UNY239" s="494"/>
      <c r="UNZ239" s="494"/>
      <c r="UOA239" s="494"/>
      <c r="UOB239" s="494"/>
      <c r="UOC239" s="494"/>
      <c r="UOD239" s="494"/>
      <c r="UOE239" s="494"/>
      <c r="UOF239" s="494"/>
      <c r="UOG239" s="494"/>
      <c r="UOH239" s="494"/>
      <c r="UOI239" s="494"/>
      <c r="UOJ239" s="494"/>
      <c r="UOK239" s="494"/>
      <c r="UOL239" s="494"/>
      <c r="UOM239" s="494"/>
      <c r="UON239" s="494"/>
      <c r="UOO239" s="494"/>
      <c r="UOP239" s="494"/>
      <c r="UOQ239" s="494"/>
      <c r="UOR239" s="494"/>
      <c r="UOS239" s="494"/>
      <c r="UOT239" s="494"/>
      <c r="UOU239" s="494"/>
      <c r="UOV239" s="494"/>
      <c r="UOW239" s="494"/>
      <c r="UOX239" s="494"/>
      <c r="UOY239" s="494"/>
      <c r="UOZ239" s="494"/>
      <c r="UPA239" s="494"/>
      <c r="UPB239" s="494"/>
      <c r="UPC239" s="494"/>
      <c r="UPD239" s="494"/>
      <c r="UPE239" s="494"/>
      <c r="UPF239" s="494"/>
      <c r="UPG239" s="494"/>
      <c r="UPH239" s="494"/>
      <c r="UPI239" s="494"/>
      <c r="UPJ239" s="494"/>
      <c r="UPK239" s="494"/>
      <c r="UPL239" s="494"/>
      <c r="UPM239" s="494"/>
      <c r="UPN239" s="494"/>
      <c r="UPO239" s="494"/>
      <c r="UPP239" s="494"/>
      <c r="UPQ239" s="494"/>
      <c r="UPR239" s="494"/>
      <c r="UPS239" s="494"/>
      <c r="UPT239" s="494"/>
      <c r="UPU239" s="494"/>
      <c r="UPV239" s="494"/>
      <c r="UPW239" s="494"/>
      <c r="UPX239" s="494"/>
      <c r="UPY239" s="494"/>
      <c r="UPZ239" s="494"/>
      <c r="UQA239" s="494"/>
      <c r="UQB239" s="494"/>
      <c r="UQC239" s="494"/>
      <c r="UQD239" s="494"/>
      <c r="UQE239" s="494"/>
      <c r="UQF239" s="494"/>
      <c r="UQG239" s="494"/>
      <c r="UQH239" s="494"/>
      <c r="UQI239" s="494"/>
      <c r="UQJ239" s="494"/>
      <c r="UQK239" s="494"/>
      <c r="UQL239" s="494"/>
      <c r="UQM239" s="494"/>
      <c r="UQN239" s="494"/>
      <c r="UQO239" s="494"/>
      <c r="UQP239" s="494"/>
      <c r="UQQ239" s="494"/>
      <c r="UQR239" s="494"/>
      <c r="UQS239" s="494"/>
      <c r="UQT239" s="494"/>
      <c r="UQU239" s="494"/>
      <c r="UQV239" s="494"/>
      <c r="UQW239" s="494"/>
      <c r="UQX239" s="494"/>
      <c r="UQY239" s="494"/>
      <c r="UQZ239" s="494"/>
      <c r="URA239" s="494"/>
      <c r="URB239" s="494"/>
      <c r="URC239" s="494"/>
      <c r="URD239" s="494"/>
      <c r="URE239" s="494"/>
      <c r="URF239" s="494"/>
      <c r="URG239" s="494"/>
      <c r="URH239" s="494"/>
      <c r="URI239" s="494"/>
      <c r="URJ239" s="494"/>
      <c r="URK239" s="494"/>
      <c r="URL239" s="494"/>
      <c r="URM239" s="494"/>
      <c r="URN239" s="494"/>
      <c r="URO239" s="494"/>
      <c r="URP239" s="494"/>
      <c r="URQ239" s="494"/>
      <c r="URR239" s="494"/>
      <c r="URS239" s="494"/>
      <c r="URT239" s="494"/>
      <c r="URU239" s="494"/>
      <c r="URV239" s="494"/>
      <c r="URW239" s="494"/>
      <c r="URX239" s="494"/>
      <c r="URY239" s="494"/>
      <c r="URZ239" s="494"/>
      <c r="USA239" s="494"/>
      <c r="USB239" s="494"/>
      <c r="USC239" s="494"/>
      <c r="USD239" s="494"/>
      <c r="USE239" s="494"/>
      <c r="USF239" s="494"/>
      <c r="USG239" s="494"/>
      <c r="USH239" s="494"/>
      <c r="USI239" s="494"/>
      <c r="USJ239" s="494"/>
      <c r="USK239" s="494"/>
      <c r="USL239" s="494"/>
      <c r="USM239" s="494"/>
      <c r="USN239" s="494"/>
      <c r="USO239" s="494"/>
      <c r="USP239" s="494"/>
      <c r="USQ239" s="494"/>
      <c r="USR239" s="494"/>
      <c r="USS239" s="494"/>
      <c r="UST239" s="494"/>
      <c r="USU239" s="494"/>
      <c r="USV239" s="494"/>
      <c r="USW239" s="494"/>
      <c r="USX239" s="494"/>
      <c r="USY239" s="494"/>
      <c r="USZ239" s="494"/>
      <c r="UTA239" s="494"/>
      <c r="UTB239" s="494"/>
      <c r="UTC239" s="494"/>
      <c r="UTD239" s="494"/>
      <c r="UTE239" s="494"/>
      <c r="UTF239" s="494"/>
      <c r="UTG239" s="494"/>
      <c r="UTH239" s="494"/>
      <c r="UTI239" s="494"/>
      <c r="UTJ239" s="494"/>
      <c r="UTK239" s="494"/>
      <c r="UTL239" s="494"/>
      <c r="UTM239" s="494"/>
      <c r="UTN239" s="494"/>
      <c r="UTO239" s="494"/>
      <c r="UTP239" s="494"/>
      <c r="UTQ239" s="494"/>
      <c r="UTR239" s="494"/>
      <c r="UTS239" s="494"/>
      <c r="UTT239" s="494"/>
      <c r="UTU239" s="494"/>
      <c r="UTV239" s="494"/>
      <c r="UTW239" s="494"/>
      <c r="UTX239" s="494"/>
      <c r="UTY239" s="494"/>
      <c r="UTZ239" s="494"/>
      <c r="UUA239" s="494"/>
      <c r="UUB239" s="494"/>
      <c r="UUC239" s="494"/>
      <c r="UUD239" s="494"/>
      <c r="UUE239" s="494"/>
      <c r="UUF239" s="494"/>
      <c r="UUG239" s="494"/>
      <c r="UUH239" s="494"/>
      <c r="UUI239" s="494"/>
      <c r="UUJ239" s="494"/>
      <c r="UUK239" s="494"/>
      <c r="UUL239" s="494"/>
      <c r="UUM239" s="494"/>
      <c r="UUN239" s="494"/>
      <c r="UUO239" s="494"/>
      <c r="UUP239" s="494"/>
      <c r="UUQ239" s="494"/>
      <c r="UUR239" s="494"/>
      <c r="UUS239" s="494"/>
      <c r="UUT239" s="494"/>
      <c r="UUU239" s="494"/>
      <c r="UUV239" s="494"/>
      <c r="UUW239" s="494"/>
      <c r="UUX239" s="494"/>
      <c r="UUY239" s="494"/>
      <c r="UUZ239" s="494"/>
      <c r="UVA239" s="494"/>
      <c r="UVB239" s="494"/>
      <c r="UVC239" s="494"/>
      <c r="UVD239" s="494"/>
      <c r="UVE239" s="494"/>
      <c r="UVF239" s="494"/>
      <c r="UVG239" s="494"/>
      <c r="UVH239" s="494"/>
      <c r="UVI239" s="494"/>
      <c r="UVJ239" s="494"/>
      <c r="UVK239" s="494"/>
      <c r="UVL239" s="494"/>
      <c r="UVM239" s="494"/>
      <c r="UVN239" s="494"/>
      <c r="UVO239" s="494"/>
      <c r="UVP239" s="494"/>
      <c r="UVQ239" s="494"/>
      <c r="UVR239" s="494"/>
      <c r="UVS239" s="494"/>
      <c r="UVT239" s="494"/>
      <c r="UVU239" s="494"/>
      <c r="UVV239" s="494"/>
      <c r="UVW239" s="494"/>
      <c r="UVX239" s="494"/>
      <c r="UVY239" s="494"/>
      <c r="UVZ239" s="494"/>
      <c r="UWA239" s="494"/>
      <c r="UWB239" s="494"/>
      <c r="UWC239" s="494"/>
      <c r="UWD239" s="494"/>
      <c r="UWE239" s="494"/>
      <c r="UWF239" s="494"/>
      <c r="UWG239" s="494"/>
      <c r="UWH239" s="494"/>
      <c r="UWI239" s="494"/>
      <c r="UWJ239" s="494"/>
      <c r="UWK239" s="494"/>
      <c r="UWL239" s="494"/>
      <c r="UWM239" s="494"/>
      <c r="UWN239" s="494"/>
      <c r="UWO239" s="494"/>
      <c r="UWP239" s="494"/>
      <c r="UWQ239" s="494"/>
      <c r="UWR239" s="494"/>
      <c r="UWS239" s="494"/>
      <c r="UWT239" s="494"/>
      <c r="UWU239" s="494"/>
      <c r="UWV239" s="494"/>
      <c r="UWW239" s="494"/>
      <c r="UWX239" s="494"/>
      <c r="UWY239" s="494"/>
      <c r="UWZ239" s="494"/>
      <c r="UXA239" s="494"/>
      <c r="UXB239" s="494"/>
      <c r="UXC239" s="494"/>
      <c r="UXD239" s="494"/>
      <c r="UXE239" s="494"/>
      <c r="UXF239" s="494"/>
      <c r="UXG239" s="494"/>
      <c r="UXH239" s="494"/>
      <c r="UXI239" s="494"/>
      <c r="UXJ239" s="494"/>
      <c r="UXK239" s="494"/>
      <c r="UXL239" s="494"/>
      <c r="UXM239" s="494"/>
      <c r="UXN239" s="494"/>
      <c r="UXO239" s="494"/>
      <c r="UXP239" s="494"/>
      <c r="UXQ239" s="494"/>
      <c r="UXR239" s="494"/>
      <c r="UXS239" s="494"/>
      <c r="UXT239" s="494"/>
      <c r="UXU239" s="494"/>
      <c r="UXV239" s="494"/>
      <c r="UXW239" s="494"/>
      <c r="UXX239" s="494"/>
      <c r="UXY239" s="494"/>
      <c r="UXZ239" s="494"/>
      <c r="UYA239" s="494"/>
      <c r="UYB239" s="494"/>
      <c r="UYC239" s="494"/>
      <c r="UYD239" s="494"/>
      <c r="UYE239" s="494"/>
      <c r="UYF239" s="494"/>
      <c r="UYG239" s="494"/>
      <c r="UYH239" s="494"/>
      <c r="UYI239" s="494"/>
      <c r="UYJ239" s="494"/>
      <c r="UYK239" s="494"/>
      <c r="UYL239" s="494"/>
      <c r="UYM239" s="494"/>
      <c r="UYN239" s="494"/>
      <c r="UYO239" s="494"/>
      <c r="UYP239" s="494"/>
      <c r="UYQ239" s="494"/>
      <c r="UYR239" s="494"/>
      <c r="UYS239" s="494"/>
      <c r="UYT239" s="494"/>
      <c r="UYU239" s="494"/>
      <c r="UYV239" s="494"/>
      <c r="UYW239" s="494"/>
      <c r="UYX239" s="494"/>
      <c r="UYY239" s="494"/>
      <c r="UYZ239" s="494"/>
      <c r="UZA239" s="494"/>
      <c r="UZB239" s="494"/>
      <c r="UZC239" s="494"/>
      <c r="UZD239" s="494"/>
      <c r="UZE239" s="494"/>
      <c r="UZF239" s="494"/>
      <c r="UZG239" s="494"/>
      <c r="UZH239" s="494"/>
      <c r="UZI239" s="494"/>
      <c r="UZJ239" s="494"/>
      <c r="UZK239" s="494"/>
      <c r="UZL239" s="494"/>
      <c r="UZM239" s="494"/>
      <c r="UZN239" s="494"/>
      <c r="UZO239" s="494"/>
      <c r="UZP239" s="494"/>
      <c r="UZQ239" s="494"/>
      <c r="UZR239" s="494"/>
      <c r="UZS239" s="494"/>
      <c r="UZT239" s="494"/>
      <c r="UZU239" s="494"/>
      <c r="UZV239" s="494"/>
      <c r="UZW239" s="494"/>
      <c r="UZX239" s="494"/>
      <c r="UZY239" s="494"/>
      <c r="UZZ239" s="494"/>
      <c r="VAA239" s="494"/>
      <c r="VAB239" s="494"/>
      <c r="VAC239" s="494"/>
      <c r="VAD239" s="494"/>
      <c r="VAE239" s="494"/>
      <c r="VAF239" s="494"/>
      <c r="VAG239" s="494"/>
      <c r="VAH239" s="494"/>
      <c r="VAI239" s="494"/>
      <c r="VAJ239" s="494"/>
      <c r="VAK239" s="494"/>
      <c r="VAL239" s="494"/>
      <c r="VAM239" s="494"/>
      <c r="VAN239" s="494"/>
      <c r="VAO239" s="494"/>
      <c r="VAP239" s="494"/>
      <c r="VAQ239" s="494"/>
      <c r="VAR239" s="494"/>
      <c r="VAS239" s="494"/>
      <c r="VAT239" s="494"/>
      <c r="VAU239" s="494"/>
      <c r="VAV239" s="494"/>
      <c r="VAW239" s="494"/>
      <c r="VAX239" s="494"/>
      <c r="VAY239" s="494"/>
      <c r="VAZ239" s="494"/>
      <c r="VBA239" s="494"/>
      <c r="VBB239" s="494"/>
      <c r="VBC239" s="494"/>
      <c r="VBD239" s="494"/>
      <c r="VBE239" s="494"/>
      <c r="VBF239" s="494"/>
      <c r="VBG239" s="494"/>
      <c r="VBH239" s="494"/>
      <c r="VBI239" s="494"/>
      <c r="VBJ239" s="494"/>
      <c r="VBK239" s="494"/>
      <c r="VBL239" s="494"/>
      <c r="VBM239" s="494"/>
      <c r="VBN239" s="494"/>
      <c r="VBO239" s="494"/>
      <c r="VBP239" s="494"/>
      <c r="VBQ239" s="494"/>
      <c r="VBR239" s="494"/>
      <c r="VBS239" s="494"/>
      <c r="VBT239" s="494"/>
      <c r="VBU239" s="494"/>
      <c r="VBV239" s="494"/>
      <c r="VBW239" s="494"/>
      <c r="VBX239" s="494"/>
      <c r="VBY239" s="494"/>
      <c r="VBZ239" s="494"/>
      <c r="VCA239" s="494"/>
      <c r="VCB239" s="494"/>
      <c r="VCC239" s="494"/>
      <c r="VCD239" s="494"/>
      <c r="VCE239" s="494"/>
      <c r="VCF239" s="494"/>
      <c r="VCG239" s="494"/>
      <c r="VCH239" s="494"/>
      <c r="VCI239" s="494"/>
      <c r="VCJ239" s="494"/>
      <c r="VCK239" s="494"/>
      <c r="VCL239" s="494"/>
      <c r="VCM239" s="494"/>
      <c r="VCN239" s="494"/>
      <c r="VCO239" s="494"/>
      <c r="VCP239" s="494"/>
      <c r="VCQ239" s="494"/>
      <c r="VCR239" s="494"/>
      <c r="VCS239" s="494"/>
      <c r="VCT239" s="494"/>
      <c r="VCU239" s="494"/>
      <c r="VCV239" s="494"/>
      <c r="VCW239" s="494"/>
      <c r="VCX239" s="494"/>
      <c r="VCY239" s="494"/>
      <c r="VCZ239" s="494"/>
      <c r="VDA239" s="494"/>
      <c r="VDB239" s="494"/>
      <c r="VDC239" s="494"/>
      <c r="VDD239" s="494"/>
      <c r="VDE239" s="494"/>
      <c r="VDF239" s="494"/>
      <c r="VDG239" s="494"/>
      <c r="VDH239" s="494"/>
      <c r="VDI239" s="494"/>
      <c r="VDJ239" s="494"/>
      <c r="VDK239" s="494"/>
      <c r="VDL239" s="494"/>
      <c r="VDM239" s="494"/>
      <c r="VDN239" s="494"/>
      <c r="VDO239" s="494"/>
      <c r="VDP239" s="494"/>
      <c r="VDQ239" s="494"/>
      <c r="VDR239" s="494"/>
      <c r="VDS239" s="494"/>
      <c r="VDT239" s="494"/>
      <c r="VDU239" s="494"/>
      <c r="VDV239" s="494"/>
      <c r="VDW239" s="494"/>
      <c r="VDX239" s="494"/>
      <c r="VDY239" s="494"/>
      <c r="VDZ239" s="494"/>
      <c r="VEA239" s="494"/>
      <c r="VEB239" s="494"/>
      <c r="VEC239" s="494"/>
      <c r="VED239" s="494"/>
      <c r="VEE239" s="494"/>
      <c r="VEF239" s="494"/>
      <c r="VEG239" s="494"/>
      <c r="VEH239" s="494"/>
      <c r="VEI239" s="494"/>
      <c r="VEJ239" s="494"/>
      <c r="VEK239" s="494"/>
      <c r="VEL239" s="494"/>
      <c r="VEM239" s="494"/>
      <c r="VEN239" s="494"/>
      <c r="VEO239" s="494"/>
      <c r="VEP239" s="494"/>
      <c r="VEQ239" s="494"/>
      <c r="VER239" s="494"/>
      <c r="VES239" s="494"/>
      <c r="VET239" s="494"/>
      <c r="VEU239" s="494"/>
      <c r="VEV239" s="494"/>
      <c r="VEW239" s="494"/>
      <c r="VEX239" s="494"/>
      <c r="VEY239" s="494"/>
      <c r="VEZ239" s="494"/>
      <c r="VFA239" s="494"/>
      <c r="VFB239" s="494"/>
      <c r="VFC239" s="494"/>
      <c r="VFD239" s="494"/>
      <c r="VFE239" s="494"/>
      <c r="VFF239" s="494"/>
      <c r="VFG239" s="494"/>
      <c r="VFH239" s="494"/>
      <c r="VFI239" s="494"/>
      <c r="VFJ239" s="494"/>
      <c r="VFK239" s="494"/>
      <c r="VFL239" s="494"/>
      <c r="VFM239" s="494"/>
      <c r="VFN239" s="494"/>
      <c r="VFO239" s="494"/>
      <c r="VFP239" s="494"/>
      <c r="VFQ239" s="494"/>
      <c r="VFR239" s="494"/>
      <c r="VFS239" s="494"/>
      <c r="VFT239" s="494"/>
      <c r="VFU239" s="494"/>
      <c r="VFV239" s="494"/>
      <c r="VFW239" s="494"/>
      <c r="VFX239" s="494"/>
      <c r="VFY239" s="494"/>
      <c r="VFZ239" s="494"/>
      <c r="VGA239" s="494"/>
      <c r="VGB239" s="494"/>
      <c r="VGC239" s="494"/>
      <c r="VGD239" s="494"/>
      <c r="VGE239" s="494"/>
      <c r="VGF239" s="494"/>
      <c r="VGG239" s="494"/>
      <c r="VGH239" s="494"/>
      <c r="VGI239" s="494"/>
      <c r="VGJ239" s="494"/>
      <c r="VGK239" s="494"/>
      <c r="VGL239" s="494"/>
      <c r="VGM239" s="494"/>
      <c r="VGN239" s="494"/>
      <c r="VGO239" s="494"/>
      <c r="VGP239" s="494"/>
      <c r="VGQ239" s="494"/>
      <c r="VGR239" s="494"/>
      <c r="VGS239" s="494"/>
      <c r="VGT239" s="494"/>
      <c r="VGU239" s="494"/>
      <c r="VGV239" s="494"/>
      <c r="VGW239" s="494"/>
      <c r="VGX239" s="494"/>
      <c r="VGY239" s="494"/>
      <c r="VGZ239" s="494"/>
      <c r="VHA239" s="494"/>
      <c r="VHB239" s="494"/>
      <c r="VHC239" s="494"/>
      <c r="VHD239" s="494"/>
      <c r="VHE239" s="494"/>
      <c r="VHF239" s="494"/>
      <c r="VHG239" s="494"/>
      <c r="VHH239" s="494"/>
      <c r="VHI239" s="494"/>
      <c r="VHJ239" s="494"/>
      <c r="VHK239" s="494"/>
      <c r="VHL239" s="494"/>
      <c r="VHM239" s="494"/>
      <c r="VHN239" s="494"/>
      <c r="VHO239" s="494"/>
      <c r="VHP239" s="494"/>
      <c r="VHQ239" s="494"/>
      <c r="VHR239" s="494"/>
      <c r="VHS239" s="494"/>
      <c r="VHT239" s="494"/>
      <c r="VHU239" s="494"/>
      <c r="VHV239" s="494"/>
      <c r="VHW239" s="494"/>
      <c r="VHX239" s="494"/>
      <c r="VHY239" s="494"/>
      <c r="VHZ239" s="494"/>
      <c r="VIA239" s="494"/>
      <c r="VIB239" s="494"/>
      <c r="VIC239" s="494"/>
      <c r="VID239" s="494"/>
      <c r="VIE239" s="494"/>
      <c r="VIF239" s="494"/>
      <c r="VIG239" s="494"/>
      <c r="VIH239" s="494"/>
      <c r="VII239" s="494"/>
      <c r="VIJ239" s="494"/>
      <c r="VIK239" s="494"/>
      <c r="VIL239" s="494"/>
      <c r="VIM239" s="494"/>
      <c r="VIN239" s="494"/>
      <c r="VIO239" s="494"/>
      <c r="VIP239" s="494"/>
      <c r="VIQ239" s="494"/>
      <c r="VIR239" s="494"/>
      <c r="VIS239" s="494"/>
      <c r="VIT239" s="494"/>
      <c r="VIU239" s="494"/>
      <c r="VIV239" s="494"/>
      <c r="VIW239" s="494"/>
      <c r="VIX239" s="494"/>
      <c r="VIY239" s="494"/>
      <c r="VIZ239" s="494"/>
      <c r="VJA239" s="494"/>
      <c r="VJB239" s="494"/>
      <c r="VJC239" s="494"/>
      <c r="VJD239" s="494"/>
      <c r="VJE239" s="494"/>
      <c r="VJF239" s="494"/>
      <c r="VJG239" s="494"/>
      <c r="VJH239" s="494"/>
      <c r="VJI239" s="494"/>
      <c r="VJJ239" s="494"/>
      <c r="VJK239" s="494"/>
      <c r="VJL239" s="494"/>
      <c r="VJM239" s="494"/>
      <c r="VJN239" s="494"/>
      <c r="VJO239" s="494"/>
      <c r="VJP239" s="494"/>
      <c r="VJQ239" s="494"/>
      <c r="VJR239" s="494"/>
      <c r="VJS239" s="494"/>
      <c r="VJT239" s="494"/>
      <c r="VJU239" s="494"/>
      <c r="VJV239" s="494"/>
      <c r="VJW239" s="494"/>
      <c r="VJX239" s="494"/>
      <c r="VJY239" s="494"/>
      <c r="VJZ239" s="494"/>
      <c r="VKA239" s="494"/>
      <c r="VKB239" s="494"/>
      <c r="VKC239" s="494"/>
      <c r="VKD239" s="494"/>
      <c r="VKE239" s="494"/>
      <c r="VKF239" s="494"/>
      <c r="VKG239" s="494"/>
      <c r="VKH239" s="494"/>
      <c r="VKI239" s="494"/>
      <c r="VKJ239" s="494"/>
      <c r="VKK239" s="494"/>
      <c r="VKL239" s="494"/>
      <c r="VKM239" s="494"/>
      <c r="VKN239" s="494"/>
      <c r="VKO239" s="494"/>
      <c r="VKP239" s="494"/>
      <c r="VKQ239" s="494"/>
      <c r="VKR239" s="494"/>
      <c r="VKS239" s="494"/>
      <c r="VKT239" s="494"/>
      <c r="VKU239" s="494"/>
      <c r="VKV239" s="494"/>
      <c r="VKW239" s="494"/>
      <c r="VKX239" s="494"/>
      <c r="VKY239" s="494"/>
      <c r="VKZ239" s="494"/>
      <c r="VLA239" s="494"/>
      <c r="VLB239" s="494"/>
      <c r="VLC239" s="494"/>
      <c r="VLD239" s="494"/>
      <c r="VLE239" s="494"/>
      <c r="VLF239" s="494"/>
      <c r="VLG239" s="494"/>
      <c r="VLH239" s="494"/>
      <c r="VLI239" s="494"/>
      <c r="VLJ239" s="494"/>
      <c r="VLK239" s="494"/>
      <c r="VLL239" s="494"/>
      <c r="VLM239" s="494"/>
      <c r="VLN239" s="494"/>
      <c r="VLO239" s="494"/>
      <c r="VLP239" s="494"/>
      <c r="VLQ239" s="494"/>
      <c r="VLR239" s="494"/>
      <c r="VLS239" s="494"/>
      <c r="VLT239" s="494"/>
      <c r="VLU239" s="494"/>
      <c r="VLV239" s="494"/>
      <c r="VLW239" s="494"/>
      <c r="VLX239" s="494"/>
      <c r="VLY239" s="494"/>
      <c r="VLZ239" s="494"/>
      <c r="VMA239" s="494"/>
      <c r="VMB239" s="494"/>
      <c r="VMC239" s="494"/>
      <c r="VMD239" s="494"/>
      <c r="VME239" s="494"/>
      <c r="VMF239" s="494"/>
      <c r="VMG239" s="494"/>
      <c r="VMH239" s="494"/>
      <c r="VMI239" s="494"/>
      <c r="VMJ239" s="494"/>
      <c r="VMK239" s="494"/>
      <c r="VML239" s="494"/>
      <c r="VMM239" s="494"/>
      <c r="VMN239" s="494"/>
      <c r="VMO239" s="494"/>
      <c r="VMP239" s="494"/>
      <c r="VMQ239" s="494"/>
      <c r="VMR239" s="494"/>
      <c r="VMS239" s="494"/>
      <c r="VMT239" s="494"/>
      <c r="VMU239" s="494"/>
      <c r="VMV239" s="494"/>
      <c r="VMW239" s="494"/>
      <c r="VMX239" s="494"/>
      <c r="VMY239" s="494"/>
      <c r="VMZ239" s="494"/>
      <c r="VNA239" s="494"/>
      <c r="VNB239" s="494"/>
      <c r="VNC239" s="494"/>
      <c r="VND239" s="494"/>
      <c r="VNE239" s="494"/>
      <c r="VNF239" s="494"/>
      <c r="VNG239" s="494"/>
      <c r="VNH239" s="494"/>
      <c r="VNI239" s="494"/>
      <c r="VNJ239" s="494"/>
      <c r="VNK239" s="494"/>
      <c r="VNL239" s="494"/>
      <c r="VNM239" s="494"/>
      <c r="VNN239" s="494"/>
      <c r="VNO239" s="494"/>
      <c r="VNP239" s="494"/>
      <c r="VNQ239" s="494"/>
      <c r="VNR239" s="494"/>
      <c r="VNS239" s="494"/>
      <c r="VNT239" s="494"/>
      <c r="VNU239" s="494"/>
      <c r="VNV239" s="494"/>
      <c r="VNW239" s="494"/>
      <c r="VNX239" s="494"/>
      <c r="VNY239" s="494"/>
      <c r="VNZ239" s="494"/>
      <c r="VOA239" s="494"/>
      <c r="VOB239" s="494"/>
      <c r="VOC239" s="494"/>
      <c r="VOD239" s="494"/>
      <c r="VOE239" s="494"/>
      <c r="VOF239" s="494"/>
      <c r="VOG239" s="494"/>
      <c r="VOH239" s="494"/>
      <c r="VOI239" s="494"/>
      <c r="VOJ239" s="494"/>
      <c r="VOK239" s="494"/>
      <c r="VOL239" s="494"/>
      <c r="VOM239" s="494"/>
      <c r="VON239" s="494"/>
      <c r="VOO239" s="494"/>
      <c r="VOP239" s="494"/>
      <c r="VOQ239" s="494"/>
      <c r="VOR239" s="494"/>
      <c r="VOS239" s="494"/>
      <c r="VOT239" s="494"/>
      <c r="VOU239" s="494"/>
      <c r="VOV239" s="494"/>
      <c r="VOW239" s="494"/>
      <c r="VOX239" s="494"/>
      <c r="VOY239" s="494"/>
      <c r="VOZ239" s="494"/>
      <c r="VPA239" s="494"/>
      <c r="VPB239" s="494"/>
      <c r="VPC239" s="494"/>
      <c r="VPD239" s="494"/>
      <c r="VPE239" s="494"/>
      <c r="VPF239" s="494"/>
      <c r="VPG239" s="494"/>
      <c r="VPH239" s="494"/>
      <c r="VPI239" s="494"/>
      <c r="VPJ239" s="494"/>
      <c r="VPK239" s="494"/>
      <c r="VPL239" s="494"/>
      <c r="VPM239" s="494"/>
      <c r="VPN239" s="494"/>
      <c r="VPO239" s="494"/>
      <c r="VPP239" s="494"/>
      <c r="VPQ239" s="494"/>
      <c r="VPR239" s="494"/>
      <c r="VPS239" s="494"/>
      <c r="VPT239" s="494"/>
      <c r="VPU239" s="494"/>
      <c r="VPV239" s="494"/>
      <c r="VPW239" s="494"/>
      <c r="VPX239" s="494"/>
      <c r="VPY239" s="494"/>
      <c r="VPZ239" s="494"/>
      <c r="VQA239" s="494"/>
      <c r="VQB239" s="494"/>
      <c r="VQC239" s="494"/>
      <c r="VQD239" s="494"/>
      <c r="VQE239" s="494"/>
      <c r="VQF239" s="494"/>
      <c r="VQG239" s="494"/>
      <c r="VQH239" s="494"/>
      <c r="VQI239" s="494"/>
      <c r="VQJ239" s="494"/>
      <c r="VQK239" s="494"/>
      <c r="VQL239" s="494"/>
      <c r="VQM239" s="494"/>
      <c r="VQN239" s="494"/>
      <c r="VQO239" s="494"/>
      <c r="VQP239" s="494"/>
      <c r="VQQ239" s="494"/>
      <c r="VQR239" s="494"/>
      <c r="VQS239" s="494"/>
      <c r="VQT239" s="494"/>
      <c r="VQU239" s="494"/>
      <c r="VQV239" s="494"/>
      <c r="VQW239" s="494"/>
      <c r="VQX239" s="494"/>
      <c r="VQY239" s="494"/>
      <c r="VQZ239" s="494"/>
      <c r="VRA239" s="494"/>
      <c r="VRB239" s="494"/>
      <c r="VRC239" s="494"/>
      <c r="VRD239" s="494"/>
      <c r="VRE239" s="494"/>
      <c r="VRF239" s="494"/>
      <c r="VRG239" s="494"/>
      <c r="VRH239" s="494"/>
      <c r="VRI239" s="494"/>
      <c r="VRJ239" s="494"/>
      <c r="VRK239" s="494"/>
      <c r="VRL239" s="494"/>
      <c r="VRM239" s="494"/>
      <c r="VRN239" s="494"/>
      <c r="VRO239" s="494"/>
      <c r="VRP239" s="494"/>
      <c r="VRQ239" s="494"/>
      <c r="VRR239" s="494"/>
      <c r="VRS239" s="494"/>
      <c r="VRT239" s="494"/>
      <c r="VRU239" s="494"/>
      <c r="VRV239" s="494"/>
      <c r="VRW239" s="494"/>
      <c r="VRX239" s="494"/>
      <c r="VRY239" s="494"/>
      <c r="VRZ239" s="494"/>
      <c r="VSA239" s="494"/>
      <c r="VSB239" s="494"/>
      <c r="VSC239" s="494"/>
      <c r="VSD239" s="494"/>
      <c r="VSE239" s="494"/>
      <c r="VSF239" s="494"/>
      <c r="VSG239" s="494"/>
      <c r="VSH239" s="494"/>
      <c r="VSI239" s="494"/>
      <c r="VSJ239" s="494"/>
      <c r="VSK239" s="494"/>
      <c r="VSL239" s="494"/>
      <c r="VSM239" s="494"/>
      <c r="VSN239" s="494"/>
      <c r="VSO239" s="494"/>
      <c r="VSP239" s="494"/>
      <c r="VSQ239" s="494"/>
      <c r="VSR239" s="494"/>
      <c r="VSS239" s="494"/>
      <c r="VST239" s="494"/>
      <c r="VSU239" s="494"/>
      <c r="VSV239" s="494"/>
      <c r="VSW239" s="494"/>
      <c r="VSX239" s="494"/>
      <c r="VSY239" s="494"/>
      <c r="VSZ239" s="494"/>
      <c r="VTA239" s="494"/>
      <c r="VTB239" s="494"/>
      <c r="VTC239" s="494"/>
      <c r="VTD239" s="494"/>
      <c r="VTE239" s="494"/>
      <c r="VTF239" s="494"/>
      <c r="VTG239" s="494"/>
      <c r="VTH239" s="494"/>
      <c r="VTI239" s="494"/>
      <c r="VTJ239" s="494"/>
      <c r="VTK239" s="494"/>
      <c r="VTL239" s="494"/>
      <c r="VTM239" s="494"/>
      <c r="VTN239" s="494"/>
      <c r="VTO239" s="494"/>
      <c r="VTP239" s="494"/>
      <c r="VTQ239" s="494"/>
      <c r="VTR239" s="494"/>
      <c r="VTS239" s="494"/>
      <c r="VTT239" s="494"/>
      <c r="VTU239" s="494"/>
      <c r="VTV239" s="494"/>
      <c r="VTW239" s="494"/>
      <c r="VTX239" s="494"/>
      <c r="VTY239" s="494"/>
      <c r="VTZ239" s="494"/>
      <c r="VUA239" s="494"/>
      <c r="VUB239" s="494"/>
      <c r="VUC239" s="494"/>
      <c r="VUD239" s="494"/>
      <c r="VUE239" s="494"/>
      <c r="VUF239" s="494"/>
      <c r="VUG239" s="494"/>
      <c r="VUH239" s="494"/>
      <c r="VUI239" s="494"/>
      <c r="VUJ239" s="494"/>
      <c r="VUK239" s="494"/>
      <c r="VUL239" s="494"/>
      <c r="VUM239" s="494"/>
      <c r="VUN239" s="494"/>
      <c r="VUO239" s="494"/>
      <c r="VUP239" s="494"/>
      <c r="VUQ239" s="494"/>
      <c r="VUR239" s="494"/>
      <c r="VUS239" s="494"/>
      <c r="VUT239" s="494"/>
      <c r="VUU239" s="494"/>
      <c r="VUV239" s="494"/>
      <c r="VUW239" s="494"/>
      <c r="VUX239" s="494"/>
      <c r="VUY239" s="494"/>
      <c r="VUZ239" s="494"/>
      <c r="VVA239" s="494"/>
      <c r="VVB239" s="494"/>
      <c r="VVC239" s="494"/>
      <c r="VVD239" s="494"/>
      <c r="VVE239" s="494"/>
      <c r="VVF239" s="494"/>
      <c r="VVG239" s="494"/>
      <c r="VVH239" s="494"/>
      <c r="VVI239" s="494"/>
      <c r="VVJ239" s="494"/>
      <c r="VVK239" s="494"/>
      <c r="VVL239" s="494"/>
      <c r="VVM239" s="494"/>
      <c r="VVN239" s="494"/>
      <c r="VVO239" s="494"/>
      <c r="VVP239" s="494"/>
      <c r="VVQ239" s="494"/>
      <c r="VVR239" s="494"/>
      <c r="VVS239" s="494"/>
      <c r="VVT239" s="494"/>
      <c r="VVU239" s="494"/>
      <c r="VVV239" s="494"/>
      <c r="VVW239" s="494"/>
      <c r="VVX239" s="494"/>
      <c r="VVY239" s="494"/>
      <c r="VVZ239" s="494"/>
      <c r="VWA239" s="494"/>
      <c r="VWB239" s="494"/>
      <c r="VWC239" s="494"/>
      <c r="VWD239" s="494"/>
      <c r="VWE239" s="494"/>
      <c r="VWF239" s="494"/>
      <c r="VWG239" s="494"/>
      <c r="VWH239" s="494"/>
      <c r="VWI239" s="494"/>
      <c r="VWJ239" s="494"/>
      <c r="VWK239" s="494"/>
      <c r="VWL239" s="494"/>
      <c r="VWM239" s="494"/>
      <c r="VWN239" s="494"/>
      <c r="VWO239" s="494"/>
      <c r="VWP239" s="494"/>
      <c r="VWQ239" s="494"/>
      <c r="VWR239" s="494"/>
      <c r="VWS239" s="494"/>
      <c r="VWT239" s="494"/>
      <c r="VWU239" s="494"/>
      <c r="VWV239" s="494"/>
      <c r="VWW239" s="494"/>
      <c r="VWX239" s="494"/>
      <c r="VWY239" s="494"/>
      <c r="VWZ239" s="494"/>
      <c r="VXA239" s="494"/>
      <c r="VXB239" s="494"/>
      <c r="VXC239" s="494"/>
      <c r="VXD239" s="494"/>
      <c r="VXE239" s="494"/>
      <c r="VXF239" s="494"/>
      <c r="VXG239" s="494"/>
      <c r="VXH239" s="494"/>
      <c r="VXI239" s="494"/>
      <c r="VXJ239" s="494"/>
      <c r="VXK239" s="494"/>
      <c r="VXL239" s="494"/>
      <c r="VXM239" s="494"/>
      <c r="VXN239" s="494"/>
      <c r="VXO239" s="494"/>
      <c r="VXP239" s="494"/>
      <c r="VXQ239" s="494"/>
      <c r="VXR239" s="494"/>
      <c r="VXS239" s="494"/>
      <c r="VXT239" s="494"/>
      <c r="VXU239" s="494"/>
      <c r="VXV239" s="494"/>
      <c r="VXW239" s="494"/>
      <c r="VXX239" s="494"/>
      <c r="VXY239" s="494"/>
      <c r="VXZ239" s="494"/>
      <c r="VYA239" s="494"/>
      <c r="VYB239" s="494"/>
      <c r="VYC239" s="494"/>
      <c r="VYD239" s="494"/>
      <c r="VYE239" s="494"/>
      <c r="VYF239" s="494"/>
      <c r="VYG239" s="494"/>
      <c r="VYH239" s="494"/>
      <c r="VYI239" s="494"/>
      <c r="VYJ239" s="494"/>
      <c r="VYK239" s="494"/>
      <c r="VYL239" s="494"/>
      <c r="VYM239" s="494"/>
      <c r="VYN239" s="494"/>
      <c r="VYO239" s="494"/>
      <c r="VYP239" s="494"/>
      <c r="VYQ239" s="494"/>
      <c r="VYR239" s="494"/>
      <c r="VYS239" s="494"/>
      <c r="VYT239" s="494"/>
      <c r="VYU239" s="494"/>
      <c r="VYV239" s="494"/>
      <c r="VYW239" s="494"/>
      <c r="VYX239" s="494"/>
      <c r="VYY239" s="494"/>
      <c r="VYZ239" s="494"/>
      <c r="VZA239" s="494"/>
      <c r="VZB239" s="494"/>
      <c r="VZC239" s="494"/>
      <c r="VZD239" s="494"/>
      <c r="VZE239" s="494"/>
      <c r="VZF239" s="494"/>
      <c r="VZG239" s="494"/>
      <c r="VZH239" s="494"/>
      <c r="VZI239" s="494"/>
      <c r="VZJ239" s="494"/>
      <c r="VZK239" s="494"/>
      <c r="VZL239" s="494"/>
      <c r="VZM239" s="494"/>
      <c r="VZN239" s="494"/>
      <c r="VZO239" s="494"/>
      <c r="VZP239" s="494"/>
      <c r="VZQ239" s="494"/>
      <c r="VZR239" s="494"/>
      <c r="VZS239" s="494"/>
      <c r="VZT239" s="494"/>
      <c r="VZU239" s="494"/>
      <c r="VZV239" s="494"/>
      <c r="VZW239" s="494"/>
      <c r="VZX239" s="494"/>
      <c r="VZY239" s="494"/>
      <c r="VZZ239" s="494"/>
      <c r="WAA239" s="494"/>
      <c r="WAB239" s="494"/>
      <c r="WAC239" s="494"/>
      <c r="WAD239" s="494"/>
      <c r="WAE239" s="494"/>
      <c r="WAF239" s="494"/>
      <c r="WAG239" s="494"/>
      <c r="WAH239" s="494"/>
      <c r="WAI239" s="494"/>
      <c r="WAJ239" s="494"/>
      <c r="WAK239" s="494"/>
      <c r="WAL239" s="494"/>
      <c r="WAM239" s="494"/>
      <c r="WAN239" s="494"/>
      <c r="WAO239" s="494"/>
      <c r="WAP239" s="494"/>
      <c r="WAQ239" s="494"/>
      <c r="WAR239" s="494"/>
      <c r="WAS239" s="494"/>
      <c r="WAT239" s="494"/>
      <c r="WAU239" s="494"/>
      <c r="WAV239" s="494"/>
      <c r="WAW239" s="494"/>
      <c r="WAX239" s="494"/>
      <c r="WAY239" s="494"/>
      <c r="WAZ239" s="494"/>
      <c r="WBA239" s="494"/>
      <c r="WBB239" s="494"/>
      <c r="WBC239" s="494"/>
      <c r="WBD239" s="494"/>
      <c r="WBE239" s="494"/>
      <c r="WBF239" s="494"/>
      <c r="WBG239" s="494"/>
      <c r="WBH239" s="494"/>
      <c r="WBI239" s="494"/>
      <c r="WBJ239" s="494"/>
      <c r="WBK239" s="494"/>
      <c r="WBL239" s="494"/>
      <c r="WBM239" s="494"/>
      <c r="WBN239" s="494"/>
      <c r="WBO239" s="494"/>
      <c r="WBP239" s="494"/>
      <c r="WBQ239" s="494"/>
      <c r="WBR239" s="494"/>
      <c r="WBS239" s="494"/>
      <c r="WBT239" s="494"/>
      <c r="WBU239" s="494"/>
      <c r="WBV239" s="494"/>
      <c r="WBW239" s="494"/>
      <c r="WBX239" s="494"/>
      <c r="WBY239" s="494"/>
      <c r="WBZ239" s="494"/>
      <c r="WCA239" s="494"/>
      <c r="WCB239" s="494"/>
      <c r="WCC239" s="494"/>
      <c r="WCD239" s="494"/>
      <c r="WCE239" s="494"/>
      <c r="WCF239" s="494"/>
      <c r="WCG239" s="494"/>
      <c r="WCH239" s="494"/>
      <c r="WCI239" s="494"/>
      <c r="WCJ239" s="494"/>
      <c r="WCK239" s="494"/>
      <c r="WCL239" s="494"/>
      <c r="WCM239" s="494"/>
      <c r="WCN239" s="494"/>
      <c r="WCO239" s="494"/>
      <c r="WCP239" s="494"/>
      <c r="WCQ239" s="494"/>
      <c r="WCR239" s="494"/>
      <c r="WCS239" s="494"/>
      <c r="WCT239" s="494"/>
      <c r="WCU239" s="494"/>
      <c r="WCV239" s="494"/>
      <c r="WCW239" s="494"/>
      <c r="WCX239" s="494"/>
      <c r="WCY239" s="494"/>
      <c r="WCZ239" s="494"/>
      <c r="WDA239" s="494"/>
      <c r="WDB239" s="494"/>
      <c r="WDC239" s="494"/>
      <c r="WDD239" s="494"/>
      <c r="WDE239" s="494"/>
      <c r="WDF239" s="494"/>
      <c r="WDG239" s="494"/>
      <c r="WDH239" s="494"/>
      <c r="WDI239" s="494"/>
      <c r="WDJ239" s="494"/>
      <c r="WDK239" s="494"/>
      <c r="WDL239" s="494"/>
      <c r="WDM239" s="494"/>
      <c r="WDN239" s="494"/>
      <c r="WDO239" s="494"/>
      <c r="WDP239" s="494"/>
      <c r="WDQ239" s="494"/>
      <c r="WDR239" s="494"/>
      <c r="WDS239" s="494"/>
      <c r="WDT239" s="494"/>
      <c r="WDU239" s="494"/>
      <c r="WDV239" s="494"/>
      <c r="WDW239" s="494"/>
      <c r="WDX239" s="494"/>
      <c r="WDY239" s="494"/>
      <c r="WDZ239" s="494"/>
      <c r="WEA239" s="494"/>
      <c r="WEB239" s="494"/>
      <c r="WEC239" s="494"/>
      <c r="WED239" s="494"/>
      <c r="WEE239" s="494"/>
      <c r="WEF239" s="494"/>
      <c r="WEG239" s="494"/>
      <c r="WEH239" s="494"/>
      <c r="WEI239" s="494"/>
      <c r="WEJ239" s="494"/>
      <c r="WEK239" s="494"/>
      <c r="WEL239" s="494"/>
      <c r="WEM239" s="494"/>
      <c r="WEN239" s="494"/>
      <c r="WEO239" s="494"/>
      <c r="WEP239" s="494"/>
      <c r="WEQ239" s="494"/>
      <c r="WER239" s="494"/>
      <c r="WES239" s="494"/>
      <c r="WET239" s="494"/>
      <c r="WEU239" s="494"/>
      <c r="WEV239" s="494"/>
      <c r="WEW239" s="494"/>
      <c r="WEX239" s="494"/>
      <c r="WEY239" s="494"/>
      <c r="WEZ239" s="494"/>
      <c r="WFA239" s="494"/>
      <c r="WFB239" s="494"/>
      <c r="WFC239" s="494"/>
      <c r="WFD239" s="494"/>
      <c r="WFE239" s="494"/>
      <c r="WFF239" s="494"/>
      <c r="WFG239" s="494"/>
      <c r="WFH239" s="494"/>
      <c r="WFI239" s="494"/>
      <c r="WFJ239" s="494"/>
      <c r="WFK239" s="494"/>
      <c r="WFL239" s="494"/>
      <c r="WFM239" s="494"/>
      <c r="WFN239" s="494"/>
      <c r="WFO239" s="494"/>
      <c r="WFP239" s="494"/>
      <c r="WFQ239" s="494"/>
      <c r="WFR239" s="494"/>
      <c r="WFS239" s="494"/>
      <c r="WFT239" s="494"/>
      <c r="WFU239" s="494"/>
      <c r="WFV239" s="494"/>
      <c r="WFW239" s="494"/>
      <c r="WFX239" s="494"/>
      <c r="WFY239" s="494"/>
      <c r="WFZ239" s="494"/>
      <c r="WGA239" s="494"/>
      <c r="WGB239" s="494"/>
      <c r="WGC239" s="494"/>
      <c r="WGD239" s="494"/>
      <c r="WGE239" s="494"/>
      <c r="WGF239" s="494"/>
      <c r="WGG239" s="494"/>
      <c r="WGH239" s="494"/>
      <c r="WGI239" s="494"/>
      <c r="WGJ239" s="494"/>
      <c r="WGK239" s="494"/>
      <c r="WGL239" s="494"/>
      <c r="WGM239" s="494"/>
      <c r="WGN239" s="494"/>
      <c r="WGO239" s="494"/>
      <c r="WGP239" s="494"/>
      <c r="WGQ239" s="494"/>
      <c r="WGR239" s="494"/>
      <c r="WGS239" s="494"/>
      <c r="WGT239" s="494"/>
      <c r="WGU239" s="494"/>
      <c r="WGV239" s="494"/>
      <c r="WGW239" s="494"/>
      <c r="WGX239" s="494"/>
      <c r="WGY239" s="494"/>
      <c r="WGZ239" s="494"/>
      <c r="WHA239" s="494"/>
      <c r="WHB239" s="494"/>
      <c r="WHC239" s="494"/>
      <c r="WHD239" s="494"/>
      <c r="WHE239" s="494"/>
      <c r="WHF239" s="494"/>
      <c r="WHG239" s="494"/>
      <c r="WHH239" s="494"/>
      <c r="WHI239" s="494"/>
      <c r="WHJ239" s="494"/>
      <c r="WHK239" s="494"/>
      <c r="WHL239" s="494"/>
      <c r="WHM239" s="494"/>
      <c r="WHN239" s="494"/>
      <c r="WHO239" s="494"/>
      <c r="WHP239" s="494"/>
      <c r="WHQ239" s="494"/>
      <c r="WHR239" s="494"/>
      <c r="WHS239" s="494"/>
      <c r="WHT239" s="494"/>
      <c r="WHU239" s="494"/>
      <c r="WHV239" s="494"/>
      <c r="WHW239" s="494"/>
      <c r="WHX239" s="494"/>
      <c r="WHY239" s="494"/>
      <c r="WHZ239" s="494"/>
      <c r="WIA239" s="494"/>
      <c r="WIB239" s="494"/>
      <c r="WIC239" s="494"/>
      <c r="WID239" s="494"/>
      <c r="WIE239" s="494"/>
      <c r="WIF239" s="494"/>
      <c r="WIG239" s="494"/>
      <c r="WIH239" s="494"/>
      <c r="WII239" s="494"/>
      <c r="WIJ239" s="494"/>
      <c r="WIK239" s="494"/>
      <c r="WIL239" s="494"/>
      <c r="WIM239" s="494"/>
      <c r="WIN239" s="494"/>
      <c r="WIO239" s="494"/>
      <c r="WIP239" s="494"/>
      <c r="WIQ239" s="494"/>
      <c r="WIR239" s="494"/>
      <c r="WIS239" s="494"/>
      <c r="WIT239" s="494"/>
      <c r="WIU239" s="494"/>
      <c r="WIV239" s="494"/>
      <c r="WIW239" s="494"/>
      <c r="WIX239" s="494"/>
      <c r="WIY239" s="494"/>
      <c r="WIZ239" s="494"/>
      <c r="WJA239" s="494"/>
      <c r="WJB239" s="494"/>
      <c r="WJC239" s="494"/>
      <c r="WJD239" s="494"/>
      <c r="WJE239" s="494"/>
      <c r="WJF239" s="494"/>
      <c r="WJG239" s="494"/>
      <c r="WJH239" s="494"/>
      <c r="WJI239" s="494"/>
      <c r="WJJ239" s="494"/>
      <c r="WJK239" s="494"/>
      <c r="WJL239" s="494"/>
      <c r="WJM239" s="494"/>
      <c r="WJN239" s="494"/>
      <c r="WJO239" s="494"/>
      <c r="WJP239" s="494"/>
      <c r="WJQ239" s="494"/>
      <c r="WJR239" s="494"/>
      <c r="WJS239" s="494"/>
      <c r="WJT239" s="494"/>
      <c r="WJU239" s="494"/>
      <c r="WJV239" s="494"/>
      <c r="WJW239" s="494"/>
      <c r="WJX239" s="494"/>
      <c r="WJY239" s="494"/>
      <c r="WJZ239" s="494"/>
      <c r="WKA239" s="494"/>
      <c r="WKB239" s="494"/>
      <c r="WKC239" s="494"/>
      <c r="WKD239" s="494"/>
      <c r="WKE239" s="494"/>
      <c r="WKF239" s="494"/>
      <c r="WKG239" s="494"/>
      <c r="WKH239" s="494"/>
      <c r="WKI239" s="494"/>
      <c r="WKJ239" s="494"/>
      <c r="WKK239" s="494"/>
      <c r="WKL239" s="494"/>
      <c r="WKM239" s="494"/>
      <c r="WKN239" s="494"/>
      <c r="WKO239" s="494"/>
      <c r="WKP239" s="494"/>
      <c r="WKQ239" s="494"/>
      <c r="WKR239" s="494"/>
      <c r="WKS239" s="494"/>
      <c r="WKT239" s="494"/>
      <c r="WKU239" s="494"/>
      <c r="WKV239" s="494"/>
      <c r="WKW239" s="494"/>
      <c r="WKX239" s="494"/>
      <c r="WKY239" s="494"/>
      <c r="WKZ239" s="494"/>
      <c r="WLA239" s="494"/>
      <c r="WLB239" s="494"/>
      <c r="WLC239" s="494"/>
      <c r="WLD239" s="494"/>
      <c r="WLE239" s="494"/>
      <c r="WLF239" s="494"/>
      <c r="WLG239" s="494"/>
      <c r="WLH239" s="494"/>
      <c r="WLI239" s="494"/>
      <c r="WLJ239" s="494"/>
      <c r="WLK239" s="494"/>
      <c r="WLL239" s="494"/>
      <c r="WLM239" s="494"/>
      <c r="WLN239" s="494"/>
      <c r="WLO239" s="494"/>
      <c r="WLP239" s="494"/>
      <c r="WLQ239" s="494"/>
      <c r="WLR239" s="494"/>
      <c r="WLS239" s="494"/>
      <c r="WLT239" s="494"/>
      <c r="WLU239" s="494"/>
      <c r="WLV239" s="494"/>
      <c r="WLW239" s="494"/>
      <c r="WLX239" s="494"/>
      <c r="WLY239" s="494"/>
      <c r="WLZ239" s="494"/>
      <c r="WMA239" s="494"/>
      <c r="WMB239" s="494"/>
      <c r="WMC239" s="494"/>
      <c r="WMD239" s="494"/>
      <c r="WME239" s="494"/>
      <c r="WMF239" s="494"/>
      <c r="WMG239" s="494"/>
      <c r="WMH239" s="494"/>
      <c r="WMI239" s="494"/>
      <c r="WMJ239" s="494"/>
      <c r="WMK239" s="494"/>
      <c r="WML239" s="494"/>
      <c r="WMM239" s="494"/>
      <c r="WMN239" s="494"/>
      <c r="WMO239" s="494"/>
      <c r="WMP239" s="494"/>
      <c r="WMQ239" s="494"/>
      <c r="WMR239" s="494"/>
      <c r="WMS239" s="494"/>
      <c r="WMT239" s="494"/>
      <c r="WMU239" s="494"/>
      <c r="WMV239" s="494"/>
      <c r="WMW239" s="494"/>
      <c r="WMX239" s="494"/>
      <c r="WMY239" s="494"/>
      <c r="WMZ239" s="494"/>
      <c r="WNA239" s="494"/>
      <c r="WNB239" s="494"/>
      <c r="WNC239" s="494"/>
      <c r="WND239" s="494"/>
      <c r="WNE239" s="494"/>
      <c r="WNF239" s="494"/>
      <c r="WNG239" s="494"/>
      <c r="WNH239" s="494"/>
      <c r="WNI239" s="494"/>
      <c r="WNJ239" s="494"/>
      <c r="WNK239" s="494"/>
      <c r="WNL239" s="494"/>
      <c r="WNM239" s="494"/>
      <c r="WNN239" s="494"/>
      <c r="WNO239" s="494"/>
      <c r="WNP239" s="494"/>
      <c r="WNQ239" s="494"/>
      <c r="WNR239" s="494"/>
      <c r="WNS239" s="494"/>
      <c r="WNT239" s="494"/>
      <c r="WNU239" s="494"/>
      <c r="WNV239" s="494"/>
      <c r="WNW239" s="494"/>
      <c r="WNX239" s="494"/>
      <c r="WNY239" s="494"/>
      <c r="WNZ239" s="494"/>
      <c r="WOA239" s="494"/>
      <c r="WOB239" s="494"/>
      <c r="WOC239" s="494"/>
      <c r="WOD239" s="494"/>
      <c r="WOE239" s="494"/>
      <c r="WOF239" s="494"/>
      <c r="WOG239" s="494"/>
      <c r="WOH239" s="494"/>
      <c r="WOI239" s="494"/>
      <c r="WOJ239" s="494"/>
      <c r="WOK239" s="494"/>
      <c r="WOL239" s="494"/>
      <c r="WOM239" s="494"/>
      <c r="WON239" s="494"/>
      <c r="WOO239" s="494"/>
      <c r="WOP239" s="494"/>
      <c r="WOQ239" s="494"/>
      <c r="WOR239" s="494"/>
      <c r="WOS239" s="494"/>
      <c r="WOT239" s="494"/>
      <c r="WOU239" s="494"/>
      <c r="WOV239" s="494"/>
      <c r="WOW239" s="494"/>
      <c r="WOX239" s="494"/>
      <c r="WOY239" s="494"/>
      <c r="WOZ239" s="494"/>
      <c r="WPA239" s="494"/>
      <c r="WPB239" s="494"/>
      <c r="WPC239" s="494"/>
      <c r="WPD239" s="494"/>
      <c r="WPE239" s="494"/>
      <c r="WPF239" s="494"/>
      <c r="WPG239" s="494"/>
      <c r="WPH239" s="494"/>
      <c r="WPI239" s="494"/>
      <c r="WPJ239" s="494"/>
      <c r="WPK239" s="494"/>
      <c r="WPL239" s="494"/>
      <c r="WPM239" s="494"/>
      <c r="WPN239" s="494"/>
      <c r="WPO239" s="494"/>
      <c r="WPP239" s="494"/>
      <c r="WPQ239" s="494"/>
      <c r="WPR239" s="494"/>
      <c r="WPS239" s="494"/>
      <c r="WPT239" s="494"/>
      <c r="WPU239" s="494"/>
      <c r="WPV239" s="494"/>
      <c r="WPW239" s="494"/>
      <c r="WPX239" s="494"/>
      <c r="WPY239" s="494"/>
      <c r="WPZ239" s="494"/>
      <c r="WQA239" s="494"/>
      <c r="WQB239" s="494"/>
      <c r="WQC239" s="494"/>
      <c r="WQD239" s="494"/>
      <c r="WQE239" s="494"/>
      <c r="WQF239" s="494"/>
      <c r="WQG239" s="494"/>
      <c r="WQH239" s="494"/>
      <c r="WQI239" s="494"/>
      <c r="WQJ239" s="494"/>
      <c r="WQK239" s="494"/>
      <c r="WQL239" s="494"/>
      <c r="WQM239" s="494"/>
      <c r="WQN239" s="494"/>
      <c r="WQO239" s="494"/>
      <c r="WQP239" s="494"/>
      <c r="WQQ239" s="494"/>
      <c r="WQR239" s="494"/>
      <c r="WQS239" s="494"/>
      <c r="WQT239" s="494"/>
      <c r="WQU239" s="494"/>
      <c r="WQV239" s="494"/>
      <c r="WQW239" s="494"/>
      <c r="WQX239" s="494"/>
      <c r="WQY239" s="494"/>
      <c r="WQZ239" s="494"/>
      <c r="WRA239" s="494"/>
      <c r="WRB239" s="494"/>
      <c r="WRC239" s="494"/>
      <c r="WRD239" s="494"/>
      <c r="WRE239" s="494"/>
      <c r="WRF239" s="494"/>
      <c r="WRG239" s="494"/>
      <c r="WRH239" s="494"/>
      <c r="WRI239" s="494"/>
      <c r="WRJ239" s="494"/>
      <c r="WRK239" s="494"/>
      <c r="WRL239" s="494"/>
      <c r="WRM239" s="494"/>
      <c r="WRN239" s="494"/>
      <c r="WRO239" s="494"/>
      <c r="WRP239" s="494"/>
      <c r="WRQ239" s="494"/>
      <c r="WRR239" s="494"/>
      <c r="WRS239" s="494"/>
      <c r="WRT239" s="494"/>
      <c r="WRU239" s="494"/>
      <c r="WRV239" s="494"/>
      <c r="WRW239" s="494"/>
      <c r="WRX239" s="494"/>
      <c r="WRY239" s="494"/>
      <c r="WRZ239" s="494"/>
      <c r="WSA239" s="494"/>
      <c r="WSB239" s="494"/>
      <c r="WSC239" s="494"/>
      <c r="WSD239" s="494"/>
      <c r="WSE239" s="494"/>
      <c r="WSF239" s="494"/>
      <c r="WSG239" s="494"/>
      <c r="WSH239" s="494"/>
      <c r="WSI239" s="494"/>
      <c r="WSJ239" s="494"/>
      <c r="WSK239" s="494"/>
      <c r="WSL239" s="494"/>
      <c r="WSM239" s="494"/>
      <c r="WSN239" s="494"/>
      <c r="WSO239" s="494"/>
      <c r="WSP239" s="494"/>
      <c r="WSQ239" s="494"/>
      <c r="WSR239" s="494"/>
      <c r="WSS239" s="494"/>
      <c r="WST239" s="494"/>
      <c r="WSU239" s="494"/>
      <c r="WSV239" s="494"/>
      <c r="WSW239" s="494"/>
      <c r="WSX239" s="494"/>
      <c r="WSY239" s="494"/>
      <c r="WSZ239" s="494"/>
      <c r="WTA239" s="494"/>
      <c r="WTB239" s="494"/>
      <c r="WTC239" s="494"/>
      <c r="WTD239" s="494"/>
      <c r="WTE239" s="494"/>
      <c r="WTF239" s="494"/>
      <c r="WTG239" s="494"/>
      <c r="WTH239" s="494"/>
      <c r="WTI239" s="494"/>
      <c r="WTJ239" s="494"/>
      <c r="WTK239" s="494"/>
      <c r="WTL239" s="494"/>
      <c r="WTM239" s="494"/>
      <c r="WTN239" s="494"/>
      <c r="WTO239" s="494"/>
      <c r="WTP239" s="494"/>
      <c r="WTQ239" s="494"/>
      <c r="WTR239" s="494"/>
      <c r="WTS239" s="494"/>
      <c r="WTT239" s="494"/>
      <c r="WTU239" s="494"/>
      <c r="WTV239" s="494"/>
      <c r="WTW239" s="494"/>
      <c r="WTX239" s="494"/>
      <c r="WTY239" s="494"/>
      <c r="WTZ239" s="494"/>
      <c r="WUA239" s="494"/>
      <c r="WUB239" s="494"/>
      <c r="WUC239" s="494"/>
      <c r="WUD239" s="494"/>
      <c r="WUE239" s="494"/>
      <c r="WUF239" s="494"/>
      <c r="WUG239" s="494"/>
      <c r="WUH239" s="494"/>
      <c r="WUI239" s="494"/>
      <c r="WUJ239" s="494"/>
      <c r="WUK239" s="494"/>
      <c r="WUL239" s="494"/>
      <c r="WUM239" s="494"/>
      <c r="WUN239" s="494"/>
      <c r="WUO239" s="494"/>
      <c r="WUP239" s="494"/>
      <c r="WUQ239" s="494"/>
      <c r="WUR239" s="494"/>
      <c r="WUS239" s="494"/>
      <c r="WUT239" s="494"/>
      <c r="WUU239" s="494"/>
      <c r="WUV239" s="494"/>
      <c r="WUW239" s="494"/>
      <c r="WUX239" s="494"/>
      <c r="WUY239" s="494"/>
      <c r="WUZ239" s="494"/>
      <c r="WVA239" s="494"/>
      <c r="WVB239" s="494"/>
      <c r="WVC239" s="494"/>
      <c r="WVD239" s="494"/>
      <c r="WVE239" s="494"/>
      <c r="WVF239" s="494"/>
      <c r="WVG239" s="494"/>
      <c r="WVH239" s="494"/>
      <c r="WVI239" s="494"/>
      <c r="WVJ239" s="494"/>
      <c r="WVK239" s="494"/>
      <c r="WVL239" s="494"/>
      <c r="WVM239" s="494"/>
      <c r="WVN239" s="494"/>
      <c r="WVO239" s="494"/>
    </row>
    <row r="241" spans="7:7">
      <c r="G241" s="529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89" max="6" man="1"/>
    <brk id="18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Zał.Nr1</vt:lpstr>
      <vt:lpstr>Zał.Nr2</vt:lpstr>
      <vt:lpstr>Zał.Nr3</vt:lpstr>
      <vt:lpstr>Zał.Nr4</vt:lpstr>
      <vt:lpstr>Zał.Nr5</vt:lpstr>
      <vt:lpstr>Zał.Nr6</vt:lpstr>
      <vt:lpstr>Zał.Nr1!Obszar_wydruku</vt:lpstr>
      <vt:lpstr>Zał.Nr6!Obszar_wydruku</vt:lpstr>
      <vt:lpstr>Zał.Nr1!Tytuły_wydruku</vt:lpstr>
      <vt:lpstr>Zał.Nr3!Tytuły_wydruku</vt:lpstr>
      <vt:lpstr>Zał.Nr4!Tytuły_wydruku</vt:lpstr>
      <vt:lpstr>Zał.Nr6!Tytuły_wydruku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429/2024 PREZYDENTA MIASTA WŁOCŁAWEK z dnia 31 października 2024 r.</dc:title>
  <dc:creator>Monika Szubska</dc:creator>
  <cp:keywords>Załącznik do Zarządzenia PREZYDENTA MIASTA WŁOCŁAWEK z </cp:keywords>
  <cp:lastModifiedBy>Karolina Budziszewska</cp:lastModifiedBy>
  <cp:lastPrinted>2024-11-07T14:04:41Z</cp:lastPrinted>
  <dcterms:created xsi:type="dcterms:W3CDTF">2015-06-05T18:19:34Z</dcterms:created>
  <dcterms:modified xsi:type="dcterms:W3CDTF">2024-11-12T11:11:49Z</dcterms:modified>
</cp:coreProperties>
</file>