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A2966130-7DFF-4160-AA96-307A0A4BB66E}" xr6:coauthVersionLast="47" xr6:coauthVersionMax="47" xr10:uidLastSave="{00000000-0000-0000-0000-000000000000}"/>
  <bookViews>
    <workbookView xWindow="-120" yWindow="-120" windowWidth="29040" windowHeight="15840" xr2:uid="{56FE1FD5-8A7A-4FDD-A4AD-EEF4669834C8}"/>
  </bookViews>
  <sheets>
    <sheet name="Zał. Nr 2__2024_Przedsięwzięcia" sheetId="1" r:id="rId1"/>
  </sheets>
  <externalReferences>
    <externalReference r:id="rId2"/>
    <externalReference r:id="rId3"/>
    <externalReference r:id="rId4"/>
  </externalReferences>
  <definedNames>
    <definedName name="do_importu">#REF!</definedName>
    <definedName name="IdRozp">[1]DaneZrodlowe!$N$3</definedName>
    <definedName name="IdWzor">[2]DaneZrodlowe!$N$3</definedName>
    <definedName name="_xlnm.Print_Area" localSheetId="0">'Zał. Nr 2__2024_Przedsięwzięcia'!$A$1:$M$136</definedName>
    <definedName name="Ostatni_rok_analizy">[2]WPF_Analiza!$M$1</definedName>
    <definedName name="Rok_bazowy">[3]DaneZrodlowe!$O$1</definedName>
    <definedName name="RokBazowy">[2]DaneZrodlowe!$N$1</definedName>
    <definedName name="RokMaxProg">[2]DaneZrodlowe!$N$2</definedName>
    <definedName name="Srednia">[1]DaneZrodlowe!$N$4</definedName>
    <definedName name="_xlnm.Print_Titles" localSheetId="0">'Zał. Nr 2__2024_Przedsięwzięcia'!$7:$8</definedName>
    <definedName name="UkladBud">[3]DaneBudzet!$B$3</definedName>
    <definedName name="ver_metodologii">[3]DefMetRb!$C$1</definedName>
    <definedName name="ver_raportu">[1]WPF_bazowy!$N$3</definedName>
    <definedName name="version">[2]definicja!$D$1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5" i="1" l="1"/>
  <c r="G135" i="1"/>
  <c r="M134" i="1"/>
  <c r="M133" i="1"/>
  <c r="H133" i="1"/>
  <c r="G133" i="1"/>
  <c r="F133" i="1"/>
  <c r="M132" i="1"/>
  <c r="M131" i="1"/>
  <c r="H131" i="1"/>
  <c r="G131" i="1"/>
  <c r="F131" i="1"/>
  <c r="M130" i="1"/>
  <c r="G130" i="1"/>
  <c r="F130" i="1"/>
  <c r="M129" i="1"/>
  <c r="M128" i="1"/>
  <c r="M127" i="1"/>
  <c r="M126" i="1"/>
  <c r="M125" i="1"/>
  <c r="M124" i="1"/>
  <c r="M123" i="1"/>
  <c r="H122" i="1"/>
  <c r="M122" i="1" s="1"/>
  <c r="F122" i="1"/>
  <c r="M121" i="1"/>
  <c r="G120" i="1"/>
  <c r="M120" i="1" s="1"/>
  <c r="F120" i="1"/>
  <c r="G119" i="1"/>
  <c r="M119" i="1" s="1"/>
  <c r="F119" i="1"/>
  <c r="M118" i="1"/>
  <c r="G117" i="1"/>
  <c r="M117" i="1" s="1"/>
  <c r="F117" i="1"/>
  <c r="M116" i="1"/>
  <c r="H116" i="1"/>
  <c r="G116" i="1"/>
  <c r="F116" i="1"/>
  <c r="M115" i="1"/>
  <c r="M114" i="1"/>
  <c r="H113" i="1"/>
  <c r="M113" i="1" s="1"/>
  <c r="F113" i="1"/>
  <c r="I112" i="1"/>
  <c r="H112" i="1"/>
  <c r="G112" i="1"/>
  <c r="M112" i="1" s="1"/>
  <c r="F112" i="1"/>
  <c r="M111" i="1"/>
  <c r="H110" i="1"/>
  <c r="M110" i="1" s="1"/>
  <c r="G110" i="1"/>
  <c r="F110" i="1"/>
  <c r="G109" i="1"/>
  <c r="M109" i="1" s="1"/>
  <c r="F109" i="1"/>
  <c r="G108" i="1"/>
  <c r="M108" i="1" s="1"/>
  <c r="F108" i="1"/>
  <c r="G107" i="1"/>
  <c r="M107" i="1" s="1"/>
  <c r="F107" i="1"/>
  <c r="M106" i="1"/>
  <c r="H106" i="1"/>
  <c r="F106" i="1"/>
  <c r="G105" i="1"/>
  <c r="M105" i="1" s="1"/>
  <c r="F105" i="1"/>
  <c r="M104" i="1"/>
  <c r="F104" i="1"/>
  <c r="M103" i="1"/>
  <c r="G103" i="1"/>
  <c r="F103" i="1"/>
  <c r="G102" i="1"/>
  <c r="M102" i="1" s="1"/>
  <c r="F102" i="1"/>
  <c r="H101" i="1"/>
  <c r="G101" i="1"/>
  <c r="M101" i="1" s="1"/>
  <c r="F101" i="1"/>
  <c r="G100" i="1"/>
  <c r="M100" i="1" s="1"/>
  <c r="F100" i="1"/>
  <c r="G99" i="1"/>
  <c r="M99" i="1" s="1"/>
  <c r="F99" i="1"/>
  <c r="M98" i="1"/>
  <c r="G97" i="1"/>
  <c r="M97" i="1" s="1"/>
  <c r="F97" i="1"/>
  <c r="M96" i="1"/>
  <c r="G96" i="1"/>
  <c r="F96" i="1"/>
  <c r="G95" i="1"/>
  <c r="M95" i="1" s="1"/>
  <c r="M94" i="1"/>
  <c r="G93" i="1"/>
  <c r="M93" i="1" s="1"/>
  <c r="F93" i="1"/>
  <c r="F88" i="1" s="1"/>
  <c r="G92" i="1"/>
  <c r="M92" i="1" s="1"/>
  <c r="M91" i="1"/>
  <c r="M90" i="1"/>
  <c r="H90" i="1"/>
  <c r="G90" i="1"/>
  <c r="G89" i="1"/>
  <c r="M89" i="1" s="1"/>
  <c r="F89" i="1"/>
  <c r="L88" i="1"/>
  <c r="K88" i="1"/>
  <c r="K34" i="1" s="1"/>
  <c r="J88" i="1"/>
  <c r="I88" i="1"/>
  <c r="G88" i="1"/>
  <c r="M87" i="1"/>
  <c r="M86" i="1"/>
  <c r="M85" i="1"/>
  <c r="M84" i="1"/>
  <c r="M83" i="1"/>
  <c r="M82" i="1"/>
  <c r="M81" i="1"/>
  <c r="M80" i="1"/>
  <c r="H79" i="1"/>
  <c r="G79" i="1"/>
  <c r="M79" i="1" s="1"/>
  <c r="F79" i="1"/>
  <c r="M78" i="1"/>
  <c r="M77" i="1"/>
  <c r="M76" i="1"/>
  <c r="M75" i="1"/>
  <c r="G74" i="1"/>
  <c r="M74" i="1" s="1"/>
  <c r="F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K57" i="1"/>
  <c r="J57" i="1"/>
  <c r="J35" i="1" s="1"/>
  <c r="I57" i="1"/>
  <c r="I35" i="1" s="1"/>
  <c r="H57" i="1"/>
  <c r="G57" i="1"/>
  <c r="M57" i="1" s="1"/>
  <c r="F57" i="1"/>
  <c r="F35" i="1" s="1"/>
  <c r="M56" i="1"/>
  <c r="M55" i="1"/>
  <c r="M54" i="1"/>
  <c r="M53" i="1"/>
  <c r="M52" i="1"/>
  <c r="M51" i="1"/>
  <c r="H50" i="1"/>
  <c r="G50" i="1"/>
  <c r="M50" i="1" s="1"/>
  <c r="F50" i="1"/>
  <c r="M49" i="1"/>
  <c r="M48" i="1"/>
  <c r="M47" i="1"/>
  <c r="G47" i="1"/>
  <c r="F47" i="1"/>
  <c r="M46" i="1"/>
  <c r="M45" i="1"/>
  <c r="G45" i="1"/>
  <c r="F45" i="1"/>
  <c r="M44" i="1"/>
  <c r="M43" i="1"/>
  <c r="G43" i="1"/>
  <c r="F43" i="1"/>
  <c r="M42" i="1"/>
  <c r="K41" i="1"/>
  <c r="J41" i="1"/>
  <c r="I41" i="1"/>
  <c r="H41" i="1"/>
  <c r="M41" i="1" s="1"/>
  <c r="G41" i="1"/>
  <c r="F41" i="1"/>
  <c r="M40" i="1"/>
  <c r="K39" i="1"/>
  <c r="J39" i="1"/>
  <c r="I39" i="1"/>
  <c r="H39" i="1"/>
  <c r="M39" i="1" s="1"/>
  <c r="F39" i="1"/>
  <c r="M38" i="1"/>
  <c r="G37" i="1"/>
  <c r="G35" i="1" s="1"/>
  <c r="G34" i="1" s="1"/>
  <c r="F37" i="1"/>
  <c r="M36" i="1"/>
  <c r="L35" i="1"/>
  <c r="L10" i="1" s="1"/>
  <c r="K35" i="1"/>
  <c r="H35" i="1"/>
  <c r="H10" i="1" s="1"/>
  <c r="L34" i="1"/>
  <c r="M33" i="1"/>
  <c r="M32" i="1"/>
  <c r="M31" i="1"/>
  <c r="H30" i="1"/>
  <c r="G30" i="1"/>
  <c r="G22" i="1" s="1"/>
  <c r="G11" i="1" s="1"/>
  <c r="F30" i="1"/>
  <c r="M29" i="1"/>
  <c r="M28" i="1"/>
  <c r="M27" i="1"/>
  <c r="G27" i="1"/>
  <c r="F27" i="1"/>
  <c r="H26" i="1"/>
  <c r="M26" i="1" s="1"/>
  <c r="G26" i="1"/>
  <c r="F26" i="1"/>
  <c r="H25" i="1"/>
  <c r="M25" i="1" s="1"/>
  <c r="G25" i="1"/>
  <c r="F25" i="1"/>
  <c r="I24" i="1"/>
  <c r="M24" i="1" s="1"/>
  <c r="H24" i="1"/>
  <c r="G24" i="1"/>
  <c r="F24" i="1"/>
  <c r="F22" i="1" s="1"/>
  <c r="M23" i="1"/>
  <c r="G23" i="1"/>
  <c r="F23" i="1"/>
  <c r="L22" i="1"/>
  <c r="L12" i="1" s="1"/>
  <c r="K22" i="1"/>
  <c r="J22" i="1"/>
  <c r="H22" i="1"/>
  <c r="H12" i="1" s="1"/>
  <c r="M21" i="1"/>
  <c r="M20" i="1"/>
  <c r="M19" i="1"/>
  <c r="M18" i="1"/>
  <c r="M17" i="1"/>
  <c r="M16" i="1"/>
  <c r="M15" i="1"/>
  <c r="G14" i="1"/>
  <c r="M14" i="1" s="1"/>
  <c r="M13" i="1" s="1"/>
  <c r="L13" i="1"/>
  <c r="K13" i="1"/>
  <c r="J13" i="1"/>
  <c r="I13" i="1"/>
  <c r="H13" i="1"/>
  <c r="F13" i="1"/>
  <c r="K12" i="1"/>
  <c r="J12" i="1"/>
  <c r="J11" i="1"/>
  <c r="K10" i="1"/>
  <c r="F12" i="1" l="1"/>
  <c r="F11" i="1"/>
  <c r="J34" i="1"/>
  <c r="J10" i="1"/>
  <c r="J9" i="1" s="1"/>
  <c r="M88" i="1"/>
  <c r="I34" i="1"/>
  <c r="I10" i="1"/>
  <c r="F10" i="1"/>
  <c r="F9" i="1" s="1"/>
  <c r="F34" i="1"/>
  <c r="M37" i="1"/>
  <c r="M35" i="1" s="1"/>
  <c r="M10" i="1" s="1"/>
  <c r="H88" i="1"/>
  <c r="H34" i="1" s="1"/>
  <c r="K11" i="1"/>
  <c r="K9" i="1" s="1"/>
  <c r="G13" i="1"/>
  <c r="M30" i="1"/>
  <c r="M22" i="1" s="1"/>
  <c r="I22" i="1"/>
  <c r="H11" i="1"/>
  <c r="H9" i="1" s="1"/>
  <c r="L11" i="1"/>
  <c r="L9" i="1" s="1"/>
  <c r="M11" i="1" l="1"/>
  <c r="M9" i="1" s="1"/>
  <c r="M12" i="1"/>
  <c r="I11" i="1"/>
  <c r="I12" i="1"/>
  <c r="I9" i="1"/>
  <c r="M34" i="1"/>
  <c r="G12" i="1"/>
  <c r="G10" i="1"/>
  <c r="G9" i="1" s="1"/>
</calcChain>
</file>

<file path=xl/sharedStrings.xml><?xml version="1.0" encoding="utf-8"?>
<sst xmlns="http://schemas.openxmlformats.org/spreadsheetml/2006/main" count="557" uniqueCount="293">
  <si>
    <t>Załącznik Nr 2</t>
  </si>
  <si>
    <t>PREZYDENTA MIASTA WŁOCŁAWEK</t>
  </si>
  <si>
    <t xml:space="preserve">Wykaz przedsięwzięć do WPF </t>
  </si>
  <si>
    <t>Lp.</t>
  </si>
  <si>
    <t>Nazwa i cel</t>
  </si>
  <si>
    <t xml:space="preserve">jednostka odpowiedzialna lub koordynująca </t>
  </si>
  <si>
    <t>Okres realizacji programu</t>
  </si>
  <si>
    <t>łączne nakłady finansowe</t>
  </si>
  <si>
    <t>Limit zobowiązań</t>
  </si>
  <si>
    <t>od</t>
  </si>
  <si>
    <t>do</t>
  </si>
  <si>
    <t>Wydatki na przedsięwzięcia - ogółem (1.1.+1.2.), z tego:</t>
  </si>
  <si>
    <t>1.a</t>
  </si>
  <si>
    <t xml:space="preserve"> - wydatki bieżące</t>
  </si>
  <si>
    <t>1.b</t>
  </si>
  <si>
    <t xml:space="preserve"> - wydatki majątkowe</t>
  </si>
  <si>
    <t>1.1.</t>
  </si>
  <si>
    <t>Wydatki na programy, projekty lub zadania związane z programami realizowanymi z udziałem środków, o których mowa w art. 5 ust.1 pkt 2 i 3 ustawy z dnia 27 sierpnia 2009 r. o finansach publicznych, w tym:</t>
  </si>
  <si>
    <t>1.1.1</t>
  </si>
  <si>
    <t>WŁOCŁAWEK - MIASTO NOWYCH MOŻLIWOŚCI. Tutaj mieszkam, pracuję, inwestuję i tu wypoczywam</t>
  </si>
  <si>
    <t>Urząd Miasta / MOPR</t>
  </si>
  <si>
    <t>2021</t>
  </si>
  <si>
    <t>2024</t>
  </si>
  <si>
    <t>1.1.2</t>
  </si>
  <si>
    <t>Tabor na potrzeby czystej komunikacji w mieście Włocławek</t>
  </si>
  <si>
    <t>Urząd Miasta</t>
  </si>
  <si>
    <t>2026</t>
  </si>
  <si>
    <t>1.1.3</t>
  </si>
  <si>
    <t>Cyberbezpieczny Samorząd</t>
  </si>
  <si>
    <t>2025</t>
  </si>
  <si>
    <t>1.1.4</t>
  </si>
  <si>
    <t>Erasmus w ZST - 2025</t>
  </si>
  <si>
    <t>1.1.5</t>
  </si>
  <si>
    <t>Wykluczenie nie ma MOWy! 2 - etap I</t>
  </si>
  <si>
    <t>Młodzieżowy Ośrodek Wychowawczy</t>
  </si>
  <si>
    <t>1.1.6</t>
  </si>
  <si>
    <t>Rodzina w Centrum - Etap I</t>
  </si>
  <si>
    <t>Miejski Ośrodek Pomocy Rodzinie</t>
  </si>
  <si>
    <t>1.1.7</t>
  </si>
  <si>
    <t>Pokonaj kryzys</t>
  </si>
  <si>
    <t>1.1.8</t>
  </si>
  <si>
    <t>Kujawsko - Pomorska Teleopieka Etap I</t>
  </si>
  <si>
    <t>1.1.9</t>
  </si>
  <si>
    <t>3-go Maja woonerfem / przebudowa ul. 3-go Maja w ramach Gminnego Programu Rewitalizacji Miasta Włocławek</t>
  </si>
  <si>
    <t>2019</t>
  </si>
  <si>
    <t>1.1.10</t>
  </si>
  <si>
    <t>Budowa dróg rowerowych</t>
  </si>
  <si>
    <t>2022</t>
  </si>
  <si>
    <t>1.1.11</t>
  </si>
  <si>
    <t>Budowa kanalizacji deszczowej w ulicy Mielęcińskiej</t>
  </si>
  <si>
    <t>1.1.12</t>
  </si>
  <si>
    <t xml:space="preserve">Budowa żłobka przy ul. Celulozowej we Włocławku w ramach Programu „Maluch+” </t>
  </si>
  <si>
    <t xml:space="preserve">Urząd Miasta </t>
  </si>
  <si>
    <t>2023</t>
  </si>
  <si>
    <t>1.1.13</t>
  </si>
  <si>
    <t xml:space="preserve">Park Sienkiewicza dla osób z ograniczoną mobilnością - przebicie Bulwarów </t>
  </si>
  <si>
    <t>1.1.14</t>
  </si>
  <si>
    <t>Parki Kieszonkowe</t>
  </si>
  <si>
    <t>1.1.15</t>
  </si>
  <si>
    <t>Przebudowa infrastruktury przystankowej na terenie miasta Włocławek</t>
  </si>
  <si>
    <t>1.1.16</t>
  </si>
  <si>
    <t>Zielone tereny Śródmieścia</t>
  </si>
  <si>
    <t>1.1.17</t>
  </si>
  <si>
    <t>1.1.18</t>
  </si>
  <si>
    <t>Rozwój zeroemisyjnego transportu publicznego we Włocławku poprzez zakup zeroemisyjnego transportu wraz z niezbędną infrastrukturą - etap II</t>
  </si>
  <si>
    <t>1.1.19</t>
  </si>
  <si>
    <t>1.2.</t>
  </si>
  <si>
    <t>Wydatki na programy, projekty lub zadania pozostałe (inne niż wymienione w pkt 1.1), w tym:</t>
  </si>
  <si>
    <t>1.2.1</t>
  </si>
  <si>
    <t>Infostrada Kujaw i Pomorza 2.0</t>
  </si>
  <si>
    <t>2028</t>
  </si>
  <si>
    <t>1.2.2</t>
  </si>
  <si>
    <t xml:space="preserve">Usługi w zakresie publicznego transportu zbiorowego </t>
  </si>
  <si>
    <t>1.2.3</t>
  </si>
  <si>
    <t>Usługa robotyzacji obiegu dokumentów dotyczących rozliczania kosztów energii elektrycznej</t>
  </si>
  <si>
    <t>1.2.4</t>
  </si>
  <si>
    <t>Remonty i utrzymanie dróg</t>
  </si>
  <si>
    <t>Miejski Zarząd Infrastruktury Drogowej i Transportu</t>
  </si>
  <si>
    <t>1.2.5</t>
  </si>
  <si>
    <t>Utrzymanie strefy płatnego parkowania</t>
  </si>
  <si>
    <t>1.2.6</t>
  </si>
  <si>
    <t>Zimowe utrzymanie dróg</t>
  </si>
  <si>
    <t>1.2.7</t>
  </si>
  <si>
    <t xml:space="preserve">Asysta techniczna i konserwacja oprogramowania użytkowego Zintegrowanego Systemu Wspomagania Zarządzania Miastem - System OTAGO </t>
  </si>
  <si>
    <t>1.2.8</t>
  </si>
  <si>
    <t>Prowadzenie całodobowych placówek opiekuńczo - wychowawczych typu socjalizacyjnego dla dzieci z terenu Włocławka (pozbawionych całkowicie lub częściowo opieki rodziców)</t>
  </si>
  <si>
    <t>2029</t>
  </si>
  <si>
    <t>1.2.9</t>
  </si>
  <si>
    <t>Program wsparcia leczenia niepłodności metodą zapłodnienia pozaustrojowego in vitro dla mieszkańców miasta Włocławek na lata 2024 - 2026</t>
  </si>
  <si>
    <t>1.2.10</t>
  </si>
  <si>
    <t>Organizowanie i świadczenie usług opiekuńczych dla osób potrzebujących w miejscu zamieszkania</t>
  </si>
  <si>
    <t>1.2.11</t>
  </si>
  <si>
    <t>Organizowanie i świadczenie specjalistycznych usług opiekuńczych dla osób z zaburzeniami psychicznymi w miejscu zamieszkania</t>
  </si>
  <si>
    <t>1.2.12</t>
  </si>
  <si>
    <t>Zapewnienie schronienia osobom bezdomnym z terenu miasta Włocławek</t>
  </si>
  <si>
    <t>1.2.13</t>
  </si>
  <si>
    <t>Gospodarka odpadami komunalnymi</t>
  </si>
  <si>
    <t>1.2.14</t>
  </si>
  <si>
    <t xml:space="preserve">Utrzymanie terenów zieleni w mieście </t>
  </si>
  <si>
    <t>1.2.15</t>
  </si>
  <si>
    <t>Konserwacja oświetlenia</t>
  </si>
  <si>
    <t>2020</t>
  </si>
  <si>
    <t>1.2.16</t>
  </si>
  <si>
    <t>Dostawa tablic rejestracyjnych oraz odbiór i utylizacja tablic rejestracyjnych wycofanych z użytku</t>
  </si>
  <si>
    <t>1.2.17</t>
  </si>
  <si>
    <t>Usuwanie pojazdów z ulic miasta Włocławek</t>
  </si>
  <si>
    <t>1.2.18</t>
  </si>
  <si>
    <t>Dostawa dokumentów komunikacyjnych i oznaczeń</t>
  </si>
  <si>
    <t>1.2.19</t>
  </si>
  <si>
    <t>Kawiarnia obywatelska</t>
  </si>
  <si>
    <t>1.2.20</t>
  </si>
  <si>
    <t>Wyceny nieruchomości do sprzedaży zabudowanych i niezabudowanych, aktualizacji opłat rocznych, ustalenia opłat adiacenckich, planistycznych, ustanowienia służebności przejścia przejazdu, służebności przesyłu</t>
  </si>
  <si>
    <t>1.2.21</t>
  </si>
  <si>
    <t>Inwentaryzacja lokali mieszkalnych i użytkowych, wycena lokali mieszkalnych i użytkowych, świadectwa energetyczne</t>
  </si>
  <si>
    <t>1.2.22</t>
  </si>
  <si>
    <t>Utrzymanie czystości, porządku zieleni w pasie drogowym</t>
  </si>
  <si>
    <t>1.2.23</t>
  </si>
  <si>
    <t>Zimowe utrzymanie dróg wewnętrznych, chodników i ciągów komunikacyjnych</t>
  </si>
  <si>
    <t>Miejski Zakład Zieleni i Usług Komunalnych</t>
  </si>
  <si>
    <t>2027</t>
  </si>
  <si>
    <t>1.2.24</t>
  </si>
  <si>
    <t>Ubezpieczenie mienia, odpowiedzialności cywilnej oraz ubezpieczenia komunikacyjne Miejskiego Zakładu Zieleni i Usług Komunalnych</t>
  </si>
  <si>
    <t>1.2.25</t>
  </si>
  <si>
    <t>Ubezpieczenie mienia, odpowiedzialności cywilnej oraz ubezpieczenia komunikacyjne Miejskiego Zarządu Infrastruktury Drogowej i Transportu</t>
  </si>
  <si>
    <t>1.2.26</t>
  </si>
  <si>
    <t>Utrzymanie Inteligentnych Systemów Transportowych ITS</t>
  </si>
  <si>
    <t>1.2.27</t>
  </si>
  <si>
    <t>Usługi związane z dostawą energii</t>
  </si>
  <si>
    <t>1.2.28</t>
  </si>
  <si>
    <t>Usługi związane z obsługą miejskiej pasieki WŁONEY</t>
  </si>
  <si>
    <t>1.2.29</t>
  </si>
  <si>
    <t xml:space="preserve">Program kompleksowego wsparcia dla rodzin "Za życiem" </t>
  </si>
  <si>
    <t>Urząd Miasta, Zespół Szkół Nr 3</t>
  </si>
  <si>
    <t>1.2.30</t>
  </si>
  <si>
    <t>Rehabilitacja 25 plus V edycja</t>
  </si>
  <si>
    <t>Zespół Szkół Nr 4</t>
  </si>
  <si>
    <t>1.2.31</t>
  </si>
  <si>
    <t>Niskoemisyjny transport pn. "Stop emisjom - moją misją"</t>
  </si>
  <si>
    <t>Szkoła Podstawowa Nr 23</t>
  </si>
  <si>
    <t>1.2.32</t>
  </si>
  <si>
    <t>Trójka dobra szkoła</t>
  </si>
  <si>
    <t>Szkoła Podstawowa Nr 3</t>
  </si>
  <si>
    <t>1.2.33</t>
  </si>
  <si>
    <t>Kreatywne przedszkole</t>
  </si>
  <si>
    <t>Przedszkole Publiczne Nr 8</t>
  </si>
  <si>
    <t>1.2.34</t>
  </si>
  <si>
    <t>Opłata za system zarządzania drukiem - umowa KLIK na okres 32 miesięcy obejmująca koszt dzierżawy urządzeń</t>
  </si>
  <si>
    <t>1.2.35</t>
  </si>
  <si>
    <t>Wdrożenie i utrzymanie platformy zgłoszeniowej dla sygnalistów</t>
  </si>
  <si>
    <t>1.2.36</t>
  </si>
  <si>
    <t>Usługi indywidualnego transportu door-to-door - dla mieszkańców Miasta Włocławka</t>
  </si>
  <si>
    <t>1.2.37</t>
  </si>
  <si>
    <t xml:space="preserve">Warsztaty dla nauczycieli z zakresu kierunków ścisłych  </t>
  </si>
  <si>
    <t>Centrum Kształcenia Zawodowego i Ustawicznego</t>
  </si>
  <si>
    <t>1.2.38</t>
  </si>
  <si>
    <t xml:space="preserve">Warsztaty dla uczniów z zakresu kierunków ścisłych </t>
  </si>
  <si>
    <t>1.2.39</t>
  </si>
  <si>
    <t xml:space="preserve">Zwiększenie i dostosowanie oferty kwalifikacyjnych kursów zawodowych do potrzeb lokalnego rynku pracy </t>
  </si>
  <si>
    <t>1.2.40</t>
  </si>
  <si>
    <t>Drzwi otwarte Centrum Kształcenia Zawodowego - promocja kształcenia ustawicznego</t>
  </si>
  <si>
    <t>1.2.41</t>
  </si>
  <si>
    <t>Corinth na każdym poziomie edukacyjnym - szkolenie dla nauczycieli</t>
  </si>
  <si>
    <t>1.2.42</t>
  </si>
  <si>
    <t>Corinth na każdym poziomie edukacyjnym</t>
  </si>
  <si>
    <t>Urząd Miasta, Przedszkola Publiczne, szkoły podstawowe i ponadpodstawowe</t>
  </si>
  <si>
    <t>1.2.43</t>
  </si>
  <si>
    <t>Profilowanie placówek oświatowych</t>
  </si>
  <si>
    <t>Urząd Miastai, Przedszkola Publiczne, szkoły podstawowe i ponadpodstawowe</t>
  </si>
  <si>
    <t>1.2.44</t>
  </si>
  <si>
    <t>Tydzień z …  Tematyczne tygodnie</t>
  </si>
  <si>
    <t xml:space="preserve">Urząd Miasta,Przedszkola Publiczne, szkoły podstawowe </t>
  </si>
  <si>
    <t>1.2.45</t>
  </si>
  <si>
    <t xml:space="preserve">Targi zawodów </t>
  </si>
  <si>
    <t>1.2.46</t>
  </si>
  <si>
    <t>Uczeń na rynku pracy - konferencja</t>
  </si>
  <si>
    <t>Urząd Miasta, Centrum Kształcenia Zawodowego i Ustawicznego, Przedsiębiorcy, Poradnia Psychologiczno-Pedagogiczna, szkoły podstawowe i ponadpodstawowe.</t>
  </si>
  <si>
    <t>1.2.47</t>
  </si>
  <si>
    <t>Wizyty uczniów u lokalnych pracodawców</t>
  </si>
  <si>
    <t>Urząd Miasta, Podmioty prywatne, szkoły podstawowe i ponadpodstawowe.</t>
  </si>
  <si>
    <t>1.2.48</t>
  </si>
  <si>
    <t>Miesiąc zawodów</t>
  </si>
  <si>
    <t>1.2.49</t>
  </si>
  <si>
    <t>Warsztaty dla uczniów prowadzone przez przedsiębiorców</t>
  </si>
  <si>
    <t>Urząd Miasta, Podmioty prywatne, szkoły  ponadpodstawowe.</t>
  </si>
  <si>
    <t>1.2.50</t>
  </si>
  <si>
    <t>Patronackie KKZ</t>
  </si>
  <si>
    <t>Urząd Miastai, Centrum Kształcenia Zawodowego i Ustawicznego, Pracodawcy</t>
  </si>
  <si>
    <t>1.2.51</t>
  </si>
  <si>
    <t xml:space="preserve">Miasto przyjazne dla studentów -Pro Gaming Cup - dofinansowanie imprezy sportowej </t>
  </si>
  <si>
    <t xml:space="preserve">Urząd Miasta, Uczelnie Wyższe, </t>
  </si>
  <si>
    <t>1.2.52</t>
  </si>
  <si>
    <t>Miasto przyjazne dla studentów -Dzień Studenta w ramach Dni Włocławka</t>
  </si>
  <si>
    <t xml:space="preserve">Urząd Miastai, Uczelnie Wyższe, </t>
  </si>
  <si>
    <t>1.2.53</t>
  </si>
  <si>
    <t>Budowa ul. Energetyków na odcinku od ul. Hutniczej do przejścia podziemnego dla pieszych pod torami kolejowymi</t>
  </si>
  <si>
    <t>1.2.54</t>
  </si>
  <si>
    <t xml:space="preserve">Przebudowa mostu przez Wisłę na zaporze wodnej we Włocławku </t>
  </si>
  <si>
    <t>1.2.55</t>
  </si>
  <si>
    <t>Przebudowa mostu nad rzeką Zgłowiączka w ciągu ul. Wysokiej wraz z poszerzeniem i wzmocnieniem nasypów korony drogi oraz zmianą geometrii ulicy i przebudową skrzyżowania z ul. Kapitulną</t>
  </si>
  <si>
    <t>1.2.56</t>
  </si>
  <si>
    <t>Budowa drogi stanowiącej alternatywne połączenie osiedla Michelin z osiedlem Południe</t>
  </si>
  <si>
    <t>1.2.57</t>
  </si>
  <si>
    <t>Budowa drogi stanowiącej przedłużenie ul. Letniej od Al. Jana Pawła II do ul. Szyszkowej</t>
  </si>
  <si>
    <t>1.2.58</t>
  </si>
  <si>
    <t>Budowa pumptracka i siłowni na Zawiślu</t>
  </si>
  <si>
    <t>1.2.59</t>
  </si>
  <si>
    <t>Budowa tunelu w ciągu ul.Wienieckiej</t>
  </si>
  <si>
    <t>1.2.60</t>
  </si>
  <si>
    <t>Budowa ulicy Brzezinowej na odcinku od ul. Mielęcińskiej do ul. Letniej</t>
  </si>
  <si>
    <t>1.2.61</t>
  </si>
  <si>
    <t>Przebudowa kamienicy przy ul. Maślanej 4/6</t>
  </si>
  <si>
    <t>1.2.62</t>
  </si>
  <si>
    <t>Przebudowa budynku przy 3 Maja 6 (rewitalizacja)</t>
  </si>
  <si>
    <t>1.2.63</t>
  </si>
  <si>
    <t>Budowa budynków placówek opiekuńczo - wychowawczych</t>
  </si>
  <si>
    <t>1.2.64</t>
  </si>
  <si>
    <t>Rozbudowa ulic Granicznej i Leśnej na odcinkach łączących jednostkę strukturalną Rybnica ze wsią Józefowo</t>
  </si>
  <si>
    <t>1.2.65</t>
  </si>
  <si>
    <t xml:space="preserve">Przebudowa wylotu kolektora deszczowego D4 do rzeki Wisły w okolicy ulicy Barskiej </t>
  </si>
  <si>
    <t>1.2.66</t>
  </si>
  <si>
    <t>Modernizacja budynku Zespołu Szkół Technicznych</t>
  </si>
  <si>
    <t>Urząd Miasta, Zespół Szkół Technicznych</t>
  </si>
  <si>
    <t>1.2.67</t>
  </si>
  <si>
    <t>Przebudowa Urzędu Miasta Włocławek</t>
  </si>
  <si>
    <t>1.2.68</t>
  </si>
  <si>
    <t>Przebudowa Placu Wolności</t>
  </si>
  <si>
    <t>1.2.69</t>
  </si>
  <si>
    <t>Budowa budynków mieszkalnych</t>
  </si>
  <si>
    <t>1.2.70</t>
  </si>
  <si>
    <t xml:space="preserve">Budowa farmy fotowoltaicznej </t>
  </si>
  <si>
    <t>1.2.71</t>
  </si>
  <si>
    <t>Budowa instalacji Odnawialnych Źródeł Energii</t>
  </si>
  <si>
    <t>1.2.72</t>
  </si>
  <si>
    <t xml:space="preserve">Budowa dróg na terenach inwestycyjnych przy ul. Papieżka </t>
  </si>
  <si>
    <t>1.2.73</t>
  </si>
  <si>
    <t>Przebudowa i rozbudowa budynku Brzeska 15</t>
  </si>
  <si>
    <t>1.2.74</t>
  </si>
  <si>
    <t>Przebudowa budynku przy ul. Królewieckiej 12</t>
  </si>
  <si>
    <t>1.2.75</t>
  </si>
  <si>
    <t xml:space="preserve">Poprawa efektywności funkcjonowania obiektu Włocławskiego Inkubatora Innowacji i Przedsiębiorczości </t>
  </si>
  <si>
    <t>1.2.76</t>
  </si>
  <si>
    <t>Rekonstrukcja jezdni i chodnika na moście stalowym wraz z zabezpieczeniem antykorozyjnym mostu i iluminacją</t>
  </si>
  <si>
    <t>1.2.77</t>
  </si>
  <si>
    <t xml:space="preserve">Termomodernizacja budynków oświatowych </t>
  </si>
  <si>
    <t>1.2.78</t>
  </si>
  <si>
    <t>Wykonanie systemu przyzywowo - alarmowego w budynku Domu Pomocy Społecznej przy ul. Nowomiejskiej 19 we Włocławku</t>
  </si>
  <si>
    <t>Dom Pomocy Społecznej ul. Nowomiejska 19</t>
  </si>
  <si>
    <t>1.2.79</t>
  </si>
  <si>
    <t>Dokapitalizowanie Miejskiego Budownictwa Mieszkaniowego Sp. z o.o. na realizację zadania "Budowa dwóch budynków mieszkalnych wielorodzinnych wraz z niezbędną infrastrukturą techniczną oraz kompleksowym zagospodarowaniem terenu przy ul. Celulozowej we Włocławku"</t>
  </si>
  <si>
    <t>1.2.80</t>
  </si>
  <si>
    <t>Multimodalne centrum przesiadkowe - etap III</t>
  </si>
  <si>
    <t>1.2.81</t>
  </si>
  <si>
    <t>Kujawski Plac Zabaw</t>
  </si>
  <si>
    <t>1.2.82</t>
  </si>
  <si>
    <t>Budowa wieży z platformą widokową oraz monitoringiem na punkcie widokowym włocławskiego Zawiśla (Budżet Obywatelski 2022 r.)</t>
  </si>
  <si>
    <t>1.2.83</t>
  </si>
  <si>
    <t>Przebudowa drogi Lipnowskiej</t>
  </si>
  <si>
    <t>1.2.84</t>
  </si>
  <si>
    <t>Budowa trasy średnicowej - etap IV</t>
  </si>
  <si>
    <t>1.2.85</t>
  </si>
  <si>
    <t>Zewnętrzne boisko do gry w piłkę koszykową 3x3 lub 5x5 z imiennymi boiskami oraz małą infrastrukturą towarzyszącą (Budżet Obywatelski 2023 r.)</t>
  </si>
  <si>
    <t>1.2.86</t>
  </si>
  <si>
    <t>Przebudowa pętli autobusowych</t>
  </si>
  <si>
    <t>1.2.87</t>
  </si>
  <si>
    <t>Przebudowa i zmiana sposobu użytkowania budynku przy ul. 3-go Maja 18 we Włocławku na Centrum Aktywizacji i Przedsiębiorczości</t>
  </si>
  <si>
    <t>2018</t>
  </si>
  <si>
    <t>1.2.88</t>
  </si>
  <si>
    <t>Dekarbonizacja systemu ciepłowniczego miasta - etap I</t>
  </si>
  <si>
    <t>1.2.89</t>
  </si>
  <si>
    <t xml:space="preserve">Ciągi komunikacyjne poza pasami drogowymi </t>
  </si>
  <si>
    <t>1.2.90</t>
  </si>
  <si>
    <t>Słodowo 2</t>
  </si>
  <si>
    <t>1.2.91</t>
  </si>
  <si>
    <t>Centrum Żeglugi Wiślanej</t>
  </si>
  <si>
    <t>1.2.92</t>
  </si>
  <si>
    <t>Zagospodarowanie terenu przy Teatrze</t>
  </si>
  <si>
    <t>1.2.93</t>
  </si>
  <si>
    <t>Budowa przyłączy światłowodowych do Centrum Monitoringu Straży Miejskiej</t>
  </si>
  <si>
    <t>1.2.94</t>
  </si>
  <si>
    <t>Budowa aktywnych przejść dla pieszych / przejazdów rowerowych</t>
  </si>
  <si>
    <t>1.2.95</t>
  </si>
  <si>
    <t>Modernizacja oświetlenia ulicznego stanowiącego własność Energa Oświetlenie Sp. z o.o.</t>
  </si>
  <si>
    <t>1.2.96</t>
  </si>
  <si>
    <t>Inwentaryzacja kanalizacji deszczowej</t>
  </si>
  <si>
    <t>1.2.97</t>
  </si>
  <si>
    <t>Program priorytetowy "Ciepłe mieszkanie"</t>
  </si>
  <si>
    <t>1.2.98</t>
  </si>
  <si>
    <t>Elewacja zewnętrzna w Klubie "Zazamcze" CK "Browar B"</t>
  </si>
  <si>
    <t>1.2.99</t>
  </si>
  <si>
    <t>Dotacja celowa dla Bazyliki Katedralnej Wniebowzięcia NMP we Włocławku na realizację zadania z Rządowego Programu Odbudowy Zabytków</t>
  </si>
  <si>
    <t>* powtórzone zadania inwestycyjne obejmujące wydatki bieżące</t>
  </si>
  <si>
    <t>do Zarządzenia NR 461/2024</t>
  </si>
  <si>
    <t>z dnia 25 listopada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</si>
</sst>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rgb="FF000000"/>
      <name val="Czcionka tekstu podstawowego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sz val="8"/>
      <name val="Arial CE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b/>
      <sz val="8"/>
      <name val="Arial Narrow"/>
      <family val="2"/>
      <charset val="238"/>
    </font>
    <font>
      <b/>
      <sz val="9"/>
      <color rgb="FF000000"/>
      <name val="Czcionka tekstu podstawowego"/>
      <family val="2"/>
      <charset val="238"/>
    </font>
    <font>
      <sz val="7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11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DAE3F3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8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9" fontId="6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17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vertical="center"/>
    </xf>
    <xf numFmtId="4" fontId="6" fillId="0" borderId="14" xfId="0" applyNumberFormat="1" applyFont="1" applyBorder="1" applyAlignment="1">
      <alignment vertical="center"/>
    </xf>
    <xf numFmtId="4" fontId="6" fillId="0" borderId="18" xfId="0" applyNumberFormat="1" applyFont="1" applyBorder="1" applyAlignment="1">
      <alignment vertical="center"/>
    </xf>
    <xf numFmtId="4" fontId="6" fillId="0" borderId="5" xfId="0" applyNumberFormat="1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/>
    </xf>
    <xf numFmtId="49" fontId="8" fillId="3" borderId="20" xfId="0" applyNumberFormat="1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2" fontId="8" fillId="3" borderId="7" xfId="0" applyNumberFormat="1" applyFont="1" applyFill="1" applyBorder="1" applyAlignment="1">
      <alignment horizontal="center" vertical="center"/>
    </xf>
    <xf numFmtId="2" fontId="8" fillId="3" borderId="8" xfId="0" applyNumberFormat="1" applyFont="1" applyFill="1" applyBorder="1" applyAlignment="1">
      <alignment horizontal="center" vertical="center"/>
    </xf>
    <xf numFmtId="4" fontId="8" fillId="3" borderId="21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4" fontId="6" fillId="0" borderId="22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43" fontId="6" fillId="0" borderId="4" xfId="1" applyFont="1" applyFill="1" applyBorder="1" applyAlignment="1">
      <alignment vertical="center"/>
    </xf>
    <xf numFmtId="43" fontId="6" fillId="0" borderId="4" xfId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6" fillId="0" borderId="23" xfId="0" applyFont="1" applyBorder="1" applyAlignment="1">
      <alignment vertical="center" wrapText="1"/>
    </xf>
    <xf numFmtId="49" fontId="6" fillId="0" borderId="18" xfId="0" applyNumberFormat="1" applyFont="1" applyBorder="1" applyAlignment="1">
      <alignment horizontal="center" vertical="center"/>
    </xf>
    <xf numFmtId="4" fontId="6" fillId="0" borderId="23" xfId="0" applyNumberFormat="1" applyFont="1" applyBorder="1" applyAlignment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11" fillId="0" borderId="2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25" xfId="0" applyNumberFormat="1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4" fillId="0" borderId="0" xfId="0" applyNumberFormat="1" applyFont="1" applyAlignment="1">
      <alignment wrapText="1"/>
    </xf>
    <xf numFmtId="0" fontId="12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4" xfId="0" applyFont="1" applyBorder="1" applyAlignment="1">
      <alignment vertical="center"/>
    </xf>
    <xf numFmtId="3" fontId="4" fillId="0" borderId="0" xfId="0" applyNumberFormat="1" applyFont="1"/>
    <xf numFmtId="0" fontId="12" fillId="0" borderId="4" xfId="0" applyFont="1" applyBorder="1" applyAlignment="1">
      <alignment vertical="center" wrapText="1"/>
    </xf>
    <xf numFmtId="0" fontId="6" fillId="4" borderId="1" xfId="2" applyFont="1" applyFill="1" applyBorder="1" applyAlignment="1">
      <alignment vertical="center" wrapText="1"/>
    </xf>
    <xf numFmtId="0" fontId="11" fillId="4" borderId="1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>
      <alignment horizontal="center" vertical="center" wrapText="1"/>
    </xf>
    <xf numFmtId="4" fontId="6" fillId="4" borderId="1" xfId="2" applyNumberFormat="1" applyFont="1" applyFill="1" applyBorder="1" applyAlignment="1">
      <alignment vertical="center"/>
    </xf>
    <xf numFmtId="4" fontId="6" fillId="4" borderId="4" xfId="2" applyNumberFormat="1" applyFont="1" applyFill="1" applyBorder="1" applyAlignment="1">
      <alignment vertical="center" wrapText="1"/>
    </xf>
    <xf numFmtId="4" fontId="6" fillId="4" borderId="15" xfId="2" applyNumberFormat="1" applyFont="1" applyFill="1" applyBorder="1" applyAlignment="1">
      <alignment vertical="center" wrapText="1"/>
    </xf>
    <xf numFmtId="0" fontId="6" fillId="4" borderId="4" xfId="2" applyFont="1" applyFill="1" applyBorder="1" applyAlignment="1">
      <alignment vertical="center" wrapText="1"/>
    </xf>
    <xf numFmtId="0" fontId="11" fillId="4" borderId="4" xfId="2" applyFont="1" applyFill="1" applyBorder="1" applyAlignment="1">
      <alignment horizontal="center" vertical="center" wrapText="1"/>
    </xf>
    <xf numFmtId="4" fontId="6" fillId="4" borderId="4" xfId="2" applyNumberFormat="1" applyFont="1" applyFill="1" applyBorder="1" applyAlignment="1">
      <alignment vertical="center"/>
    </xf>
    <xf numFmtId="0" fontId="9" fillId="0" borderId="21" xfId="0" applyFont="1" applyBorder="1" applyAlignment="1">
      <alignment horizontal="center"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49" fontId="6" fillId="0" borderId="2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3" fontId="6" fillId="0" borderId="0" xfId="0" applyNumberFormat="1" applyFont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 11" xfId="2" xr:uid="{75746F34-C28D-46F0-848D-58888CC1FD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WIELOLETNIA_PROGN_FINANSOWA_2023\sesja_27%20czerwca_2023\WPF_analiza.xls" TargetMode="External"/><Relationship Id="rId1" Type="http://schemas.openxmlformats.org/officeDocument/2006/relationships/externalLinkPath" Target="file:///I:\WIELOLETNIA_PROGN_FINANSOWA_2023\sesja_27%20czerwca_2023\WPF_anali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%20sesj&#281;%202%20marca%202021\WIELOLETNIA_PROGN_FINANSOWA_2021\sesja%202%20marca%202021\Wydruki\Analiza%20WPF%202021-2035_Bestii_po_korekcie_1%20z&#322;_d&#322;ug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siedlecka/AppData/Local/Microsoft/Windows/WIELOLETNIA_PROGN_FINANSOWA_2020/SYMULACJA/WPF%20na%20sesj&#281;%2029.10%20(po%20uwzgl&#281;dnieniu%20uwag%20RIO)%20WPF_Bud&#380;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finicja"/>
      <sheetName val="DaneZrodlowe"/>
      <sheetName val="DaneZrodloweDoWsk"/>
      <sheetName val="ObliczSrednie"/>
      <sheetName val="Instrukcja"/>
      <sheetName val="WPF_bazowy"/>
      <sheetName val="WPF_Analiza"/>
      <sheetName val="Symulacja"/>
      <sheetName val="Rysunki"/>
      <sheetName val="Art. 28 Dodatek węglowy"/>
      <sheetName val="Opis zmian"/>
    </sheetNames>
    <sheetDataSet>
      <sheetData sheetId="0"/>
      <sheetData sheetId="1">
        <row r="1">
          <cell r="N1">
            <v>2023</v>
          </cell>
        </row>
        <row r="3">
          <cell r="N3" t="str">
            <v>946D</v>
          </cell>
        </row>
        <row r="4">
          <cell r="N4">
            <v>1</v>
          </cell>
        </row>
      </sheetData>
      <sheetData sheetId="2"/>
      <sheetData sheetId="3">
        <row r="15">
          <cell r="N15">
            <v>0.1236</v>
          </cell>
        </row>
      </sheetData>
      <sheetData sheetId="4"/>
      <sheetData sheetId="5">
        <row r="2">
          <cell r="N2" t="str">
            <v>WPF wg [Dz.U. 2020.1381/Dz.U.2022.1964]</v>
          </cell>
        </row>
        <row r="3">
          <cell r="N3" t="str">
            <v>2022-11-09a</v>
          </cell>
        </row>
      </sheetData>
      <sheetData sheetId="6"/>
      <sheetData sheetId="7">
        <row r="4">
          <cell r="F4">
            <v>0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  <sheetName val="RM_02.03.2021"/>
    </sheetNames>
    <sheetDataSet>
      <sheetData sheetId="0" refreshError="1">
        <row r="1">
          <cell r="N1">
            <v>2021</v>
          </cell>
        </row>
        <row r="2">
          <cell r="N2">
            <v>2035</v>
          </cell>
        </row>
        <row r="3">
          <cell r="N3" t="str">
            <v>A7F0</v>
          </cell>
        </row>
      </sheetData>
      <sheetData sheetId="1" refreshError="1"/>
      <sheetData sheetId="2" refreshError="1"/>
      <sheetData sheetId="3" refreshError="1"/>
      <sheetData sheetId="4" refreshError="1">
        <row r="1">
          <cell r="M1">
            <v>2035</v>
          </cell>
        </row>
      </sheetData>
      <sheetData sheetId="5" refreshError="1">
        <row r="1">
          <cell r="D1" t="str">
            <v>2020-09-01a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neZrodlowe"/>
      <sheetName val="DaneBudzet"/>
      <sheetName val="DefMetRb"/>
      <sheetName val="SlownikGrup"/>
      <sheetName val="DaneWybBudzet"/>
      <sheetName val="WskArt_31zl"/>
      <sheetName val="DefWPF"/>
      <sheetName val="WPF_bazowy"/>
      <sheetName val="WPF a Budzet (rok N)"/>
      <sheetName val="WPF_Analiza"/>
      <sheetName val="Budzet (rok N)"/>
      <sheetName val="WPF a Rb (wybr okr)"/>
      <sheetName val="WPF=Rb w (N-3)..(N-1)"/>
      <sheetName val="Rysunki"/>
      <sheetName val="Tab_BudzetWPF"/>
      <sheetName val="Tab_Budzet"/>
      <sheetName val="opis zmi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2057-5A4E-4F02-9239-E1366BC61F67}">
  <sheetPr>
    <tabColor theme="8" tint="0.39997558519241921"/>
  </sheetPr>
  <dimension ref="A1:AMJ136"/>
  <sheetViews>
    <sheetView tabSelected="1" zoomScaleNormal="100" workbookViewId="0">
      <selection activeCell="Q8" sqref="Q8"/>
    </sheetView>
  </sheetViews>
  <sheetFormatPr defaultColWidth="9" defaultRowHeight="14.25"/>
  <cols>
    <col min="1" max="1" width="5.5" style="1" customWidth="1"/>
    <col min="2" max="2" width="54" style="1" customWidth="1"/>
    <col min="3" max="3" width="11.875" style="1" customWidth="1"/>
    <col min="4" max="4" width="5.125" style="1" customWidth="1"/>
    <col min="5" max="5" width="4.625" style="1" customWidth="1"/>
    <col min="6" max="6" width="9.875" style="1" customWidth="1"/>
    <col min="7" max="8" width="9.625" style="1" customWidth="1"/>
    <col min="9" max="9" width="10" style="1" customWidth="1"/>
    <col min="10" max="10" width="8.625" style="1" customWidth="1"/>
    <col min="11" max="11" width="8.875" style="1" customWidth="1"/>
    <col min="12" max="12" width="8.75" style="1" customWidth="1"/>
    <col min="13" max="13" width="9.875" style="1" customWidth="1"/>
    <col min="14" max="14" width="13.125" style="1" customWidth="1"/>
    <col min="15" max="256" width="9" style="1"/>
    <col min="257" max="257" width="5.5" style="1" customWidth="1"/>
    <col min="258" max="258" width="54" style="1" customWidth="1"/>
    <col min="259" max="259" width="13.125" style="1" customWidth="1"/>
    <col min="260" max="260" width="5.125" style="1" customWidth="1"/>
    <col min="261" max="261" width="4.625" style="1" customWidth="1"/>
    <col min="262" max="262" width="10.25" style="1" customWidth="1"/>
    <col min="263" max="263" width="9.25" style="1" customWidth="1"/>
    <col min="264" max="264" width="9.125" style="1" customWidth="1"/>
    <col min="265" max="265" width="8.375" style="1" customWidth="1"/>
    <col min="266" max="266" width="8.5" style="1" customWidth="1"/>
    <col min="267" max="268" width="8.625" style="1" customWidth="1"/>
    <col min="269" max="269" width="9.375" style="1" customWidth="1"/>
    <col min="270" max="270" width="13.125" style="1" customWidth="1"/>
    <col min="271" max="512" width="9" style="1"/>
    <col min="513" max="513" width="5.5" style="1" customWidth="1"/>
    <col min="514" max="514" width="54" style="1" customWidth="1"/>
    <col min="515" max="515" width="13.125" style="1" customWidth="1"/>
    <col min="516" max="516" width="5.125" style="1" customWidth="1"/>
    <col min="517" max="517" width="4.625" style="1" customWidth="1"/>
    <col min="518" max="518" width="10.25" style="1" customWidth="1"/>
    <col min="519" max="519" width="9.25" style="1" customWidth="1"/>
    <col min="520" max="520" width="9.125" style="1" customWidth="1"/>
    <col min="521" max="521" width="8.375" style="1" customWidth="1"/>
    <col min="522" max="522" width="8.5" style="1" customWidth="1"/>
    <col min="523" max="524" width="8.625" style="1" customWidth="1"/>
    <col min="525" max="525" width="9.375" style="1" customWidth="1"/>
    <col min="526" max="526" width="13.125" style="1" customWidth="1"/>
    <col min="527" max="768" width="9" style="1"/>
    <col min="769" max="769" width="5.5" style="1" customWidth="1"/>
    <col min="770" max="770" width="54" style="1" customWidth="1"/>
    <col min="771" max="771" width="13.125" style="1" customWidth="1"/>
    <col min="772" max="772" width="5.125" style="1" customWidth="1"/>
    <col min="773" max="773" width="4.625" style="1" customWidth="1"/>
    <col min="774" max="774" width="10.25" style="1" customWidth="1"/>
    <col min="775" max="775" width="9.25" style="1" customWidth="1"/>
    <col min="776" max="776" width="9.125" style="1" customWidth="1"/>
    <col min="777" max="777" width="8.375" style="1" customWidth="1"/>
    <col min="778" max="778" width="8.5" style="1" customWidth="1"/>
    <col min="779" max="780" width="8.625" style="1" customWidth="1"/>
    <col min="781" max="781" width="9.375" style="1" customWidth="1"/>
    <col min="782" max="782" width="13.125" style="1" customWidth="1"/>
    <col min="783" max="1024" width="9" style="1"/>
  </cols>
  <sheetData>
    <row r="1" spans="1:255" ht="13.5" customHeight="1">
      <c r="B1" s="2"/>
      <c r="C1" s="3"/>
      <c r="D1" s="4"/>
      <c r="E1" s="5"/>
      <c r="F1" s="4"/>
      <c r="G1" s="5"/>
      <c r="J1" s="4"/>
      <c r="K1" s="4" t="s">
        <v>0</v>
      </c>
      <c r="L1" s="4"/>
    </row>
    <row r="2" spans="1:255" ht="15">
      <c r="B2" s="5"/>
      <c r="C2" s="3"/>
      <c r="D2" s="4"/>
      <c r="E2" s="5"/>
      <c r="F2" s="4"/>
      <c r="G2" s="5"/>
      <c r="J2" s="4"/>
      <c r="K2" s="4" t="s">
        <v>291</v>
      </c>
      <c r="L2" s="4"/>
    </row>
    <row r="3" spans="1:255" ht="15">
      <c r="C3" s="3"/>
      <c r="D3" s="4"/>
      <c r="E3" s="5"/>
      <c r="F3" s="4"/>
      <c r="G3" s="5"/>
      <c r="J3" s="4"/>
      <c r="K3" s="4" t="s">
        <v>1</v>
      </c>
      <c r="L3" s="4"/>
    </row>
    <row r="4" spans="1:255" ht="15">
      <c r="C4" s="3"/>
      <c r="D4" s="4"/>
      <c r="E4" s="5"/>
      <c r="F4" s="4"/>
      <c r="G4" s="5"/>
      <c r="J4" s="4"/>
      <c r="K4" s="4" t="s">
        <v>292</v>
      </c>
      <c r="L4" s="4"/>
    </row>
    <row r="5" spans="1:255" ht="17.25" customHeight="1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25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255" ht="25.5" customHeight="1">
      <c r="A7" s="121" t="s">
        <v>3</v>
      </c>
      <c r="B7" s="122" t="s">
        <v>4</v>
      </c>
      <c r="C7" s="123" t="s">
        <v>5</v>
      </c>
      <c r="D7" s="123" t="s">
        <v>6</v>
      </c>
      <c r="E7" s="123"/>
      <c r="F7" s="10" t="s">
        <v>7</v>
      </c>
      <c r="G7" s="120"/>
      <c r="H7" s="120"/>
      <c r="I7" s="11"/>
      <c r="J7" s="11"/>
      <c r="K7" s="11"/>
      <c r="L7" s="11"/>
      <c r="M7" s="10" t="s">
        <v>8</v>
      </c>
    </row>
    <row r="8" spans="1:255" ht="14.25" customHeight="1">
      <c r="A8" s="121"/>
      <c r="B8" s="122"/>
      <c r="C8" s="123"/>
      <c r="D8" s="10" t="s">
        <v>9</v>
      </c>
      <c r="E8" s="10" t="s">
        <v>10</v>
      </c>
      <c r="F8" s="10"/>
      <c r="G8" s="9">
        <v>2024</v>
      </c>
      <c r="H8" s="9">
        <v>2025</v>
      </c>
      <c r="I8" s="9">
        <v>2026</v>
      </c>
      <c r="J8" s="9">
        <v>2027</v>
      </c>
      <c r="K8" s="9">
        <v>2028</v>
      </c>
      <c r="L8" s="9">
        <v>2029</v>
      </c>
      <c r="M8" s="8"/>
    </row>
    <row r="9" spans="1:255" ht="34.5" customHeight="1">
      <c r="A9" s="12">
        <v>1</v>
      </c>
      <c r="B9" s="114" t="s">
        <v>11</v>
      </c>
      <c r="C9" s="116"/>
      <c r="D9" s="116"/>
      <c r="E9" s="115"/>
      <c r="F9" s="13">
        <f t="shared" ref="F9:M9" si="0">SUM(F10:F11)</f>
        <v>1294369046.1300001</v>
      </c>
      <c r="G9" s="13">
        <f t="shared" si="0"/>
        <v>314378820.31</v>
      </c>
      <c r="H9" s="13">
        <f t="shared" si="0"/>
        <v>243816925.36000001</v>
      </c>
      <c r="I9" s="13">
        <f t="shared" si="0"/>
        <v>225032173.09999999</v>
      </c>
      <c r="J9" s="13">
        <f t="shared" si="0"/>
        <v>83237916.5</v>
      </c>
      <c r="K9" s="13">
        <f t="shared" si="0"/>
        <v>83764095.439999998</v>
      </c>
      <c r="L9" s="13">
        <f t="shared" si="0"/>
        <v>28193913.120000001</v>
      </c>
      <c r="M9" s="13">
        <f t="shared" si="0"/>
        <v>978423843.83000004</v>
      </c>
      <c r="N9" s="14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</row>
    <row r="10" spans="1:255" ht="16.5" customHeight="1">
      <c r="A10" s="16" t="s">
        <v>12</v>
      </c>
      <c r="B10" s="117" t="s">
        <v>13</v>
      </c>
      <c r="C10" s="119"/>
      <c r="D10" s="119"/>
      <c r="E10" s="118"/>
      <c r="F10" s="17">
        <f>SUM(F13,F35)</f>
        <v>724384760.1400001</v>
      </c>
      <c r="G10" s="17">
        <f t="shared" ref="G10:M10" si="1">SUM(G13,G35)</f>
        <v>120010365.2</v>
      </c>
      <c r="H10" s="17">
        <f t="shared" si="1"/>
        <v>121043234.73999999</v>
      </c>
      <c r="I10" s="17">
        <f t="shared" si="1"/>
        <v>120732766.09</v>
      </c>
      <c r="J10" s="17">
        <f t="shared" si="1"/>
        <v>83237916.5</v>
      </c>
      <c r="K10" s="17">
        <f t="shared" si="1"/>
        <v>83764095.439999998</v>
      </c>
      <c r="L10" s="17">
        <f t="shared" si="1"/>
        <v>28193913.120000001</v>
      </c>
      <c r="M10" s="17">
        <f t="shared" si="1"/>
        <v>556982291.09000003</v>
      </c>
      <c r="N10" s="14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spans="1:255" ht="17.25" customHeight="1">
      <c r="A11" s="16" t="s">
        <v>14</v>
      </c>
      <c r="B11" s="117" t="s">
        <v>15</v>
      </c>
      <c r="C11" s="119"/>
      <c r="D11" s="119"/>
      <c r="E11" s="118"/>
      <c r="F11" s="17">
        <f t="shared" ref="F11:M11" si="2">SUM(F22,F88)</f>
        <v>569984285.98999989</v>
      </c>
      <c r="G11" s="17">
        <f>SUM(G22,G88)</f>
        <v>194368455.11000001</v>
      </c>
      <c r="H11" s="17">
        <f t="shared" si="2"/>
        <v>122773690.62</v>
      </c>
      <c r="I11" s="17">
        <f t="shared" si="2"/>
        <v>104299407.00999999</v>
      </c>
      <c r="J11" s="17">
        <f t="shared" si="2"/>
        <v>0</v>
      </c>
      <c r="K11" s="17">
        <f t="shared" si="2"/>
        <v>0</v>
      </c>
      <c r="L11" s="17">
        <f t="shared" si="2"/>
        <v>0</v>
      </c>
      <c r="M11" s="17">
        <f t="shared" si="2"/>
        <v>421441552.74000001</v>
      </c>
      <c r="N11" s="14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spans="1:255" ht="45" customHeight="1" thickBot="1">
      <c r="A12" s="18" t="s">
        <v>16</v>
      </c>
      <c r="B12" s="19" t="s">
        <v>17</v>
      </c>
      <c r="C12" s="20"/>
      <c r="D12" s="20"/>
      <c r="E12" s="21"/>
      <c r="F12" s="22">
        <f>SUM(F13,F22)</f>
        <v>188508352.38999999</v>
      </c>
      <c r="G12" s="22">
        <f t="shared" ref="G12:M12" si="3">SUM(G13,G22)</f>
        <v>49239432.720000006</v>
      </c>
      <c r="H12" s="22">
        <f t="shared" si="3"/>
        <v>38126638.82</v>
      </c>
      <c r="I12" s="22">
        <f t="shared" si="3"/>
        <v>79649217.099999994</v>
      </c>
      <c r="J12" s="22">
        <f t="shared" si="3"/>
        <v>0</v>
      </c>
      <c r="K12" s="22">
        <f t="shared" si="3"/>
        <v>0</v>
      </c>
      <c r="L12" s="22">
        <f t="shared" si="3"/>
        <v>0</v>
      </c>
      <c r="M12" s="22">
        <f t="shared" si="3"/>
        <v>167015288.64000002</v>
      </c>
      <c r="N12" s="23"/>
    </row>
    <row r="13" spans="1:255" ht="21" customHeight="1" thickBot="1">
      <c r="A13" s="24"/>
      <c r="B13" s="25" t="s">
        <v>13</v>
      </c>
      <c r="C13" s="26"/>
      <c r="D13" s="27"/>
      <c r="E13" s="28"/>
      <c r="F13" s="29">
        <f>SUM(F14:F21)</f>
        <v>11240683.970000001</v>
      </c>
      <c r="G13" s="29">
        <f>SUM(G14:G21)</f>
        <v>3394108.32</v>
      </c>
      <c r="H13" s="29">
        <f>SUM(H14:H21)</f>
        <v>2095389.7400000002</v>
      </c>
      <c r="I13" s="29">
        <f>SUM(I14:I21)</f>
        <v>1478121.09</v>
      </c>
      <c r="J13" s="29">
        <f t="shared" ref="J13:L13" si="4">SUM(J14:J21)</f>
        <v>0</v>
      </c>
      <c r="K13" s="29">
        <f t="shared" si="4"/>
        <v>0</v>
      </c>
      <c r="L13" s="29">
        <f t="shared" si="4"/>
        <v>0</v>
      </c>
      <c r="M13" s="29">
        <f>SUM(M14:M21)</f>
        <v>6967619.1499999994</v>
      </c>
    </row>
    <row r="14" spans="1:255" s="1" customFormat="1" ht="33" customHeight="1">
      <c r="A14" s="30" t="s">
        <v>18</v>
      </c>
      <c r="B14" s="31" t="s">
        <v>19</v>
      </c>
      <c r="C14" s="32" t="s">
        <v>20</v>
      </c>
      <c r="D14" s="33" t="s">
        <v>21</v>
      </c>
      <c r="E14" s="34" t="s">
        <v>22</v>
      </c>
      <c r="F14" s="35">
        <v>6290095.1600000001</v>
      </c>
      <c r="G14" s="36">
        <f>1769775.08+5000+99372.75-487304.97+90764.5+514332.17+25090.81</f>
        <v>2017030.34</v>
      </c>
      <c r="H14" s="36"/>
      <c r="I14" s="37"/>
      <c r="J14" s="37"/>
      <c r="K14" s="37"/>
      <c r="L14" s="37"/>
      <c r="M14" s="36">
        <f t="shared" ref="M14:M21" si="5">SUM(G14:L14)</f>
        <v>2017030.34</v>
      </c>
    </row>
    <row r="15" spans="1:255" s="1" customFormat="1" ht="33" customHeight="1">
      <c r="A15" s="30" t="s">
        <v>23</v>
      </c>
      <c r="B15" s="38" t="s">
        <v>24</v>
      </c>
      <c r="C15" s="39" t="s">
        <v>25</v>
      </c>
      <c r="D15" s="40" t="s">
        <v>22</v>
      </c>
      <c r="E15" s="40" t="s">
        <v>26</v>
      </c>
      <c r="F15" s="41">
        <v>180415.64</v>
      </c>
      <c r="G15" s="42">
        <v>50000</v>
      </c>
      <c r="H15" s="42">
        <v>62287.76</v>
      </c>
      <c r="I15" s="43">
        <v>68127.88</v>
      </c>
      <c r="J15" s="43"/>
      <c r="K15" s="43"/>
      <c r="L15" s="43"/>
      <c r="M15" s="44">
        <f t="shared" si="5"/>
        <v>180415.64</v>
      </c>
    </row>
    <row r="16" spans="1:255" s="1" customFormat="1" ht="33" customHeight="1">
      <c r="A16" s="30" t="s">
        <v>27</v>
      </c>
      <c r="B16" s="45" t="s">
        <v>28</v>
      </c>
      <c r="C16" s="39" t="s">
        <v>25</v>
      </c>
      <c r="D16" s="40" t="s">
        <v>22</v>
      </c>
      <c r="E16" s="40" t="s">
        <v>29</v>
      </c>
      <c r="F16" s="44">
        <v>533820</v>
      </c>
      <c r="G16" s="44">
        <v>238989</v>
      </c>
      <c r="H16" s="44">
        <v>294831</v>
      </c>
      <c r="I16" s="44"/>
      <c r="J16" s="44"/>
      <c r="K16" s="44"/>
      <c r="L16" s="44"/>
      <c r="M16" s="44">
        <f t="shared" si="5"/>
        <v>533820</v>
      </c>
    </row>
    <row r="17" spans="1:14" s="1" customFormat="1" ht="33" customHeight="1">
      <c r="A17" s="30" t="s">
        <v>30</v>
      </c>
      <c r="B17" s="46" t="s">
        <v>31</v>
      </c>
      <c r="C17" s="47" t="s">
        <v>25</v>
      </c>
      <c r="D17" s="16" t="s">
        <v>22</v>
      </c>
      <c r="E17" s="16" t="s">
        <v>29</v>
      </c>
      <c r="F17" s="17">
        <v>269167.53999999998</v>
      </c>
      <c r="G17" s="17">
        <v>215334.03</v>
      </c>
      <c r="H17" s="17">
        <v>53833.51</v>
      </c>
      <c r="I17" s="17"/>
      <c r="J17" s="17"/>
      <c r="K17" s="17"/>
      <c r="L17" s="17"/>
      <c r="M17" s="17">
        <f t="shared" si="5"/>
        <v>269167.53999999998</v>
      </c>
    </row>
    <row r="18" spans="1:14" s="1" customFormat="1" ht="33" customHeight="1">
      <c r="A18" s="30" t="s">
        <v>32</v>
      </c>
      <c r="B18" s="48" t="s">
        <v>33</v>
      </c>
      <c r="C18" s="49" t="s">
        <v>34</v>
      </c>
      <c r="D18" s="30" t="s">
        <v>22</v>
      </c>
      <c r="E18" s="30" t="s">
        <v>26</v>
      </c>
      <c r="F18" s="42">
        <v>842994.06</v>
      </c>
      <c r="G18" s="42">
        <v>280997.27</v>
      </c>
      <c r="H18" s="42">
        <v>280997.27</v>
      </c>
      <c r="I18" s="42">
        <v>280999.52</v>
      </c>
      <c r="J18" s="42"/>
      <c r="K18" s="42"/>
      <c r="L18" s="42"/>
      <c r="M18" s="42">
        <f t="shared" si="5"/>
        <v>842994.06</v>
      </c>
    </row>
    <row r="19" spans="1:14" s="1" customFormat="1" ht="33" customHeight="1">
      <c r="A19" s="30" t="s">
        <v>35</v>
      </c>
      <c r="B19" s="46" t="s">
        <v>36</v>
      </c>
      <c r="C19" s="47" t="s">
        <v>37</v>
      </c>
      <c r="D19" s="40" t="s">
        <v>22</v>
      </c>
      <c r="E19" s="40" t="s">
        <v>26</v>
      </c>
      <c r="F19" s="17">
        <v>1138593</v>
      </c>
      <c r="G19" s="17">
        <v>314396</v>
      </c>
      <c r="H19" s="17">
        <v>413129</v>
      </c>
      <c r="I19" s="17">
        <v>411068</v>
      </c>
      <c r="J19" s="17"/>
      <c r="K19" s="17"/>
      <c r="L19" s="17"/>
      <c r="M19" s="17">
        <f>SUM(G19:L19)</f>
        <v>1138593</v>
      </c>
    </row>
    <row r="20" spans="1:14" s="1" customFormat="1" ht="33" customHeight="1">
      <c r="A20" s="30" t="s">
        <v>38</v>
      </c>
      <c r="B20" s="46" t="s">
        <v>39</v>
      </c>
      <c r="C20" s="47" t="s">
        <v>37</v>
      </c>
      <c r="D20" s="40" t="s">
        <v>22</v>
      </c>
      <c r="E20" s="40" t="s">
        <v>26</v>
      </c>
      <c r="F20" s="17">
        <v>1449339.77</v>
      </c>
      <c r="G20" s="17">
        <v>94000</v>
      </c>
      <c r="H20" s="17">
        <v>813862.64</v>
      </c>
      <c r="I20" s="17">
        <v>541477.13</v>
      </c>
      <c r="J20" s="17"/>
      <c r="K20" s="17"/>
      <c r="L20" s="17"/>
      <c r="M20" s="17">
        <f>SUM(G20:L20)</f>
        <v>1449339.77</v>
      </c>
    </row>
    <row r="21" spans="1:14" s="1" customFormat="1" ht="33" customHeight="1">
      <c r="A21" s="30" t="s">
        <v>40</v>
      </c>
      <c r="B21" s="46" t="s">
        <v>41</v>
      </c>
      <c r="C21" s="47" t="s">
        <v>37</v>
      </c>
      <c r="D21" s="40" t="s">
        <v>22</v>
      </c>
      <c r="E21" s="40" t="s">
        <v>26</v>
      </c>
      <c r="F21" s="17">
        <v>536258.80000000005</v>
      </c>
      <c r="G21" s="17">
        <v>183361.68</v>
      </c>
      <c r="H21" s="17">
        <v>176448.56</v>
      </c>
      <c r="I21" s="17">
        <v>176448.56</v>
      </c>
      <c r="J21" s="17"/>
      <c r="K21" s="17"/>
      <c r="L21" s="17"/>
      <c r="M21" s="42">
        <f t="shared" si="5"/>
        <v>536258.80000000005</v>
      </c>
    </row>
    <row r="22" spans="1:14" s="1" customFormat="1" ht="21.75" customHeight="1" thickBot="1">
      <c r="A22" s="50"/>
      <c r="B22" s="51" t="s">
        <v>15</v>
      </c>
      <c r="C22" s="52"/>
      <c r="D22" s="53"/>
      <c r="E22" s="54"/>
      <c r="F22" s="55">
        <f>SUM(F23:F33)</f>
        <v>177267668.41999999</v>
      </c>
      <c r="G22" s="55">
        <f>SUM(G23:G33)</f>
        <v>45845324.400000006</v>
      </c>
      <c r="H22" s="55">
        <f>SUM(H23:H33)</f>
        <v>36031249.079999998</v>
      </c>
      <c r="I22" s="55">
        <f>SUM(I23:I33)</f>
        <v>78171096.00999999</v>
      </c>
      <c r="J22" s="55">
        <f t="shared" ref="J22:M22" si="6">SUM(J23:J33)</f>
        <v>0</v>
      </c>
      <c r="K22" s="55">
        <f t="shared" si="6"/>
        <v>0</v>
      </c>
      <c r="L22" s="55">
        <f t="shared" si="6"/>
        <v>0</v>
      </c>
      <c r="M22" s="55">
        <f t="shared" si="6"/>
        <v>160047669.49000001</v>
      </c>
    </row>
    <row r="23" spans="1:14" s="1" customFormat="1" ht="27" customHeight="1">
      <c r="A23" s="30" t="s">
        <v>42</v>
      </c>
      <c r="B23" s="56" t="s">
        <v>43</v>
      </c>
      <c r="C23" s="57" t="s">
        <v>25</v>
      </c>
      <c r="D23" s="16" t="s">
        <v>44</v>
      </c>
      <c r="E23" s="58" t="s">
        <v>22</v>
      </c>
      <c r="F23" s="17">
        <f>17113927.62-1513000-4850000-1050000</f>
        <v>9700927.620000001</v>
      </c>
      <c r="G23" s="59">
        <f>16767733.32-1513000-4850000-1050000</f>
        <v>9354733.3200000003</v>
      </c>
      <c r="H23" s="59"/>
      <c r="I23" s="59"/>
      <c r="J23" s="59"/>
      <c r="K23" s="17"/>
      <c r="L23" s="36"/>
      <c r="M23" s="36">
        <f>SUM(G23:L23)</f>
        <v>9354733.3200000003</v>
      </c>
      <c r="N23" s="60"/>
    </row>
    <row r="24" spans="1:14" s="1" customFormat="1" ht="27" customHeight="1">
      <c r="A24" s="30" t="s">
        <v>45</v>
      </c>
      <c r="B24" s="56" t="s">
        <v>46</v>
      </c>
      <c r="C24" s="57" t="s">
        <v>25</v>
      </c>
      <c r="D24" s="16" t="s">
        <v>47</v>
      </c>
      <c r="E24" s="58" t="s">
        <v>26</v>
      </c>
      <c r="F24" s="17">
        <f>24200000+550000-2010075.44-11006500</f>
        <v>11733424.559999999</v>
      </c>
      <c r="G24" s="59">
        <f>5974645.72+550000</f>
        <v>6524645.7199999997</v>
      </c>
      <c r="H24" s="59">
        <f>5974645.72-2010075.44</f>
        <v>3964570.28</v>
      </c>
      <c r="I24" s="59">
        <f>11950000-11006500</f>
        <v>943500</v>
      </c>
      <c r="J24" s="59"/>
      <c r="K24" s="17"/>
      <c r="L24" s="36"/>
      <c r="M24" s="36">
        <f>SUM(G24:L24)</f>
        <v>11432716</v>
      </c>
      <c r="N24" s="60"/>
    </row>
    <row r="25" spans="1:14" s="1" customFormat="1" ht="27" customHeight="1">
      <c r="A25" s="30" t="s">
        <v>48</v>
      </c>
      <c r="B25" s="56" t="s">
        <v>49</v>
      </c>
      <c r="C25" s="57" t="s">
        <v>25</v>
      </c>
      <c r="D25" s="16" t="s">
        <v>22</v>
      </c>
      <c r="E25" s="58" t="s">
        <v>29</v>
      </c>
      <c r="F25" s="17">
        <f>20000000-1200000-56904.02-1500000</f>
        <v>17243095.98</v>
      </c>
      <c r="G25" s="59">
        <f>10000000-1200000-56904.02</f>
        <v>8743095.9800000004</v>
      </c>
      <c r="H25" s="59">
        <f>10000000-1500000</f>
        <v>8500000</v>
      </c>
      <c r="I25" s="59"/>
      <c r="J25" s="59"/>
      <c r="K25" s="17"/>
      <c r="L25" s="36"/>
      <c r="M25" s="36">
        <f>SUM(G25:L25)</f>
        <v>17243095.98</v>
      </c>
      <c r="N25" s="5"/>
    </row>
    <row r="26" spans="1:14" s="1" customFormat="1" ht="27" customHeight="1">
      <c r="A26" s="34" t="s">
        <v>50</v>
      </c>
      <c r="B26" s="64" t="s">
        <v>51</v>
      </c>
      <c r="C26" s="47" t="s">
        <v>52</v>
      </c>
      <c r="D26" s="61" t="s">
        <v>53</v>
      </c>
      <c r="E26" s="16" t="s">
        <v>26</v>
      </c>
      <c r="F26" s="17">
        <f>7672719.3-69381.8-1500000</f>
        <v>6103337.5</v>
      </c>
      <c r="G26" s="17">
        <f>1581253.36</f>
        <v>1581253.36</v>
      </c>
      <c r="H26" s="17">
        <f>2819663.05-69381.8-1500000</f>
        <v>1250281.25</v>
      </c>
      <c r="I26" s="62">
        <v>3271768.59</v>
      </c>
      <c r="J26" s="59"/>
      <c r="K26" s="59"/>
      <c r="L26" s="59"/>
      <c r="M26" s="36">
        <f t="shared" ref="M26:M30" si="7">SUM(G26:L26)</f>
        <v>6103303.2000000002</v>
      </c>
      <c r="N26" s="60"/>
    </row>
    <row r="27" spans="1:14" s="1" customFormat="1" ht="27" customHeight="1">
      <c r="A27" s="30" t="s">
        <v>54</v>
      </c>
      <c r="B27" s="31" t="s">
        <v>55</v>
      </c>
      <c r="C27" s="32" t="s">
        <v>25</v>
      </c>
      <c r="D27" s="33" t="s">
        <v>47</v>
      </c>
      <c r="E27" s="34" t="s">
        <v>22</v>
      </c>
      <c r="F27" s="36">
        <f>9765275.02+550000+20000+5000</f>
        <v>10340275.02</v>
      </c>
      <c r="G27" s="63">
        <f>1000000+6990335.57+550000+20000+5000</f>
        <v>8565335.5700000003</v>
      </c>
      <c r="H27" s="63"/>
      <c r="I27" s="63"/>
      <c r="J27" s="63"/>
      <c r="K27" s="63"/>
      <c r="L27" s="63"/>
      <c r="M27" s="36">
        <f t="shared" si="7"/>
        <v>8565335.5700000003</v>
      </c>
      <c r="N27" s="60"/>
    </row>
    <row r="28" spans="1:14" s="1" customFormat="1" ht="27" customHeight="1">
      <c r="A28" s="30" t="s">
        <v>56</v>
      </c>
      <c r="B28" s="64" t="s">
        <v>57</v>
      </c>
      <c r="C28" s="47" t="s">
        <v>25</v>
      </c>
      <c r="D28" s="16" t="s">
        <v>47</v>
      </c>
      <c r="E28" s="58" t="s">
        <v>22</v>
      </c>
      <c r="F28" s="17">
        <v>549554.34</v>
      </c>
      <c r="G28" s="59">
        <v>549554.34</v>
      </c>
      <c r="H28" s="59"/>
      <c r="I28" s="59"/>
      <c r="J28" s="59"/>
      <c r="K28" s="59"/>
      <c r="L28" s="17"/>
      <c r="M28" s="36">
        <f>SUM(G28:L28)</f>
        <v>549554.34</v>
      </c>
      <c r="N28" s="60"/>
    </row>
    <row r="29" spans="1:14" s="1" customFormat="1" ht="27" customHeight="1">
      <c r="A29" s="30" t="s">
        <v>58</v>
      </c>
      <c r="B29" s="31" t="s">
        <v>59</v>
      </c>
      <c r="C29" s="32" t="s">
        <v>25</v>
      </c>
      <c r="D29" s="33" t="s">
        <v>22</v>
      </c>
      <c r="E29" s="34" t="s">
        <v>26</v>
      </c>
      <c r="F29" s="36">
        <v>15916405.279999999</v>
      </c>
      <c r="G29" s="63">
        <v>5305468.43</v>
      </c>
      <c r="H29" s="63">
        <v>5305468.43</v>
      </c>
      <c r="I29" s="63">
        <v>5305468.42</v>
      </c>
      <c r="J29" s="63"/>
      <c r="K29" s="63"/>
      <c r="L29" s="63"/>
      <c r="M29" s="36">
        <f t="shared" si="7"/>
        <v>15916405.279999999</v>
      </c>
      <c r="N29" s="60"/>
    </row>
    <row r="30" spans="1:14" s="1" customFormat="1" ht="27" customHeight="1">
      <c r="A30" s="30" t="s">
        <v>60</v>
      </c>
      <c r="B30" s="65" t="s">
        <v>61</v>
      </c>
      <c r="C30" s="32" t="s">
        <v>25</v>
      </c>
      <c r="D30" s="66">
        <v>2020</v>
      </c>
      <c r="E30" s="66">
        <v>2025</v>
      </c>
      <c r="F30" s="67">
        <f>34001877.68-870000-420000-1000000-5501500</f>
        <v>26210377.68</v>
      </c>
      <c r="G30" s="68">
        <f>6601877.68-420000-1000000</f>
        <v>5181877.68</v>
      </c>
      <c r="H30" s="68">
        <f>12601877.68-870000-5501500</f>
        <v>6230377.6799999997</v>
      </c>
      <c r="I30" s="65"/>
      <c r="J30" s="65"/>
      <c r="K30" s="65"/>
      <c r="L30" s="65"/>
      <c r="M30" s="42">
        <f t="shared" si="7"/>
        <v>11412255.359999999</v>
      </c>
      <c r="N30" s="60"/>
    </row>
    <row r="31" spans="1:14" s="1" customFormat="1" ht="27" customHeight="1">
      <c r="A31" s="30" t="s">
        <v>62</v>
      </c>
      <c r="B31" s="56" t="s">
        <v>24</v>
      </c>
      <c r="C31" s="32" t="s">
        <v>52</v>
      </c>
      <c r="D31" s="34" t="s">
        <v>22</v>
      </c>
      <c r="E31" s="34" t="s">
        <v>26</v>
      </c>
      <c r="F31" s="36">
        <v>23703453</v>
      </c>
      <c r="G31" s="63">
        <v>0</v>
      </c>
      <c r="H31" s="63">
        <v>7901151</v>
      </c>
      <c r="I31" s="63">
        <v>15802302</v>
      </c>
      <c r="J31" s="63"/>
      <c r="K31" s="63"/>
      <c r="L31" s="63"/>
      <c r="M31" s="17">
        <f>SUM(G31:L31)</f>
        <v>23703453</v>
      </c>
      <c r="N31" s="69"/>
    </row>
    <row r="32" spans="1:14" s="1" customFormat="1" ht="27" customHeight="1">
      <c r="A32" s="30" t="s">
        <v>63</v>
      </c>
      <c r="B32" s="64" t="s">
        <v>64</v>
      </c>
      <c r="C32" s="32" t="s">
        <v>52</v>
      </c>
      <c r="D32" s="16" t="s">
        <v>22</v>
      </c>
      <c r="E32" s="58" t="s">
        <v>26</v>
      </c>
      <c r="F32" s="17">
        <v>55366575.439999998</v>
      </c>
      <c r="G32" s="59">
        <v>0</v>
      </c>
      <c r="H32" s="59">
        <v>2722575.44</v>
      </c>
      <c r="I32" s="59">
        <v>52644000</v>
      </c>
      <c r="J32" s="59"/>
      <c r="K32" s="59"/>
      <c r="L32" s="59"/>
      <c r="M32" s="17">
        <f>SUM(G32:L32)</f>
        <v>55366575.439999998</v>
      </c>
      <c r="N32" s="69"/>
    </row>
    <row r="33" spans="1:14" s="1" customFormat="1" ht="27" customHeight="1">
      <c r="A33" s="34" t="s">
        <v>65</v>
      </c>
      <c r="B33" s="70" t="s">
        <v>28</v>
      </c>
      <c r="C33" s="32" t="s">
        <v>52</v>
      </c>
      <c r="D33" s="30" t="s">
        <v>22</v>
      </c>
      <c r="E33" s="71" t="s">
        <v>26</v>
      </c>
      <c r="F33" s="42">
        <v>400242</v>
      </c>
      <c r="G33" s="72">
        <v>39360</v>
      </c>
      <c r="H33" s="72">
        <v>156825</v>
      </c>
      <c r="I33" s="72">
        <v>204057</v>
      </c>
      <c r="J33" s="72"/>
      <c r="K33" s="72"/>
      <c r="L33" s="72"/>
      <c r="M33" s="36">
        <f>SUM(G33:L33)</f>
        <v>400242</v>
      </c>
      <c r="N33" s="69"/>
    </row>
    <row r="34" spans="1:14" s="1" customFormat="1" ht="35.25" customHeight="1" thickBot="1">
      <c r="A34" s="73" t="s">
        <v>66</v>
      </c>
      <c r="B34" s="74" t="s">
        <v>67</v>
      </c>
      <c r="C34" s="75"/>
      <c r="D34" s="76"/>
      <c r="E34" s="77"/>
      <c r="F34" s="78">
        <f t="shared" ref="F34:M34" si="8">SUM(F35,F88)</f>
        <v>1105860693.74</v>
      </c>
      <c r="G34" s="79">
        <f t="shared" si="8"/>
        <v>265139387.59000003</v>
      </c>
      <c r="H34" s="79">
        <f t="shared" si="8"/>
        <v>205690286.54000002</v>
      </c>
      <c r="I34" s="79">
        <f t="shared" si="8"/>
        <v>145382956</v>
      </c>
      <c r="J34" s="79">
        <f t="shared" si="8"/>
        <v>83237916.5</v>
      </c>
      <c r="K34" s="79">
        <f t="shared" si="8"/>
        <v>83764095.439999998</v>
      </c>
      <c r="L34" s="79">
        <f t="shared" si="8"/>
        <v>28193913.120000001</v>
      </c>
      <c r="M34" s="78">
        <f t="shared" si="8"/>
        <v>811408555.19000006</v>
      </c>
      <c r="N34" s="23"/>
    </row>
    <row r="35" spans="1:14" s="1" customFormat="1" ht="21.75" customHeight="1" thickBot="1">
      <c r="A35" s="80"/>
      <c r="B35" s="81" t="s">
        <v>13</v>
      </c>
      <c r="C35" s="82"/>
      <c r="D35" s="82"/>
      <c r="E35" s="83"/>
      <c r="F35" s="84">
        <f t="shared" ref="F35:M35" si="9">SUM(F36:F87)</f>
        <v>713144076.17000008</v>
      </c>
      <c r="G35" s="84">
        <f>SUM(G36:G87)</f>
        <v>116616256.88000001</v>
      </c>
      <c r="H35" s="84">
        <f t="shared" si="9"/>
        <v>118947845</v>
      </c>
      <c r="I35" s="84">
        <f t="shared" si="9"/>
        <v>119254645</v>
      </c>
      <c r="J35" s="84">
        <f t="shared" si="9"/>
        <v>83237916.5</v>
      </c>
      <c r="K35" s="84">
        <f t="shared" si="9"/>
        <v>83764095.439999998</v>
      </c>
      <c r="L35" s="84">
        <f t="shared" si="9"/>
        <v>28193913.120000001</v>
      </c>
      <c r="M35" s="84">
        <f t="shared" si="9"/>
        <v>550014671.94000006</v>
      </c>
      <c r="N35" s="85"/>
    </row>
    <row r="36" spans="1:14" s="1" customFormat="1" ht="21.75" customHeight="1">
      <c r="A36" s="30" t="s">
        <v>68</v>
      </c>
      <c r="B36" s="31" t="s">
        <v>69</v>
      </c>
      <c r="C36" s="32" t="s">
        <v>25</v>
      </c>
      <c r="D36" s="34" t="s">
        <v>44</v>
      </c>
      <c r="E36" s="34" t="s">
        <v>70</v>
      </c>
      <c r="F36" s="36">
        <v>420991</v>
      </c>
      <c r="G36" s="36">
        <v>16900</v>
      </c>
      <c r="H36" s="36">
        <v>16900</v>
      </c>
      <c r="I36" s="36">
        <v>16900</v>
      </c>
      <c r="J36" s="36">
        <v>70398</v>
      </c>
      <c r="K36" s="36">
        <v>70398</v>
      </c>
      <c r="L36" s="36"/>
      <c r="M36" s="36">
        <f>SUM(G36:L36)</f>
        <v>191496</v>
      </c>
      <c r="N36" s="23"/>
    </row>
    <row r="37" spans="1:14" s="1" customFormat="1" ht="29.25" customHeight="1">
      <c r="A37" s="30" t="s">
        <v>71</v>
      </c>
      <c r="B37" s="56" t="s">
        <v>72</v>
      </c>
      <c r="C37" s="32" t="s">
        <v>52</v>
      </c>
      <c r="D37" s="86">
        <v>2020</v>
      </c>
      <c r="E37" s="86">
        <v>2026</v>
      </c>
      <c r="F37" s="36">
        <f>254076801.41-6081020.64-2589705+2217817.1</f>
        <v>247623892.87</v>
      </c>
      <c r="G37" s="87">
        <f>42081020.64-6081020.64-2589705+2217817.1</f>
        <v>35628112.100000001</v>
      </c>
      <c r="H37" s="87">
        <v>36000000</v>
      </c>
      <c r="I37" s="87">
        <v>36000000</v>
      </c>
      <c r="J37" s="87"/>
      <c r="K37" s="87"/>
      <c r="L37" s="88"/>
      <c r="M37" s="17">
        <f>SUM(G37:L37)</f>
        <v>107628112.09999999</v>
      </c>
      <c r="N37" s="69"/>
    </row>
    <row r="38" spans="1:14" s="1" customFormat="1" ht="29.25" customHeight="1">
      <c r="A38" s="30" t="s">
        <v>73</v>
      </c>
      <c r="B38" s="56" t="s">
        <v>74</v>
      </c>
      <c r="C38" s="47" t="s">
        <v>52</v>
      </c>
      <c r="D38" s="86">
        <v>2023</v>
      </c>
      <c r="E38" s="86">
        <v>2028</v>
      </c>
      <c r="F38" s="36">
        <v>240600</v>
      </c>
      <c r="G38" s="87">
        <v>40100</v>
      </c>
      <c r="H38" s="87">
        <v>40100</v>
      </c>
      <c r="I38" s="87">
        <v>40100</v>
      </c>
      <c r="J38" s="87">
        <v>40100</v>
      </c>
      <c r="K38" s="87">
        <v>40100</v>
      </c>
      <c r="L38" s="87"/>
      <c r="M38" s="17">
        <f t="shared" ref="M38:M87" si="10">SUM(G38:L38)</f>
        <v>200500</v>
      </c>
      <c r="N38" s="69"/>
    </row>
    <row r="39" spans="1:14" s="1" customFormat="1" ht="29.25" customHeight="1">
      <c r="A39" s="30" t="s">
        <v>75</v>
      </c>
      <c r="B39" s="56" t="s">
        <v>76</v>
      </c>
      <c r="C39" s="32" t="s">
        <v>77</v>
      </c>
      <c r="D39" s="86">
        <v>2024</v>
      </c>
      <c r="E39" s="86">
        <v>2028</v>
      </c>
      <c r="F39" s="36">
        <f>10869242-5440000</f>
        <v>5429242</v>
      </c>
      <c r="G39" s="88">
        <v>2300000</v>
      </c>
      <c r="H39" s="87">
        <f>2240000-1360000</f>
        <v>880000</v>
      </c>
      <c r="I39" s="87">
        <f>2177000-1360000</f>
        <v>817000</v>
      </c>
      <c r="J39" s="87">
        <f>2110850-1360000</f>
        <v>750850</v>
      </c>
      <c r="K39" s="87">
        <f>2041392-1360000</f>
        <v>681392</v>
      </c>
      <c r="L39" s="87"/>
      <c r="M39" s="17">
        <f t="shared" si="10"/>
        <v>5429242</v>
      </c>
      <c r="N39" s="69"/>
    </row>
    <row r="40" spans="1:14" s="1" customFormat="1" ht="29.25" customHeight="1">
      <c r="A40" s="30" t="s">
        <v>78</v>
      </c>
      <c r="B40" s="56" t="s">
        <v>79</v>
      </c>
      <c r="C40" s="32" t="s">
        <v>77</v>
      </c>
      <c r="D40" s="86">
        <v>2024</v>
      </c>
      <c r="E40" s="86">
        <v>2024</v>
      </c>
      <c r="F40" s="36">
        <v>0</v>
      </c>
      <c r="G40" s="88">
        <v>0</v>
      </c>
      <c r="H40" s="87">
        <v>0</v>
      </c>
      <c r="I40" s="87">
        <v>0</v>
      </c>
      <c r="J40" s="87">
        <v>0</v>
      </c>
      <c r="K40" s="87">
        <v>0</v>
      </c>
      <c r="L40" s="87"/>
      <c r="M40" s="17">
        <f t="shared" si="10"/>
        <v>0</v>
      </c>
      <c r="N40" s="69"/>
    </row>
    <row r="41" spans="1:14" s="1" customFormat="1" ht="29.25" customHeight="1">
      <c r="A41" s="30" t="s">
        <v>80</v>
      </c>
      <c r="B41" s="56" t="s">
        <v>81</v>
      </c>
      <c r="C41" s="32" t="s">
        <v>77</v>
      </c>
      <c r="D41" s="86">
        <v>2024</v>
      </c>
      <c r="E41" s="86">
        <v>2028</v>
      </c>
      <c r="F41" s="36">
        <f>29500000-2000000+4000000</f>
        <v>31500000</v>
      </c>
      <c r="G41" s="88">
        <f>4400000+1500000</f>
        <v>5900000</v>
      </c>
      <c r="H41" s="87">
        <f>4400000+1500000-500000+1000000</f>
        <v>6400000</v>
      </c>
      <c r="I41" s="87">
        <f>4400000+1500000-500000+1000000</f>
        <v>6400000</v>
      </c>
      <c r="J41" s="87">
        <f>5900000-500000+1000000</f>
        <v>6400000</v>
      </c>
      <c r="K41" s="87">
        <f>5900000-500000+1000000</f>
        <v>6400000</v>
      </c>
      <c r="L41" s="87"/>
      <c r="M41" s="17">
        <f t="shared" si="10"/>
        <v>31500000</v>
      </c>
      <c r="N41" s="69"/>
    </row>
    <row r="42" spans="1:14" s="1" customFormat="1" ht="33" customHeight="1">
      <c r="A42" s="30" t="s">
        <v>82</v>
      </c>
      <c r="B42" s="56" t="s">
        <v>83</v>
      </c>
      <c r="C42" s="32" t="s">
        <v>52</v>
      </c>
      <c r="D42" s="34" t="s">
        <v>22</v>
      </c>
      <c r="E42" s="34" t="s">
        <v>70</v>
      </c>
      <c r="F42" s="36">
        <v>3374392</v>
      </c>
      <c r="G42" s="63">
        <v>610680</v>
      </c>
      <c r="H42" s="63">
        <v>641214</v>
      </c>
      <c r="I42" s="63">
        <v>673275</v>
      </c>
      <c r="J42" s="63">
        <v>706938</v>
      </c>
      <c r="K42" s="63">
        <v>742285</v>
      </c>
      <c r="L42" s="63"/>
      <c r="M42" s="17">
        <f t="shared" si="10"/>
        <v>3374392</v>
      </c>
      <c r="N42" s="69"/>
    </row>
    <row r="43" spans="1:14" s="1" customFormat="1" ht="31.5" customHeight="1">
      <c r="A43" s="30" t="s">
        <v>84</v>
      </c>
      <c r="B43" s="56" t="s">
        <v>85</v>
      </c>
      <c r="C43" s="32" t="s">
        <v>52</v>
      </c>
      <c r="D43" s="34" t="s">
        <v>47</v>
      </c>
      <c r="E43" s="34" t="s">
        <v>86</v>
      </c>
      <c r="F43" s="36">
        <f>5058000+18001590-122.15</f>
        <v>23059467.850000001</v>
      </c>
      <c r="G43" s="63">
        <f>1972650+1195350-122.15</f>
        <v>3167877.85</v>
      </c>
      <c r="H43" s="63">
        <v>3168000</v>
      </c>
      <c r="I43" s="63">
        <v>3326400</v>
      </c>
      <c r="J43" s="63">
        <v>3326400</v>
      </c>
      <c r="K43" s="63">
        <v>3492720</v>
      </c>
      <c r="L43" s="63">
        <v>3492720</v>
      </c>
      <c r="M43" s="17">
        <f t="shared" si="10"/>
        <v>19974117.850000001</v>
      </c>
      <c r="N43" s="69"/>
    </row>
    <row r="44" spans="1:14" s="1" customFormat="1" ht="31.5" customHeight="1">
      <c r="A44" s="30" t="s">
        <v>87</v>
      </c>
      <c r="B44" s="89" t="s">
        <v>88</v>
      </c>
      <c r="C44" s="47" t="s">
        <v>52</v>
      </c>
      <c r="D44" s="16" t="s">
        <v>22</v>
      </c>
      <c r="E44" s="16" t="s">
        <v>26</v>
      </c>
      <c r="F44" s="17">
        <v>945000</v>
      </c>
      <c r="G44" s="17">
        <v>315000</v>
      </c>
      <c r="H44" s="17">
        <v>315000</v>
      </c>
      <c r="I44" s="17">
        <v>315000</v>
      </c>
      <c r="J44" s="17"/>
      <c r="K44" s="17"/>
      <c r="L44" s="36"/>
      <c r="M44" s="17">
        <f t="shared" si="10"/>
        <v>945000</v>
      </c>
      <c r="N44" s="69"/>
    </row>
    <row r="45" spans="1:14" s="1" customFormat="1" ht="31.5" customHeight="1">
      <c r="A45" s="30" t="s">
        <v>89</v>
      </c>
      <c r="B45" s="56" t="s">
        <v>90</v>
      </c>
      <c r="C45" s="32" t="s">
        <v>52</v>
      </c>
      <c r="D45" s="34" t="s">
        <v>53</v>
      </c>
      <c r="E45" s="34" t="s">
        <v>86</v>
      </c>
      <c r="F45" s="36">
        <f>8064293+55174039</f>
        <v>63238332</v>
      </c>
      <c r="G45" s="63">
        <f>4067880+5180000</f>
        <v>9247880</v>
      </c>
      <c r="H45" s="63">
        <v>9802753</v>
      </c>
      <c r="I45" s="63">
        <v>9802753</v>
      </c>
      <c r="J45" s="63">
        <v>9802753</v>
      </c>
      <c r="K45" s="63">
        <v>10292890</v>
      </c>
      <c r="L45" s="63">
        <v>10292890</v>
      </c>
      <c r="M45" s="17">
        <f t="shared" si="10"/>
        <v>59241919</v>
      </c>
      <c r="N45" s="69"/>
    </row>
    <row r="46" spans="1:14" s="1" customFormat="1" ht="31.5" customHeight="1">
      <c r="A46" s="30" t="s">
        <v>91</v>
      </c>
      <c r="B46" s="46" t="s">
        <v>92</v>
      </c>
      <c r="C46" s="47" t="s">
        <v>52</v>
      </c>
      <c r="D46" s="34" t="s">
        <v>53</v>
      </c>
      <c r="E46" s="34" t="s">
        <v>86</v>
      </c>
      <c r="F46" s="36">
        <v>54679716</v>
      </c>
      <c r="G46" s="63">
        <v>7034400</v>
      </c>
      <c r="H46" s="63">
        <v>8654400</v>
      </c>
      <c r="I46" s="63">
        <v>8654400</v>
      </c>
      <c r="J46" s="63">
        <v>9087120</v>
      </c>
      <c r="K46" s="63">
        <v>9087120</v>
      </c>
      <c r="L46" s="63">
        <v>9541476</v>
      </c>
      <c r="M46" s="17">
        <f t="shared" si="10"/>
        <v>52058916</v>
      </c>
      <c r="N46" s="69"/>
    </row>
    <row r="47" spans="1:14" s="1" customFormat="1" ht="30" customHeight="1">
      <c r="A47" s="34" t="s">
        <v>93</v>
      </c>
      <c r="B47" s="56" t="s">
        <v>94</v>
      </c>
      <c r="C47" s="32" t="s">
        <v>52</v>
      </c>
      <c r="D47" s="34" t="s">
        <v>47</v>
      </c>
      <c r="E47" s="34" t="s">
        <v>86</v>
      </c>
      <c r="F47" s="36">
        <f>3436824+17917127</f>
        <v>21353951</v>
      </c>
      <c r="G47" s="63">
        <f>1369849+1739700</f>
        <v>3109549</v>
      </c>
      <c r="H47" s="63">
        <v>3109549</v>
      </c>
      <c r="I47" s="63">
        <v>3109549</v>
      </c>
      <c r="J47" s="63">
        <v>3265026</v>
      </c>
      <c r="K47" s="63">
        <v>3265026</v>
      </c>
      <c r="L47" s="63">
        <v>3428277</v>
      </c>
      <c r="M47" s="17">
        <f t="shared" si="10"/>
        <v>19286976</v>
      </c>
      <c r="N47" s="69"/>
    </row>
    <row r="48" spans="1:14" s="1" customFormat="1" ht="30" customHeight="1">
      <c r="A48" s="40" t="s">
        <v>95</v>
      </c>
      <c r="B48" s="56" t="s">
        <v>96</v>
      </c>
      <c r="C48" s="32" t="s">
        <v>52</v>
      </c>
      <c r="D48" s="34" t="s">
        <v>22</v>
      </c>
      <c r="E48" s="34" t="s">
        <v>70</v>
      </c>
      <c r="F48" s="36">
        <v>183000000</v>
      </c>
      <c r="G48" s="36">
        <v>35500000</v>
      </c>
      <c r="H48" s="36">
        <v>36000000</v>
      </c>
      <c r="I48" s="36">
        <v>36500000</v>
      </c>
      <c r="J48" s="36">
        <v>37000000</v>
      </c>
      <c r="K48" s="36">
        <v>38000000</v>
      </c>
      <c r="L48" s="36"/>
      <c r="M48" s="17">
        <f t="shared" si="10"/>
        <v>183000000</v>
      </c>
      <c r="N48" s="69"/>
    </row>
    <row r="49" spans="1:14" s="1" customFormat="1" ht="30" customHeight="1">
      <c r="A49" s="30" t="s">
        <v>97</v>
      </c>
      <c r="B49" s="56" t="s">
        <v>98</v>
      </c>
      <c r="C49" s="32" t="s">
        <v>52</v>
      </c>
      <c r="D49" s="34" t="s">
        <v>22</v>
      </c>
      <c r="E49" s="34" t="s">
        <v>70</v>
      </c>
      <c r="F49" s="36">
        <v>1630000</v>
      </c>
      <c r="G49" s="63">
        <v>330000</v>
      </c>
      <c r="H49" s="63">
        <v>310000</v>
      </c>
      <c r="I49" s="63">
        <v>320000</v>
      </c>
      <c r="J49" s="63">
        <v>330000</v>
      </c>
      <c r="K49" s="63">
        <v>340000</v>
      </c>
      <c r="L49" s="63"/>
      <c r="M49" s="36">
        <f t="shared" si="10"/>
        <v>1630000</v>
      </c>
      <c r="N49" s="69"/>
    </row>
    <row r="50" spans="1:14" s="1" customFormat="1" ht="30" customHeight="1">
      <c r="A50" s="30" t="s">
        <v>99</v>
      </c>
      <c r="B50" s="56" t="s">
        <v>100</v>
      </c>
      <c r="C50" s="32" t="s">
        <v>52</v>
      </c>
      <c r="D50" s="34" t="s">
        <v>101</v>
      </c>
      <c r="E50" s="34" t="s">
        <v>70</v>
      </c>
      <c r="F50" s="36">
        <f>15279000+29900+21000</f>
        <v>15329900</v>
      </c>
      <c r="G50" s="63">
        <f>1750000+29900</f>
        <v>1779900</v>
      </c>
      <c r="H50" s="63">
        <f>1779000+21000</f>
        <v>1800000</v>
      </c>
      <c r="I50" s="63">
        <v>1800000</v>
      </c>
      <c r="J50" s="63">
        <v>1800000</v>
      </c>
      <c r="K50" s="63">
        <v>1800000</v>
      </c>
      <c r="L50" s="63"/>
      <c r="M50" s="17">
        <f t="shared" si="10"/>
        <v>8979900</v>
      </c>
      <c r="N50" s="69"/>
    </row>
    <row r="51" spans="1:14" s="1" customFormat="1" ht="30" customHeight="1">
      <c r="A51" s="30" t="s">
        <v>102</v>
      </c>
      <c r="B51" s="56" t="s">
        <v>103</v>
      </c>
      <c r="C51" s="32" t="s">
        <v>52</v>
      </c>
      <c r="D51" s="34" t="s">
        <v>22</v>
      </c>
      <c r="E51" s="34" t="s">
        <v>29</v>
      </c>
      <c r="F51" s="36">
        <v>628890</v>
      </c>
      <c r="G51" s="63">
        <v>349050</v>
      </c>
      <c r="H51" s="63">
        <v>279840</v>
      </c>
      <c r="I51" s="63"/>
      <c r="J51" s="63"/>
      <c r="K51" s="63"/>
      <c r="L51" s="63"/>
      <c r="M51" s="17">
        <f t="shared" si="10"/>
        <v>628890</v>
      </c>
      <c r="N51" s="69"/>
    </row>
    <row r="52" spans="1:14" s="1" customFormat="1" ht="30" customHeight="1">
      <c r="A52" s="30" t="s">
        <v>104</v>
      </c>
      <c r="B52" s="46" t="s">
        <v>105</v>
      </c>
      <c r="C52" s="47" t="s">
        <v>52</v>
      </c>
      <c r="D52" s="34" t="s">
        <v>22</v>
      </c>
      <c r="E52" s="34" t="s">
        <v>26</v>
      </c>
      <c r="F52" s="17">
        <v>750000</v>
      </c>
      <c r="G52" s="63">
        <v>250000</v>
      </c>
      <c r="H52" s="63">
        <v>250000</v>
      </c>
      <c r="I52" s="63">
        <v>250000</v>
      </c>
      <c r="J52" s="63"/>
      <c r="K52" s="63"/>
      <c r="L52" s="63"/>
      <c r="M52" s="17">
        <f t="shared" si="10"/>
        <v>750000</v>
      </c>
      <c r="N52" s="69"/>
    </row>
    <row r="53" spans="1:14" s="1" customFormat="1" ht="30" customHeight="1">
      <c r="A53" s="30" t="s">
        <v>106</v>
      </c>
      <c r="B53" s="56" t="s">
        <v>107</v>
      </c>
      <c r="C53" s="47" t="s">
        <v>52</v>
      </c>
      <c r="D53" s="34" t="s">
        <v>53</v>
      </c>
      <c r="E53" s="34" t="s">
        <v>22</v>
      </c>
      <c r="F53" s="36">
        <v>2000000</v>
      </c>
      <c r="G53" s="63">
        <v>1000000</v>
      </c>
      <c r="H53" s="63"/>
      <c r="I53" s="63"/>
      <c r="J53" s="63"/>
      <c r="K53" s="63"/>
      <c r="L53" s="63"/>
      <c r="M53" s="17">
        <f t="shared" si="10"/>
        <v>1000000</v>
      </c>
      <c r="N53" s="90"/>
    </row>
    <row r="54" spans="1:14" s="1" customFormat="1" ht="30" customHeight="1">
      <c r="A54" s="30" t="s">
        <v>108</v>
      </c>
      <c r="B54" s="56" t="s">
        <v>109</v>
      </c>
      <c r="C54" s="47" t="s">
        <v>52</v>
      </c>
      <c r="D54" s="34" t="s">
        <v>22</v>
      </c>
      <c r="E54" s="34" t="s">
        <v>29</v>
      </c>
      <c r="F54" s="36">
        <v>360000</v>
      </c>
      <c r="G54" s="63">
        <v>160000</v>
      </c>
      <c r="H54" s="63">
        <v>200000</v>
      </c>
      <c r="I54" s="63"/>
      <c r="J54" s="63"/>
      <c r="K54" s="63"/>
      <c r="L54" s="63"/>
      <c r="M54" s="17">
        <f t="shared" si="10"/>
        <v>360000</v>
      </c>
      <c r="N54" s="90"/>
    </row>
    <row r="55" spans="1:14" s="1" customFormat="1" ht="38.25" customHeight="1">
      <c r="A55" s="30" t="s">
        <v>110</v>
      </c>
      <c r="B55" s="56" t="s">
        <v>111</v>
      </c>
      <c r="C55" s="32" t="s">
        <v>52</v>
      </c>
      <c r="D55" s="34" t="s">
        <v>22</v>
      </c>
      <c r="E55" s="34" t="s">
        <v>86</v>
      </c>
      <c r="F55" s="36">
        <v>942000</v>
      </c>
      <c r="G55" s="63">
        <v>131000</v>
      </c>
      <c r="H55" s="63">
        <v>131000</v>
      </c>
      <c r="I55" s="63">
        <v>170000</v>
      </c>
      <c r="J55" s="63">
        <v>170000</v>
      </c>
      <c r="K55" s="63">
        <v>170000</v>
      </c>
      <c r="L55" s="63">
        <v>170000</v>
      </c>
      <c r="M55" s="36">
        <f t="shared" si="10"/>
        <v>942000</v>
      </c>
      <c r="N55" s="69"/>
    </row>
    <row r="56" spans="1:14" s="1" customFormat="1" ht="33" customHeight="1">
      <c r="A56" s="30" t="s">
        <v>112</v>
      </c>
      <c r="B56" s="56" t="s">
        <v>113</v>
      </c>
      <c r="C56" s="32" t="s">
        <v>52</v>
      </c>
      <c r="D56" s="34" t="s">
        <v>22</v>
      </c>
      <c r="E56" s="34" t="s">
        <v>86</v>
      </c>
      <c r="F56" s="36">
        <v>462000</v>
      </c>
      <c r="G56" s="63">
        <v>77000</v>
      </c>
      <c r="H56" s="63">
        <v>77000</v>
      </c>
      <c r="I56" s="63">
        <v>77000</v>
      </c>
      <c r="J56" s="63">
        <v>77000</v>
      </c>
      <c r="K56" s="63">
        <v>77000</v>
      </c>
      <c r="L56" s="63">
        <v>77000</v>
      </c>
      <c r="M56" s="17">
        <f t="shared" si="10"/>
        <v>462000</v>
      </c>
      <c r="N56" s="69"/>
    </row>
    <row r="57" spans="1:14" s="1" customFormat="1" ht="27" customHeight="1">
      <c r="A57" s="30" t="s">
        <v>114</v>
      </c>
      <c r="B57" s="91" t="s">
        <v>115</v>
      </c>
      <c r="C57" s="47" t="s">
        <v>77</v>
      </c>
      <c r="D57" s="34" t="s">
        <v>22</v>
      </c>
      <c r="E57" s="34" t="s">
        <v>70</v>
      </c>
      <c r="F57" s="17">
        <f>24555000+2000000+1440000</f>
        <v>27995000</v>
      </c>
      <c r="G57" s="17">
        <f>3600000+350000</f>
        <v>3950000</v>
      </c>
      <c r="H57" s="63">
        <f>3600000+1550000+500000+360000</f>
        <v>6010000</v>
      </c>
      <c r="I57" s="63">
        <f>3600000+1550000+500000+360000</f>
        <v>6010000</v>
      </c>
      <c r="J57" s="63">
        <f>3600000+1550000+500000+360000</f>
        <v>6010000</v>
      </c>
      <c r="K57" s="63">
        <f>3600000+1555000+500000+360000</f>
        <v>6015000</v>
      </c>
      <c r="L57" s="63"/>
      <c r="M57" s="17">
        <f t="shared" si="10"/>
        <v>27995000</v>
      </c>
      <c r="N57" s="92"/>
    </row>
    <row r="58" spans="1:14" s="1" customFormat="1" ht="27" customHeight="1">
      <c r="A58" s="30" t="s">
        <v>116</v>
      </c>
      <c r="B58" s="93" t="s">
        <v>117</v>
      </c>
      <c r="C58" s="47" t="s">
        <v>118</v>
      </c>
      <c r="D58" s="34" t="s">
        <v>22</v>
      </c>
      <c r="E58" s="34" t="s">
        <v>119</v>
      </c>
      <c r="F58" s="36">
        <v>4000000</v>
      </c>
      <c r="G58" s="63">
        <v>1000000</v>
      </c>
      <c r="H58" s="63">
        <v>1000000</v>
      </c>
      <c r="I58" s="63">
        <v>1000000</v>
      </c>
      <c r="J58" s="63">
        <v>1000000</v>
      </c>
      <c r="K58" s="63"/>
      <c r="L58" s="63"/>
      <c r="M58" s="17">
        <f t="shared" si="10"/>
        <v>4000000</v>
      </c>
      <c r="N58" s="94"/>
    </row>
    <row r="59" spans="1:14" s="1" customFormat="1" ht="30" customHeight="1">
      <c r="A59" s="30" t="s">
        <v>120</v>
      </c>
      <c r="B59" s="89" t="s">
        <v>121</v>
      </c>
      <c r="C59" s="47" t="s">
        <v>118</v>
      </c>
      <c r="D59" s="16" t="s">
        <v>22</v>
      </c>
      <c r="E59" s="16" t="s">
        <v>119</v>
      </c>
      <c r="F59" s="17">
        <v>760000</v>
      </c>
      <c r="G59" s="59">
        <v>190000</v>
      </c>
      <c r="H59" s="59">
        <v>190000</v>
      </c>
      <c r="I59" s="59">
        <v>190000</v>
      </c>
      <c r="J59" s="59">
        <v>190000</v>
      </c>
      <c r="K59" s="59"/>
      <c r="L59" s="63"/>
      <c r="M59" s="17">
        <f t="shared" si="10"/>
        <v>760000</v>
      </c>
      <c r="N59" s="94"/>
    </row>
    <row r="60" spans="1:14" s="1" customFormat="1" ht="30" customHeight="1">
      <c r="A60" s="30" t="s">
        <v>122</v>
      </c>
      <c r="B60" s="95" t="s">
        <v>123</v>
      </c>
      <c r="C60" s="32" t="s">
        <v>77</v>
      </c>
      <c r="D60" s="34" t="s">
        <v>22</v>
      </c>
      <c r="E60" s="34" t="s">
        <v>70</v>
      </c>
      <c r="F60" s="36">
        <v>2920000</v>
      </c>
      <c r="G60" s="63">
        <v>520000</v>
      </c>
      <c r="H60" s="63">
        <v>600000</v>
      </c>
      <c r="I60" s="63">
        <v>600000</v>
      </c>
      <c r="J60" s="63">
        <v>600000</v>
      </c>
      <c r="K60" s="63">
        <v>600000</v>
      </c>
      <c r="L60" s="63"/>
      <c r="M60" s="17">
        <f t="shared" si="10"/>
        <v>2920000</v>
      </c>
      <c r="N60" s="94"/>
    </row>
    <row r="61" spans="1:14" s="1" customFormat="1" ht="30" customHeight="1">
      <c r="A61" s="30" t="s">
        <v>124</v>
      </c>
      <c r="B61" s="95" t="s">
        <v>125</v>
      </c>
      <c r="C61" s="32" t="s">
        <v>77</v>
      </c>
      <c r="D61" s="34" t="s">
        <v>22</v>
      </c>
      <c r="E61" s="34" t="s">
        <v>70</v>
      </c>
      <c r="F61" s="36">
        <v>6630758</v>
      </c>
      <c r="G61" s="63">
        <v>1200000</v>
      </c>
      <c r="H61" s="63">
        <v>1260000</v>
      </c>
      <c r="I61" s="63">
        <v>1323000</v>
      </c>
      <c r="J61" s="63">
        <v>1389150</v>
      </c>
      <c r="K61" s="63">
        <v>1458608</v>
      </c>
      <c r="L61" s="63"/>
      <c r="M61" s="17">
        <f t="shared" si="10"/>
        <v>6630758</v>
      </c>
      <c r="N61" s="94"/>
    </row>
    <row r="62" spans="1:14" s="1" customFormat="1" ht="29.25" customHeight="1">
      <c r="A62" s="30" t="s">
        <v>126</v>
      </c>
      <c r="B62" s="89" t="s">
        <v>127</v>
      </c>
      <c r="C62" s="47" t="s">
        <v>52</v>
      </c>
      <c r="D62" s="16" t="s">
        <v>21</v>
      </c>
      <c r="E62" s="16" t="s">
        <v>22</v>
      </c>
      <c r="F62" s="17">
        <v>78734.759999999995</v>
      </c>
      <c r="G62" s="17">
        <v>23014.76</v>
      </c>
      <c r="H62" s="17"/>
      <c r="I62" s="17"/>
      <c r="J62" s="17"/>
      <c r="K62" s="17"/>
      <c r="L62" s="36"/>
      <c r="M62" s="17">
        <f t="shared" si="10"/>
        <v>23014.76</v>
      </c>
      <c r="N62" s="69"/>
    </row>
    <row r="63" spans="1:14" s="1" customFormat="1" ht="29.25" customHeight="1">
      <c r="A63" s="30" t="s">
        <v>128</v>
      </c>
      <c r="B63" s="95" t="s">
        <v>129</v>
      </c>
      <c r="C63" s="32" t="s">
        <v>52</v>
      </c>
      <c r="D63" s="34" t="s">
        <v>53</v>
      </c>
      <c r="E63" s="34" t="s">
        <v>29</v>
      </c>
      <c r="F63" s="36">
        <v>84700</v>
      </c>
      <c r="G63" s="36">
        <v>24700</v>
      </c>
      <c r="H63" s="36">
        <v>30000</v>
      </c>
      <c r="I63" s="36"/>
      <c r="J63" s="36"/>
      <c r="K63" s="36"/>
      <c r="L63" s="36"/>
      <c r="M63" s="17">
        <f t="shared" si="10"/>
        <v>54700</v>
      </c>
      <c r="N63" s="92"/>
    </row>
    <row r="64" spans="1:14" s="1" customFormat="1" ht="29.25" customHeight="1">
      <c r="A64" s="30" t="s">
        <v>130</v>
      </c>
      <c r="B64" s="95" t="s">
        <v>131</v>
      </c>
      <c r="C64" s="32" t="s">
        <v>132</v>
      </c>
      <c r="D64" s="34" t="s">
        <v>47</v>
      </c>
      <c r="E64" s="34" t="s">
        <v>26</v>
      </c>
      <c r="F64" s="36">
        <v>1864104</v>
      </c>
      <c r="G64" s="36">
        <v>387860</v>
      </c>
      <c r="H64" s="36">
        <v>387860</v>
      </c>
      <c r="I64" s="36">
        <v>387860</v>
      </c>
      <c r="J64" s="36"/>
      <c r="K64" s="36"/>
      <c r="L64" s="36"/>
      <c r="M64" s="17">
        <f t="shared" si="10"/>
        <v>1163580</v>
      </c>
      <c r="N64" s="69"/>
    </row>
    <row r="65" spans="1:14" s="1" customFormat="1" ht="29.25" customHeight="1">
      <c r="A65" s="30" t="s">
        <v>133</v>
      </c>
      <c r="B65" s="95" t="s">
        <v>134</v>
      </c>
      <c r="C65" s="32" t="s">
        <v>135</v>
      </c>
      <c r="D65" s="34" t="s">
        <v>53</v>
      </c>
      <c r="E65" s="34" t="s">
        <v>22</v>
      </c>
      <c r="F65" s="36">
        <v>756000</v>
      </c>
      <c r="G65" s="36">
        <v>568192.12</v>
      </c>
      <c r="H65" s="36"/>
      <c r="I65" s="36"/>
      <c r="J65" s="36"/>
      <c r="K65" s="36"/>
      <c r="L65" s="36"/>
      <c r="M65" s="17">
        <f t="shared" si="10"/>
        <v>568192.12</v>
      </c>
      <c r="N65" s="69"/>
    </row>
    <row r="66" spans="1:14" s="1" customFormat="1" ht="29.25" customHeight="1">
      <c r="A66" s="30" t="s">
        <v>136</v>
      </c>
      <c r="B66" s="95" t="s">
        <v>137</v>
      </c>
      <c r="C66" s="32" t="s">
        <v>138</v>
      </c>
      <c r="D66" s="34" t="s">
        <v>53</v>
      </c>
      <c r="E66" s="34" t="s">
        <v>22</v>
      </c>
      <c r="F66" s="36">
        <v>160000</v>
      </c>
      <c r="G66" s="36">
        <v>100500</v>
      </c>
      <c r="H66" s="36"/>
      <c r="I66" s="36"/>
      <c r="J66" s="36"/>
      <c r="K66" s="36"/>
      <c r="L66" s="36"/>
      <c r="M66" s="17">
        <f t="shared" si="10"/>
        <v>100500</v>
      </c>
      <c r="N66" s="69"/>
    </row>
    <row r="67" spans="1:14" s="1" customFormat="1" ht="29.25" customHeight="1">
      <c r="A67" s="34" t="s">
        <v>139</v>
      </c>
      <c r="B67" s="95" t="s">
        <v>140</v>
      </c>
      <c r="C67" s="32" t="s">
        <v>141</v>
      </c>
      <c r="D67" s="34" t="s">
        <v>44</v>
      </c>
      <c r="E67" s="34" t="s">
        <v>70</v>
      </c>
      <c r="F67" s="36">
        <v>363158</v>
      </c>
      <c r="G67" s="36">
        <v>15000</v>
      </c>
      <c r="H67" s="36">
        <v>50000</v>
      </c>
      <c r="I67" s="36">
        <v>50000</v>
      </c>
      <c r="J67" s="36">
        <v>50000</v>
      </c>
      <c r="K67" s="36">
        <v>50000</v>
      </c>
      <c r="L67" s="36"/>
      <c r="M67" s="17">
        <f t="shared" si="10"/>
        <v>215000</v>
      </c>
      <c r="N67" s="69"/>
    </row>
    <row r="68" spans="1:14" s="1" customFormat="1" ht="29.25" customHeight="1">
      <c r="A68" s="30" t="s">
        <v>142</v>
      </c>
      <c r="B68" s="95" t="s">
        <v>143</v>
      </c>
      <c r="C68" s="32" t="s">
        <v>144</v>
      </c>
      <c r="D68" s="34" t="s">
        <v>101</v>
      </c>
      <c r="E68" s="34" t="s">
        <v>22</v>
      </c>
      <c r="F68" s="36">
        <v>453488.36</v>
      </c>
      <c r="G68" s="36">
        <v>92484</v>
      </c>
      <c r="H68" s="36"/>
      <c r="I68" s="36"/>
      <c r="J68" s="36"/>
      <c r="K68" s="36"/>
      <c r="L68" s="36"/>
      <c r="M68" s="17">
        <f t="shared" si="10"/>
        <v>92484</v>
      </c>
      <c r="N68" s="69"/>
    </row>
    <row r="69" spans="1:14" s="1" customFormat="1" ht="29.25" customHeight="1">
      <c r="A69" s="30" t="s">
        <v>145</v>
      </c>
      <c r="B69" s="95" t="s">
        <v>146</v>
      </c>
      <c r="C69" s="32" t="s">
        <v>52</v>
      </c>
      <c r="D69" s="34" t="s">
        <v>53</v>
      </c>
      <c r="E69" s="34" t="s">
        <v>26</v>
      </c>
      <c r="F69" s="36">
        <v>1291457</v>
      </c>
      <c r="G69" s="36">
        <v>463612</v>
      </c>
      <c r="H69" s="36">
        <v>509092</v>
      </c>
      <c r="I69" s="36">
        <v>178021</v>
      </c>
      <c r="J69" s="36"/>
      <c r="K69" s="36"/>
      <c r="L69" s="36"/>
      <c r="M69" s="36">
        <f t="shared" si="10"/>
        <v>1150725</v>
      </c>
      <c r="N69" s="94"/>
    </row>
    <row r="70" spans="1:14" s="1" customFormat="1" ht="29.25" customHeight="1">
      <c r="A70" s="30" t="s">
        <v>147</v>
      </c>
      <c r="B70" s="95" t="s">
        <v>148</v>
      </c>
      <c r="C70" s="32" t="s">
        <v>52</v>
      </c>
      <c r="D70" s="34" t="s">
        <v>22</v>
      </c>
      <c r="E70" s="34" t="s">
        <v>86</v>
      </c>
      <c r="F70" s="36">
        <v>744043.11</v>
      </c>
      <c r="G70" s="36">
        <v>30916.05</v>
      </c>
      <c r="H70" s="36">
        <v>125000</v>
      </c>
      <c r="I70" s="36">
        <v>133250</v>
      </c>
      <c r="J70" s="36">
        <v>142044.5</v>
      </c>
      <c r="K70" s="36">
        <v>151419.44</v>
      </c>
      <c r="L70" s="36">
        <v>161413.12</v>
      </c>
      <c r="M70" s="36">
        <f t="shared" si="10"/>
        <v>744043.11</v>
      </c>
      <c r="N70" s="94"/>
    </row>
    <row r="71" spans="1:14" s="1" customFormat="1" ht="29.25" customHeight="1">
      <c r="A71" s="30" t="s">
        <v>149</v>
      </c>
      <c r="B71" s="95" t="s">
        <v>150</v>
      </c>
      <c r="C71" s="32" t="s">
        <v>37</v>
      </c>
      <c r="D71" s="34" t="s">
        <v>21</v>
      </c>
      <c r="E71" s="34" t="s">
        <v>22</v>
      </c>
      <c r="F71" s="36">
        <v>1518258.22</v>
      </c>
      <c r="G71" s="36">
        <v>487390</v>
      </c>
      <c r="H71" s="36"/>
      <c r="I71" s="36"/>
      <c r="J71" s="36"/>
      <c r="K71" s="36"/>
      <c r="L71" s="36"/>
      <c r="M71" s="17">
        <f t="shared" si="10"/>
        <v>487390</v>
      </c>
      <c r="N71" s="69"/>
    </row>
    <row r="72" spans="1:14" s="1" customFormat="1" ht="29.25" customHeight="1">
      <c r="A72" s="30" t="s">
        <v>151</v>
      </c>
      <c r="B72" s="96" t="s">
        <v>152</v>
      </c>
      <c r="C72" s="97" t="s">
        <v>153</v>
      </c>
      <c r="D72" s="98">
        <v>2024</v>
      </c>
      <c r="E72" s="98">
        <v>2026</v>
      </c>
      <c r="F72" s="99">
        <v>60000</v>
      </c>
      <c r="G72" s="100">
        <v>20000</v>
      </c>
      <c r="H72" s="100">
        <v>20000</v>
      </c>
      <c r="I72" s="100">
        <v>20000</v>
      </c>
      <c r="J72" s="101"/>
      <c r="K72" s="101"/>
      <c r="L72" s="101"/>
      <c r="M72" s="17">
        <f t="shared" si="10"/>
        <v>60000</v>
      </c>
      <c r="N72" s="14"/>
    </row>
    <row r="73" spans="1:14" s="1" customFormat="1" ht="29.25" customHeight="1">
      <c r="A73" s="30" t="s">
        <v>154</v>
      </c>
      <c r="B73" s="96" t="s">
        <v>155</v>
      </c>
      <c r="C73" s="97" t="s">
        <v>153</v>
      </c>
      <c r="D73" s="98">
        <v>2024</v>
      </c>
      <c r="E73" s="98">
        <v>2026</v>
      </c>
      <c r="F73" s="99">
        <v>150000</v>
      </c>
      <c r="G73" s="100">
        <v>50000</v>
      </c>
      <c r="H73" s="100">
        <v>50000</v>
      </c>
      <c r="I73" s="100">
        <v>50000</v>
      </c>
      <c r="J73" s="101"/>
      <c r="K73" s="101"/>
      <c r="L73" s="101"/>
      <c r="M73" s="17">
        <f t="shared" si="10"/>
        <v>150000</v>
      </c>
      <c r="N73" s="14"/>
    </row>
    <row r="74" spans="1:14" s="1" customFormat="1" ht="29.25" customHeight="1">
      <c r="A74" s="30" t="s">
        <v>156</v>
      </c>
      <c r="B74" s="96" t="s">
        <v>157</v>
      </c>
      <c r="C74" s="97" t="s">
        <v>153</v>
      </c>
      <c r="D74" s="98">
        <v>2024</v>
      </c>
      <c r="E74" s="98">
        <v>2029</v>
      </c>
      <c r="F74" s="99">
        <f>1300000-20000</f>
        <v>1280000</v>
      </c>
      <c r="G74" s="100">
        <f>185714-20000</f>
        <v>165714</v>
      </c>
      <c r="H74" s="100">
        <v>185714</v>
      </c>
      <c r="I74" s="100">
        <v>185714</v>
      </c>
      <c r="J74" s="100">
        <v>185714</v>
      </c>
      <c r="K74" s="100">
        <v>185714</v>
      </c>
      <c r="L74" s="100">
        <v>185714</v>
      </c>
      <c r="M74" s="17">
        <f t="shared" si="10"/>
        <v>1094284</v>
      </c>
      <c r="N74" s="14"/>
    </row>
    <row r="75" spans="1:14" s="1" customFormat="1" ht="29.25" customHeight="1">
      <c r="A75" s="30" t="s">
        <v>158</v>
      </c>
      <c r="B75" s="96" t="s">
        <v>159</v>
      </c>
      <c r="C75" s="97" t="s">
        <v>153</v>
      </c>
      <c r="D75" s="98">
        <v>2024</v>
      </c>
      <c r="E75" s="98">
        <v>2029</v>
      </c>
      <c r="F75" s="99">
        <v>50000</v>
      </c>
      <c r="G75" s="100">
        <v>7142</v>
      </c>
      <c r="H75" s="100">
        <v>7142</v>
      </c>
      <c r="I75" s="100">
        <v>7142</v>
      </c>
      <c r="J75" s="101">
        <v>7142</v>
      </c>
      <c r="K75" s="101">
        <v>7142</v>
      </c>
      <c r="L75" s="101">
        <v>7142</v>
      </c>
      <c r="M75" s="17">
        <f t="shared" si="10"/>
        <v>42852</v>
      </c>
      <c r="N75" s="14"/>
    </row>
    <row r="76" spans="1:14" s="1" customFormat="1" ht="29.25" customHeight="1">
      <c r="A76" s="30" t="s">
        <v>160</v>
      </c>
      <c r="B76" s="102" t="s">
        <v>161</v>
      </c>
      <c r="C76" s="103" t="s">
        <v>153</v>
      </c>
      <c r="D76" s="98">
        <v>2024</v>
      </c>
      <c r="E76" s="98">
        <v>2026</v>
      </c>
      <c r="F76" s="104">
        <v>20000</v>
      </c>
      <c r="G76" s="100">
        <v>0</v>
      </c>
      <c r="H76" s="100">
        <v>10000</v>
      </c>
      <c r="I76" s="100">
        <v>10000</v>
      </c>
      <c r="J76" s="101">
        <v>0</v>
      </c>
      <c r="K76" s="101">
        <v>0</v>
      </c>
      <c r="L76" s="101">
        <v>0</v>
      </c>
      <c r="M76" s="36">
        <f t="shared" si="10"/>
        <v>20000</v>
      </c>
      <c r="N76" s="14"/>
    </row>
    <row r="77" spans="1:14" s="1" customFormat="1" ht="29.25" customHeight="1">
      <c r="A77" s="30" t="s">
        <v>162</v>
      </c>
      <c r="B77" s="96" t="s">
        <v>163</v>
      </c>
      <c r="C77" s="97" t="s">
        <v>164</v>
      </c>
      <c r="D77" s="98">
        <v>2024</v>
      </c>
      <c r="E77" s="98">
        <v>2029</v>
      </c>
      <c r="F77" s="99">
        <v>250000</v>
      </c>
      <c r="G77" s="100">
        <v>0</v>
      </c>
      <c r="H77" s="100">
        <v>41665</v>
      </c>
      <c r="I77" s="100">
        <v>41665</v>
      </c>
      <c r="J77" s="100">
        <v>41665</v>
      </c>
      <c r="K77" s="100">
        <v>41665</v>
      </c>
      <c r="L77" s="100">
        <v>41665</v>
      </c>
      <c r="M77" s="17">
        <f t="shared" si="10"/>
        <v>208325</v>
      </c>
      <c r="N77" s="14"/>
    </row>
    <row r="78" spans="1:14" s="1" customFormat="1" ht="29.25" customHeight="1">
      <c r="A78" s="30" t="s">
        <v>165</v>
      </c>
      <c r="B78" s="96" t="s">
        <v>166</v>
      </c>
      <c r="C78" s="97" t="s">
        <v>167</v>
      </c>
      <c r="D78" s="98">
        <v>2024</v>
      </c>
      <c r="E78" s="98">
        <v>2029</v>
      </c>
      <c r="F78" s="99">
        <v>2000000</v>
      </c>
      <c r="G78" s="100">
        <v>0</v>
      </c>
      <c r="H78" s="100">
        <v>0</v>
      </c>
      <c r="I78" s="100">
        <v>400000</v>
      </c>
      <c r="J78" s="101">
        <v>400000</v>
      </c>
      <c r="K78" s="101">
        <v>400000</v>
      </c>
      <c r="L78" s="101">
        <v>400000</v>
      </c>
      <c r="M78" s="17">
        <f t="shared" si="10"/>
        <v>1600000</v>
      </c>
      <c r="N78" s="14"/>
    </row>
    <row r="79" spans="1:14" s="1" customFormat="1" ht="29.25" customHeight="1">
      <c r="A79" s="30" t="s">
        <v>168</v>
      </c>
      <c r="B79" s="96" t="s">
        <v>169</v>
      </c>
      <c r="C79" s="97" t="s">
        <v>170</v>
      </c>
      <c r="D79" s="98">
        <v>2024</v>
      </c>
      <c r="E79" s="98">
        <v>2029</v>
      </c>
      <c r="F79" s="99">
        <f>500000-5000</f>
        <v>495000</v>
      </c>
      <c r="G79" s="100">
        <f>71428-5000</f>
        <v>66428</v>
      </c>
      <c r="H79" s="100">
        <f>71428</f>
        <v>71428</v>
      </c>
      <c r="I79" s="100">
        <v>71428</v>
      </c>
      <c r="J79" s="101">
        <v>71428</v>
      </c>
      <c r="K79" s="101">
        <v>71428</v>
      </c>
      <c r="L79" s="101">
        <v>71428</v>
      </c>
      <c r="M79" s="17">
        <f t="shared" si="10"/>
        <v>423568</v>
      </c>
      <c r="N79" s="14"/>
    </row>
    <row r="80" spans="1:14" s="1" customFormat="1" ht="29.25" customHeight="1">
      <c r="A80" s="30" t="s">
        <v>171</v>
      </c>
      <c r="B80" s="96" t="s">
        <v>172</v>
      </c>
      <c r="C80" s="97" t="s">
        <v>153</v>
      </c>
      <c r="D80" s="98">
        <v>2024</v>
      </c>
      <c r="E80" s="98">
        <v>2029</v>
      </c>
      <c r="F80" s="99">
        <v>150000</v>
      </c>
      <c r="G80" s="100">
        <v>21428</v>
      </c>
      <c r="H80" s="100">
        <v>21428</v>
      </c>
      <c r="I80" s="100">
        <v>21428</v>
      </c>
      <c r="J80" s="100">
        <v>21428</v>
      </c>
      <c r="K80" s="100">
        <v>21428</v>
      </c>
      <c r="L80" s="100">
        <v>21428</v>
      </c>
      <c r="M80" s="17">
        <f t="shared" si="10"/>
        <v>128568</v>
      </c>
      <c r="N80" s="14"/>
    </row>
    <row r="81" spans="1:14" s="1" customFormat="1" ht="29.25" customHeight="1">
      <c r="A81" s="30" t="s">
        <v>173</v>
      </c>
      <c r="B81" s="96" t="s">
        <v>174</v>
      </c>
      <c r="C81" s="97" t="s">
        <v>175</v>
      </c>
      <c r="D81" s="98">
        <v>2024</v>
      </c>
      <c r="E81" s="98">
        <v>2029</v>
      </c>
      <c r="F81" s="99">
        <v>210000</v>
      </c>
      <c r="G81" s="99">
        <v>30000</v>
      </c>
      <c r="H81" s="99">
        <v>30000</v>
      </c>
      <c r="I81" s="99">
        <v>30000</v>
      </c>
      <c r="J81" s="99">
        <v>30000</v>
      </c>
      <c r="K81" s="99">
        <v>30000</v>
      </c>
      <c r="L81" s="99">
        <v>30000</v>
      </c>
      <c r="M81" s="17">
        <f t="shared" si="10"/>
        <v>180000</v>
      </c>
      <c r="N81" s="14"/>
    </row>
    <row r="82" spans="1:14" s="1" customFormat="1" ht="29.25" customHeight="1">
      <c r="A82" s="30" t="s">
        <v>176</v>
      </c>
      <c r="B82" s="96" t="s">
        <v>177</v>
      </c>
      <c r="C82" s="97" t="s">
        <v>178</v>
      </c>
      <c r="D82" s="98">
        <v>2024</v>
      </c>
      <c r="E82" s="98">
        <v>2029</v>
      </c>
      <c r="F82" s="99">
        <v>21000</v>
      </c>
      <c r="G82" s="100">
        <v>3000</v>
      </c>
      <c r="H82" s="100">
        <v>3000</v>
      </c>
      <c r="I82" s="100">
        <v>3000</v>
      </c>
      <c r="J82" s="100">
        <v>3000</v>
      </c>
      <c r="K82" s="100">
        <v>3000</v>
      </c>
      <c r="L82" s="100">
        <v>3000</v>
      </c>
      <c r="M82" s="17">
        <f t="shared" si="10"/>
        <v>18000</v>
      </c>
      <c r="N82" s="14"/>
    </row>
    <row r="83" spans="1:14" s="1" customFormat="1" ht="29.25" customHeight="1">
      <c r="A83" s="30" t="s">
        <v>179</v>
      </c>
      <c r="B83" s="96" t="s">
        <v>180</v>
      </c>
      <c r="C83" s="97" t="s">
        <v>178</v>
      </c>
      <c r="D83" s="98">
        <v>2024</v>
      </c>
      <c r="E83" s="98">
        <v>2029</v>
      </c>
      <c r="F83" s="99">
        <v>50000</v>
      </c>
      <c r="G83" s="100">
        <v>7142</v>
      </c>
      <c r="H83" s="100">
        <v>7142</v>
      </c>
      <c r="I83" s="100">
        <v>7142</v>
      </c>
      <c r="J83" s="100">
        <v>7142</v>
      </c>
      <c r="K83" s="100">
        <v>7142</v>
      </c>
      <c r="L83" s="100">
        <v>7142</v>
      </c>
      <c r="M83" s="17">
        <f t="shared" si="10"/>
        <v>42852</v>
      </c>
      <c r="N83" s="14"/>
    </row>
    <row r="84" spans="1:14" s="1" customFormat="1" ht="29.25" customHeight="1">
      <c r="A84" s="30" t="s">
        <v>181</v>
      </c>
      <c r="B84" s="96" t="s">
        <v>182</v>
      </c>
      <c r="C84" s="97" t="s">
        <v>183</v>
      </c>
      <c r="D84" s="98">
        <v>2024</v>
      </c>
      <c r="E84" s="98">
        <v>2029</v>
      </c>
      <c r="F84" s="99">
        <v>50000</v>
      </c>
      <c r="G84" s="100">
        <v>0</v>
      </c>
      <c r="H84" s="100">
        <v>8333</v>
      </c>
      <c r="I84" s="100">
        <v>8333</v>
      </c>
      <c r="J84" s="100">
        <v>8333</v>
      </c>
      <c r="K84" s="101">
        <v>8333</v>
      </c>
      <c r="L84" s="101">
        <v>8333</v>
      </c>
      <c r="M84" s="17">
        <f t="shared" si="10"/>
        <v>41665</v>
      </c>
      <c r="N84" s="14"/>
    </row>
    <row r="85" spans="1:14" s="1" customFormat="1" ht="29.25" customHeight="1">
      <c r="A85" s="30" t="s">
        <v>184</v>
      </c>
      <c r="B85" s="96" t="s">
        <v>185</v>
      </c>
      <c r="C85" s="97" t="s">
        <v>186</v>
      </c>
      <c r="D85" s="98">
        <v>2024</v>
      </c>
      <c r="E85" s="98">
        <v>2029</v>
      </c>
      <c r="F85" s="99">
        <v>1500000</v>
      </c>
      <c r="G85" s="100">
        <v>214285</v>
      </c>
      <c r="H85" s="100">
        <v>214285</v>
      </c>
      <c r="I85" s="100">
        <v>214285</v>
      </c>
      <c r="J85" s="100">
        <v>214285</v>
      </c>
      <c r="K85" s="100">
        <v>214285</v>
      </c>
      <c r="L85" s="100">
        <v>214285</v>
      </c>
      <c r="M85" s="17">
        <f t="shared" si="10"/>
        <v>1285710</v>
      </c>
      <c r="N85" s="14"/>
    </row>
    <row r="86" spans="1:14" s="1" customFormat="1" ht="29.25" customHeight="1">
      <c r="A86" s="30" t="s">
        <v>187</v>
      </c>
      <c r="B86" s="96" t="s">
        <v>188</v>
      </c>
      <c r="C86" s="97" t="s">
        <v>189</v>
      </c>
      <c r="D86" s="98">
        <v>2024</v>
      </c>
      <c r="E86" s="98">
        <v>2029</v>
      </c>
      <c r="F86" s="99">
        <v>60000</v>
      </c>
      <c r="G86" s="100">
        <v>0</v>
      </c>
      <c r="H86" s="100">
        <v>10000</v>
      </c>
      <c r="I86" s="100">
        <v>10000</v>
      </c>
      <c r="J86" s="100">
        <v>10000</v>
      </c>
      <c r="K86" s="100">
        <v>10000</v>
      </c>
      <c r="L86" s="100">
        <v>10000</v>
      </c>
      <c r="M86" s="17">
        <f t="shared" si="10"/>
        <v>50000</v>
      </c>
      <c r="N86" s="14"/>
    </row>
    <row r="87" spans="1:14" s="1" customFormat="1" ht="29.25" customHeight="1">
      <c r="A87" s="34" t="s">
        <v>190</v>
      </c>
      <c r="B87" s="96" t="s">
        <v>191</v>
      </c>
      <c r="C87" s="97" t="s">
        <v>192</v>
      </c>
      <c r="D87" s="98">
        <v>2024</v>
      </c>
      <c r="E87" s="98">
        <v>2029</v>
      </c>
      <c r="F87" s="99">
        <v>210000</v>
      </c>
      <c r="G87" s="100">
        <v>30000</v>
      </c>
      <c r="H87" s="100">
        <v>30000</v>
      </c>
      <c r="I87" s="100">
        <v>30000</v>
      </c>
      <c r="J87" s="100">
        <v>30000</v>
      </c>
      <c r="K87" s="100">
        <v>30000</v>
      </c>
      <c r="L87" s="100">
        <v>30000</v>
      </c>
      <c r="M87" s="17">
        <f t="shared" si="10"/>
        <v>180000</v>
      </c>
      <c r="N87" s="14"/>
    </row>
    <row r="88" spans="1:14" s="1" customFormat="1" ht="26.25" customHeight="1" thickBot="1">
      <c r="A88" s="105"/>
      <c r="B88" s="106" t="s">
        <v>15</v>
      </c>
      <c r="C88" s="107"/>
      <c r="D88" s="107"/>
      <c r="E88" s="108"/>
      <c r="F88" s="109">
        <f t="shared" ref="F88:M88" si="11">SUM(F89:F135)</f>
        <v>392716617.56999993</v>
      </c>
      <c r="G88" s="109">
        <f t="shared" si="11"/>
        <v>148523130.71000001</v>
      </c>
      <c r="H88" s="109">
        <f>SUM(H89:H135)</f>
        <v>86742441.540000007</v>
      </c>
      <c r="I88" s="109">
        <f t="shared" si="11"/>
        <v>26128311</v>
      </c>
      <c r="J88" s="109">
        <f t="shared" si="11"/>
        <v>0</v>
      </c>
      <c r="K88" s="109">
        <f t="shared" si="11"/>
        <v>0</v>
      </c>
      <c r="L88" s="109">
        <f t="shared" si="11"/>
        <v>0</v>
      </c>
      <c r="M88" s="109">
        <f t="shared" si="11"/>
        <v>261393883.25</v>
      </c>
      <c r="N88" s="23"/>
    </row>
    <row r="89" spans="1:14" s="1" customFormat="1" ht="26.25" customHeight="1">
      <c r="A89" s="110" t="s">
        <v>193</v>
      </c>
      <c r="B89" s="56" t="s">
        <v>194</v>
      </c>
      <c r="C89" s="32" t="s">
        <v>52</v>
      </c>
      <c r="D89" s="66">
        <v>2022</v>
      </c>
      <c r="E89" s="66">
        <v>2025</v>
      </c>
      <c r="F89" s="36">
        <f>312000+10000+5000+35000+3000+1500</f>
        <v>366500</v>
      </c>
      <c r="G89" s="63">
        <f>1000+10000+5000+35000+3000</f>
        <v>54000</v>
      </c>
      <c r="H89" s="63">
        <v>1500</v>
      </c>
      <c r="I89" s="63"/>
      <c r="J89" s="63"/>
      <c r="K89" s="63"/>
      <c r="L89" s="63"/>
      <c r="M89" s="36">
        <f>SUM(G89:L89)</f>
        <v>55500</v>
      </c>
      <c r="N89" s="14"/>
    </row>
    <row r="90" spans="1:14" s="1" customFormat="1" ht="35.25" customHeight="1">
      <c r="A90" s="30" t="s">
        <v>195</v>
      </c>
      <c r="B90" s="111" t="s">
        <v>196</v>
      </c>
      <c r="C90" s="47" t="s">
        <v>52</v>
      </c>
      <c r="D90" s="8">
        <v>2020</v>
      </c>
      <c r="E90" s="8">
        <v>2025</v>
      </c>
      <c r="F90" s="17">
        <v>6300000</v>
      </c>
      <c r="G90" s="59">
        <f>1500000+500000</f>
        <v>2000000</v>
      </c>
      <c r="H90" s="59">
        <f>4000000</f>
        <v>4000000</v>
      </c>
      <c r="I90" s="59"/>
      <c r="J90" s="59"/>
      <c r="K90" s="59"/>
      <c r="L90" s="59"/>
      <c r="M90" s="17">
        <f t="shared" ref="M90:M108" si="12">SUM(G90:I90)</f>
        <v>6000000</v>
      </c>
      <c r="N90" s="112"/>
    </row>
    <row r="91" spans="1:14" s="1" customFormat="1" ht="35.25" customHeight="1">
      <c r="A91" s="30" t="s">
        <v>197</v>
      </c>
      <c r="B91" s="113" t="s">
        <v>198</v>
      </c>
      <c r="C91" s="32" t="s">
        <v>52</v>
      </c>
      <c r="D91" s="66">
        <v>2022</v>
      </c>
      <c r="E91" s="66">
        <v>2024</v>
      </c>
      <c r="F91" s="36">
        <v>301000</v>
      </c>
      <c r="G91" s="63">
        <v>200000</v>
      </c>
      <c r="H91" s="63"/>
      <c r="I91" s="63"/>
      <c r="J91" s="63"/>
      <c r="K91" s="63"/>
      <c r="L91" s="63"/>
      <c r="M91" s="36">
        <f t="shared" si="12"/>
        <v>200000</v>
      </c>
      <c r="N91" s="14"/>
    </row>
    <row r="92" spans="1:14" s="1" customFormat="1" ht="35.25" customHeight="1">
      <c r="A92" s="30" t="s">
        <v>199</v>
      </c>
      <c r="B92" s="113" t="s">
        <v>200</v>
      </c>
      <c r="C92" s="32" t="s">
        <v>52</v>
      </c>
      <c r="D92" s="66">
        <v>2017</v>
      </c>
      <c r="E92" s="66">
        <v>2024</v>
      </c>
      <c r="F92" s="36">
        <v>43344312.68</v>
      </c>
      <c r="G92" s="63">
        <f>13234379.5+50000+1827744.91</f>
        <v>15112124.41</v>
      </c>
      <c r="H92" s="63"/>
      <c r="I92" s="63"/>
      <c r="J92" s="63"/>
      <c r="K92" s="63"/>
      <c r="L92" s="63"/>
      <c r="M92" s="36">
        <f t="shared" si="12"/>
        <v>15112124.41</v>
      </c>
      <c r="N92" s="112"/>
    </row>
    <row r="93" spans="1:14" s="1" customFormat="1" ht="35.25" customHeight="1">
      <c r="A93" s="30" t="s">
        <v>201</v>
      </c>
      <c r="B93" s="111" t="s">
        <v>202</v>
      </c>
      <c r="C93" s="47" t="s">
        <v>52</v>
      </c>
      <c r="D93" s="8">
        <v>2022</v>
      </c>
      <c r="E93" s="8">
        <v>2024</v>
      </c>
      <c r="F93" s="17">
        <f>13027461.83+6000000-10781527.44-6000000</f>
        <v>2245934.3899999987</v>
      </c>
      <c r="G93" s="59">
        <f>12000000-10781527.44</f>
        <v>1218472.5600000005</v>
      </c>
      <c r="H93" s="59"/>
      <c r="I93" s="59"/>
      <c r="J93" s="59"/>
      <c r="K93" s="59"/>
      <c r="L93" s="59"/>
      <c r="M93" s="17">
        <f t="shared" si="12"/>
        <v>1218472.5600000005</v>
      </c>
      <c r="N93" s="14"/>
    </row>
    <row r="94" spans="1:14" s="1" customFormat="1" ht="35.25" customHeight="1">
      <c r="A94" s="30" t="s">
        <v>203</v>
      </c>
      <c r="B94" s="113" t="s">
        <v>204</v>
      </c>
      <c r="C94" s="47" t="s">
        <v>52</v>
      </c>
      <c r="D94" s="66">
        <v>2021</v>
      </c>
      <c r="E94" s="66">
        <v>2024</v>
      </c>
      <c r="F94" s="36">
        <v>1023214.6</v>
      </c>
      <c r="G94" s="63">
        <v>1000000</v>
      </c>
      <c r="H94" s="63"/>
      <c r="I94" s="63"/>
      <c r="J94" s="63"/>
      <c r="K94" s="63"/>
      <c r="L94" s="63"/>
      <c r="M94" s="17">
        <f t="shared" si="12"/>
        <v>1000000</v>
      </c>
      <c r="N94" s="14"/>
    </row>
    <row r="95" spans="1:14" s="1" customFormat="1" ht="35.25" customHeight="1">
      <c r="A95" s="30" t="s">
        <v>205</v>
      </c>
      <c r="B95" s="113" t="s">
        <v>206</v>
      </c>
      <c r="C95" s="32" t="s">
        <v>25</v>
      </c>
      <c r="D95" s="66">
        <v>2020</v>
      </c>
      <c r="E95" s="66">
        <v>2024</v>
      </c>
      <c r="F95" s="36">
        <v>1733653.85</v>
      </c>
      <c r="G95" s="36">
        <f>50000+710000</f>
        <v>760000</v>
      </c>
      <c r="H95" s="36"/>
      <c r="I95" s="36"/>
      <c r="J95" s="36"/>
      <c r="K95" s="36"/>
      <c r="L95" s="36"/>
      <c r="M95" s="36">
        <f t="shared" si="12"/>
        <v>760000</v>
      </c>
      <c r="N95" s="14"/>
    </row>
    <row r="96" spans="1:14" s="1" customFormat="1" ht="35.25" customHeight="1">
      <c r="A96" s="30" t="s">
        <v>207</v>
      </c>
      <c r="B96" s="113" t="s">
        <v>208</v>
      </c>
      <c r="C96" s="32" t="s">
        <v>25</v>
      </c>
      <c r="D96" s="66">
        <v>2023</v>
      </c>
      <c r="E96" s="66">
        <v>2024</v>
      </c>
      <c r="F96" s="36">
        <f>2330627.02+1350000+50000</f>
        <v>3730627.02</v>
      </c>
      <c r="G96" s="63">
        <f>30000+1350000+50000</f>
        <v>1430000</v>
      </c>
      <c r="H96" s="63"/>
      <c r="I96" s="63"/>
      <c r="J96" s="63"/>
      <c r="K96" s="63"/>
      <c r="L96" s="63"/>
      <c r="M96" s="36">
        <f t="shared" si="12"/>
        <v>1430000</v>
      </c>
      <c r="N96" s="14"/>
    </row>
    <row r="97" spans="1:14" s="1" customFormat="1" ht="36" customHeight="1">
      <c r="A97" s="30" t="s">
        <v>209</v>
      </c>
      <c r="B97" s="56" t="s">
        <v>210</v>
      </c>
      <c r="C97" s="32" t="s">
        <v>52</v>
      </c>
      <c r="D97" s="34" t="s">
        <v>44</v>
      </c>
      <c r="E97" s="34" t="s">
        <v>29</v>
      </c>
      <c r="F97" s="36">
        <f>12715386+2000000-100000-2385000</f>
        <v>12230386</v>
      </c>
      <c r="G97" s="63">
        <f>12000000-100000-2385000</f>
        <v>9515000</v>
      </c>
      <c r="H97" s="63">
        <v>2000000</v>
      </c>
      <c r="I97" s="63"/>
      <c r="J97" s="63"/>
      <c r="K97" s="63"/>
      <c r="L97" s="63"/>
      <c r="M97" s="36">
        <f t="shared" si="12"/>
        <v>11515000</v>
      </c>
      <c r="N97" s="60"/>
    </row>
    <row r="98" spans="1:14" s="1" customFormat="1" ht="36" customHeight="1">
      <c r="A98" s="30" t="s">
        <v>211</v>
      </c>
      <c r="B98" s="56" t="s">
        <v>212</v>
      </c>
      <c r="C98" s="32" t="s">
        <v>52</v>
      </c>
      <c r="D98" s="34" t="s">
        <v>47</v>
      </c>
      <c r="E98" s="34" t="s">
        <v>22</v>
      </c>
      <c r="F98" s="36">
        <v>65000</v>
      </c>
      <c r="G98" s="63">
        <v>50000</v>
      </c>
      <c r="H98" s="63"/>
      <c r="I98" s="63"/>
      <c r="J98" s="63"/>
      <c r="K98" s="63"/>
      <c r="L98" s="63"/>
      <c r="M98" s="36">
        <f t="shared" si="12"/>
        <v>50000</v>
      </c>
      <c r="N98" s="15"/>
    </row>
    <row r="99" spans="1:14" s="1" customFormat="1" ht="29.25" customHeight="1">
      <c r="A99" s="30" t="s">
        <v>213</v>
      </c>
      <c r="B99" s="56" t="s">
        <v>214</v>
      </c>
      <c r="C99" s="32" t="s">
        <v>52</v>
      </c>
      <c r="D99" s="34" t="s">
        <v>53</v>
      </c>
      <c r="E99" s="34" t="s">
        <v>22</v>
      </c>
      <c r="F99" s="36">
        <f>27988250+50000-3647553.8</f>
        <v>24390696.199999999</v>
      </c>
      <c r="G99" s="63">
        <f>1000000+11100195.19+50000-3647553.8</f>
        <v>8502641.3900000006</v>
      </c>
      <c r="H99" s="63"/>
      <c r="I99" s="63"/>
      <c r="J99" s="63"/>
      <c r="K99" s="63"/>
      <c r="L99" s="63"/>
      <c r="M99" s="36">
        <f t="shared" si="12"/>
        <v>8502641.3900000006</v>
      </c>
      <c r="N99" s="15"/>
    </row>
    <row r="100" spans="1:14" s="1" customFormat="1" ht="29.25" customHeight="1">
      <c r="A100" s="30" t="s">
        <v>215</v>
      </c>
      <c r="B100" s="56" t="s">
        <v>216</v>
      </c>
      <c r="C100" s="32" t="s">
        <v>52</v>
      </c>
      <c r="D100" s="34" t="s">
        <v>53</v>
      </c>
      <c r="E100" s="34" t="s">
        <v>22</v>
      </c>
      <c r="F100" s="36">
        <f>513000-479000</f>
        <v>34000</v>
      </c>
      <c r="G100" s="63">
        <f>500000-479000</f>
        <v>21000</v>
      </c>
      <c r="H100" s="63"/>
      <c r="I100" s="63"/>
      <c r="J100" s="63"/>
      <c r="K100" s="63"/>
      <c r="L100" s="63"/>
      <c r="M100" s="36">
        <f t="shared" si="12"/>
        <v>21000</v>
      </c>
      <c r="N100" s="15"/>
    </row>
    <row r="101" spans="1:14" s="1" customFormat="1" ht="29.25" customHeight="1">
      <c r="A101" s="30" t="s">
        <v>217</v>
      </c>
      <c r="B101" s="56" t="s">
        <v>218</v>
      </c>
      <c r="C101" s="32" t="s">
        <v>52</v>
      </c>
      <c r="D101" s="34" t="s">
        <v>47</v>
      </c>
      <c r="E101" s="34" t="s">
        <v>29</v>
      </c>
      <c r="F101" s="36">
        <f>4137760+200000+1000000+69381.8</f>
        <v>5407141.7999999998</v>
      </c>
      <c r="G101" s="63">
        <f>4000000+950000</f>
        <v>4950000</v>
      </c>
      <c r="H101" s="63">
        <f>200000+50000+69381.8</f>
        <v>319381.8</v>
      </c>
      <c r="I101" s="63"/>
      <c r="J101" s="63"/>
      <c r="K101" s="63"/>
      <c r="L101" s="63"/>
      <c r="M101" s="36">
        <f t="shared" si="12"/>
        <v>5269381.8</v>
      </c>
      <c r="N101" s="60"/>
    </row>
    <row r="102" spans="1:14" s="1" customFormat="1" ht="27.75" customHeight="1">
      <c r="A102" s="30" t="s">
        <v>219</v>
      </c>
      <c r="B102" s="56" t="s">
        <v>220</v>
      </c>
      <c r="C102" s="32" t="s">
        <v>221</v>
      </c>
      <c r="D102" s="34" t="s">
        <v>44</v>
      </c>
      <c r="E102" s="34" t="s">
        <v>22</v>
      </c>
      <c r="F102" s="36">
        <f>35255756.89-400000-50000</f>
        <v>34805756.890000001</v>
      </c>
      <c r="G102" s="63">
        <f>19167355-400000-50000</f>
        <v>18717355</v>
      </c>
      <c r="H102" s="63"/>
      <c r="I102" s="63"/>
      <c r="J102" s="63"/>
      <c r="K102" s="63"/>
      <c r="L102" s="63"/>
      <c r="M102" s="36">
        <f t="shared" si="12"/>
        <v>18717355</v>
      </c>
      <c r="N102" s="14"/>
    </row>
    <row r="103" spans="1:14" s="1" customFormat="1" ht="27.75" customHeight="1">
      <c r="A103" s="30" t="s">
        <v>222</v>
      </c>
      <c r="B103" s="56" t="s">
        <v>223</v>
      </c>
      <c r="C103" s="32" t="s">
        <v>52</v>
      </c>
      <c r="D103" s="34" t="s">
        <v>101</v>
      </c>
      <c r="E103" s="34" t="s">
        <v>22</v>
      </c>
      <c r="F103" s="36">
        <f>3000000-659852.05-106000-500000</f>
        <v>1734147.9500000002</v>
      </c>
      <c r="G103" s="63">
        <f>1500000-659852.05-106000-500000</f>
        <v>234147.94999999995</v>
      </c>
      <c r="H103" s="63"/>
      <c r="I103" s="63"/>
      <c r="J103" s="63"/>
      <c r="K103" s="63"/>
      <c r="L103" s="63"/>
      <c r="M103" s="36">
        <f t="shared" si="12"/>
        <v>234147.94999999995</v>
      </c>
      <c r="N103" s="15"/>
    </row>
    <row r="104" spans="1:14" s="1" customFormat="1" ht="27.75" customHeight="1">
      <c r="A104" s="30" t="s">
        <v>224</v>
      </c>
      <c r="B104" s="56" t="s">
        <v>225</v>
      </c>
      <c r="C104" s="32" t="s">
        <v>52</v>
      </c>
      <c r="D104" s="34" t="s">
        <v>47</v>
      </c>
      <c r="E104" s="34" t="s">
        <v>29</v>
      </c>
      <c r="F104" s="36">
        <f>1570000+1000000</f>
        <v>2570000</v>
      </c>
      <c r="G104" s="63">
        <v>1100000</v>
      </c>
      <c r="H104" s="63">
        <v>1000000</v>
      </c>
      <c r="I104" s="63"/>
      <c r="J104" s="63"/>
      <c r="K104" s="63"/>
      <c r="L104" s="63"/>
      <c r="M104" s="36">
        <f t="shared" si="12"/>
        <v>2100000</v>
      </c>
      <c r="N104" s="15"/>
    </row>
    <row r="105" spans="1:14" s="1" customFormat="1" ht="27.75" customHeight="1">
      <c r="A105" s="30" t="s">
        <v>226</v>
      </c>
      <c r="B105" s="46" t="s">
        <v>227</v>
      </c>
      <c r="C105" s="47" t="s">
        <v>52</v>
      </c>
      <c r="D105" s="34" t="s">
        <v>21</v>
      </c>
      <c r="E105" s="34" t="s">
        <v>29</v>
      </c>
      <c r="F105" s="17">
        <f>34904144.99+8926040</f>
        <v>43830184.990000002</v>
      </c>
      <c r="G105" s="63">
        <f>25904144.99</f>
        <v>25904144.989999998</v>
      </c>
      <c r="H105" s="63">
        <v>8926040</v>
      </c>
      <c r="I105" s="63"/>
      <c r="J105" s="63"/>
      <c r="K105" s="63"/>
      <c r="L105" s="63"/>
      <c r="M105" s="36">
        <f t="shared" si="12"/>
        <v>34830184.989999995</v>
      </c>
      <c r="N105" s="60"/>
    </row>
    <row r="106" spans="1:14" s="1" customFormat="1" ht="27.75" customHeight="1">
      <c r="A106" s="34" t="s">
        <v>228</v>
      </c>
      <c r="B106" s="46" t="s">
        <v>229</v>
      </c>
      <c r="C106" s="47" t="s">
        <v>52</v>
      </c>
      <c r="D106" s="34" t="s">
        <v>22</v>
      </c>
      <c r="E106" s="34" t="s">
        <v>29</v>
      </c>
      <c r="F106" s="17">
        <f>4700000-2441006-1500000-550000</f>
        <v>208994</v>
      </c>
      <c r="G106" s="63">
        <v>200000</v>
      </c>
      <c r="H106" s="63">
        <f>4500000-2441006-1500000-550000</f>
        <v>8994</v>
      </c>
      <c r="I106" s="63"/>
      <c r="J106" s="63"/>
      <c r="K106" s="63"/>
      <c r="L106" s="63"/>
      <c r="M106" s="36">
        <f t="shared" si="12"/>
        <v>208994</v>
      </c>
      <c r="N106" s="60"/>
    </row>
    <row r="107" spans="1:14" s="1" customFormat="1" ht="27.75" customHeight="1">
      <c r="A107" s="30" t="s">
        <v>230</v>
      </c>
      <c r="B107" s="46" t="s">
        <v>231</v>
      </c>
      <c r="C107" s="47" t="s">
        <v>52</v>
      </c>
      <c r="D107" s="34" t="s">
        <v>53</v>
      </c>
      <c r="E107" s="34" t="s">
        <v>22</v>
      </c>
      <c r="F107" s="17">
        <f>260000-2585.75</f>
        <v>257414.25</v>
      </c>
      <c r="G107" s="63">
        <f>200000-2585.75</f>
        <v>197414.25</v>
      </c>
      <c r="H107" s="63"/>
      <c r="I107" s="63"/>
      <c r="J107" s="63"/>
      <c r="K107" s="63"/>
      <c r="L107" s="63"/>
      <c r="M107" s="36">
        <f t="shared" si="12"/>
        <v>197414.25</v>
      </c>
      <c r="N107" s="60"/>
    </row>
    <row r="108" spans="1:14" s="1" customFormat="1" ht="27.75" customHeight="1">
      <c r="A108" s="30" t="s">
        <v>232</v>
      </c>
      <c r="B108" s="46" t="s">
        <v>233</v>
      </c>
      <c r="C108" s="47" t="s">
        <v>52</v>
      </c>
      <c r="D108" s="34" t="s">
        <v>44</v>
      </c>
      <c r="E108" s="34" t="s">
        <v>29</v>
      </c>
      <c r="F108" s="17">
        <f>25797738-2507500-1509264.81-2400000+11342484.12-11932500+12469802.25</f>
        <v>31260759.560000002</v>
      </c>
      <c r="G108" s="63">
        <f>20000000-2507500-1509264.81-2400000+11342484.12-11932500</f>
        <v>12993219.309999999</v>
      </c>
      <c r="H108" s="63">
        <v>12469802.25</v>
      </c>
      <c r="I108" s="63"/>
      <c r="J108" s="63"/>
      <c r="K108" s="63"/>
      <c r="L108" s="63"/>
      <c r="M108" s="36">
        <f t="shared" si="12"/>
        <v>25463021.559999999</v>
      </c>
      <c r="N108" s="60"/>
    </row>
    <row r="109" spans="1:14" s="1" customFormat="1" ht="27.75" customHeight="1">
      <c r="A109" s="30" t="s">
        <v>234</v>
      </c>
      <c r="B109" s="46" t="s">
        <v>235</v>
      </c>
      <c r="C109" s="47" t="s">
        <v>52</v>
      </c>
      <c r="D109" s="34" t="s">
        <v>21</v>
      </c>
      <c r="E109" s="34" t="s">
        <v>29</v>
      </c>
      <c r="F109" s="17">
        <f>6079360+1100000.01</f>
        <v>7179360.0099999998</v>
      </c>
      <c r="G109" s="63">
        <f>6000000-2268807.64</f>
        <v>3731192.36</v>
      </c>
      <c r="H109" s="63">
        <v>3368807.65</v>
      </c>
      <c r="I109" s="63"/>
      <c r="J109" s="63"/>
      <c r="K109" s="63"/>
      <c r="L109" s="63"/>
      <c r="M109" s="36">
        <f t="shared" ref="M109:M135" si="13">SUM(G109:I109)</f>
        <v>7100000.0099999998</v>
      </c>
      <c r="N109" s="60"/>
    </row>
    <row r="110" spans="1:14" s="1" customFormat="1" ht="27.75" customHeight="1">
      <c r="A110" s="30" t="s">
        <v>236</v>
      </c>
      <c r="B110" s="56" t="s">
        <v>237</v>
      </c>
      <c r="C110" s="32" t="s">
        <v>52</v>
      </c>
      <c r="D110" s="34" t="s">
        <v>21</v>
      </c>
      <c r="E110" s="34" t="s">
        <v>29</v>
      </c>
      <c r="F110" s="36">
        <f>7209360-500000-500000</f>
        <v>6209360</v>
      </c>
      <c r="G110" s="63">
        <f>3500000-500000</f>
        <v>3000000</v>
      </c>
      <c r="H110" s="63">
        <f>3500000-500000</f>
        <v>3000000</v>
      </c>
      <c r="I110" s="63"/>
      <c r="J110" s="63"/>
      <c r="K110" s="63"/>
      <c r="L110" s="63"/>
      <c r="M110" s="36">
        <f t="shared" si="13"/>
        <v>6000000</v>
      </c>
      <c r="N110" s="60"/>
    </row>
    <row r="111" spans="1:14" s="1" customFormat="1" ht="27.75" customHeight="1">
      <c r="A111" s="30" t="s">
        <v>238</v>
      </c>
      <c r="B111" s="56" t="s">
        <v>239</v>
      </c>
      <c r="C111" s="32" t="s">
        <v>52</v>
      </c>
      <c r="D111" s="34" t="s">
        <v>53</v>
      </c>
      <c r="E111" s="34" t="s">
        <v>22</v>
      </c>
      <c r="F111" s="36">
        <v>720000</v>
      </c>
      <c r="G111" s="63">
        <v>200000</v>
      </c>
      <c r="H111" s="63"/>
      <c r="I111" s="63"/>
      <c r="J111" s="63"/>
      <c r="K111" s="63"/>
      <c r="L111" s="63"/>
      <c r="M111" s="36">
        <f t="shared" si="13"/>
        <v>200000</v>
      </c>
      <c r="N111" s="15"/>
    </row>
    <row r="112" spans="1:14" s="1" customFormat="1" ht="27.75" customHeight="1">
      <c r="A112" s="30" t="s">
        <v>240</v>
      </c>
      <c r="B112" s="56" t="s">
        <v>241</v>
      </c>
      <c r="C112" s="32" t="s">
        <v>52</v>
      </c>
      <c r="D112" s="34" t="s">
        <v>101</v>
      </c>
      <c r="E112" s="34" t="s">
        <v>26</v>
      </c>
      <c r="F112" s="36">
        <f>31836825.77-595956.68+4500000+5300000</f>
        <v>41040869.090000004</v>
      </c>
      <c r="G112" s="63">
        <f>15800000-15000000-595956.68</f>
        <v>204043.31999999995</v>
      </c>
      <c r="H112" s="63">
        <f>15800000+4500000</f>
        <v>20300000</v>
      </c>
      <c r="I112" s="63">
        <f>20300000</f>
        <v>20300000</v>
      </c>
      <c r="J112" s="63"/>
      <c r="K112" s="63"/>
      <c r="L112" s="63"/>
      <c r="M112" s="36">
        <f t="shared" si="13"/>
        <v>40804043.32</v>
      </c>
      <c r="N112" s="60"/>
    </row>
    <row r="113" spans="1:14" s="1" customFormat="1" ht="27.75" customHeight="1">
      <c r="A113" s="30" t="s">
        <v>242</v>
      </c>
      <c r="B113" s="56" t="s">
        <v>243</v>
      </c>
      <c r="C113" s="32" t="s">
        <v>52</v>
      </c>
      <c r="D113" s="34" t="s">
        <v>47</v>
      </c>
      <c r="E113" s="34" t="s">
        <v>29</v>
      </c>
      <c r="F113" s="36">
        <f>2900000+870000+110000</f>
        <v>3880000</v>
      </c>
      <c r="G113" s="63">
        <v>1500000</v>
      </c>
      <c r="H113" s="63">
        <f>870000+110000</f>
        <v>980000</v>
      </c>
      <c r="I113" s="63"/>
      <c r="J113" s="63"/>
      <c r="K113" s="63"/>
      <c r="L113" s="63"/>
      <c r="M113" s="36">
        <f t="shared" si="13"/>
        <v>2480000</v>
      </c>
      <c r="N113" s="15"/>
    </row>
    <row r="114" spans="1:14" s="1" customFormat="1" ht="27.75" customHeight="1">
      <c r="A114" s="30" t="s">
        <v>244</v>
      </c>
      <c r="B114" s="46" t="s">
        <v>245</v>
      </c>
      <c r="C114" s="47" t="s">
        <v>246</v>
      </c>
      <c r="D114" s="34" t="s">
        <v>21</v>
      </c>
      <c r="E114" s="34" t="s">
        <v>29</v>
      </c>
      <c r="F114" s="17">
        <v>279583.34999999998</v>
      </c>
      <c r="G114" s="63">
        <v>101313.27</v>
      </c>
      <c r="H114" s="63">
        <v>69426.84</v>
      </c>
      <c r="I114" s="63"/>
      <c r="J114" s="63"/>
      <c r="K114" s="63"/>
      <c r="L114" s="63"/>
      <c r="M114" s="36">
        <f t="shared" si="13"/>
        <v>170740.11</v>
      </c>
      <c r="N114" s="60"/>
    </row>
    <row r="115" spans="1:14" s="1" customFormat="1" ht="48.75" customHeight="1">
      <c r="A115" s="30" t="s">
        <v>247</v>
      </c>
      <c r="B115" s="46" t="s">
        <v>248</v>
      </c>
      <c r="C115" s="47" t="s">
        <v>52</v>
      </c>
      <c r="D115" s="34" t="s">
        <v>47</v>
      </c>
      <c r="E115" s="34" t="s">
        <v>22</v>
      </c>
      <c r="F115" s="17">
        <v>10000000</v>
      </c>
      <c r="G115" s="63">
        <v>4000000</v>
      </c>
      <c r="H115" s="63"/>
      <c r="I115" s="63"/>
      <c r="J115" s="63"/>
      <c r="K115" s="63"/>
      <c r="L115" s="63"/>
      <c r="M115" s="36">
        <f t="shared" si="13"/>
        <v>4000000</v>
      </c>
      <c r="N115" s="60"/>
    </row>
    <row r="116" spans="1:14" s="1" customFormat="1" ht="33" customHeight="1">
      <c r="A116" s="30" t="s">
        <v>249</v>
      </c>
      <c r="B116" s="56" t="s">
        <v>250</v>
      </c>
      <c r="C116" s="32" t="s">
        <v>52</v>
      </c>
      <c r="D116" s="34" t="s">
        <v>22</v>
      </c>
      <c r="E116" s="34" t="s">
        <v>29</v>
      </c>
      <c r="F116" s="36">
        <f>2000000-500000+270600-210000-1050000+210000</f>
        <v>720600</v>
      </c>
      <c r="G116" s="63">
        <f>1000000+270600-1050000</f>
        <v>220600</v>
      </c>
      <c r="H116" s="63">
        <f>1000000-500000-210000+210000</f>
        <v>500000</v>
      </c>
      <c r="I116" s="63"/>
      <c r="J116" s="63"/>
      <c r="K116" s="63"/>
      <c r="L116" s="63"/>
      <c r="M116" s="36">
        <f t="shared" si="13"/>
        <v>720600</v>
      </c>
      <c r="N116" s="60"/>
    </row>
    <row r="117" spans="1:14" s="1" customFormat="1" ht="33" customHeight="1">
      <c r="A117" s="30" t="s">
        <v>251</v>
      </c>
      <c r="B117" s="56" t="s">
        <v>252</v>
      </c>
      <c r="C117" s="32" t="s">
        <v>52</v>
      </c>
      <c r="D117" s="34" t="s">
        <v>53</v>
      </c>
      <c r="E117" s="34" t="s">
        <v>22</v>
      </c>
      <c r="F117" s="36">
        <f>1000000-80000</f>
        <v>920000</v>
      </c>
      <c r="G117" s="63">
        <f>200000-80000</f>
        <v>120000</v>
      </c>
      <c r="H117" s="63"/>
      <c r="I117" s="63"/>
      <c r="J117" s="63"/>
      <c r="K117" s="63"/>
      <c r="L117" s="63"/>
      <c r="M117" s="36">
        <f t="shared" si="13"/>
        <v>120000</v>
      </c>
      <c r="N117" s="60"/>
    </row>
    <row r="118" spans="1:14" s="1" customFormat="1" ht="33" customHeight="1">
      <c r="A118" s="30" t="s">
        <v>253</v>
      </c>
      <c r="B118" s="56" t="s">
        <v>254</v>
      </c>
      <c r="C118" s="32" t="s">
        <v>52</v>
      </c>
      <c r="D118" s="34" t="s">
        <v>47</v>
      </c>
      <c r="E118" s="34" t="s">
        <v>22</v>
      </c>
      <c r="F118" s="36">
        <v>1650000</v>
      </c>
      <c r="G118" s="63">
        <v>150000</v>
      </c>
      <c r="H118" s="63"/>
      <c r="I118" s="63"/>
      <c r="J118" s="63"/>
      <c r="K118" s="63"/>
      <c r="L118" s="63"/>
      <c r="M118" s="36">
        <f t="shared" si="13"/>
        <v>150000</v>
      </c>
      <c r="N118" s="15"/>
    </row>
    <row r="119" spans="1:14" s="1" customFormat="1" ht="33" customHeight="1">
      <c r="A119" s="30" t="s">
        <v>255</v>
      </c>
      <c r="B119" s="56" t="s">
        <v>256</v>
      </c>
      <c r="C119" s="32" t="s">
        <v>52</v>
      </c>
      <c r="D119" s="34" t="s">
        <v>101</v>
      </c>
      <c r="E119" s="34" t="s">
        <v>22</v>
      </c>
      <c r="F119" s="36">
        <f>21455253.05+2500</f>
        <v>21457753.050000001</v>
      </c>
      <c r="G119" s="63">
        <f>17100000+2500</f>
        <v>17102500</v>
      </c>
      <c r="H119" s="63"/>
      <c r="I119" s="63"/>
      <c r="J119" s="63"/>
      <c r="K119" s="63"/>
      <c r="L119" s="63"/>
      <c r="M119" s="36">
        <f t="shared" si="13"/>
        <v>17102500</v>
      </c>
      <c r="N119" s="60"/>
    </row>
    <row r="120" spans="1:14" s="1" customFormat="1" ht="33" customHeight="1">
      <c r="A120" s="30" t="s">
        <v>257</v>
      </c>
      <c r="B120" s="56" t="s">
        <v>258</v>
      </c>
      <c r="C120" s="32" t="s">
        <v>52</v>
      </c>
      <c r="D120" s="34" t="s">
        <v>47</v>
      </c>
      <c r="E120" s="34" t="s">
        <v>22</v>
      </c>
      <c r="F120" s="36">
        <f>20433500+3000</f>
        <v>20436500</v>
      </c>
      <c r="G120" s="63">
        <f>5003500+3000</f>
        <v>5006500</v>
      </c>
      <c r="H120" s="63"/>
      <c r="I120" s="63"/>
      <c r="J120" s="63"/>
      <c r="K120" s="63"/>
      <c r="L120" s="63"/>
      <c r="M120" s="36">
        <f t="shared" si="13"/>
        <v>5006500</v>
      </c>
      <c r="N120" s="60"/>
    </row>
    <row r="121" spans="1:14" s="1" customFormat="1" ht="33" customHeight="1">
      <c r="A121" s="30" t="s">
        <v>259</v>
      </c>
      <c r="B121" s="56" t="s">
        <v>260</v>
      </c>
      <c r="C121" s="32" t="s">
        <v>52</v>
      </c>
      <c r="D121" s="34" t="s">
        <v>53</v>
      </c>
      <c r="E121" s="34" t="s">
        <v>22</v>
      </c>
      <c r="F121" s="36">
        <v>1250006.76</v>
      </c>
      <c r="G121" s="63">
        <v>1200000</v>
      </c>
      <c r="H121" s="63"/>
      <c r="I121" s="63"/>
      <c r="J121" s="63"/>
      <c r="K121" s="63"/>
      <c r="L121" s="63"/>
      <c r="M121" s="36">
        <f t="shared" si="13"/>
        <v>1200000</v>
      </c>
      <c r="N121" s="15"/>
    </row>
    <row r="122" spans="1:14" s="1" customFormat="1" ht="33" customHeight="1">
      <c r="A122" s="30" t="s">
        <v>261</v>
      </c>
      <c r="B122" s="56" t="s">
        <v>262</v>
      </c>
      <c r="C122" s="32" t="s">
        <v>52</v>
      </c>
      <c r="D122" s="34" t="s">
        <v>22</v>
      </c>
      <c r="E122" s="34" t="s">
        <v>29</v>
      </c>
      <c r="F122" s="36">
        <f>4500000-1000000-560000</f>
        <v>2940000</v>
      </c>
      <c r="G122" s="63">
        <v>1500000</v>
      </c>
      <c r="H122" s="63">
        <f>3000000-1000000-560000</f>
        <v>1440000</v>
      </c>
      <c r="I122" s="63"/>
      <c r="J122" s="63"/>
      <c r="K122" s="63"/>
      <c r="L122" s="63"/>
      <c r="M122" s="36">
        <f t="shared" si="13"/>
        <v>2940000</v>
      </c>
      <c r="N122" s="15"/>
    </row>
    <row r="123" spans="1:14" s="1" customFormat="1" ht="33" customHeight="1">
      <c r="A123" s="30" t="s">
        <v>263</v>
      </c>
      <c r="B123" s="56" t="s">
        <v>264</v>
      </c>
      <c r="C123" s="32" t="s">
        <v>52</v>
      </c>
      <c r="D123" s="34" t="s">
        <v>265</v>
      </c>
      <c r="E123" s="34" t="s">
        <v>22</v>
      </c>
      <c r="F123" s="36">
        <v>18160050</v>
      </c>
      <c r="G123" s="63">
        <v>920000</v>
      </c>
      <c r="H123" s="63"/>
      <c r="I123" s="63"/>
      <c r="J123" s="63"/>
      <c r="K123" s="63"/>
      <c r="L123" s="63"/>
      <c r="M123" s="36">
        <f t="shared" si="13"/>
        <v>920000</v>
      </c>
      <c r="N123" s="15"/>
    </row>
    <row r="124" spans="1:14" s="1" customFormat="1" ht="33" customHeight="1">
      <c r="A124" s="30" t="s">
        <v>266</v>
      </c>
      <c r="B124" s="56" t="s">
        <v>267</v>
      </c>
      <c r="C124" s="32" t="s">
        <v>52</v>
      </c>
      <c r="D124" s="34" t="s">
        <v>22</v>
      </c>
      <c r="E124" s="34" t="s">
        <v>26</v>
      </c>
      <c r="F124" s="36">
        <v>21549000</v>
      </c>
      <c r="G124" s="63">
        <v>0</v>
      </c>
      <c r="H124" s="63">
        <v>17720689</v>
      </c>
      <c r="I124" s="63">
        <v>3828311</v>
      </c>
      <c r="J124" s="63"/>
      <c r="K124" s="63"/>
      <c r="L124" s="63"/>
      <c r="M124" s="36">
        <f t="shared" si="13"/>
        <v>21549000</v>
      </c>
      <c r="N124" s="15"/>
    </row>
    <row r="125" spans="1:14" s="1" customFormat="1" ht="33" customHeight="1">
      <c r="A125" s="34" t="s">
        <v>268</v>
      </c>
      <c r="B125" s="56" t="s">
        <v>269</v>
      </c>
      <c r="C125" s="32" t="s">
        <v>52</v>
      </c>
      <c r="D125" s="34" t="s">
        <v>22</v>
      </c>
      <c r="E125" s="34" t="s">
        <v>29</v>
      </c>
      <c r="F125" s="36">
        <v>2760000</v>
      </c>
      <c r="G125" s="63">
        <v>2460000</v>
      </c>
      <c r="H125" s="63">
        <v>300000</v>
      </c>
      <c r="I125" s="63"/>
      <c r="J125" s="63"/>
      <c r="K125" s="63"/>
      <c r="L125" s="63"/>
      <c r="M125" s="36">
        <f t="shared" si="13"/>
        <v>2760000</v>
      </c>
      <c r="N125" s="15"/>
    </row>
    <row r="126" spans="1:14" s="1" customFormat="1" ht="33" customHeight="1">
      <c r="A126" s="30" t="s">
        <v>270</v>
      </c>
      <c r="B126" s="56" t="s">
        <v>271</v>
      </c>
      <c r="C126" s="32" t="s">
        <v>52</v>
      </c>
      <c r="D126" s="34" t="s">
        <v>47</v>
      </c>
      <c r="E126" s="34" t="s">
        <v>22</v>
      </c>
      <c r="F126" s="36">
        <v>510000</v>
      </c>
      <c r="G126" s="63">
        <v>200000</v>
      </c>
      <c r="H126" s="63"/>
      <c r="I126" s="63"/>
      <c r="J126" s="63"/>
      <c r="K126" s="63"/>
      <c r="L126" s="63"/>
      <c r="M126" s="36">
        <f t="shared" si="13"/>
        <v>200000</v>
      </c>
      <c r="N126" s="15"/>
    </row>
    <row r="127" spans="1:14" s="1" customFormat="1" ht="33" customHeight="1">
      <c r="A127" s="30" t="s">
        <v>272</v>
      </c>
      <c r="B127" s="56" t="s">
        <v>273</v>
      </c>
      <c r="C127" s="32" t="s">
        <v>52</v>
      </c>
      <c r="D127" s="34" t="s">
        <v>22</v>
      </c>
      <c r="E127" s="34" t="s">
        <v>29</v>
      </c>
      <c r="F127" s="36">
        <v>1000000</v>
      </c>
      <c r="G127" s="63">
        <v>150000</v>
      </c>
      <c r="H127" s="63">
        <v>850000</v>
      </c>
      <c r="I127" s="63"/>
      <c r="J127" s="63"/>
      <c r="K127" s="63"/>
      <c r="L127" s="63"/>
      <c r="M127" s="36">
        <f t="shared" si="13"/>
        <v>1000000</v>
      </c>
      <c r="N127" s="15"/>
    </row>
    <row r="128" spans="1:14" s="1" customFormat="1" ht="33" customHeight="1">
      <c r="A128" s="30" t="s">
        <v>274</v>
      </c>
      <c r="B128" s="56" t="s">
        <v>275</v>
      </c>
      <c r="C128" s="32" t="s">
        <v>52</v>
      </c>
      <c r="D128" s="34" t="s">
        <v>47</v>
      </c>
      <c r="E128" s="34" t="s">
        <v>22</v>
      </c>
      <c r="F128" s="36">
        <v>122367.59</v>
      </c>
      <c r="G128" s="63">
        <v>80000</v>
      </c>
      <c r="H128" s="63"/>
      <c r="I128" s="63"/>
      <c r="J128" s="63"/>
      <c r="K128" s="63"/>
      <c r="L128" s="63"/>
      <c r="M128" s="36">
        <f t="shared" si="13"/>
        <v>80000</v>
      </c>
      <c r="N128" s="15"/>
    </row>
    <row r="129" spans="1:14" s="1" customFormat="1" ht="33" customHeight="1">
      <c r="A129" s="30" t="s">
        <v>276</v>
      </c>
      <c r="B129" s="56" t="s">
        <v>277</v>
      </c>
      <c r="C129" s="32" t="s">
        <v>52</v>
      </c>
      <c r="D129" s="34" t="s">
        <v>22</v>
      </c>
      <c r="E129" s="34" t="s">
        <v>29</v>
      </c>
      <c r="F129" s="36">
        <v>145000</v>
      </c>
      <c r="G129" s="63">
        <v>20000</v>
      </c>
      <c r="H129" s="63">
        <v>125000</v>
      </c>
      <c r="I129" s="63"/>
      <c r="J129" s="63"/>
      <c r="K129" s="63"/>
      <c r="L129" s="63"/>
      <c r="M129" s="36">
        <f t="shared" si="13"/>
        <v>145000</v>
      </c>
      <c r="N129" s="15"/>
    </row>
    <row r="130" spans="1:14" s="1" customFormat="1" ht="33" customHeight="1">
      <c r="A130" s="30" t="s">
        <v>278</v>
      </c>
      <c r="B130" s="56" t="s">
        <v>279</v>
      </c>
      <c r="C130" s="32" t="s">
        <v>52</v>
      </c>
      <c r="D130" s="34" t="s">
        <v>53</v>
      </c>
      <c r="E130" s="34" t="s">
        <v>29</v>
      </c>
      <c r="F130" s="36">
        <f>696500+70623.5</f>
        <v>767123.5</v>
      </c>
      <c r="G130" s="63">
        <f>680000+70623.5</f>
        <v>750623.5</v>
      </c>
      <c r="H130" s="63">
        <v>1500</v>
      </c>
      <c r="I130" s="63"/>
      <c r="J130" s="63"/>
      <c r="K130" s="63"/>
      <c r="L130" s="63"/>
      <c r="M130" s="17">
        <f>SUM(G130:L130)</f>
        <v>752123.5</v>
      </c>
      <c r="N130" s="69"/>
    </row>
    <row r="131" spans="1:14" s="1" customFormat="1" ht="33" customHeight="1">
      <c r="A131" s="30" t="s">
        <v>280</v>
      </c>
      <c r="B131" s="56" t="s">
        <v>281</v>
      </c>
      <c r="C131" s="32" t="s">
        <v>52</v>
      </c>
      <c r="D131" s="34" t="s">
        <v>22</v>
      </c>
      <c r="E131" s="34" t="s">
        <v>26</v>
      </c>
      <c r="F131" s="36">
        <f>10000000-159900-270600-70623.5-1000000-427056-2217817.1</f>
        <v>5854003.4000000004</v>
      </c>
      <c r="G131" s="63">
        <f>4000000-159900-270600-70623.5-427056-2217817.1</f>
        <v>854003.39999999991</v>
      </c>
      <c r="H131" s="63">
        <f>4000000-1000000</f>
        <v>3000000</v>
      </c>
      <c r="I131" s="63">
        <v>2000000</v>
      </c>
      <c r="J131" s="63"/>
      <c r="K131" s="63"/>
      <c r="L131" s="63"/>
      <c r="M131" s="36">
        <f t="shared" si="13"/>
        <v>5854003.4000000004</v>
      </c>
      <c r="N131" s="15"/>
    </row>
    <row r="132" spans="1:14" s="1" customFormat="1" ht="33" customHeight="1">
      <c r="A132" s="30" t="s">
        <v>282</v>
      </c>
      <c r="B132" s="56" t="s">
        <v>283</v>
      </c>
      <c r="C132" s="32" t="s">
        <v>52</v>
      </c>
      <c r="D132" s="34" t="s">
        <v>22</v>
      </c>
      <c r="E132" s="34" t="s">
        <v>29</v>
      </c>
      <c r="F132" s="36">
        <v>1000000</v>
      </c>
      <c r="G132" s="63">
        <v>0</v>
      </c>
      <c r="H132" s="63">
        <v>1000000</v>
      </c>
      <c r="I132" s="63"/>
      <c r="J132" s="63"/>
      <c r="K132" s="63"/>
      <c r="L132" s="63"/>
      <c r="M132" s="36">
        <f t="shared" si="13"/>
        <v>1000000</v>
      </c>
      <c r="N132" s="15"/>
    </row>
    <row r="133" spans="1:14" s="1" customFormat="1" ht="33" customHeight="1">
      <c r="A133" s="30" t="s">
        <v>284</v>
      </c>
      <c r="B133" s="46" t="s">
        <v>285</v>
      </c>
      <c r="C133" s="32" t="s">
        <v>52</v>
      </c>
      <c r="D133" s="16" t="s">
        <v>53</v>
      </c>
      <c r="E133" s="16" t="s">
        <v>29</v>
      </c>
      <c r="F133" s="17">
        <f>2270646.64-457230+39900</f>
        <v>1853316.6400000001</v>
      </c>
      <c r="G133" s="17">
        <f>1571700-671635-457230</f>
        <v>442835</v>
      </c>
      <c r="H133" s="17">
        <f>708200+631100</f>
        <v>1339300</v>
      </c>
      <c r="I133" s="17"/>
      <c r="J133" s="17"/>
      <c r="K133" s="17"/>
      <c r="L133" s="36"/>
      <c r="M133" s="36">
        <f>SUM(G133:I133)</f>
        <v>1782135</v>
      </c>
      <c r="N133" s="15"/>
    </row>
    <row r="134" spans="1:14" s="1" customFormat="1" ht="33" customHeight="1">
      <c r="A134" s="30" t="s">
        <v>286</v>
      </c>
      <c r="B134" s="46" t="s">
        <v>287</v>
      </c>
      <c r="C134" s="32" t="s">
        <v>52</v>
      </c>
      <c r="D134" s="16" t="s">
        <v>22</v>
      </c>
      <c r="E134" s="16" t="s">
        <v>29</v>
      </c>
      <c r="F134" s="17">
        <v>900000</v>
      </c>
      <c r="G134" s="17">
        <v>450000</v>
      </c>
      <c r="H134" s="17">
        <v>450000</v>
      </c>
      <c r="I134" s="17"/>
      <c r="J134" s="17"/>
      <c r="K134" s="17"/>
      <c r="L134" s="17"/>
      <c r="M134" s="17">
        <f t="shared" si="13"/>
        <v>900000</v>
      </c>
      <c r="N134" s="15"/>
    </row>
    <row r="135" spans="1:14" s="1" customFormat="1" ht="33" customHeight="1">
      <c r="A135" s="34" t="s">
        <v>288</v>
      </c>
      <c r="B135" s="46" t="s">
        <v>289</v>
      </c>
      <c r="C135" s="32" t="s">
        <v>52</v>
      </c>
      <c r="D135" s="16" t="s">
        <v>53</v>
      </c>
      <c r="E135" s="16" t="s">
        <v>29</v>
      </c>
      <c r="F135" s="17">
        <v>3572000</v>
      </c>
      <c r="G135" s="17">
        <f>3572000-3572000</f>
        <v>0</v>
      </c>
      <c r="H135" s="17">
        <v>3572000</v>
      </c>
      <c r="I135" s="17"/>
      <c r="J135" s="17"/>
      <c r="K135" s="17"/>
      <c r="L135" s="17"/>
      <c r="M135" s="17">
        <f t="shared" si="13"/>
        <v>3572000</v>
      </c>
      <c r="N135" s="15"/>
    </row>
    <row r="136" spans="1:14" s="1" customFormat="1" ht="13.5">
      <c r="B136" s="5" t="s">
        <v>290</v>
      </c>
    </row>
  </sheetData>
  <mergeCells count="5">
    <mergeCell ref="G7:H7"/>
    <mergeCell ref="A7:A8"/>
    <mergeCell ref="B7:B8"/>
    <mergeCell ref="C7:C8"/>
    <mergeCell ref="D7:E7"/>
  </mergeCells>
  <pageMargins left="0.70866141732283472" right="0.70866141732283472" top="0.74803149606299213" bottom="0.74803149606299213" header="0.51181102362204722" footer="0.31496062992125984"/>
  <pageSetup paperSize="9" scale="77" orientation="landscape" useFirstPageNumber="1" r:id="rId1"/>
  <headerFooter>
    <oddFooter>&amp;C&amp;"Arial,Pogrubiony"&amp;10&amp;P</oddFooter>
  </headerFooter>
  <rowBreaks count="1" manualBreakCount="1"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Nr 2__2024_Przedsięwzięcia</vt:lpstr>
      <vt:lpstr>'Zał. Nr 2__2024_Przedsięwzięcia'!Obszar_wydruku</vt:lpstr>
      <vt:lpstr>'Zał. Nr 2__2024_Przedsięwzięcia'!Tytuły_wydruku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461/2024 Prezydenta Miasta Włocławek z dn. 25 listopada 2024 r.</dc:title>
  <dc:creator>Renata Siedlecka</dc:creator>
  <cp:keywords>Załącznik do Zarządzenia Prezydenta Miasta Włoclawek</cp:keywords>
  <cp:lastModifiedBy>Karolina Budziszewska</cp:lastModifiedBy>
  <dcterms:created xsi:type="dcterms:W3CDTF">2024-12-02T13:15:08Z</dcterms:created>
  <dcterms:modified xsi:type="dcterms:W3CDTF">2024-12-03T10:30:11Z</dcterms:modified>
</cp:coreProperties>
</file>