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C8FBF027-F91A-45AA-BA4E-205E120FF4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ał.Nr1" sheetId="7" r:id="rId1"/>
    <sheet name="Zał.Nr2" sheetId="10" r:id="rId2"/>
    <sheet name="Zał.Nr3" sheetId="11" r:id="rId3"/>
    <sheet name="Zał.Nr4" sheetId="12" r:id="rId4"/>
    <sheet name="Zał.Nr5" sheetId="13" r:id="rId5"/>
    <sheet name="Zał.Nr6" sheetId="8" r:id="rId6"/>
    <sheet name="Zał.Nr7" sheetId="9" r:id="rId7"/>
    <sheet name="Arkusz1" sheetId="1" r:id="rId8"/>
  </sheets>
  <definedNames>
    <definedName name="_xlnm._FilterDatabase" localSheetId="0" hidden="1">Zał.Nr1!$C$1:$C$848</definedName>
    <definedName name="_xlnm._FilterDatabase" localSheetId="1" hidden="1">Zał.Nr2!$R$1:$R$46</definedName>
    <definedName name="_xlnm.Print_Area" localSheetId="0">Zał.Nr1!$A$1:$H$633</definedName>
    <definedName name="_xlnm.Print_Area" localSheetId="6">Zał.Nr7!$A$1:$G$197</definedName>
    <definedName name="_xlnm.Print_Titles" localSheetId="0">Zał.Nr1!$7:$9</definedName>
    <definedName name="_xlnm.Print_Titles" localSheetId="1">Zał.Nr2!$12:$19</definedName>
    <definedName name="_xlnm.Print_Titles" localSheetId="2">Zał.Nr3!$8:$14</definedName>
    <definedName name="_xlnm.Print_Titles" localSheetId="3">Zał.Nr4!$10:$11</definedName>
    <definedName name="_xlnm.Print_Titles" localSheetId="4">Zał.Nr5!$57:$57</definedName>
    <definedName name="_xlnm.Print_Titles" localSheetId="6">Zał.Nr7!$10:$11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7" i="13" l="1"/>
  <c r="F145" i="13"/>
  <c r="F143" i="13"/>
  <c r="F141" i="13"/>
  <c r="F134" i="13"/>
  <c r="F112" i="13"/>
  <c r="F104" i="13"/>
  <c r="F99" i="13"/>
  <c r="F96" i="13"/>
  <c r="F83" i="13"/>
  <c r="F81" i="13"/>
  <c r="F66" i="13"/>
  <c r="F58" i="13"/>
  <c r="F159" i="13" s="1"/>
  <c r="F55" i="13"/>
  <c r="F54" i="13"/>
  <c r="F53" i="13"/>
  <c r="F52" i="13"/>
  <c r="F51" i="13"/>
  <c r="F49" i="13"/>
  <c r="F48" i="13"/>
  <c r="F47" i="13"/>
  <c r="F46" i="13"/>
  <c r="F45" i="13"/>
  <c r="F44" i="13"/>
  <c r="F43" i="13"/>
  <c r="F42" i="13"/>
  <c r="F41" i="13"/>
  <c r="F40" i="13"/>
  <c r="F39" i="13"/>
  <c r="F38" i="13"/>
  <c r="F37" i="13"/>
  <c r="F36" i="13"/>
  <c r="F35" i="13"/>
  <c r="F32" i="13"/>
  <c r="F29" i="13"/>
  <c r="F27" i="13"/>
  <c r="F25" i="13"/>
  <c r="F19" i="13"/>
  <c r="F17" i="13"/>
  <c r="F16" i="13"/>
  <c r="F15" i="13"/>
  <c r="F14" i="13"/>
  <c r="F13" i="13"/>
  <c r="F12" i="13"/>
  <c r="F40" i="12"/>
  <c r="F39" i="12" s="1"/>
  <c r="F38" i="12"/>
  <c r="F37" i="12"/>
  <c r="F36" i="12"/>
  <c r="F35" i="12" s="1"/>
  <c r="F34" i="12"/>
  <c r="F33" i="12"/>
  <c r="F32" i="12"/>
  <c r="F31" i="12" s="1"/>
  <c r="F27" i="12"/>
  <c r="F25" i="12"/>
  <c r="F24" i="12"/>
  <c r="F23" i="12"/>
  <c r="F22" i="12"/>
  <c r="F21" i="12" s="1"/>
  <c r="F19" i="12"/>
  <c r="F17" i="12"/>
  <c r="F16" i="12"/>
  <c r="F160" i="13" l="1"/>
  <c r="F29" i="12"/>
  <c r="F41" i="12"/>
  <c r="G195" i="9"/>
  <c r="G194" i="9" s="1"/>
  <c r="G192" i="9" s="1"/>
  <c r="G190" i="9"/>
  <c r="G189" i="9"/>
  <c r="G187" i="9" s="1"/>
  <c r="F184" i="9"/>
  <c r="G182" i="9"/>
  <c r="G181" i="9" s="1"/>
  <c r="G179" i="9" s="1"/>
  <c r="F178" i="9"/>
  <c r="G176" i="9"/>
  <c r="G174" i="9" s="1"/>
  <c r="G172" i="9" s="1"/>
  <c r="G175" i="9"/>
  <c r="F171" i="9"/>
  <c r="G169" i="9"/>
  <c r="G168" i="9"/>
  <c r="G167" i="9"/>
  <c r="G166" i="9" s="1"/>
  <c r="G164" i="9" s="1"/>
  <c r="F163" i="9"/>
  <c r="G161" i="9"/>
  <c r="G160" i="9"/>
  <c r="G159" i="9"/>
  <c r="G158" i="9" s="1"/>
  <c r="G156" i="9" s="1"/>
  <c r="G152" i="9"/>
  <c r="G151" i="9"/>
  <c r="G149" i="9" s="1"/>
  <c r="G147" i="9"/>
  <c r="G146" i="9"/>
  <c r="G145" i="9"/>
  <c r="G144" i="9"/>
  <c r="G143" i="9"/>
  <c r="G142" i="9" s="1"/>
  <c r="G140" i="9" s="1"/>
  <c r="G138" i="9"/>
  <c r="G137" i="9"/>
  <c r="G135" i="9" s="1"/>
  <c r="G133" i="9"/>
  <c r="G132" i="9"/>
  <c r="G131" i="9"/>
  <c r="G130" i="9"/>
  <c r="G129" i="9"/>
  <c r="G128" i="9" s="1"/>
  <c r="G126" i="9" s="1"/>
  <c r="G124" i="9"/>
  <c r="G123" i="9"/>
  <c r="G122" i="9"/>
  <c r="G121" i="9"/>
  <c r="G119" i="9" s="1"/>
  <c r="G117" i="9"/>
  <c r="G116" i="9" s="1"/>
  <c r="G114" i="9" s="1"/>
  <c r="G112" i="9"/>
  <c r="G111" i="9"/>
  <c r="G110" i="9"/>
  <c r="G109" i="9"/>
  <c r="G107" i="9" s="1"/>
  <c r="G105" i="9" s="1"/>
  <c r="G108" i="9"/>
  <c r="G103" i="9"/>
  <c r="G102" i="9"/>
  <c r="G101" i="9"/>
  <c r="G100" i="9" s="1"/>
  <c r="G98" i="9" s="1"/>
  <c r="G96" i="9"/>
  <c r="G95" i="9"/>
  <c r="G93" i="9" s="1"/>
  <c r="G91" i="9"/>
  <c r="G90" i="9"/>
  <c r="G89" i="9"/>
  <c r="G88" i="9"/>
  <c r="G87" i="9"/>
  <c r="G86" i="9" s="1"/>
  <c r="G84" i="9" s="1"/>
  <c r="G82" i="9"/>
  <c r="G81" i="9"/>
  <c r="G79" i="9" s="1"/>
  <c r="G77" i="9"/>
  <c r="G76" i="9" s="1"/>
  <c r="G74" i="9" s="1"/>
  <c r="G71" i="9"/>
  <c r="G70" i="9"/>
  <c r="G69" i="9" s="1"/>
  <c r="G67" i="9" s="1"/>
  <c r="G65" i="9"/>
  <c r="G64" i="9"/>
  <c r="G63" i="9"/>
  <c r="G62" i="9"/>
  <c r="G60" i="9" s="1"/>
  <c r="G58" i="9" s="1"/>
  <c r="G61" i="9"/>
  <c r="G56" i="9"/>
  <c r="G55" i="9" s="1"/>
  <c r="G53" i="9" s="1"/>
  <c r="G50" i="9"/>
  <c r="G49" i="9"/>
  <c r="G48" i="9"/>
  <c r="G47" i="9"/>
  <c r="G46" i="9" s="1"/>
  <c r="G44" i="9" s="1"/>
  <c r="F41" i="9"/>
  <c r="G39" i="9"/>
  <c r="G38" i="9"/>
  <c r="G37" i="9"/>
  <c r="G36" i="9"/>
  <c r="G35" i="9"/>
  <c r="G33" i="9" s="1"/>
  <c r="F32" i="9"/>
  <c r="G30" i="9"/>
  <c r="G29" i="9"/>
  <c r="G27" i="9" s="1"/>
  <c r="F26" i="9"/>
  <c r="G24" i="9"/>
  <c r="G23" i="9"/>
  <c r="G21" i="9" s="1"/>
  <c r="G19" i="9" s="1"/>
  <c r="G22" i="9"/>
  <c r="F18" i="9"/>
  <c r="G16" i="9"/>
  <c r="G15" i="9"/>
  <c r="G13" i="9" s="1"/>
  <c r="F12" i="9"/>
  <c r="F197" i="9" s="1"/>
  <c r="G32" i="8"/>
  <c r="F32" i="8"/>
  <c r="E32" i="8"/>
  <c r="D32" i="8"/>
  <c r="F42" i="12" l="1"/>
  <c r="G185" i="9"/>
  <c r="G42" i="9"/>
  <c r="H632" i="7"/>
  <c r="H631" i="7"/>
  <c r="H630" i="7"/>
  <c r="G629" i="7"/>
  <c r="G628" i="7" s="1"/>
  <c r="G627" i="7" s="1"/>
  <c r="F629" i="7"/>
  <c r="F628" i="7" s="1"/>
  <c r="H626" i="7"/>
  <c r="H625" i="7"/>
  <c r="F625" i="7"/>
  <c r="H624" i="7"/>
  <c r="H623" i="7"/>
  <c r="H622" i="7"/>
  <c r="F622" i="7"/>
  <c r="F620" i="7" s="1"/>
  <c r="F619" i="7" s="1"/>
  <c r="F618" i="7" s="1"/>
  <c r="G621" i="7"/>
  <c r="H617" i="7"/>
  <c r="H616" i="7"/>
  <c r="G615" i="7"/>
  <c r="F615" i="7"/>
  <c r="F614" i="7" s="1"/>
  <c r="F613" i="7" s="1"/>
  <c r="G614" i="7"/>
  <c r="G613" i="7" s="1"/>
  <c r="H612" i="7"/>
  <c r="H611" i="7"/>
  <c r="H610" i="7"/>
  <c r="H609" i="7"/>
  <c r="H608" i="7"/>
  <c r="H607" i="7"/>
  <c r="G606" i="7"/>
  <c r="F606" i="7"/>
  <c r="H606" i="7" s="1"/>
  <c r="G605" i="7"/>
  <c r="G604" i="7" s="1"/>
  <c r="H603" i="7"/>
  <c r="H602" i="7"/>
  <c r="H601" i="7"/>
  <c r="G600" i="7"/>
  <c r="G599" i="7" s="1"/>
  <c r="G598" i="7" s="1"/>
  <c r="F600" i="7"/>
  <c r="H600" i="7" s="1"/>
  <c r="H596" i="7"/>
  <c r="G595" i="7"/>
  <c r="F595" i="7"/>
  <c r="H594" i="7"/>
  <c r="H593" i="7"/>
  <c r="G592" i="7"/>
  <c r="F592" i="7"/>
  <c r="H592" i="7" s="1"/>
  <c r="G591" i="7"/>
  <c r="G588" i="7" s="1"/>
  <c r="H587" i="7"/>
  <c r="G586" i="7"/>
  <c r="G585" i="7" s="1"/>
  <c r="F586" i="7"/>
  <c r="H584" i="7"/>
  <c r="H583" i="7"/>
  <c r="G582" i="7"/>
  <c r="G581" i="7" s="1"/>
  <c r="F582" i="7"/>
  <c r="H580" i="7"/>
  <c r="H579" i="7"/>
  <c r="H578" i="7"/>
  <c r="G577" i="7"/>
  <c r="G576" i="7" s="1"/>
  <c r="F577" i="7"/>
  <c r="H577" i="7" s="1"/>
  <c r="H574" i="7"/>
  <c r="G573" i="7"/>
  <c r="F573" i="7"/>
  <c r="H573" i="7" s="1"/>
  <c r="H572" i="7"/>
  <c r="G571" i="7"/>
  <c r="G570" i="7" s="1"/>
  <c r="F571" i="7"/>
  <c r="H571" i="7" s="1"/>
  <c r="F567" i="7"/>
  <c r="H567" i="7" s="1"/>
  <c r="H566" i="7"/>
  <c r="H565" i="7"/>
  <c r="H564" i="7"/>
  <c r="G563" i="7"/>
  <c r="G562" i="7" s="1"/>
  <c r="F563" i="7"/>
  <c r="H563" i="7" s="1"/>
  <c r="H561" i="7"/>
  <c r="G560" i="7"/>
  <c r="F560" i="7"/>
  <c r="G559" i="7"/>
  <c r="G555" i="7" s="1"/>
  <c r="H558" i="7"/>
  <c r="G557" i="7"/>
  <c r="F557" i="7"/>
  <c r="H557" i="7" s="1"/>
  <c r="G556" i="7"/>
  <c r="H554" i="7"/>
  <c r="G553" i="7"/>
  <c r="G552" i="7" s="1"/>
  <c r="F553" i="7"/>
  <c r="H551" i="7"/>
  <c r="G550" i="7"/>
  <c r="G549" i="7" s="1"/>
  <c r="G548" i="7" s="1"/>
  <c r="F550" i="7"/>
  <c r="H547" i="7"/>
  <c r="H546" i="7"/>
  <c r="H545" i="7"/>
  <c r="H544" i="7"/>
  <c r="H543" i="7"/>
  <c r="G542" i="7"/>
  <c r="F542" i="7"/>
  <c r="H542" i="7" s="1"/>
  <c r="G541" i="7"/>
  <c r="G540" i="7"/>
  <c r="H539" i="7"/>
  <c r="H538" i="7"/>
  <c r="H537" i="7"/>
  <c r="G536" i="7"/>
  <c r="F536" i="7"/>
  <c r="H535" i="7"/>
  <c r="H534" i="7"/>
  <c r="H533" i="7"/>
  <c r="H532" i="7"/>
  <c r="G531" i="7"/>
  <c r="G530" i="7" s="1"/>
  <c r="F531" i="7"/>
  <c r="H531" i="7" s="1"/>
  <c r="H529" i="7"/>
  <c r="H528" i="7"/>
  <c r="H527" i="7"/>
  <c r="H526" i="7"/>
  <c r="H525" i="7"/>
  <c r="G524" i="7"/>
  <c r="F524" i="7"/>
  <c r="F523" i="7" s="1"/>
  <c r="H522" i="7"/>
  <c r="H521" i="7"/>
  <c r="H520" i="7"/>
  <c r="H519" i="7"/>
  <c r="G518" i="7"/>
  <c r="F518" i="7"/>
  <c r="H518" i="7" s="1"/>
  <c r="H517" i="7"/>
  <c r="H516" i="7"/>
  <c r="H515" i="7"/>
  <c r="G514" i="7"/>
  <c r="F514" i="7"/>
  <c r="H513" i="7"/>
  <c r="H512" i="7"/>
  <c r="H511" i="7"/>
  <c r="G510" i="7"/>
  <c r="F510" i="7"/>
  <c r="H509" i="7"/>
  <c r="H508" i="7"/>
  <c r="H507" i="7"/>
  <c r="G506" i="7"/>
  <c r="F506" i="7"/>
  <c r="H506" i="7" s="1"/>
  <c r="H505" i="7"/>
  <c r="H504" i="7"/>
  <c r="H503" i="7"/>
  <c r="G502" i="7"/>
  <c r="F502" i="7"/>
  <c r="H502" i="7" s="1"/>
  <c r="H501" i="7"/>
  <c r="G500" i="7"/>
  <c r="F500" i="7"/>
  <c r="H499" i="7"/>
  <c r="G498" i="7"/>
  <c r="F498" i="7"/>
  <c r="H498" i="7" s="1"/>
  <c r="H497" i="7"/>
  <c r="G496" i="7"/>
  <c r="F496" i="7"/>
  <c r="H495" i="7"/>
  <c r="G494" i="7"/>
  <c r="F494" i="7"/>
  <c r="H494" i="7" s="1"/>
  <c r="H493" i="7"/>
  <c r="G492" i="7"/>
  <c r="F492" i="7"/>
  <c r="H490" i="7"/>
  <c r="H489" i="7"/>
  <c r="H488" i="7"/>
  <c r="G487" i="7"/>
  <c r="H487" i="7" s="1"/>
  <c r="F487" i="7"/>
  <c r="H486" i="7"/>
  <c r="H485" i="7"/>
  <c r="H484" i="7"/>
  <c r="G483" i="7"/>
  <c r="F483" i="7"/>
  <c r="H483" i="7" s="1"/>
  <c r="H482" i="7"/>
  <c r="H481" i="7"/>
  <c r="G480" i="7"/>
  <c r="F480" i="7"/>
  <c r="F479" i="7" s="1"/>
  <c r="H478" i="7"/>
  <c r="H477" i="7"/>
  <c r="H476" i="7"/>
  <c r="G475" i="7"/>
  <c r="G467" i="7" s="1"/>
  <c r="F475" i="7"/>
  <c r="H474" i="7"/>
  <c r="H473" i="7"/>
  <c r="H472" i="7"/>
  <c r="G472" i="7"/>
  <c r="F472" i="7"/>
  <c r="H471" i="7"/>
  <c r="H470" i="7"/>
  <c r="G469" i="7"/>
  <c r="F469" i="7"/>
  <c r="H465" i="7"/>
  <c r="H464" i="7"/>
  <c r="G463" i="7"/>
  <c r="F463" i="7"/>
  <c r="G462" i="7"/>
  <c r="H461" i="7"/>
  <c r="G460" i="7"/>
  <c r="F460" i="7"/>
  <c r="H460" i="7" s="1"/>
  <c r="H459" i="7"/>
  <c r="G458" i="7"/>
  <c r="G457" i="7" s="1"/>
  <c r="H457" i="7" s="1"/>
  <c r="F458" i="7"/>
  <c r="H458" i="7" s="1"/>
  <c r="F457" i="7"/>
  <c r="H456" i="7"/>
  <c r="H455" i="7"/>
  <c r="G455" i="7"/>
  <c r="F455" i="7"/>
  <c r="G454" i="7"/>
  <c r="F454" i="7"/>
  <c r="H453" i="7"/>
  <c r="H452" i="7"/>
  <c r="G451" i="7"/>
  <c r="G450" i="7" s="1"/>
  <c r="F451" i="7"/>
  <c r="F450" i="7"/>
  <c r="H449" i="7"/>
  <c r="G448" i="7"/>
  <c r="G447" i="7" s="1"/>
  <c r="F448" i="7"/>
  <c r="F447" i="7"/>
  <c r="H445" i="7"/>
  <c r="G444" i="7"/>
  <c r="F444" i="7"/>
  <c r="H442" i="7"/>
  <c r="H441" i="7"/>
  <c r="H440" i="7"/>
  <c r="H439" i="7"/>
  <c r="H438" i="7"/>
  <c r="H437" i="7"/>
  <c r="G436" i="7"/>
  <c r="G435" i="7" s="1"/>
  <c r="G434" i="7" s="1"/>
  <c r="F436" i="7"/>
  <c r="F435" i="7" s="1"/>
  <c r="F433" i="7"/>
  <c r="F432" i="7" s="1"/>
  <c r="G432" i="7"/>
  <c r="H431" i="7"/>
  <c r="H430" i="7"/>
  <c r="H429" i="7"/>
  <c r="H428" i="7"/>
  <c r="G427" i="7"/>
  <c r="F427" i="7"/>
  <c r="H427" i="7" s="1"/>
  <c r="H426" i="7"/>
  <c r="G425" i="7"/>
  <c r="F425" i="7"/>
  <c r="H425" i="7" s="1"/>
  <c r="G424" i="7"/>
  <c r="H423" i="7"/>
  <c r="G422" i="7"/>
  <c r="F422" i="7"/>
  <c r="H422" i="7" s="1"/>
  <c r="H421" i="7"/>
  <c r="H420" i="7"/>
  <c r="G419" i="7"/>
  <c r="G418" i="7" s="1"/>
  <c r="F419" i="7"/>
  <c r="H419" i="7" s="1"/>
  <c r="F418" i="7"/>
  <c r="H418" i="7" s="1"/>
  <c r="H417" i="7"/>
  <c r="G416" i="7"/>
  <c r="F416" i="7"/>
  <c r="H416" i="7" s="1"/>
  <c r="H415" i="7"/>
  <c r="G414" i="7"/>
  <c r="F414" i="7"/>
  <c r="H414" i="7" s="1"/>
  <c r="G413" i="7"/>
  <c r="H412" i="7"/>
  <c r="H411" i="7"/>
  <c r="H410" i="7"/>
  <c r="G409" i="7"/>
  <c r="F409" i="7"/>
  <c r="H409" i="7" s="1"/>
  <c r="G408" i="7"/>
  <c r="H406" i="7"/>
  <c r="G405" i="7"/>
  <c r="H405" i="7" s="1"/>
  <c r="F405" i="7"/>
  <c r="H404" i="7"/>
  <c r="H403" i="7"/>
  <c r="H402" i="7"/>
  <c r="G401" i="7"/>
  <c r="F401" i="7"/>
  <c r="H400" i="7"/>
  <c r="H399" i="7"/>
  <c r="G398" i="7"/>
  <c r="F398" i="7"/>
  <c r="H396" i="7"/>
  <c r="G395" i="7"/>
  <c r="G394" i="7" s="1"/>
  <c r="F395" i="7"/>
  <c r="H393" i="7"/>
  <c r="H392" i="7"/>
  <c r="H391" i="7"/>
  <c r="H390" i="7"/>
  <c r="G389" i="7"/>
  <c r="F389" i="7"/>
  <c r="F388" i="7" s="1"/>
  <c r="H387" i="7"/>
  <c r="G386" i="7"/>
  <c r="G385" i="7" s="1"/>
  <c r="F386" i="7"/>
  <c r="H386" i="7" s="1"/>
  <c r="H383" i="7"/>
  <c r="H382" i="7"/>
  <c r="H381" i="7"/>
  <c r="G380" i="7"/>
  <c r="F380" i="7"/>
  <c r="F379" i="7" s="1"/>
  <c r="H378" i="7"/>
  <c r="H377" i="7"/>
  <c r="H376" i="7"/>
  <c r="H375" i="7"/>
  <c r="H374" i="7"/>
  <c r="G373" i="7"/>
  <c r="F373" i="7"/>
  <c r="H372" i="7"/>
  <c r="F371" i="7"/>
  <c r="G370" i="7"/>
  <c r="G369" i="7" s="1"/>
  <c r="H367" i="7"/>
  <c r="H366" i="7"/>
  <c r="H365" i="7"/>
  <c r="G364" i="7"/>
  <c r="F364" i="7"/>
  <c r="F363" i="7"/>
  <c r="F362" i="7" s="1"/>
  <c r="F361" i="7" s="1"/>
  <c r="G362" i="7"/>
  <c r="G361" i="7" s="1"/>
  <c r="G360" i="7" s="1"/>
  <c r="H359" i="7"/>
  <c r="H358" i="7"/>
  <c r="H357" i="7"/>
  <c r="H356" i="7"/>
  <c r="H355" i="7"/>
  <c r="G355" i="7"/>
  <c r="G343" i="7" s="1"/>
  <c r="F355" i="7"/>
  <c r="H354" i="7"/>
  <c r="H353" i="7"/>
  <c r="H352" i="7"/>
  <c r="G352" i="7"/>
  <c r="F352" i="7"/>
  <c r="H351" i="7"/>
  <c r="H350" i="7"/>
  <c r="H349" i="7"/>
  <c r="H348" i="7"/>
  <c r="H347" i="7"/>
  <c r="H346" i="7"/>
  <c r="G346" i="7"/>
  <c r="F346" i="7"/>
  <c r="H345" i="7"/>
  <c r="H344" i="7"/>
  <c r="G344" i="7"/>
  <c r="F344" i="7"/>
  <c r="H343" i="7"/>
  <c r="F343" i="7"/>
  <c r="H342" i="7"/>
  <c r="H341" i="7"/>
  <c r="H340" i="7"/>
  <c r="G339" i="7"/>
  <c r="F339" i="7"/>
  <c r="H338" i="7"/>
  <c r="G337" i="7"/>
  <c r="F337" i="7"/>
  <c r="H328" i="7"/>
  <c r="H327" i="7"/>
  <c r="H326" i="7"/>
  <c r="H325" i="7"/>
  <c r="G324" i="7"/>
  <c r="G323" i="7" s="1"/>
  <c r="F324" i="7"/>
  <c r="H322" i="7"/>
  <c r="H321" i="7"/>
  <c r="H320" i="7"/>
  <c r="H319" i="7"/>
  <c r="G318" i="7"/>
  <c r="F318" i="7"/>
  <c r="F317" i="7" s="1"/>
  <c r="H314" i="7"/>
  <c r="H313" i="7"/>
  <c r="H312" i="7"/>
  <c r="G312" i="7"/>
  <c r="F312" i="7"/>
  <c r="H311" i="7"/>
  <c r="H310" i="7"/>
  <c r="G310" i="7"/>
  <c r="F310" i="7"/>
  <c r="F309" i="7" s="1"/>
  <c r="H309" i="7"/>
  <c r="G309" i="7"/>
  <c r="H305" i="7"/>
  <c r="H304" i="7"/>
  <c r="H303" i="7"/>
  <c r="F303" i="7"/>
  <c r="H302" i="7"/>
  <c r="G301" i="7"/>
  <c r="F301" i="7"/>
  <c r="F300" i="7" s="1"/>
  <c r="G300" i="7"/>
  <c r="H299" i="7"/>
  <c r="H298" i="7"/>
  <c r="H297" i="7"/>
  <c r="G296" i="7"/>
  <c r="G295" i="7" s="1"/>
  <c r="F296" i="7"/>
  <c r="H296" i="7" s="1"/>
  <c r="H294" i="7"/>
  <c r="H293" i="7"/>
  <c r="G293" i="7"/>
  <c r="G292" i="7" s="1"/>
  <c r="F293" i="7"/>
  <c r="F292" i="7"/>
  <c r="H291" i="7"/>
  <c r="H290" i="7"/>
  <c r="H289" i="7"/>
  <c r="H288" i="7"/>
  <c r="G287" i="7"/>
  <c r="G286" i="7" s="1"/>
  <c r="F287" i="7"/>
  <c r="H285" i="7"/>
  <c r="H284" i="7"/>
  <c r="H283" i="7"/>
  <c r="H282" i="7"/>
  <c r="H281" i="7"/>
  <c r="H280" i="7"/>
  <c r="G280" i="7"/>
  <c r="F280" i="7"/>
  <c r="G279" i="7"/>
  <c r="H279" i="7" s="1"/>
  <c r="F279" i="7"/>
  <c r="H278" i="7"/>
  <c r="H277" i="7"/>
  <c r="H276" i="7"/>
  <c r="G276" i="7"/>
  <c r="G275" i="7" s="1"/>
  <c r="F276" i="7"/>
  <c r="F275" i="7" s="1"/>
  <c r="H274" i="7"/>
  <c r="H273" i="7"/>
  <c r="G273" i="7"/>
  <c r="F273" i="7"/>
  <c r="H272" i="7"/>
  <c r="H271" i="7"/>
  <c r="H270" i="7"/>
  <c r="G269" i="7"/>
  <c r="F269" i="7"/>
  <c r="H269" i="7" s="1"/>
  <c r="H268" i="7"/>
  <c r="G267" i="7"/>
  <c r="G266" i="7" s="1"/>
  <c r="F267" i="7"/>
  <c r="H265" i="7"/>
  <c r="H264" i="7"/>
  <c r="H263" i="7"/>
  <c r="G262" i="7"/>
  <c r="F262" i="7"/>
  <c r="H261" i="7"/>
  <c r="H260" i="7"/>
  <c r="G259" i="7"/>
  <c r="F259" i="7"/>
  <c r="H259" i="7" s="1"/>
  <c r="H257" i="7"/>
  <c r="G256" i="7"/>
  <c r="G255" i="7" s="1"/>
  <c r="F256" i="7"/>
  <c r="H256" i="7" s="1"/>
  <c r="H254" i="7"/>
  <c r="H253" i="7"/>
  <c r="H252" i="7"/>
  <c r="H251" i="7"/>
  <c r="H250" i="7"/>
  <c r="H249" i="7"/>
  <c r="H248" i="7"/>
  <c r="G247" i="7"/>
  <c r="G244" i="7" s="1"/>
  <c r="F247" i="7"/>
  <c r="H247" i="7" s="1"/>
  <c r="H246" i="7"/>
  <c r="G245" i="7"/>
  <c r="F245" i="7"/>
  <c r="H243" i="7"/>
  <c r="G242" i="7"/>
  <c r="F242" i="7"/>
  <c r="H242" i="7" s="1"/>
  <c r="H241" i="7"/>
  <c r="H240" i="7"/>
  <c r="H239" i="7"/>
  <c r="H238" i="7"/>
  <c r="H237" i="7"/>
  <c r="G236" i="7"/>
  <c r="G235" i="7" s="1"/>
  <c r="F236" i="7"/>
  <c r="H236" i="7" s="1"/>
  <c r="F234" i="7"/>
  <c r="H234" i="7" s="1"/>
  <c r="H233" i="7"/>
  <c r="H232" i="7"/>
  <c r="G231" i="7"/>
  <c r="G230" i="7" s="1"/>
  <c r="F231" i="7"/>
  <c r="H231" i="7" s="1"/>
  <c r="H229" i="7"/>
  <c r="G228" i="7"/>
  <c r="G227" i="7" s="1"/>
  <c r="F228" i="7"/>
  <c r="F227" i="7" s="1"/>
  <c r="H227" i="7" s="1"/>
  <c r="H226" i="7"/>
  <c r="H225" i="7"/>
  <c r="G224" i="7"/>
  <c r="G223" i="7" s="1"/>
  <c r="F224" i="7"/>
  <c r="F223" i="7"/>
  <c r="H223" i="7" s="1"/>
  <c r="H222" i="7"/>
  <c r="H221" i="7"/>
  <c r="H220" i="7"/>
  <c r="H219" i="7"/>
  <c r="H218" i="7"/>
  <c r="H217" i="7"/>
  <c r="H216" i="7"/>
  <c r="H215" i="7"/>
  <c r="H214" i="7"/>
  <c r="G213" i="7"/>
  <c r="F213" i="7"/>
  <c r="H213" i="7" s="1"/>
  <c r="H212" i="7"/>
  <c r="H211" i="7"/>
  <c r="G210" i="7"/>
  <c r="G209" i="7" s="1"/>
  <c r="F210" i="7"/>
  <c r="F209" i="7"/>
  <c r="H209" i="7" s="1"/>
  <c r="H208" i="7"/>
  <c r="G207" i="7"/>
  <c r="G206" i="7" s="1"/>
  <c r="F207" i="7"/>
  <c r="F205" i="7"/>
  <c r="F202" i="7" s="1"/>
  <c r="H202" i="7" s="1"/>
  <c r="H204" i="7"/>
  <c r="H203" i="7"/>
  <c r="G202" i="7"/>
  <c r="G201" i="7" s="1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G185" i="7"/>
  <c r="F185" i="7"/>
  <c r="H184" i="7"/>
  <c r="H183" i="7"/>
  <c r="G182" i="7"/>
  <c r="G181" i="7" s="1"/>
  <c r="F182" i="7"/>
  <c r="H179" i="7"/>
  <c r="G179" i="7"/>
  <c r="G178" i="7"/>
  <c r="F177" i="7"/>
  <c r="F176" i="7"/>
  <c r="F175" i="7" s="1"/>
  <c r="H174" i="7"/>
  <c r="H173" i="7"/>
  <c r="H172" i="7"/>
  <c r="G171" i="7"/>
  <c r="F171" i="7"/>
  <c r="H170" i="7"/>
  <c r="H169" i="7"/>
  <c r="H168" i="7"/>
  <c r="H167" i="7"/>
  <c r="H166" i="7"/>
  <c r="H165" i="7"/>
  <c r="H164" i="7"/>
  <c r="H163" i="7"/>
  <c r="H162" i="7"/>
  <c r="H161" i="7"/>
  <c r="H160" i="7"/>
  <c r="G160" i="7"/>
  <c r="G159" i="7" s="1"/>
  <c r="G158" i="7" s="1"/>
  <c r="F160" i="7"/>
  <c r="H156" i="7"/>
  <c r="G155" i="7"/>
  <c r="F155" i="7"/>
  <c r="H154" i="7"/>
  <c r="H153" i="7"/>
  <c r="H152" i="7"/>
  <c r="F152" i="7"/>
  <c r="G151" i="7"/>
  <c r="F151" i="7"/>
  <c r="H150" i="7"/>
  <c r="H149" i="7"/>
  <c r="H148" i="7"/>
  <c r="G147" i="7"/>
  <c r="H147" i="7" s="1"/>
  <c r="F147" i="7"/>
  <c r="H146" i="7"/>
  <c r="G145" i="7"/>
  <c r="F145" i="7"/>
  <c r="H144" i="7"/>
  <c r="G143" i="7"/>
  <c r="H143" i="7" s="1"/>
  <c r="F143" i="7"/>
  <c r="F142" i="7"/>
  <c r="F141" i="7" s="1"/>
  <c r="H140" i="7"/>
  <c r="H139" i="7"/>
  <c r="G138" i="7"/>
  <c r="G137" i="7" s="1"/>
  <c r="F138" i="7"/>
  <c r="F137" i="7" s="1"/>
  <c r="H136" i="7"/>
  <c r="H135" i="7"/>
  <c r="H134" i="7"/>
  <c r="H133" i="7"/>
  <c r="G132" i="7"/>
  <c r="F132" i="7"/>
  <c r="H132" i="7" s="1"/>
  <c r="H131" i="7"/>
  <c r="H130" i="7"/>
  <c r="G129" i="7"/>
  <c r="F129" i="7"/>
  <c r="H129" i="7" s="1"/>
  <c r="H128" i="7"/>
  <c r="G127" i="7"/>
  <c r="F127" i="7"/>
  <c r="H127" i="7" s="1"/>
  <c r="H124" i="7"/>
  <c r="G123" i="7"/>
  <c r="G122" i="7" s="1"/>
  <c r="G121" i="7" s="1"/>
  <c r="F123" i="7"/>
  <c r="H123" i="7" s="1"/>
  <c r="F122" i="7"/>
  <c r="H122" i="7" s="1"/>
  <c r="H120" i="7"/>
  <c r="G119" i="7"/>
  <c r="F119" i="7"/>
  <c r="G118" i="7"/>
  <c r="G117" i="7" s="1"/>
  <c r="H116" i="7"/>
  <c r="G115" i="7"/>
  <c r="F115" i="7"/>
  <c r="H115" i="7" s="1"/>
  <c r="H114" i="7"/>
  <c r="G113" i="7"/>
  <c r="G112" i="7" s="1"/>
  <c r="F113" i="7"/>
  <c r="F112" i="7" s="1"/>
  <c r="F111" i="7"/>
  <c r="H111" i="7" s="1"/>
  <c r="H110" i="7"/>
  <c r="G109" i="7"/>
  <c r="H107" i="7"/>
  <c r="H106" i="7"/>
  <c r="G105" i="7"/>
  <c r="F105" i="7"/>
  <c r="F104" i="7" s="1"/>
  <c r="H100" i="7"/>
  <c r="G99" i="7"/>
  <c r="G98" i="7" s="1"/>
  <c r="G97" i="7" s="1"/>
  <c r="F99" i="7"/>
  <c r="F98" i="7" s="1"/>
  <c r="F97" i="7" s="1"/>
  <c r="H97" i="7" s="1"/>
  <c r="H95" i="7"/>
  <c r="G94" i="7"/>
  <c r="G93" i="7" s="1"/>
  <c r="G92" i="7" s="1"/>
  <c r="F94" i="7"/>
  <c r="H90" i="7"/>
  <c r="H89" i="7"/>
  <c r="G89" i="7"/>
  <c r="F89" i="7"/>
  <c r="F88" i="7" s="1"/>
  <c r="G88" i="7"/>
  <c r="G87" i="7" s="1"/>
  <c r="F87" i="7"/>
  <c r="H86" i="7"/>
  <c r="G85" i="7"/>
  <c r="F85" i="7"/>
  <c r="G84" i="7"/>
  <c r="H83" i="7"/>
  <c r="G82" i="7"/>
  <c r="F82" i="7"/>
  <c r="F81" i="7" s="1"/>
  <c r="H80" i="7"/>
  <c r="G79" i="7"/>
  <c r="G78" i="7" s="1"/>
  <c r="F79" i="7"/>
  <c r="F78" i="7" s="1"/>
  <c r="F76" i="7"/>
  <c r="H76" i="7" s="1"/>
  <c r="G75" i="7"/>
  <c r="G74" i="7" s="1"/>
  <c r="G73" i="7" s="1"/>
  <c r="H71" i="7"/>
  <c r="G70" i="7"/>
  <c r="F70" i="7"/>
  <c r="F69" i="7"/>
  <c r="H68" i="7"/>
  <c r="G67" i="7"/>
  <c r="F67" i="7"/>
  <c r="H67" i="7" s="1"/>
  <c r="H66" i="7"/>
  <c r="G65" i="7"/>
  <c r="F65" i="7"/>
  <c r="H65" i="7" s="1"/>
  <c r="G64" i="7"/>
  <c r="H63" i="7"/>
  <c r="H62" i="7"/>
  <c r="G62" i="7"/>
  <c r="F62" i="7"/>
  <c r="F61" i="7" s="1"/>
  <c r="G61" i="7"/>
  <c r="H60" i="7"/>
  <c r="G59" i="7"/>
  <c r="G58" i="7" s="1"/>
  <c r="F59" i="7"/>
  <c r="H59" i="7" s="1"/>
  <c r="H58" i="7"/>
  <c r="F58" i="7"/>
  <c r="H56" i="7"/>
  <c r="G55" i="7"/>
  <c r="G54" i="7" s="1"/>
  <c r="G53" i="7" s="1"/>
  <c r="F55" i="7"/>
  <c r="F54" i="7" s="1"/>
  <c r="F52" i="7"/>
  <c r="G51" i="7"/>
  <c r="G50" i="7" s="1"/>
  <c r="H49" i="7"/>
  <c r="G48" i="7"/>
  <c r="F48" i="7"/>
  <c r="H48" i="7" s="1"/>
  <c r="H47" i="7"/>
  <c r="G46" i="7"/>
  <c r="F46" i="7"/>
  <c r="F45" i="7" s="1"/>
  <c r="H45" i="7" s="1"/>
  <c r="G45" i="7"/>
  <c r="H44" i="7"/>
  <c r="G43" i="7"/>
  <c r="G42" i="7" s="1"/>
  <c r="F43" i="7"/>
  <c r="H43" i="7" s="1"/>
  <c r="H40" i="7"/>
  <c r="G39" i="7"/>
  <c r="G38" i="7" s="1"/>
  <c r="F39" i="7"/>
  <c r="F38" i="7" s="1"/>
  <c r="H37" i="7"/>
  <c r="G36" i="7"/>
  <c r="H36" i="7" s="1"/>
  <c r="F36" i="7"/>
  <c r="F35" i="7" s="1"/>
  <c r="H34" i="7"/>
  <c r="H33" i="7"/>
  <c r="G33" i="7"/>
  <c r="G32" i="7" s="1"/>
  <c r="F33" i="7"/>
  <c r="F32" i="7"/>
  <c r="H30" i="7"/>
  <c r="G29" i="7"/>
  <c r="G28" i="7" s="1"/>
  <c r="F29" i="7"/>
  <c r="F28" i="7" s="1"/>
  <c r="H28" i="7" s="1"/>
  <c r="H27" i="7"/>
  <c r="G26" i="7"/>
  <c r="G25" i="7" s="1"/>
  <c r="F26" i="7"/>
  <c r="H23" i="7"/>
  <c r="H22" i="7"/>
  <c r="G22" i="7"/>
  <c r="G21" i="7" s="1"/>
  <c r="F22" i="7"/>
  <c r="F21" i="7" s="1"/>
  <c r="H20" i="7"/>
  <c r="G19" i="7"/>
  <c r="G18" i="7" s="1"/>
  <c r="F19" i="7"/>
  <c r="F18" i="7" s="1"/>
  <c r="H16" i="7"/>
  <c r="H15" i="7"/>
  <c r="G14" i="7"/>
  <c r="G13" i="7" s="1"/>
  <c r="F14" i="7"/>
  <c r="F13" i="7"/>
  <c r="F12" i="7" s="1"/>
  <c r="G197" i="9" l="1"/>
  <c r="H235" i="7"/>
  <c r="G91" i="7"/>
  <c r="H570" i="7"/>
  <c r="G569" i="7"/>
  <c r="F201" i="7"/>
  <c r="H201" i="7" s="1"/>
  <c r="H39" i="7"/>
  <c r="F64" i="7"/>
  <c r="H64" i="7" s="1"/>
  <c r="H79" i="7"/>
  <c r="H82" i="7"/>
  <c r="H99" i="7"/>
  <c r="H105" i="7"/>
  <c r="F109" i="7"/>
  <c r="F108" i="7" s="1"/>
  <c r="H113" i="7"/>
  <c r="G126" i="7"/>
  <c r="G125" i="7" s="1"/>
  <c r="H138" i="7"/>
  <c r="H145" i="7"/>
  <c r="F235" i="7"/>
  <c r="F255" i="7"/>
  <c r="H255" i="7" s="1"/>
  <c r="H262" i="7"/>
  <c r="F266" i="7"/>
  <c r="H266" i="7" s="1"/>
  <c r="F295" i="7"/>
  <c r="H295" i="7" s="1"/>
  <c r="H301" i="7"/>
  <c r="H363" i="7"/>
  <c r="H451" i="7"/>
  <c r="H475" i="7"/>
  <c r="H492" i="7"/>
  <c r="H500" i="7"/>
  <c r="H514" i="7"/>
  <c r="F570" i="7"/>
  <c r="F569" i="7" s="1"/>
  <c r="G575" i="7"/>
  <c r="F599" i="7"/>
  <c r="F598" i="7" s="1"/>
  <c r="H21" i="7"/>
  <c r="H26" i="7"/>
  <c r="H46" i="7"/>
  <c r="H70" i="7"/>
  <c r="F159" i="7"/>
  <c r="H159" i="7" s="1"/>
  <c r="H182" i="7"/>
  <c r="H275" i="7"/>
  <c r="F336" i="7"/>
  <c r="H364" i="7"/>
  <c r="H401" i="7"/>
  <c r="F408" i="7"/>
  <c r="F413" i="7"/>
  <c r="H433" i="7"/>
  <c r="G491" i="7"/>
  <c r="F541" i="7"/>
  <c r="F556" i="7"/>
  <c r="F591" i="7"/>
  <c r="F588" i="7" s="1"/>
  <c r="H588" i="7" s="1"/>
  <c r="F605" i="7"/>
  <c r="H615" i="7"/>
  <c r="H32" i="7"/>
  <c r="G17" i="7"/>
  <c r="F42" i="7"/>
  <c r="H42" i="7" s="1"/>
  <c r="H87" i="7"/>
  <c r="F121" i="7"/>
  <c r="F258" i="7"/>
  <c r="H373" i="7"/>
  <c r="H408" i="7"/>
  <c r="H444" i="7"/>
  <c r="H496" i="7"/>
  <c r="H510" i="7"/>
  <c r="H556" i="7"/>
  <c r="F576" i="7"/>
  <c r="H614" i="7"/>
  <c r="H18" i="7"/>
  <c r="H12" i="7"/>
  <c r="H13" i="7"/>
  <c r="G12" i="7"/>
  <c r="H121" i="7"/>
  <c r="H395" i="7"/>
  <c r="F394" i="7"/>
  <c r="H394" i="7" s="1"/>
  <c r="H550" i="7"/>
  <c r="F549" i="7"/>
  <c r="F17" i="7"/>
  <c r="H17" i="7" s="1"/>
  <c r="H19" i="7"/>
  <c r="H54" i="7"/>
  <c r="H85" i="7"/>
  <c r="F84" i="7"/>
  <c r="G258" i="7"/>
  <c r="F25" i="7"/>
  <c r="H29" i="7"/>
  <c r="H38" i="7"/>
  <c r="F53" i="7"/>
  <c r="H53" i="7" s="1"/>
  <c r="H88" i="7"/>
  <c r="H98" i="7"/>
  <c r="H245" i="7"/>
  <c r="F244" i="7"/>
  <c r="H244" i="7" s="1"/>
  <c r="H361" i="7"/>
  <c r="F360" i="7"/>
  <c r="H360" i="7" s="1"/>
  <c r="H371" i="7"/>
  <c r="F370" i="7"/>
  <c r="G388" i="7"/>
  <c r="H389" i="7"/>
  <c r="H432" i="7"/>
  <c r="F424" i="7"/>
  <c r="H424" i="7" s="1"/>
  <c r="G317" i="7"/>
  <c r="H318" i="7"/>
  <c r="G336" i="7"/>
  <c r="H336" i="7" s="1"/>
  <c r="H337" i="7"/>
  <c r="H435" i="7"/>
  <c r="F434" i="7"/>
  <c r="H434" i="7" s="1"/>
  <c r="G523" i="7"/>
  <c r="H523" i="7" s="1"/>
  <c r="H524" i="7"/>
  <c r="H14" i="7"/>
  <c r="H52" i="7"/>
  <c r="F51" i="7"/>
  <c r="H61" i="7"/>
  <c r="H94" i="7"/>
  <c r="F93" i="7"/>
  <c r="H119" i="7"/>
  <c r="F118" i="7"/>
  <c r="G379" i="7"/>
  <c r="H380" i="7"/>
  <c r="G35" i="7"/>
  <c r="H35" i="7" s="1"/>
  <c r="H55" i="7"/>
  <c r="H78" i="7"/>
  <c r="F103" i="7"/>
  <c r="H112" i="7"/>
  <c r="F126" i="7"/>
  <c r="H137" i="7"/>
  <c r="F158" i="7"/>
  <c r="H158" i="7" s="1"/>
  <c r="H292" i="7"/>
  <c r="H398" i="7"/>
  <c r="F397" i="7"/>
  <c r="H447" i="7"/>
  <c r="H450" i="7"/>
  <c r="F491" i="7"/>
  <c r="H536" i="7"/>
  <c r="F530" i="7"/>
  <c r="H530" i="7" s="1"/>
  <c r="H553" i="7"/>
  <c r="F552" i="7"/>
  <c r="H552" i="7" s="1"/>
  <c r="H155" i="7"/>
  <c r="H207" i="7"/>
  <c r="F206" i="7"/>
  <c r="H206" i="7" s="1"/>
  <c r="H210" i="7"/>
  <c r="H224" i="7"/>
  <c r="F230" i="7"/>
  <c r="H230" i="7" s="1"/>
  <c r="H317" i="7"/>
  <c r="H362" i="7"/>
  <c r="H379" i="7"/>
  <c r="F385" i="7"/>
  <c r="H385" i="7" s="1"/>
  <c r="H388" i="7"/>
  <c r="G397" i="7"/>
  <c r="H448" i="7"/>
  <c r="H469" i="7"/>
  <c r="F467" i="7"/>
  <c r="H480" i="7"/>
  <c r="F562" i="7"/>
  <c r="H562" i="7" s="1"/>
  <c r="H576" i="7"/>
  <c r="H582" i="7"/>
  <c r="F581" i="7"/>
  <c r="H581" i="7" s="1"/>
  <c r="H171" i="7"/>
  <c r="G177" i="7"/>
  <c r="H178" i="7"/>
  <c r="H228" i="7"/>
  <c r="H267" i="7"/>
  <c r="H287" i="7"/>
  <c r="F286" i="7"/>
  <c r="H286" i="7" s="1"/>
  <c r="H413" i="7"/>
  <c r="G446" i="7"/>
  <c r="H463" i="7"/>
  <c r="F462" i="7"/>
  <c r="H462" i="7" s="1"/>
  <c r="G479" i="7"/>
  <c r="H479" i="7" s="1"/>
  <c r="H560" i="7"/>
  <c r="F559" i="7"/>
  <c r="H595" i="7"/>
  <c r="H598" i="7"/>
  <c r="H613" i="7"/>
  <c r="G620" i="7"/>
  <c r="H621" i="7"/>
  <c r="H628" i="7"/>
  <c r="F627" i="7"/>
  <c r="G69" i="7"/>
  <c r="H69" i="7" s="1"/>
  <c r="F75" i="7"/>
  <c r="G81" i="7"/>
  <c r="H81" i="7" s="1"/>
  <c r="G104" i="7"/>
  <c r="G108" i="7"/>
  <c r="H108" i="7" s="1"/>
  <c r="G142" i="7"/>
  <c r="H151" i="7"/>
  <c r="F181" i="7"/>
  <c r="H205" i="7"/>
  <c r="H300" i="7"/>
  <c r="H324" i="7"/>
  <c r="F323" i="7"/>
  <c r="H323" i="7" s="1"/>
  <c r="H339" i="7"/>
  <c r="H436" i="7"/>
  <c r="H454" i="7"/>
  <c r="H569" i="7"/>
  <c r="H586" i="7"/>
  <c r="F585" i="7"/>
  <c r="H585" i="7" s="1"/>
  <c r="H591" i="7"/>
  <c r="H599" i="7"/>
  <c r="H629" i="7"/>
  <c r="H397" i="7" l="1"/>
  <c r="G368" i="7"/>
  <c r="F57" i="7"/>
  <c r="H605" i="7"/>
  <c r="F604" i="7"/>
  <c r="H604" i="7" s="1"/>
  <c r="G180" i="7"/>
  <c r="H109" i="7"/>
  <c r="F540" i="7"/>
  <c r="H540" i="7" s="1"/>
  <c r="H541" i="7"/>
  <c r="G568" i="7"/>
  <c r="G141" i="7"/>
  <c r="H141" i="7" s="1"/>
  <c r="H142" i="7"/>
  <c r="H75" i="7"/>
  <c r="F74" i="7"/>
  <c r="F125" i="7"/>
  <c r="H126" i="7"/>
  <c r="H84" i="7"/>
  <c r="F77" i="7"/>
  <c r="H118" i="7"/>
  <c r="F117" i="7"/>
  <c r="H117" i="7" s="1"/>
  <c r="G466" i="7"/>
  <c r="H620" i="7"/>
  <c r="G619" i="7"/>
  <c r="F555" i="7"/>
  <c r="H555" i="7" s="1"/>
  <c r="H559" i="7"/>
  <c r="F575" i="7"/>
  <c r="F446" i="7"/>
  <c r="H93" i="7"/>
  <c r="F92" i="7"/>
  <c r="H51" i="7"/>
  <c r="F50" i="7"/>
  <c r="H50" i="7" s="1"/>
  <c r="F369" i="7"/>
  <c r="H370" i="7"/>
  <c r="G77" i="7"/>
  <c r="G72" i="7" s="1"/>
  <c r="F548" i="7"/>
  <c r="H548" i="7" s="1"/>
  <c r="H549" i="7"/>
  <c r="G24" i="7"/>
  <c r="G176" i="7"/>
  <c r="H177" i="7"/>
  <c r="F466" i="7"/>
  <c r="H467" i="7"/>
  <c r="H181" i="7"/>
  <c r="F180" i="7"/>
  <c r="G103" i="7"/>
  <c r="H103" i="7" s="1"/>
  <c r="H104" i="7"/>
  <c r="H627" i="7"/>
  <c r="F597" i="7"/>
  <c r="H491" i="7"/>
  <c r="H258" i="7"/>
  <c r="G57" i="7"/>
  <c r="F24" i="7"/>
  <c r="H25" i="7"/>
  <c r="H77" i="7" l="1"/>
  <c r="G11" i="7"/>
  <c r="G10" i="7" s="1"/>
  <c r="H74" i="7"/>
  <c r="F73" i="7"/>
  <c r="H180" i="7"/>
  <c r="H57" i="7"/>
  <c r="H446" i="7"/>
  <c r="G618" i="7"/>
  <c r="H619" i="7"/>
  <c r="G102" i="7"/>
  <c r="F91" i="7"/>
  <c r="H92" i="7"/>
  <c r="H24" i="7"/>
  <c r="F11" i="7"/>
  <c r="H466" i="7"/>
  <c r="F368" i="7"/>
  <c r="H369" i="7"/>
  <c r="F102" i="7"/>
  <c r="G175" i="7"/>
  <c r="H175" i="7" s="1"/>
  <c r="H176" i="7"/>
  <c r="H575" i="7"/>
  <c r="F568" i="7"/>
  <c r="H125" i="7"/>
  <c r="H11" i="7" l="1"/>
  <c r="H368" i="7"/>
  <c r="H73" i="7"/>
  <c r="F72" i="7"/>
  <c r="F101" i="7"/>
  <c r="H102" i="7"/>
  <c r="H91" i="7"/>
  <c r="H568" i="7"/>
  <c r="H618" i="7"/>
  <c r="G597" i="7"/>
  <c r="H72" i="7" l="1"/>
  <c r="H597" i="7"/>
  <c r="G101" i="7"/>
  <c r="F10" i="7"/>
  <c r="H10" i="7" l="1"/>
  <c r="H101" i="7"/>
</calcChain>
</file>

<file path=xl/sharedStrings.xml><?xml version="1.0" encoding="utf-8"?>
<sst xmlns="http://schemas.openxmlformats.org/spreadsheetml/2006/main" count="1432" uniqueCount="583">
  <si>
    <t>Załącznik Nr 1</t>
  </si>
  <si>
    <t>PREZYDENTA MIASTA WŁOCŁAWEK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</si>
  <si>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</si>
  <si>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</si>
  <si>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</si>
  <si>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</si>
  <si>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</si>
  <si>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</si>
  <si>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</si>
  <si>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</si>
  <si>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</si>
  <si>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</si>
  <si>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Stołówki szkolne i przedszkolne</t>
  </si>
  <si>
    <t>WYDATKI OGÓŁEM:</t>
  </si>
  <si>
    <t>Wydatki na zadania własne:</t>
  </si>
  <si>
    <t>Szkoły podstawowe</t>
  </si>
  <si>
    <t>Wydział Edukacji, Zdrowia i Polityki Społecznej</t>
  </si>
  <si>
    <t>Przedszkola</t>
  </si>
  <si>
    <t>zakup usług pozostałych</t>
  </si>
  <si>
    <t>Technika</t>
  </si>
  <si>
    <t>Licea ogólnokształcące</t>
  </si>
  <si>
    <t>Jednostki oświatowe zbiorczo</t>
  </si>
  <si>
    <t>wynagrodzenia bezosobowe</t>
  </si>
  <si>
    <t>Edukacyjna opieka wychowawcza</t>
  </si>
  <si>
    <t>Internaty i bursy szkolne</t>
  </si>
  <si>
    <t>wpłaty na PPK finansowane przez podmiot zatrudniający</t>
  </si>
  <si>
    <t xml:space="preserve">składki na Fundusz Pracy oraz Fundusz Solidarnościowy </t>
  </si>
  <si>
    <t>4170</t>
  </si>
  <si>
    <t>Załącznik Nr 2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</si>
  <si>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</si>
  <si>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</si>
  <si>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</si>
  <si>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</si>
  <si>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</si>
  <si>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</si>
  <si>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</si>
  <si>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</si>
  <si>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</si>
  <si>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</si>
  <si>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</si>
  <si>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Zmiany w budżecie miasta Włocławek na 2025 rok</t>
  </si>
  <si>
    <t>Administracja publiczna</t>
  </si>
  <si>
    <t>4210</t>
  </si>
  <si>
    <t>zakup materiałów i wyposażenia</t>
  </si>
  <si>
    <t>zakup środków żywności</t>
  </si>
  <si>
    <t xml:space="preserve">składki na ubezpieczenia społeczne </t>
  </si>
  <si>
    <t xml:space="preserve">Plan </t>
  </si>
  <si>
    <t xml:space="preserve"> dochodów i wydatków wydzielonych rachunków dochodów oświatowych jednostek budżetowych na 2025 rok</t>
  </si>
  <si>
    <t>(zbiorczo)</t>
  </si>
  <si>
    <t>Stan środków pieniężnych na początek roku</t>
  </si>
  <si>
    <t>Stan środków pieniężnych na koniec roku</t>
  </si>
  <si>
    <t>Wyszczególnienie</t>
  </si>
  <si>
    <t>Dochody</t>
  </si>
  <si>
    <t>Wydatki</t>
  </si>
  <si>
    <t>Szkoły podstawowe specjalne</t>
  </si>
  <si>
    <t xml:space="preserve">Szkoły artystyczne </t>
  </si>
  <si>
    <t>Placówki kształcenia ustawicznego i centra kształcenia zawodowego</t>
  </si>
  <si>
    <t>Ośrodki szkolenia, dokształcania i doskonalenia kadr</t>
  </si>
  <si>
    <t>Inne formy kształcenia osobno niewymienione</t>
  </si>
  <si>
    <t xml:space="preserve">Kolonie i obozy oraz inne formy wypoczynku dzieci i młodzieży szkolnej, a także szkolenia młodzieży </t>
  </si>
  <si>
    <t>Szkolne schroniska młodzieżowe</t>
  </si>
  <si>
    <t>Młodzieżowe ośrodki wychowawcze</t>
  </si>
  <si>
    <t xml:space="preserve">Ogółem </t>
  </si>
  <si>
    <t>DOCHODY OGÓŁEM:</t>
  </si>
  <si>
    <t>Dochody na zadania własne:</t>
  </si>
  <si>
    <t>Obrona narodowa</t>
  </si>
  <si>
    <t>Pozostała działalność</t>
  </si>
  <si>
    <t xml:space="preserve">Organ </t>
  </si>
  <si>
    <t>2030</t>
  </si>
  <si>
    <t>dotacja celowa otrzymana z budżetu państwa na realizację własnych zadań bieżących gmin (związków gmin, związków powiatowo-gminnych)</t>
  </si>
  <si>
    <t>6330</t>
  </si>
  <si>
    <t>dotacja celowa otrzymana z budżetu państwa na realizację inwestycji i zakupów inwestycyjnych własnych gmin (związków gmin, związków powiatowo-gminnych)</t>
  </si>
  <si>
    <t>Oświata i wychowanie</t>
  </si>
  <si>
    <t>2130</t>
  </si>
  <si>
    <t>dotacje celowe otrzymane z budżetu państwa na realizację bieżących zadań własnych powiatu</t>
  </si>
  <si>
    <t>Organ - projekty w ramach grantów Lokalnej Grupy Działania Miasta Włocławek</t>
  </si>
  <si>
    <t>2057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</si>
  <si>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</si>
  <si>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852</t>
  </si>
  <si>
    <t>Pomoc społeczna</t>
  </si>
  <si>
    <t>Domy pomocy społecznej</t>
  </si>
  <si>
    <t>Organ</t>
  </si>
  <si>
    <t>Ośrodki wsparcia</t>
  </si>
  <si>
    <t xml:space="preserve">Zasiłki okresowe, celowe i pomoc w naturze oraz składki </t>
  </si>
  <si>
    <t>na ubezpieczenia emerytalne i rentowe</t>
  </si>
  <si>
    <t>Organ - Fundusz Pomocy (zasiłki okresowe)</t>
  </si>
  <si>
    <t>2100</t>
  </si>
  <si>
    <t>środki z Funduszu Pomocy na finansowanie lub dofinansowanie zadań bieżących w zakresie pomocy obywatelom Ukrainy</t>
  </si>
  <si>
    <t>Zasiłki stałe</t>
  </si>
  <si>
    <t>Ośrodki pomocy społecznej</t>
  </si>
  <si>
    <t>dotacje celowe otrzymane z budżetu państwa na realizację własnych zadań bieżących gmin (związków gmin, związków powiatowo-gminnych)</t>
  </si>
  <si>
    <t>Jednostki specjalistycznego poradnictwa, mieszkania</t>
  </si>
  <si>
    <t>chronione i ośrodki interwencji kryzysowej</t>
  </si>
  <si>
    <t>Pomoc w zakresie dożywiania</t>
  </si>
  <si>
    <t>Organ - Fundusz Pomocy (zapewnienie posiłku dzieciom i młodzieży)</t>
  </si>
  <si>
    <t>Organ - Fundusz Pomocy (zasiłki stałe wraz ze składkami zdrowotnymi)</t>
  </si>
  <si>
    <t>Pomoc materialna dla uczniów o charakterze socjalnym</t>
  </si>
  <si>
    <t>2040</t>
  </si>
  <si>
    <t>dotacja celowa otrzymana z budżetu państwa na realizację zadań bieżących gmin z zakresu edukacyjnej opieki wychowawczej finansowanych w całości przez budżet państwa w ramach programów rządowych</t>
  </si>
  <si>
    <t>Rodzina</t>
  </si>
  <si>
    <t>Wspieranie rodziny</t>
  </si>
  <si>
    <t>Rodziny zastępcze</t>
  </si>
  <si>
    <t>Działalność placówek opiekuńczo - wychowawczych</t>
  </si>
  <si>
    <t>Organ - Fundusz Pomocy (finansowanie pobytu dzieci obywateli Ukrainy umieszczonych w systemie pieczy zastępczej)</t>
  </si>
  <si>
    <t>Organ - Fundusz Pomocy (świadczenia rodzinne)</t>
  </si>
  <si>
    <t>Dochody na zadania zlecone:</t>
  </si>
  <si>
    <t>6310</t>
  </si>
  <si>
    <t>dotacja celowa otrzymana z budżetu państwa na inwestycje i zakupy inwestycyjne z zakresu administracji rządowej oraz innych zadań zleconych gminom ustawami</t>
  </si>
  <si>
    <t>2010</t>
  </si>
  <si>
    <t xml:space="preserve">dotacja celowa otrzymana z budżetu państwa na realizację zadań bieżących z zakresu administracji rządowej oraz innych zadań zleconych gminie (związkom gmin, związkom powiatowo-gminnym) ustawami </t>
  </si>
  <si>
    <t>Usługi opiekuńcze i specjalistyczne usługi opiekuńcze</t>
  </si>
  <si>
    <t xml:space="preserve">dotacje celowe otrzymane z budżetu państwa na realizację zadań bieżących z zakresu administracji rządowej oraz innych zadań zleconych gminie (związkom gmin, związkom powiatowo-gminnym) ustawami </t>
  </si>
  <si>
    <t>Świadczenia rodzinne, świadczenie z funduszu alimentacyjnego oraz składki na ubezpieczenia emerytalne i rentowe z ubezpieczenia społecznego</t>
  </si>
  <si>
    <t>2060</t>
  </si>
  <si>
    <t>dotacja celowe otrzymane z budżetu państwa na zadania bieżące z zakresu administracji rządowej zlecone gminom (związkom gmin, związkom powiatowo - gminnym), związane z realizacją świadczenia wychowawczego stanowiącego pomoc państwa w wychowywaniu dzieci</t>
  </si>
  <si>
    <t>Dochody na zadania rządowe:</t>
  </si>
  <si>
    <t>Gospodarka mieszkaniowa</t>
  </si>
  <si>
    <t>Gospodarka gruntami i nieruchomościami</t>
  </si>
  <si>
    <t>dotacje celowe otrzymane z budżetu państwa na zadania bieżące z zakresu administracji rządowej oraz inne zadania zlecone ustawami realizowane przez powiat</t>
  </si>
  <si>
    <t xml:space="preserve">Bezpieczeństwo publiczne i ochrona </t>
  </si>
  <si>
    <t>przeciwpożarowa</t>
  </si>
  <si>
    <t>Komendy powiatowe Państwowej Straży Pożarnej</t>
  </si>
  <si>
    <t>dotacja celowe otrzymane z budżetu państwa na zadania bieżące z zakresu administracji rządowej oraz inne zadania zlecone ustawami realizowane przez powiat</t>
  </si>
  <si>
    <t>Transport i łączność</t>
  </si>
  <si>
    <t>Drogi publiczne w miastach na prawach powiatu</t>
  </si>
  <si>
    <t xml:space="preserve">Miejski Zarząd Dróg i Zieleni </t>
  </si>
  <si>
    <t>zakup usług remontowych</t>
  </si>
  <si>
    <t>Drogi publiczne gminne</t>
  </si>
  <si>
    <t>wynagrodzenia osobowe pracowników</t>
  </si>
  <si>
    <t>Wydział Dróg, Transportu Zbiorowego i Energii</t>
  </si>
  <si>
    <t>Turystyka</t>
  </si>
  <si>
    <t>Zadania w zakresie upowszechniania turystyki</t>
  </si>
  <si>
    <t>Ośrodek Sportu i Rekreacji</t>
  </si>
  <si>
    <t>Gospodarowanie mieszkaniowym zasobem gminy</t>
  </si>
  <si>
    <t>Administracja Zasobów Komunalnych</t>
  </si>
  <si>
    <t>75023</t>
  </si>
  <si>
    <t>Urzędy gmin (miast i miast na prawach powiatu)</t>
  </si>
  <si>
    <t>Wydział Organizacyjno - Prawny i Kadr</t>
  </si>
  <si>
    <t>Wydział Informatyki i Danych Miejskich</t>
  </si>
  <si>
    <t>opłaty z tytułu zakupu usług telekomunikacyjnych</t>
  </si>
  <si>
    <t xml:space="preserve">różne opłaty i składki </t>
  </si>
  <si>
    <t>Wydział Informatyki i Danych Miejskich - projekt pn. "Cyberbezpieczny Samorząd"</t>
  </si>
  <si>
    <t>4217</t>
  </si>
  <si>
    <t>4219</t>
  </si>
  <si>
    <t>szkolenia pracowników niebędących członkami korpusu służby cywilnej</t>
  </si>
  <si>
    <t>75085</t>
  </si>
  <si>
    <t>Wspólna obsługa jednostek samorządu terytorialnego</t>
  </si>
  <si>
    <t>Centrum Usług Wspólnych Placówek Oświatowych</t>
  </si>
  <si>
    <t>wydatki osobowe niezaliczone do wynagrodzeń</t>
  </si>
  <si>
    <t>wydatki na zakupy inwestycyjne jednostek budżetowych</t>
  </si>
  <si>
    <t>Straż Miejska</t>
  </si>
  <si>
    <t>Wydział Nadzoru Właścicielskiego i Gospodarki Komunalnej</t>
  </si>
  <si>
    <t>Bezpieczeństwo publiczne i ochrona</t>
  </si>
  <si>
    <t>Straż gminna (miejska)</t>
  </si>
  <si>
    <t>dodatkowe wynagrodzenie roczne</t>
  </si>
  <si>
    <t xml:space="preserve">zakup usług obejmujących wykonanie ekspertyz, analiz i opinii </t>
  </si>
  <si>
    <t>podróże służbowe krajowe</t>
  </si>
  <si>
    <t>Obsługa Monitoringu</t>
  </si>
  <si>
    <t>Różne rozliczenia</t>
  </si>
  <si>
    <t>Rezerwy ogólne i celowe</t>
  </si>
  <si>
    <t>4810</t>
  </si>
  <si>
    <t xml:space="preserve">rezerwy </t>
  </si>
  <si>
    <t xml:space="preserve"> - rezerwa ogólna</t>
  </si>
  <si>
    <t xml:space="preserve"> - rezerwa celowa</t>
  </si>
  <si>
    <t xml:space="preserve">Wydział Edukacji, Zdrowia i Polityki Społecznej </t>
  </si>
  <si>
    <t>2540</t>
  </si>
  <si>
    <t>dotacja podmiotowa z budżetu dla niepublicznej jednostki systemu oświaty</t>
  </si>
  <si>
    <t>2590</t>
  </si>
  <si>
    <t>dotacja podmiotowa z budżetu dla publicznej jednostki systemu oświaty prowadzonej przez osobę prawną inną niż jednostka samorządu terytorialnego lub przez osobę fizyczną</t>
  </si>
  <si>
    <t>zakup energii</t>
  </si>
  <si>
    <t>zakup usług zdrowotnych</t>
  </si>
  <si>
    <t>wynagrodzenie osobowe nauczycieli</t>
  </si>
  <si>
    <t>dodatkowe wynagrodzenie roczne nauczycieli</t>
  </si>
  <si>
    <t>4790</t>
  </si>
  <si>
    <t>Oddziały przedszkolne w szkołach podstawowych</t>
  </si>
  <si>
    <t>4010</t>
  </si>
  <si>
    <t xml:space="preserve">szkolenia pracowników niebędących członkami korpusu służby cywilnej </t>
  </si>
  <si>
    <t xml:space="preserve">Przedszkola specjalne </t>
  </si>
  <si>
    <t>Inne formy wychowania przedszkolnego</t>
  </si>
  <si>
    <t>Świetlice szkolne</t>
  </si>
  <si>
    <t>3020</t>
  </si>
  <si>
    <t>4110</t>
  </si>
  <si>
    <t>Dowożenie uczniów do szkół</t>
  </si>
  <si>
    <t>4260</t>
  </si>
  <si>
    <t>4300</t>
  </si>
  <si>
    <t>opłaty za administrowanie i czynsze za budynki, lokale i pomieszczenia garażowe</t>
  </si>
  <si>
    <t>Szkoły policealne</t>
  </si>
  <si>
    <t>Branżowe szkoły I stopnia</t>
  </si>
  <si>
    <t>Jednostki oświatowe zbiorczo - Oddział przygotowania wojskowego</t>
  </si>
  <si>
    <t>Licea ogólnokształcące dla dorosłych</t>
  </si>
  <si>
    <t>Szkoły zawodowe specjalne</t>
  </si>
  <si>
    <t>4120</t>
  </si>
  <si>
    <t>Dokształcanie i doskonalenie zawodowe nauczycieli</t>
  </si>
  <si>
    <t>4410</t>
  </si>
  <si>
    <t>4700</t>
  </si>
  <si>
    <t xml:space="preserve">Realizacja zadań wymagających stosowania specjalnej </t>
  </si>
  <si>
    <t xml:space="preserve">organizacji nauki i metod pracy dla dzieci w przedszkolach, </t>
  </si>
  <si>
    <t>oddziałach przedszkolnych, w szkołach podstawowych</t>
  </si>
  <si>
    <t xml:space="preserve"> i innych formach wychowania przedszkolnego</t>
  </si>
  <si>
    <t>organizacji nauki i metod pracy dla dzieci i młodzieży</t>
  </si>
  <si>
    <t>w szkołach podstawowych</t>
  </si>
  <si>
    <t>Kwalifikacyjne kursy zawodowe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</si>
  <si>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</si>
  <si>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</si>
  <si>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</si>
  <si>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</si>
  <si>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</si>
  <si>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</si>
  <si>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Jednostki oświatowe zbiorczo - projekt w ramach grantów Lokalnej Grupy Działania Miasta Włocławek</t>
  </si>
  <si>
    <t>4117</t>
  </si>
  <si>
    <t>składki na ubezpieczenia społeczne i SFWON</t>
  </si>
  <si>
    <t>4127</t>
  </si>
  <si>
    <t>4177</t>
  </si>
  <si>
    <t>4307</t>
  </si>
  <si>
    <t>Zespół Szkół Samochodowych - Erasmus+ Akcja KA1 pn. "Międzynarodowe Praktyki Uczniów Szansą Rozwoju Zawodowego"</t>
  </si>
  <si>
    <t>Wydział Edukacji, Zdrowia i Polityki Społecznej - projekt pn. "Dostosowanie kształcenia zawodowego do potrzeb rynku pracy"</t>
  </si>
  <si>
    <t>4017</t>
  </si>
  <si>
    <t>4019</t>
  </si>
  <si>
    <t>4179</t>
  </si>
  <si>
    <t>851</t>
  </si>
  <si>
    <t>Ochrona zdrowia</t>
  </si>
  <si>
    <t>Przeciwdziałanie alkoholizmowi</t>
  </si>
  <si>
    <t>Centrum Wsparcia dla Osób w Kryzysie</t>
  </si>
  <si>
    <t xml:space="preserve">Centrum Opieki nad Dzieckiem </t>
  </si>
  <si>
    <t>Dom Pomocy Społecznej ul. Nowomiejska 19</t>
  </si>
  <si>
    <t>Dom Pomocy Społecznej ul. Dobrzyńska 102</t>
  </si>
  <si>
    <t>Dom Pomocy Społecznej przy ul. Nowomiejskiej 19 - Centrum Wsparcia Społecznego</t>
  </si>
  <si>
    <t>Miejski Ośrodek Pomocy Rodzinie - Fundusz Pomocy (zasiłki okresowe)</t>
  </si>
  <si>
    <t>świadczenia społeczne wypłacane obywatelom Ukrainy przebywającym na terytorium RP</t>
  </si>
  <si>
    <t>85215</t>
  </si>
  <si>
    <t>Dodatki mieszkaniowe</t>
  </si>
  <si>
    <t>Miejski Ośrodek Pomocy Rodzinie</t>
  </si>
  <si>
    <t>świadczenia społeczne</t>
  </si>
  <si>
    <t>odpisy na zakładowy fundusz świadczeń socjalnych</t>
  </si>
  <si>
    <t>Miejski Ośrodek Pomocy Rodzinie - dodatki motywacyjne</t>
  </si>
  <si>
    <t>dotacja celowa z budżetu na finansowanie lub dofinansowanie zadań zleconych do realizacji pozostałym jednostkom niezaliczanym do sektora finansów publicznych</t>
  </si>
  <si>
    <t>85228</t>
  </si>
  <si>
    <t>2360</t>
  </si>
  <si>
    <t>dotacja celowa z budżetu jednostki samorządu terytorialnego, udzielona w trybie art. 221 ustawy, na finansowanie lub dofinansowanie zadań zleconych do realizacji organizacjom prowadzącym działalność pożytku publicznego</t>
  </si>
  <si>
    <t xml:space="preserve">Miejski Ośrodek Pomocy Rodzinie </t>
  </si>
  <si>
    <t>4330</t>
  </si>
  <si>
    <t xml:space="preserve">zakup usług przez jednostki samorządu terytorialnego od innych jednostek samorządu terytorialnego </t>
  </si>
  <si>
    <t>Miejski Ośrodek Pomocy Rodzinie - Fundusz Pomocy (zapewnienie posiłku dzieciom i młodzieży)</t>
  </si>
  <si>
    <t>Dom Pomocy Społecznej przy ul. Nowomiejskiej 19 - mieszkania wspomagane ul. Piekarska 25</t>
  </si>
  <si>
    <t>Miejski Ośrodek Pomocy Rodzinie - projekt pn. "Pokonaj kryzys"</t>
  </si>
  <si>
    <t>Miejski Ośrodek Pomocy Rodzinie - Fundusz Pomocy (zasiłki stałe wraz ze składkami zdrowotnymi)</t>
  </si>
  <si>
    <t>Pozostałe zadania w zakresie polityki społecznej</t>
  </si>
  <si>
    <t>Miejska Jadłodajnia "U Świętego Antoniego"</t>
  </si>
  <si>
    <t>Włocławskie Centrum Organizacji Pozarządowych</t>
  </si>
  <si>
    <t xml:space="preserve">i Wolontariatu </t>
  </si>
  <si>
    <t>Specjalne ośrodki wychowawcze</t>
  </si>
  <si>
    <t>Poradnie psychologiczno-pedagogiczne</t>
  </si>
  <si>
    <t>4040</t>
  </si>
  <si>
    <t>inne formy pomocy dla uczniów</t>
  </si>
  <si>
    <t xml:space="preserve">Wydział Edukacji, Zdrowia i Polityki Społecznej  </t>
  </si>
  <si>
    <t>Miejski Ośrodek Pomocy Rodzinie - placówki wsparcia</t>
  </si>
  <si>
    <t>dziennego</t>
  </si>
  <si>
    <t>Miejski Ośrodek Pomocy Rodzinie - asystent rodziny</t>
  </si>
  <si>
    <t>Miejski Ośrodek Pomocy Rodzinie - rodziny zastępcze</t>
  </si>
  <si>
    <t>Miejski Ośrodek Pomocy Rodzinie - Zespół ds. pieczy zastępczej</t>
  </si>
  <si>
    <t>Centrum Opieki nad Dzieckiem</t>
  </si>
  <si>
    <t xml:space="preserve">Placówka Opiekuńczo - Wychowawcza Nr 1 "Maluch" </t>
  </si>
  <si>
    <t xml:space="preserve">Placówka Opiekuńczo - Wychowawcza Nr 2 "Calineczka" </t>
  </si>
  <si>
    <t>Placówka Opiekuńczo - Wychowawcza nr 6 "Nibylandia"</t>
  </si>
  <si>
    <t>Centrum Opieki nad Dzieckiem - dodatki motywacyjne</t>
  </si>
  <si>
    <t>składki na ubezpieczenie społeczne</t>
  </si>
  <si>
    <t>Placówka Opiekuńczo - Wychowawcza Nr 1 "Maluch"  - dodatki motywacyjne</t>
  </si>
  <si>
    <t>Placówka Opiekuńczo - Wychowawcza Nr 2 "Calineczka" - dodatki motywacyjne</t>
  </si>
  <si>
    <t>Placówka Opiekuńczo - Wychowawcza nr 6 "Nibylandia" - dodatki motywacyjne</t>
  </si>
  <si>
    <t>Centrum Opieki nad Dzieckiem - Fundusz Pomocy (finansowanie pobytu dzieci obywateli Ukrainy umieszczonych w systemie pieczy zastępczej)</t>
  </si>
  <si>
    <t>4350</t>
  </si>
  <si>
    <t>zakup towarów (w szczególności materiałów, leków, żywności) w związku z pomocą obywatelom Ukrainy</t>
  </si>
  <si>
    <t>zakup usług związanych z pomocą obywatelom Ukrainy</t>
  </si>
  <si>
    <t>wynagrodzenia i uposażenia wypłacane w związku z pomocą obywatelom Ukrainy</t>
  </si>
  <si>
    <t>składki i inne pochodne od wynagrodzeń pracowników wypłacanych w związku z pomocą obywatelom Ukrainy</t>
  </si>
  <si>
    <t>System opieki nad dziećmi w wieku do lat 3</t>
  </si>
  <si>
    <t>Miejski Zespół Żłobków</t>
  </si>
  <si>
    <t>Miejski Ośrodek Pomocy Rodzinie - projekt pn. "Rodzina w Centrum - Etap I"</t>
  </si>
  <si>
    <t>Miejski Ośrodek Pomocy Rodzinie - Fundusz Pomocy (świadczenia rodzinne)</t>
  </si>
  <si>
    <t>Gospodarka komunalna i ochrona środowiska</t>
  </si>
  <si>
    <t>Schroniska dla zwierząt</t>
  </si>
  <si>
    <t>Schronisko dla Zwierząt</t>
  </si>
  <si>
    <t xml:space="preserve">Kultura i ochrona dziedzictwa narodowego </t>
  </si>
  <si>
    <t>Centra kultury i sztuki</t>
  </si>
  <si>
    <t>Wydział Kultury, Promocji i Komunikacji Społecznej</t>
  </si>
  <si>
    <t>2480</t>
  </si>
  <si>
    <t>dotacja podmiotowa z budżetu dla samorządowej instytucji kultury</t>
  </si>
  <si>
    <t>Pozostałe instytucje kultury</t>
  </si>
  <si>
    <t>Kultura fizyczna</t>
  </si>
  <si>
    <t>Instytucje kultury fizycznej</t>
  </si>
  <si>
    <t xml:space="preserve">Zadania w zakresie kultury fizycznej </t>
  </si>
  <si>
    <t>Wydział Sportu</t>
  </si>
  <si>
    <t>stypendia różne</t>
  </si>
  <si>
    <t>Wydatki na zadania zlecone:</t>
  </si>
  <si>
    <t>Wydział Inwestycji i Zamówień Publicznych</t>
  </si>
  <si>
    <t>wydatki inwestycyjne jednostek budżetowych</t>
  </si>
  <si>
    <t xml:space="preserve">Środowiskowy Dom Samopomocy 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</si>
  <si>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</si>
  <si>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</si>
  <si>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</si>
  <si>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</si>
  <si>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>Wydatki na zadania rządowe:</t>
  </si>
  <si>
    <t>710</t>
  </si>
  <si>
    <t>Działalność usługowa</t>
  </si>
  <si>
    <t>Nadzór budowlany</t>
  </si>
  <si>
    <t>Powiatowy Inspektorat Nadzoru Budowlanego Miasta Włocławek</t>
  </si>
  <si>
    <t>podatek od nieruchomości</t>
  </si>
  <si>
    <t>opłaty na rzecz budżetu państwa</t>
  </si>
  <si>
    <t>Komenda Miejska Państwowej Straży Pożarnej</t>
  </si>
  <si>
    <t>Bezpieczeństwo publiczne i ochrona przeciwpożarowa</t>
  </si>
  <si>
    <t>uposażenia żołnierzy zawodowych oraz funkcjonariuszy</t>
  </si>
  <si>
    <t>inne należności żołnierzy zawodowych oraz funkcjonariuszy zaliczane do wynagrodzeń</t>
  </si>
  <si>
    <t>dodatkowe uposażenie roczne dla żołnierzy zawodowych oraz nagrody roczne dla funkcjonariuszy</t>
  </si>
  <si>
    <t>równoważniki pieniężne i ekwiwalenty dla żołnierzy i funkcjonariuszy oraz pozostałe należności</t>
  </si>
  <si>
    <t>755</t>
  </si>
  <si>
    <t>Wymiar sprawiedliwości</t>
  </si>
  <si>
    <t>Nieodpłatna pomoc prawna</t>
  </si>
  <si>
    <t xml:space="preserve">opłaty z tytułu zakupu usług telekomunikacyjnych </t>
  </si>
  <si>
    <t>do Zarządzenia NR 298/2025</t>
  </si>
  <si>
    <t>z dnia 30 września 2025 r.</t>
  </si>
  <si>
    <t>Załącznik Nr 6</t>
  </si>
  <si>
    <t xml:space="preserve">Poradnie psychologiczno-pedagogiczne, w tym poradnie specjalistyczne </t>
  </si>
  <si>
    <t>Załącznik Nr 7</t>
  </si>
  <si>
    <t>Plan dochodów i wydatków na wydzielonym rachunku Funduszu Pomocy</t>
  </si>
  <si>
    <t>dotyczącym realizacji zadań na rzecz pomocy Ukrainie</t>
  </si>
  <si>
    <t>Nazwa zadania</t>
  </si>
  <si>
    <t xml:space="preserve">Dział </t>
  </si>
  <si>
    <t>Rozdział</t>
  </si>
  <si>
    <t>Dochody na 2025 rok</t>
  </si>
  <si>
    <t>Wydatki na 2025 rok</t>
  </si>
  <si>
    <t>x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</si>
  <si>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</si>
  <si>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</si>
  <si>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</si>
  <si>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</si>
  <si>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</si>
  <si>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</si>
  <si>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</si>
  <si>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</si>
  <si>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</si>
  <si>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Zasiłki okresowe</t>
  </si>
  <si>
    <t>85214</t>
  </si>
  <si>
    <t>Finansowanie pobytu dzieci obywateli Ukrainy umieszczonych w systemie pieczy zastępczej</t>
  </si>
  <si>
    <t>85510</t>
  </si>
  <si>
    <t>4370</t>
  </si>
  <si>
    <t>758</t>
  </si>
  <si>
    <t>75814</t>
  </si>
  <si>
    <t>Realizacja dodatkowych zadań oświatowych</t>
  </si>
  <si>
    <t>801</t>
  </si>
  <si>
    <t>80101</t>
  </si>
  <si>
    <t>4750</t>
  </si>
  <si>
    <t>4860</t>
  </si>
  <si>
    <t>2340</t>
  </si>
  <si>
    <t>80102</t>
  </si>
  <si>
    <t>80104</t>
  </si>
  <si>
    <t>80105</t>
  </si>
  <si>
    <t>80115</t>
  </si>
  <si>
    <t>80116</t>
  </si>
  <si>
    <t>80117</t>
  </si>
  <si>
    <t>80118</t>
  </si>
  <si>
    <t>80120</t>
  </si>
  <si>
    <t>80132</t>
  </si>
  <si>
    <t>80134</t>
  </si>
  <si>
    <t>854</t>
  </si>
  <si>
    <t>85410</t>
  </si>
  <si>
    <t>Realizacja zadań przez Miejski Zespół do Spraw Orzekania o Niepełnosprawności na rzecz obywateli Ukrainy</t>
  </si>
  <si>
    <t>853</t>
  </si>
  <si>
    <t>85321</t>
  </si>
  <si>
    <t xml:space="preserve">Miejski Zespół do Spraw Orzekania o Niepełnosprawności </t>
  </si>
  <si>
    <t>Nadanie numeru PESEL, aktualizacja i uzupełnienie danych obywateli Ukrainy, wprowadzenie danych do rejestru danych kontaktowych na wniosek oraz zarządzanie statusem UKR</t>
  </si>
  <si>
    <t>750</t>
  </si>
  <si>
    <t>75011</t>
  </si>
  <si>
    <t>Zasiłki stałe wraz ze składkami zdrowotnymi</t>
  </si>
  <si>
    <t>85295</t>
  </si>
  <si>
    <t>80153</t>
  </si>
  <si>
    <t>Zakup podręczników, materiałów ćwiczeniowych dla uczniów będących obywatelami Ukrainy</t>
  </si>
  <si>
    <t>Ogółem:</t>
  </si>
  <si>
    <t xml:space="preserve">Prezydenta Miasta Włocławek </t>
  </si>
  <si>
    <t>Zmiana planu wydatków majątkowych na 2025 rok</t>
  </si>
  <si>
    <t>Planowane wydatki</t>
  </si>
  <si>
    <t xml:space="preserve">Pozostałe </t>
  </si>
  <si>
    <t>Jednostka</t>
  </si>
  <si>
    <t xml:space="preserve">Łączne </t>
  </si>
  <si>
    <t>rok</t>
  </si>
  <si>
    <t>Źródła finansowania</t>
  </si>
  <si>
    <t xml:space="preserve">środki  </t>
  </si>
  <si>
    <t>organizacyjna</t>
  </si>
  <si>
    <t>Dział</t>
  </si>
  <si>
    <t>Nazwa zadania inwestycyjnego</t>
  </si>
  <si>
    <t>koszty</t>
  </si>
  <si>
    <t>budżetowy</t>
  </si>
  <si>
    <t>środki</t>
  </si>
  <si>
    <t>wydzielone</t>
  </si>
  <si>
    <t>realizująca</t>
  </si>
  <si>
    <t>finansowe</t>
  </si>
  <si>
    <t xml:space="preserve">pochodzące </t>
  </si>
  <si>
    <t>wymienione</t>
  </si>
  <si>
    <t>rachunki</t>
  </si>
  <si>
    <t>program lub</t>
  </si>
  <si>
    <t>(8+9+10)</t>
  </si>
  <si>
    <t xml:space="preserve">własne </t>
  </si>
  <si>
    <t>z innych</t>
  </si>
  <si>
    <t>w art.5 ust.1</t>
  </si>
  <si>
    <t>jednostek</t>
  </si>
  <si>
    <t>koordynująca</t>
  </si>
  <si>
    <t>źródeł</t>
  </si>
  <si>
    <t>pkt 2 i 3 u.f.p.</t>
  </si>
  <si>
    <t>oświatowych</t>
  </si>
  <si>
    <t>wykonanie</t>
  </si>
  <si>
    <t>programu</t>
  </si>
  <si>
    <t>OGÓŁEM:</t>
  </si>
  <si>
    <t>wprowadza się nowe zadanie:</t>
  </si>
  <si>
    <t>§ 6060</t>
  </si>
  <si>
    <t>Rozbudowa, modernizacja oraz poszerzenie funkcjonalności (o moduł ostrzegania i powiadamiania) systemu monitoringu wizyjnego miasta</t>
  </si>
  <si>
    <t>Zakup mobilnych agregatów prądotwórczych</t>
  </si>
  <si>
    <t>Urząd Miasta / Wydział Dróg, Transportu Zbiorowego i Energii</t>
  </si>
  <si>
    <t>Zakup 8 beczkowozów wyposażonych w rozlewacz</t>
  </si>
  <si>
    <t>Urząd Miasta /Wydział Nadzoru Właścicielskiego i Gospodarki Komunalnej</t>
  </si>
  <si>
    <t>Przygotowanie Miejskiego Zespołu Opieki Zdrowotnej we Włocławku do udzielania świadczeń zdrowotnych ludności w sytuacjach kryzysowych i w czasie wojny</t>
  </si>
  <si>
    <t>Urząd Miasta /Wydział Edukacji, Zdrowia i Polityki Społecznej</t>
  </si>
  <si>
    <t>§ 6050</t>
  </si>
  <si>
    <t>Modernizacja obiektu użyteczności publicznej - Zespół Placówek Nr 1 Bursa nr 3 Al. Chopina 6 do możliwości tymczasowego zakwaterowania osób i personelu OC oraz zakwaterowania osób poszkodowanych w sytuacjach kryzysowych z obszaru miasta i gminy</t>
  </si>
  <si>
    <t>Dostosowanie pomieszczeń placówki oświatowej - Zespołu Szkół nr 4 przy ul. Kaliskiej 108 a we Włocławku celem dostosowania do wymogów miejsca doraźnego schronienia - ekspertyza i dokumentacja projektowa</t>
  </si>
  <si>
    <t>Urząd Miasta /Wydział Inwestycji i Zamówień Publicznych</t>
  </si>
  <si>
    <t>Załącznik Nr 3</t>
  </si>
  <si>
    <t>Zmiana wydatków na programy i projekty realizowane ze środków pochodzących z funduszy strukturalnych i Funduszu Spójności</t>
  </si>
  <si>
    <t xml:space="preserve">
</t>
  </si>
  <si>
    <t xml:space="preserve">Wydatki
</t>
  </si>
  <si>
    <t>w tym:</t>
  </si>
  <si>
    <t>w okresie</t>
  </si>
  <si>
    <t>2025 rok</t>
  </si>
  <si>
    <t>Klasyfikacja</t>
  </si>
  <si>
    <t>realizacji</t>
  </si>
  <si>
    <t>Program/Projekt</t>
  </si>
  <si>
    <t xml:space="preserve"> (dział, </t>
  </si>
  <si>
    <t>Projektu</t>
  </si>
  <si>
    <t>rozdział)</t>
  </si>
  <si>
    <t>(całkowita wartość Projektu)</t>
  </si>
  <si>
    <t>Środki z budżetu krajowego*</t>
  </si>
  <si>
    <t>Środki z budżetu UE</t>
  </si>
  <si>
    <t>Wydatki razem (8+9)</t>
  </si>
  <si>
    <t>(5 + 6)</t>
  </si>
  <si>
    <t>Wydatki ogółem:</t>
  </si>
  <si>
    <t>wydatki bieżące</t>
  </si>
  <si>
    <t>wydatki majątkowe</t>
  </si>
  <si>
    <t>1</t>
  </si>
  <si>
    <t xml:space="preserve"> FUNDUSZE EUROPEJSKIE DLA KUJAW I POMORZA 2021 -  2027</t>
  </si>
  <si>
    <t>1.21</t>
  </si>
  <si>
    <t>LEVEL UP - Klub dla młodzieży - stworzenie i funkcjonowanie klubu młodzieżowego</t>
  </si>
  <si>
    <t>w tym: /Zespół Szkół Technicznych/</t>
  </si>
  <si>
    <t>dz. 801</t>
  </si>
  <si>
    <t>rozdz. 80195</t>
  </si>
  <si>
    <t>* środki własne jst, współfinansowanie z budżetu państwa oraz inne</t>
  </si>
  <si>
    <t>Załącznik Nr 4</t>
  </si>
  <si>
    <t xml:space="preserve">Dotacje udzielane z budżetu jednostki samorządu terytorialnego </t>
  </si>
  <si>
    <t>dla jednostek sektora finansów publicznych na 2025 rok</t>
  </si>
  <si>
    <t xml:space="preserve">§ </t>
  </si>
  <si>
    <t>Kwota dotacji</t>
  </si>
  <si>
    <t>dotacje celowe</t>
  </si>
  <si>
    <t>Programy polityki zdrowotnej</t>
  </si>
  <si>
    <t>Przeciwdziałanie alkoholizmowi (dofinansowanie "Niebieskiej linii")</t>
  </si>
  <si>
    <t>Przeciwdziałanie alkoholizmowi (realizacja zadań z zakresu profilaktyki uzależnień)</t>
  </si>
  <si>
    <t xml:space="preserve">Powiatowe urzędy pracy </t>
  </si>
  <si>
    <t>Pozostała działalność - SENIORALIA 2025 – Obchody Święta Seniora (Budżet Obywatelski)</t>
  </si>
  <si>
    <t xml:space="preserve">Galerie i biura wystaw artystycznych </t>
  </si>
  <si>
    <t xml:space="preserve"> - Galeria Sztuki Współczesnej</t>
  </si>
  <si>
    <t>Galerie i biura wystaw artystycznych (dotacja na inwestycje)</t>
  </si>
  <si>
    <t xml:space="preserve"> - Centrum Kultury Browar B </t>
  </si>
  <si>
    <t>Centra kultury i sztuki (dotacja na inwestycje)</t>
  </si>
  <si>
    <t xml:space="preserve"> - Centrum Kultury Browar B</t>
  </si>
  <si>
    <t>Biblioteki</t>
  </si>
  <si>
    <t xml:space="preserve"> - Miejska Biblioteka Publiczna</t>
  </si>
  <si>
    <t>Razem:</t>
  </si>
  <si>
    <t>dotacje podmiotowe</t>
  </si>
  <si>
    <t xml:space="preserve"> - Zakład Aktywności Zawodowej</t>
  </si>
  <si>
    <t>Galerie i biura wystaw artystycznych</t>
  </si>
  <si>
    <t xml:space="preserve"> - Teatr Impresaryjny</t>
  </si>
  <si>
    <t xml:space="preserve">                                                                                                Załącznik Nr 5</t>
  </si>
  <si>
    <t xml:space="preserve">                                                                                                PREZYDENTA MIASTA WŁOCŁAWEK</t>
  </si>
  <si>
    <t>dla jednostek spoza sektora finansów publicznych na 2025 rok</t>
  </si>
  <si>
    <t>2837    2839</t>
  </si>
  <si>
    <t>Realizacja projektu unijnego"Społeczna Agencja Najmu szansą dla mieszkańców Włocławka na bezpieczny i stabilny najem"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</si>
  <si>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</si>
  <si>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</si>
  <si>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</si>
  <si>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</si>
  <si>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</si>
  <si>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"Skakanka"</t>
  </si>
  <si>
    <t>Centrum Malucha - "Piotruś Pan"- Przedszkole Niepubliczne</t>
  </si>
  <si>
    <t>Niepubliczne Przedszkole "Bajeczka" Kinga Mizak Aneta Kryczka s.c.</t>
  </si>
  <si>
    <t>Niepubliczne Przedszkole "Domowe Przedszkole"</t>
  </si>
  <si>
    <t>Akademickie Technikum Wojskowe im. "Obrońców Wisły                           1920 roku" we Włocławku</t>
  </si>
  <si>
    <t>Branżowe szkoły I i II stopnia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</si>
  <si>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</si>
  <si>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</si>
  <si>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</si>
  <si>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 xml:space="preserve">Zapewnienie uczniom prawa do bezpłatnego dostępu do podręczników, materiałów edukacyjnych lub materiałów ćwiczeniowych </t>
  </si>
  <si>
    <t>Zespół Szkół Katolickich im. Ks. J. Długosza</t>
  </si>
  <si>
    <t xml:space="preserve">Zespół Szkół Akademickich im. Obrońców Wisły 1920 roku </t>
  </si>
  <si>
    <t>Realizacja projektu unijnego "Dostosowanie kształcenia ogólnego do potrzeb rynku pracy I ETAP" (licea)</t>
  </si>
  <si>
    <t>Realizacja projektu unijnego "Dostosowanie kształcenia ogólnego do potrzeb rynku pracy II ETAP" (szkoły podstawowe)</t>
  </si>
  <si>
    <t>Realizacja projektu unijnego  "Dostosowanie kształcenia zawodowego do potrzeb rynku pracy"</t>
  </si>
  <si>
    <t>Zwalczanie narkomanii</t>
  </si>
  <si>
    <t>Dofinansowanie programów dotyczących uzależnień, pozalekcyjnych zajęć sportowych (przeciwdzialanie alkoholizmowi)</t>
  </si>
  <si>
    <t>Pozostała działalność (promocja i ochrona zdrowia oraz działania na rzecz osób niepełnosprawnych)</t>
  </si>
  <si>
    <t>Zapewnienie schronienia osobom bezdomnym</t>
  </si>
  <si>
    <t>Usługi opiekuńcze i specjalistyczne usługi opiekuńcze - ogółem, z tego:</t>
  </si>
  <si>
    <t>19.1</t>
  </si>
  <si>
    <t xml:space="preserve"> - zadania własne</t>
  </si>
  <si>
    <t>19.2</t>
  </si>
  <si>
    <t xml:space="preserve"> - zadania zlecone</t>
  </si>
  <si>
    <t>20.</t>
  </si>
  <si>
    <t>Zapewnienie schronienia osobom bezdomnym (pozostała działalność)</t>
  </si>
  <si>
    <t>Pozostała działalność (aktywizacja społeczna seniorów, podnoszenie poziomu bezpieczeństwa i poprawa warunków funkcjonowania seniorów)</t>
  </si>
  <si>
    <t>2360                  2830</t>
  </si>
  <si>
    <t>Dofinansowanie budowy przyłączy kanalizacyjnych do nieruchomości (dotacja na inwestycje)</t>
  </si>
  <si>
    <t>Program priorytetowy "Ciepłe mieszkanie" (dotacja na inwestycje)</t>
  </si>
  <si>
    <t>Ochrona powietrza atmosferycznego i klimatu (zadania w zakresie ekologii i ochrony zwierząt oraz ochrony dziedzictwa przyrodniczego)</t>
  </si>
  <si>
    <t>Ochrona zabytków i opieka nad zabytkami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</si>
  <si>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</si>
  <si>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</si>
  <si>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</si>
  <si>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Razem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</si>
  <si>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</si>
  <si>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</si>
  <si>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</si>
  <si>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</si>
  <si>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</si>
  <si>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</si>
  <si>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Szkoła Podstawowa z oddziałami dwujęzycznymi Monttessori-     Schule</t>
  </si>
  <si>
    <t>Niepubliczne Przedszkole "Smerfna Chata"</t>
  </si>
  <si>
    <t>Przedszkole Niepubliczne "Tęczowa Kraina"</t>
  </si>
  <si>
    <t>Niepubliczne Przedszkole "Na Wspólnej"</t>
  </si>
  <si>
    <t>Przedszkole Niepubliczne "Happy Kids"</t>
  </si>
  <si>
    <t>Przedszkole Niepubliczne "Kujawiaczek"</t>
  </si>
  <si>
    <t>Niepubliczne Przedszkole "Wesoła Biedronka"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</si>
  <si>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</si>
  <si>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</si>
  <si>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</si>
  <si>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</si>
  <si>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</si>
  <si>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</si>
  <si>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</si>
  <si>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</si>
  <si>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</si>
  <si>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</si>
  <si>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</si>
  <si>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</si>
  <si>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</si>
  <si>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</si>
  <si>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</si>
  <si>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</si>
  <si>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</si>
  <si>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</si>
  <si>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</si>
  <si>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Montessorii</t>
  </si>
  <si>
    <t>Publiczne Liceum Ogólnokształcące im. Ks. J. Długosza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</si>
  <si>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</si>
  <si>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</si>
  <si>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</si>
  <si>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</si>
  <si>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</si>
  <si>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Liceum Ogólnokształcące dla Dorosłych "Żak"</t>
  </si>
  <si>
    <t>Publiczne Liceum Ogólnokształcące dla Dorosłych "Cosinus Plus"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</si>
  <si>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</si>
  <si>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</si>
  <si>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</si>
  <si>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</si>
  <si>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</si>
  <si>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</si>
  <si>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</si>
  <si>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</si>
  <si>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</si>
  <si>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</si>
  <si>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</si>
  <si>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</si>
  <si>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</si>
  <si>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</si>
  <si>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</si>
  <si>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</si>
  <si>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 xml:space="preserve">                                                                                                do Zarządzenia NR 298/2025</t>
  </si>
  <si>
    <t xml:space="preserve">                                                                                                z dnia 30 września 2025 r.</t>
  </si>
  <si>
    <r>
      <t>Usługi opiekuńcze i specjalistyczne usługi opiekuńcze</t>
    </r>
    <r>
      <rPr>
        <sz val="8"/>
        <rFont val="Arial CE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</si>
</sst>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color theme="1"/>
      <name val="Arial"/>
      <family val="2"/>
      <charset val="238"/>
    </font>
    <font>
      <sz val="8"/>
      <name val="Arial"/>
      <family val="2"/>
      <charset val="238"/>
    </font>
    <font>
      <b/>
      <sz val="8"/>
      <name val="Arial CE"/>
      <charset val="238"/>
    </font>
    <font>
      <sz val="11"/>
      <color indexed="8"/>
      <name val="Calibri"/>
      <family val="2"/>
      <charset val="1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rgb="FF9C0006"/>
      <name val="Calibri"/>
      <family val="2"/>
      <charset val="238"/>
      <scheme val="minor"/>
    </font>
    <font>
      <sz val="7"/>
      <name val="Arial CE"/>
      <charset val="238"/>
    </font>
    <font>
      <sz val="8"/>
      <color rgb="FF000000"/>
      <name val="Arial"/>
      <family val="2"/>
      <charset val="238"/>
    </font>
    <font>
      <sz val="9"/>
      <name val="Arial CE"/>
      <charset val="238"/>
    </font>
    <font>
      <sz val="8"/>
      <color theme="1"/>
      <name val="Arial CE"/>
      <charset val="238"/>
    </font>
    <font>
      <sz val="8"/>
      <name val="Arial AC"/>
      <charset val="238"/>
    </font>
    <font>
      <b/>
      <sz val="8"/>
      <name val="Arial"/>
      <family val="2"/>
      <charset val="238"/>
    </font>
    <font>
      <sz val="6"/>
      <name val="Arial CE"/>
      <family val="2"/>
      <charset val="238"/>
    </font>
    <font>
      <sz val="11"/>
      <name val="Calibri"/>
      <family val="2"/>
      <charset val="238"/>
      <scheme val="minor"/>
    </font>
    <font>
      <b/>
      <sz val="12"/>
      <name val="Arial CE"/>
      <family val="2"/>
      <charset val="238"/>
    </font>
    <font>
      <sz val="7"/>
      <name val="Arial"/>
      <family val="2"/>
      <charset val="238"/>
    </font>
    <font>
      <b/>
      <sz val="9"/>
      <name val="Arial CE"/>
      <family val="2"/>
      <charset val="238"/>
    </font>
    <font>
      <sz val="9"/>
      <name val="Arial"/>
      <family val="2"/>
      <charset val="238"/>
    </font>
    <font>
      <sz val="6"/>
      <name val="Arial"/>
      <family val="2"/>
      <charset val="238"/>
    </font>
    <font>
      <b/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sz val="10"/>
      <name val="Arial CE"/>
      <charset val="238"/>
    </font>
    <font>
      <sz val="8"/>
      <name val="Arial Narrow"/>
      <family val="2"/>
      <charset val="238"/>
    </font>
    <font>
      <sz val="7"/>
      <name val="Arial Narrow"/>
      <family val="2"/>
      <charset val="238"/>
    </font>
    <font>
      <b/>
      <sz val="8"/>
      <name val="Arial Narrow"/>
      <family val="2"/>
      <charset val="238"/>
    </font>
    <font>
      <b/>
      <sz val="7"/>
      <name val="Arial Narrow"/>
      <family val="2"/>
      <charset val="238"/>
    </font>
    <font>
      <b/>
      <sz val="8"/>
      <color theme="1"/>
      <name val="ArialCE"/>
      <charset val="238"/>
    </font>
    <font>
      <sz val="8"/>
      <color theme="1"/>
      <name val="ArialCE"/>
      <charset val="238"/>
    </font>
    <font>
      <sz val="11"/>
      <name val="Arial"/>
      <family val="2"/>
      <charset val="238"/>
    </font>
    <font>
      <b/>
      <sz val="7.5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charset val="238"/>
    </font>
    <font>
      <b/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7"/>
      <name val="Arial CE"/>
      <charset val="238"/>
    </font>
    <font>
      <u/>
      <sz val="7"/>
      <color theme="1"/>
      <name val="ArialCE"/>
      <charset val="238"/>
    </font>
    <font>
      <u/>
      <sz val="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/>
      <right/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16">
    <xf numFmtId="0" fontId="0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17" fillId="0" borderId="0"/>
    <xf numFmtId="0" fontId="4" fillId="0" borderId="0"/>
    <xf numFmtId="0" fontId="3" fillId="0" borderId="0"/>
    <xf numFmtId="43" fontId="6" fillId="0" borderId="0" applyFont="0" applyFill="0" applyBorder="0" applyAlignment="0" applyProtection="0"/>
    <xf numFmtId="0" fontId="20" fillId="4" borderId="0" applyNumberFormat="0" applyBorder="0" applyAlignment="0" applyProtection="0"/>
    <xf numFmtId="0" fontId="2" fillId="0" borderId="0"/>
    <xf numFmtId="0" fontId="6" fillId="0" borderId="0"/>
    <xf numFmtId="43" fontId="2" fillId="0" borderId="0" applyFont="0" applyFill="0" applyBorder="0" applyAlignment="0" applyProtection="0"/>
    <xf numFmtId="0" fontId="44" fillId="0" borderId="0"/>
    <xf numFmtId="0" fontId="18" fillId="0" borderId="0"/>
    <xf numFmtId="0" fontId="18" fillId="0" borderId="0"/>
    <xf numFmtId="0" fontId="18" fillId="0" borderId="0"/>
  </cellStyleXfs>
  <cellXfs count="737">
    <xf numFmtId="0" fontId="0" fillId="0" borderId="0" xfId="0"/>
    <xf numFmtId="0" fontId="13" fillId="0" borderId="5" xfId="2" applyFont="1" applyBorder="1"/>
    <xf numFmtId="0" fontId="13" fillId="0" borderId="3" xfId="2" applyFont="1" applyBorder="1" applyAlignment="1">
      <alignment horizontal="right"/>
    </xf>
    <xf numFmtId="4" fontId="16" fillId="0" borderId="10" xfId="2" applyNumberFormat="1" applyFont="1" applyBorder="1"/>
    <xf numFmtId="0" fontId="13" fillId="0" borderId="3" xfId="2" applyFont="1" applyBorder="1" applyAlignment="1">
      <alignment horizontal="center"/>
    </xf>
    <xf numFmtId="0" fontId="7" fillId="0" borderId="0" xfId="9" applyFont="1"/>
    <xf numFmtId="49" fontId="7" fillId="0" borderId="0" xfId="9" applyNumberFormat="1" applyFont="1"/>
    <xf numFmtId="0" fontId="7" fillId="0" borderId="0" xfId="9" applyFont="1" applyAlignment="1">
      <alignment horizontal="left"/>
    </xf>
    <xf numFmtId="4" fontId="21" fillId="0" borderId="0" xfId="9" applyNumberFormat="1" applyFont="1"/>
    <xf numFmtId="0" fontId="8" fillId="0" borderId="0" xfId="9" applyFont="1" applyAlignment="1">
      <alignment horizontal="centerContinuous"/>
    </xf>
    <xf numFmtId="49" fontId="8" fillId="0" borderId="0" xfId="9" applyNumberFormat="1" applyFont="1" applyAlignment="1">
      <alignment horizontal="centerContinuous"/>
    </xf>
    <xf numFmtId="0" fontId="9" fillId="0" borderId="0" xfId="9" applyFont="1" applyAlignment="1">
      <alignment horizontal="centerContinuous"/>
    </xf>
    <xf numFmtId="0" fontId="10" fillId="0" borderId="0" xfId="9" applyFont="1"/>
    <xf numFmtId="0" fontId="7" fillId="0" borderId="0" xfId="9" applyFont="1" applyAlignment="1">
      <alignment horizontal="center"/>
    </xf>
    <xf numFmtId="0" fontId="11" fillId="0" borderId="0" xfId="9" applyFont="1" applyAlignment="1">
      <alignment horizontal="center"/>
    </xf>
    <xf numFmtId="0" fontId="7" fillId="0" borderId="1" xfId="9" applyFont="1" applyBorder="1"/>
    <xf numFmtId="49" fontId="7" fillId="0" borderId="1" xfId="9" applyNumberFormat="1" applyFont="1" applyBorder="1"/>
    <xf numFmtId="0" fontId="10" fillId="0" borderId="2" xfId="9" applyFont="1" applyBorder="1"/>
    <xf numFmtId="0" fontId="10" fillId="0" borderId="1" xfId="9" applyFont="1" applyBorder="1" applyAlignment="1">
      <alignment horizontal="center"/>
    </xf>
    <xf numFmtId="3" fontId="7" fillId="0" borderId="1" xfId="9" applyNumberFormat="1" applyFont="1" applyBorder="1"/>
    <xf numFmtId="0" fontId="7" fillId="0" borderId="1" xfId="9" applyFont="1" applyBorder="1" applyAlignment="1">
      <alignment horizontal="center"/>
    </xf>
    <xf numFmtId="4" fontId="12" fillId="0" borderId="0" xfId="9" applyNumberFormat="1" applyFont="1"/>
    <xf numFmtId="0" fontId="12" fillId="0" borderId="0" xfId="9" applyFont="1"/>
    <xf numFmtId="0" fontId="10" fillId="0" borderId="3" xfId="9" applyFont="1" applyBorder="1" applyAlignment="1">
      <alignment horizontal="center"/>
    </xf>
    <xf numFmtId="49" fontId="10" fillId="0" borderId="3" xfId="9" applyNumberFormat="1" applyFont="1" applyBorder="1" applyAlignment="1">
      <alignment horizontal="center"/>
    </xf>
    <xf numFmtId="0" fontId="10" fillId="0" borderId="4" xfId="9" applyFont="1" applyBorder="1" applyAlignment="1">
      <alignment horizontal="center"/>
    </xf>
    <xf numFmtId="3" fontId="10" fillId="0" borderId="3" xfId="9" applyNumberFormat="1" applyFont="1" applyBorder="1" applyAlignment="1">
      <alignment horizontal="center"/>
    </xf>
    <xf numFmtId="0" fontId="10" fillId="0" borderId="5" xfId="9" applyFont="1" applyBorder="1" applyAlignment="1">
      <alignment horizontal="center"/>
    </xf>
    <xf numFmtId="49" fontId="10" fillId="0" borderId="5" xfId="9" applyNumberFormat="1" applyFont="1" applyBorder="1" applyAlignment="1">
      <alignment horizontal="center"/>
    </xf>
    <xf numFmtId="0" fontId="10" fillId="0" borderId="6" xfId="9" applyFont="1" applyBorder="1" applyAlignment="1">
      <alignment horizontal="center"/>
    </xf>
    <xf numFmtId="3" fontId="10" fillId="0" borderId="5" xfId="9" applyNumberFormat="1" applyFont="1" applyBorder="1" applyAlignment="1">
      <alignment horizontal="center"/>
    </xf>
    <xf numFmtId="3" fontId="7" fillId="0" borderId="3" xfId="9" applyNumberFormat="1" applyFont="1" applyBorder="1"/>
    <xf numFmtId="49" fontId="7" fillId="0" borderId="3" xfId="9" applyNumberFormat="1" applyFont="1" applyBorder="1" applyAlignment="1">
      <alignment horizontal="right"/>
    </xf>
    <xf numFmtId="0" fontId="10" fillId="0" borderId="7" xfId="9" applyFont="1" applyBorder="1"/>
    <xf numFmtId="4" fontId="10" fillId="0" borderId="8" xfId="9" applyNumberFormat="1" applyFont="1" applyBorder="1"/>
    <xf numFmtId="0" fontId="10" fillId="0" borderId="9" xfId="9" applyFont="1" applyBorder="1"/>
    <xf numFmtId="4" fontId="10" fillId="0" borderId="10" xfId="9" applyNumberFormat="1" applyFont="1" applyBorder="1"/>
    <xf numFmtId="3" fontId="10" fillId="0" borderId="3" xfId="9" applyNumberFormat="1" applyFont="1" applyBorder="1" applyAlignment="1">
      <alignment horizontal="right"/>
    </xf>
    <xf numFmtId="3" fontId="10" fillId="0" borderId="3" xfId="9" applyNumberFormat="1" applyFont="1" applyBorder="1"/>
    <xf numFmtId="49" fontId="10" fillId="0" borderId="3" xfId="9" applyNumberFormat="1" applyFont="1" applyBorder="1" applyAlignment="1">
      <alignment horizontal="right"/>
    </xf>
    <xf numFmtId="3" fontId="10" fillId="0" borderId="4" xfId="9" applyNumberFormat="1" applyFont="1" applyBorder="1"/>
    <xf numFmtId="4" fontId="10" fillId="0" borderId="10" xfId="9" applyNumberFormat="1" applyFont="1" applyBorder="1" applyAlignment="1">
      <alignment horizontal="right"/>
    </xf>
    <xf numFmtId="0" fontId="7" fillId="0" borderId="3" xfId="9" applyFont="1" applyBorder="1" applyAlignment="1">
      <alignment horizontal="right" vertical="top"/>
    </xf>
    <xf numFmtId="0" fontId="7" fillId="0" borderId="6" xfId="9" applyFont="1" applyBorder="1"/>
    <xf numFmtId="4" fontId="7" fillId="0" borderId="5" xfId="9" applyNumberFormat="1" applyFont="1" applyBorder="1"/>
    <xf numFmtId="4" fontId="7" fillId="0" borderId="5" xfId="9" applyNumberFormat="1" applyFont="1" applyBorder="1" applyAlignment="1">
      <alignment horizontal="right"/>
    </xf>
    <xf numFmtId="0" fontId="13" fillId="0" borderId="3" xfId="9" applyFont="1" applyBorder="1"/>
    <xf numFmtId="3" fontId="7" fillId="0" borderId="3" xfId="9" applyNumberFormat="1" applyFont="1" applyBorder="1" applyAlignment="1">
      <alignment horizontal="right"/>
    </xf>
    <xf numFmtId="49" fontId="7" fillId="0" borderId="3" xfId="9" applyNumberFormat="1" applyFont="1" applyBorder="1" applyAlignment="1">
      <alignment horizontal="right" vertical="top"/>
    </xf>
    <xf numFmtId="0" fontId="7" fillId="0" borderId="4" xfId="9" applyFont="1" applyBorder="1" applyAlignment="1">
      <alignment vertical="top" wrapText="1"/>
    </xf>
    <xf numFmtId="4" fontId="13" fillId="0" borderId="3" xfId="9" applyNumberFormat="1" applyFont="1" applyBorder="1" applyAlignment="1">
      <alignment horizontal="right"/>
    </xf>
    <xf numFmtId="4" fontId="7" fillId="0" borderId="3" xfId="9" applyNumberFormat="1" applyFont="1" applyBorder="1"/>
    <xf numFmtId="3" fontId="13" fillId="0" borderId="3" xfId="9" applyNumberFormat="1" applyFont="1" applyBorder="1"/>
    <xf numFmtId="49" fontId="13" fillId="0" borderId="3" xfId="9" applyNumberFormat="1" applyFont="1" applyBorder="1" applyAlignment="1">
      <alignment horizontal="right" vertical="top"/>
    </xf>
    <xf numFmtId="0" fontId="22" fillId="0" borderId="0" xfId="9" applyFont="1" applyAlignment="1">
      <alignment wrapText="1"/>
    </xf>
    <xf numFmtId="4" fontId="7" fillId="0" borderId="3" xfId="9" applyNumberFormat="1" applyFont="1" applyBorder="1" applyAlignment="1">
      <alignment horizontal="right"/>
    </xf>
    <xf numFmtId="0" fontId="13" fillId="0" borderId="3" xfId="9" applyFont="1" applyBorder="1" applyAlignment="1">
      <alignment horizontal="right"/>
    </xf>
    <xf numFmtId="0" fontId="13" fillId="0" borderId="3" xfId="9" applyFont="1" applyBorder="1" applyAlignment="1">
      <alignment horizontal="center"/>
    </xf>
    <xf numFmtId="0" fontId="13" fillId="0" borderId="5" xfId="9" applyFont="1" applyBorder="1"/>
    <xf numFmtId="4" fontId="13" fillId="0" borderId="5" xfId="9" applyNumberFormat="1" applyFont="1" applyBorder="1"/>
    <xf numFmtId="49" fontId="13" fillId="0" borderId="3" xfId="9" applyNumberFormat="1" applyFont="1" applyBorder="1" applyAlignment="1">
      <alignment horizontal="center"/>
    </xf>
    <xf numFmtId="4" fontId="13" fillId="0" borderId="13" xfId="9" applyNumberFormat="1" applyFont="1" applyBorder="1"/>
    <xf numFmtId="0" fontId="7" fillId="0" borderId="3" xfId="9" applyFont="1" applyBorder="1" applyAlignment="1">
      <alignment wrapText="1"/>
    </xf>
    <xf numFmtId="4" fontId="13" fillId="0" borderId="3" xfId="9" applyNumberFormat="1" applyFont="1" applyBorder="1"/>
    <xf numFmtId="4" fontId="10" fillId="0" borderId="3" xfId="9" applyNumberFormat="1" applyFont="1" applyBorder="1"/>
    <xf numFmtId="0" fontId="7" fillId="0" borderId="3" xfId="9" applyFont="1" applyBorder="1"/>
    <xf numFmtId="49" fontId="7" fillId="0" borderId="3" xfId="9" applyNumberFormat="1" applyFont="1" applyBorder="1" applyAlignment="1">
      <alignment horizontal="center"/>
    </xf>
    <xf numFmtId="0" fontId="7" fillId="0" borderId="3" xfId="9" applyFont="1" applyBorder="1" applyAlignment="1">
      <alignment horizontal="right"/>
    </xf>
    <xf numFmtId="3" fontId="7" fillId="0" borderId="6" xfId="9" applyNumberFormat="1" applyFont="1" applyBorder="1"/>
    <xf numFmtId="0" fontId="10" fillId="0" borderId="3" xfId="9" applyFont="1" applyBorder="1"/>
    <xf numFmtId="3" fontId="7" fillId="0" borderId="4" xfId="9" applyNumberFormat="1" applyFont="1" applyBorder="1"/>
    <xf numFmtId="4" fontId="10" fillId="0" borderId="3" xfId="9" applyNumberFormat="1" applyFont="1" applyBorder="1" applyAlignment="1">
      <alignment horizontal="right"/>
    </xf>
    <xf numFmtId="3" fontId="13" fillId="0" borderId="6" xfId="9" applyNumberFormat="1" applyFont="1" applyBorder="1"/>
    <xf numFmtId="0" fontId="7" fillId="0" borderId="3" xfId="9" applyFont="1" applyBorder="1" applyAlignment="1">
      <alignment vertical="top" wrapText="1"/>
    </xf>
    <xf numFmtId="3" fontId="7" fillId="0" borderId="5" xfId="9" applyNumberFormat="1" applyFont="1" applyBorder="1"/>
    <xf numFmtId="3" fontId="10" fillId="0" borderId="5" xfId="9" applyNumberFormat="1" applyFont="1" applyBorder="1"/>
    <xf numFmtId="49" fontId="7" fillId="0" borderId="5" xfId="9" applyNumberFormat="1" applyFont="1" applyBorder="1" applyAlignment="1">
      <alignment horizontal="right" vertical="top"/>
    </xf>
    <xf numFmtId="0" fontId="7" fillId="0" borderId="6" xfId="9" applyFont="1" applyBorder="1" applyAlignment="1">
      <alignment vertical="top" wrapText="1"/>
    </xf>
    <xf numFmtId="4" fontId="13" fillId="0" borderId="5" xfId="9" applyNumberFormat="1" applyFont="1" applyBorder="1" applyAlignment="1">
      <alignment horizontal="right"/>
    </xf>
    <xf numFmtId="49" fontId="13" fillId="0" borderId="3" xfId="9" applyNumberFormat="1" applyFont="1" applyBorder="1"/>
    <xf numFmtId="49" fontId="23" fillId="0" borderId="3" xfId="9" applyNumberFormat="1" applyFont="1" applyBorder="1" applyAlignment="1">
      <alignment horizontal="right"/>
    </xf>
    <xf numFmtId="0" fontId="13" fillId="0" borderId="5" xfId="9" applyFont="1" applyBorder="1" applyAlignment="1">
      <alignment horizontal="left"/>
    </xf>
    <xf numFmtId="49" fontId="13" fillId="0" borderId="3" xfId="9" applyNumberFormat="1" applyFont="1" applyBorder="1" applyAlignment="1">
      <alignment horizontal="right"/>
    </xf>
    <xf numFmtId="0" fontId="7" fillId="0" borderId="3" xfId="9" applyFont="1" applyBorder="1" applyAlignment="1">
      <alignment horizontal="center"/>
    </xf>
    <xf numFmtId="3" fontId="10" fillId="0" borderId="5" xfId="9" applyNumberFormat="1" applyFont="1" applyBorder="1" applyAlignment="1">
      <alignment horizontal="right"/>
    </xf>
    <xf numFmtId="0" fontId="14" fillId="0" borderId="16" xfId="9" applyFont="1" applyBorder="1" applyAlignment="1">
      <alignment wrapText="1"/>
    </xf>
    <xf numFmtId="0" fontId="7" fillId="0" borderId="6" xfId="9" applyFont="1" applyBorder="1" applyAlignment="1">
      <alignment wrapText="1"/>
    </xf>
    <xf numFmtId="0" fontId="7" fillId="0" borderId="4" xfId="9" applyFont="1" applyBorder="1" applyAlignment="1">
      <alignment wrapText="1"/>
    </xf>
    <xf numFmtId="4" fontId="13" fillId="0" borderId="17" xfId="9" applyNumberFormat="1" applyFont="1" applyBorder="1" applyAlignment="1">
      <alignment horizontal="right"/>
    </xf>
    <xf numFmtId="4" fontId="7" fillId="0" borderId="17" xfId="9" applyNumberFormat="1" applyFont="1" applyBorder="1"/>
    <xf numFmtId="3" fontId="10" fillId="0" borderId="4" xfId="9" applyNumberFormat="1" applyFont="1" applyBorder="1" applyAlignment="1">
      <alignment vertical="center"/>
    </xf>
    <xf numFmtId="0" fontId="15" fillId="0" borderId="3" xfId="2" applyFont="1" applyBorder="1" applyAlignment="1">
      <alignment horizontal="right"/>
    </xf>
    <xf numFmtId="0" fontId="15" fillId="0" borderId="3" xfId="2" applyFont="1" applyBorder="1"/>
    <xf numFmtId="4" fontId="15" fillId="0" borderId="3" xfId="9" applyNumberFormat="1" applyFont="1" applyBorder="1"/>
    <xf numFmtId="4" fontId="15" fillId="0" borderId="3" xfId="9" applyNumberFormat="1" applyFont="1" applyBorder="1" applyAlignment="1">
      <alignment horizontal="right"/>
    </xf>
    <xf numFmtId="0" fontId="7" fillId="0" borderId="5" xfId="9" applyFont="1" applyBorder="1"/>
    <xf numFmtId="0" fontId="15" fillId="0" borderId="5" xfId="2" applyFont="1" applyBorder="1" applyAlignment="1">
      <alignment horizontal="right"/>
    </xf>
    <xf numFmtId="0" fontId="15" fillId="0" borderId="5" xfId="2" applyFont="1" applyBorder="1"/>
    <xf numFmtId="0" fontId="16" fillId="0" borderId="3" xfId="9" applyFont="1" applyBorder="1" applyAlignment="1">
      <alignment horizontal="center"/>
    </xf>
    <xf numFmtId="0" fontId="16" fillId="0" borderId="3" xfId="9" applyFont="1" applyBorder="1" applyAlignment="1">
      <alignment horizontal="right"/>
    </xf>
    <xf numFmtId="0" fontId="16" fillId="0" borderId="3" xfId="9" applyFont="1" applyBorder="1"/>
    <xf numFmtId="0" fontId="7" fillId="0" borderId="4" xfId="9" applyFont="1" applyBorder="1" applyAlignment="1">
      <alignment horizontal="right"/>
    </xf>
    <xf numFmtId="4" fontId="13" fillId="0" borderId="11" xfId="9" applyNumberFormat="1" applyFont="1" applyBorder="1"/>
    <xf numFmtId="4" fontId="7" fillId="0" borderId="3" xfId="9" applyNumberFormat="1" applyFont="1" applyBorder="1" applyAlignment="1">
      <alignment horizontal="right" vertical="center"/>
    </xf>
    <xf numFmtId="0" fontId="7" fillId="0" borderId="4" xfId="9" applyFont="1" applyBorder="1"/>
    <xf numFmtId="0" fontId="13" fillId="0" borderId="17" xfId="9" applyFont="1" applyBorder="1"/>
    <xf numFmtId="0" fontId="15" fillId="0" borderId="3" xfId="2" applyFont="1" applyBorder="1" applyAlignment="1">
      <alignment horizontal="right" vertical="top"/>
    </xf>
    <xf numFmtId="0" fontId="15" fillId="0" borderId="3" xfId="2" applyFont="1" applyBorder="1" applyAlignment="1">
      <alignment vertical="center" wrapText="1"/>
    </xf>
    <xf numFmtId="3" fontId="16" fillId="0" borderId="3" xfId="9" applyNumberFormat="1" applyFont="1" applyBorder="1" applyAlignment="1">
      <alignment horizontal="right"/>
    </xf>
    <xf numFmtId="0" fontId="7" fillId="0" borderId="4" xfId="9" applyFont="1" applyBorder="1" applyAlignment="1">
      <alignment vertical="top"/>
    </xf>
    <xf numFmtId="4" fontId="13" fillId="0" borderId="3" xfId="2" applyNumberFormat="1" applyFont="1" applyBorder="1" applyAlignment="1">
      <alignment horizontal="right"/>
    </xf>
    <xf numFmtId="4" fontId="13" fillId="0" borderId="3" xfId="9" applyNumberFormat="1" applyFont="1" applyBorder="1" applyAlignment="1">
      <alignment horizontal="right" vertical="center"/>
    </xf>
    <xf numFmtId="0" fontId="13" fillId="0" borderId="4" xfId="9" applyFont="1" applyBorder="1"/>
    <xf numFmtId="0" fontId="16" fillId="0" borderId="4" xfId="9" applyFont="1" applyBorder="1"/>
    <xf numFmtId="0" fontId="13" fillId="0" borderId="6" xfId="9" applyFont="1" applyBorder="1"/>
    <xf numFmtId="3" fontId="16" fillId="0" borderId="5" xfId="9" applyNumberFormat="1" applyFont="1" applyBorder="1" applyAlignment="1">
      <alignment horizontal="right"/>
    </xf>
    <xf numFmtId="49" fontId="7" fillId="0" borderId="5" xfId="9" applyNumberFormat="1" applyFont="1" applyBorder="1" applyAlignment="1">
      <alignment horizontal="right"/>
    </xf>
    <xf numFmtId="0" fontId="7" fillId="0" borderId="5" xfId="9" applyFont="1" applyBorder="1" applyAlignment="1">
      <alignment horizontal="right"/>
    </xf>
    <xf numFmtId="4" fontId="13" fillId="0" borderId="5" xfId="2" applyNumberFormat="1" applyFont="1" applyBorder="1" applyAlignment="1">
      <alignment horizontal="right"/>
    </xf>
    <xf numFmtId="4" fontId="13" fillId="0" borderId="5" xfId="9" applyNumberFormat="1" applyFont="1" applyBorder="1" applyAlignment="1">
      <alignment horizontal="right" vertical="center"/>
    </xf>
    <xf numFmtId="4" fontId="13" fillId="0" borderId="1" xfId="9" applyNumberFormat="1" applyFont="1" applyBorder="1"/>
    <xf numFmtId="0" fontId="15" fillId="0" borderId="3" xfId="9" applyFont="1" applyBorder="1"/>
    <xf numFmtId="0" fontId="24" fillId="0" borderId="3" xfId="9" applyFont="1" applyBorder="1"/>
    <xf numFmtId="0" fontId="14" fillId="0" borderId="0" xfId="9" applyFont="1"/>
    <xf numFmtId="0" fontId="25" fillId="0" borderId="5" xfId="2" applyFont="1" applyBorder="1"/>
    <xf numFmtId="0" fontId="13" fillId="0" borderId="4" xfId="9" applyFont="1" applyBorder="1" applyAlignment="1">
      <alignment wrapText="1"/>
    </xf>
    <xf numFmtId="4" fontId="13" fillId="0" borderId="5" xfId="2" applyNumberFormat="1" applyFont="1" applyBorder="1"/>
    <xf numFmtId="43" fontId="14" fillId="0" borderId="19" xfId="11" applyFont="1" applyBorder="1"/>
    <xf numFmtId="43" fontId="14" fillId="0" borderId="0" xfId="11" applyFont="1"/>
    <xf numFmtId="43" fontId="15" fillId="0" borderId="3" xfId="11" applyFont="1" applyBorder="1"/>
    <xf numFmtId="0" fontId="24" fillId="0" borderId="3" xfId="9" applyFont="1" applyBorder="1" applyAlignment="1">
      <alignment vertical="top"/>
    </xf>
    <xf numFmtId="0" fontId="13" fillId="0" borderId="5" xfId="9" applyFont="1" applyBorder="1" applyAlignment="1">
      <alignment horizontal="right"/>
    </xf>
    <xf numFmtId="49" fontId="13" fillId="0" borderId="5" xfId="9" applyNumberFormat="1" applyFont="1" applyBorder="1" applyAlignment="1">
      <alignment horizontal="right" vertical="top"/>
    </xf>
    <xf numFmtId="0" fontId="13" fillId="0" borderId="6" xfId="9" applyFont="1" applyBorder="1" applyAlignment="1">
      <alignment wrapText="1"/>
    </xf>
    <xf numFmtId="49" fontId="13" fillId="0" borderId="3" xfId="9" applyNumberFormat="1" applyFont="1" applyBorder="1" applyAlignment="1">
      <alignment horizontal="right" vertical="center"/>
    </xf>
    <xf numFmtId="0" fontId="7" fillId="0" borderId="4" xfId="9" applyFont="1" applyBorder="1" applyAlignment="1">
      <alignment vertical="center"/>
    </xf>
    <xf numFmtId="0" fontId="25" fillId="0" borderId="6" xfId="2" applyFont="1" applyBorder="1"/>
    <xf numFmtId="0" fontId="14" fillId="0" borderId="16" xfId="9" applyFont="1" applyBorder="1"/>
    <xf numFmtId="49" fontId="10" fillId="0" borderId="5" xfId="9" applyNumberFormat="1" applyFont="1" applyBorder="1" applyAlignment="1">
      <alignment horizontal="right"/>
    </xf>
    <xf numFmtId="4" fontId="13" fillId="0" borderId="13" xfId="9" applyNumberFormat="1" applyFont="1" applyBorder="1" applyAlignment="1">
      <alignment horizontal="right"/>
    </xf>
    <xf numFmtId="49" fontId="15" fillId="0" borderId="3" xfId="2" applyNumberFormat="1" applyFont="1" applyBorder="1" applyAlignment="1">
      <alignment horizontal="right"/>
    </xf>
    <xf numFmtId="3" fontId="7" fillId="0" borderId="4" xfId="9" applyNumberFormat="1" applyFont="1" applyBorder="1" applyAlignment="1">
      <alignment vertical="top" wrapText="1"/>
    </xf>
    <xf numFmtId="0" fontId="13" fillId="0" borderId="3" xfId="2" applyFont="1" applyBorder="1"/>
    <xf numFmtId="0" fontId="7" fillId="0" borderId="3" xfId="2" applyFont="1" applyBorder="1" applyAlignment="1">
      <alignment horizontal="right"/>
    </xf>
    <xf numFmtId="0" fontId="13" fillId="0" borderId="20" xfId="2" applyFont="1" applyBorder="1"/>
    <xf numFmtId="4" fontId="13" fillId="0" borderId="3" xfId="2" applyNumberFormat="1" applyFont="1" applyBorder="1"/>
    <xf numFmtId="4" fontId="7" fillId="0" borderId="17" xfId="9" applyNumberFormat="1" applyFont="1" applyBorder="1" applyAlignment="1">
      <alignment horizontal="right"/>
    </xf>
    <xf numFmtId="0" fontId="7" fillId="0" borderId="4" xfId="9" applyFont="1" applyBorder="1" applyAlignment="1">
      <alignment vertical="center" wrapText="1"/>
    </xf>
    <xf numFmtId="0" fontId="13" fillId="0" borderId="3" xfId="9" applyFont="1" applyBorder="1" applyAlignment="1">
      <alignment horizontal="right" vertical="center"/>
    </xf>
    <xf numFmtId="0" fontId="13" fillId="0" borderId="3" xfId="9" applyFont="1" applyBorder="1" applyAlignment="1">
      <alignment horizontal="right" vertical="top"/>
    </xf>
    <xf numFmtId="0" fontId="13" fillId="0" borderId="5" xfId="11" applyNumberFormat="1" applyFont="1" applyBorder="1" applyAlignment="1">
      <alignment horizontal="left"/>
    </xf>
    <xf numFmtId="4" fontId="15" fillId="0" borderId="3" xfId="2" applyNumberFormat="1" applyFont="1" applyBorder="1" applyAlignment="1">
      <alignment horizontal="right"/>
    </xf>
    <xf numFmtId="0" fontId="7" fillId="0" borderId="5" xfId="9" applyFont="1" applyBorder="1" applyAlignment="1">
      <alignment horizontal="right" vertical="top"/>
    </xf>
    <xf numFmtId="3" fontId="13" fillId="0" borderId="3" xfId="9" applyNumberFormat="1" applyFont="1" applyBorder="1" applyAlignment="1">
      <alignment horizontal="right"/>
    </xf>
    <xf numFmtId="3" fontId="7" fillId="0" borderId="4" xfId="9" applyNumberFormat="1" applyFont="1" applyBorder="1" applyAlignment="1">
      <alignment wrapText="1"/>
    </xf>
    <xf numFmtId="0" fontId="7" fillId="0" borderId="4" xfId="9" applyFont="1" applyBorder="1" applyAlignment="1">
      <alignment horizontal="left"/>
    </xf>
    <xf numFmtId="0" fontId="16" fillId="0" borderId="3" xfId="2" applyFont="1" applyBorder="1" applyAlignment="1">
      <alignment horizontal="center"/>
    </xf>
    <xf numFmtId="0" fontId="16" fillId="0" borderId="3" xfId="2" applyFont="1" applyBorder="1"/>
    <xf numFmtId="0" fontId="16" fillId="0" borderId="3" xfId="2" applyFont="1" applyBorder="1" applyAlignment="1">
      <alignment horizontal="right"/>
    </xf>
    <xf numFmtId="49" fontId="13" fillId="0" borderId="5" xfId="9" applyNumberFormat="1" applyFont="1" applyBorder="1" applyAlignment="1">
      <alignment horizontal="right"/>
    </xf>
    <xf numFmtId="3" fontId="13" fillId="0" borderId="4" xfId="9" applyNumberFormat="1" applyFont="1" applyBorder="1"/>
    <xf numFmtId="4" fontId="13" fillId="0" borderId="3" xfId="9" applyNumberFormat="1" applyFont="1" applyBorder="1" applyAlignment="1">
      <alignment horizontal="center"/>
    </xf>
    <xf numFmtId="49" fontId="10" fillId="0" borderId="3" xfId="9" applyNumberFormat="1" applyFont="1" applyBorder="1"/>
    <xf numFmtId="0" fontId="15" fillId="0" borderId="3" xfId="2" applyFont="1" applyBorder="1" applyAlignment="1">
      <alignment horizontal="center"/>
    </xf>
    <xf numFmtId="49" fontId="7" fillId="0" borderId="3" xfId="2" applyNumberFormat="1" applyFont="1" applyBorder="1" applyAlignment="1">
      <alignment horizontal="right"/>
    </xf>
    <xf numFmtId="0" fontId="13" fillId="0" borderId="6" xfId="9" applyFont="1" applyBorder="1" applyAlignment="1">
      <alignment horizontal="left"/>
    </xf>
    <xf numFmtId="0" fontId="7" fillId="0" borderId="3" xfId="9" applyFont="1" applyBorder="1" applyAlignment="1">
      <alignment horizontal="left"/>
    </xf>
    <xf numFmtId="0" fontId="7" fillId="0" borderId="4" xfId="9" applyFont="1" applyBorder="1" applyAlignment="1">
      <alignment horizontal="left" vertical="center" wrapText="1"/>
    </xf>
    <xf numFmtId="0" fontId="13" fillId="0" borderId="3" xfId="9" applyFont="1" applyBorder="1" applyAlignment="1">
      <alignment horizontal="left" wrapText="1"/>
    </xf>
    <xf numFmtId="0" fontId="13" fillId="0" borderId="3" xfId="9" applyFont="1" applyBorder="1" applyAlignment="1">
      <alignment wrapText="1"/>
    </xf>
    <xf numFmtId="4" fontId="13" fillId="0" borderId="3" xfId="3" applyNumberFormat="1" applyFont="1" applyFill="1" applyBorder="1" applyAlignment="1"/>
    <xf numFmtId="49" fontId="26" fillId="0" borderId="3" xfId="2" applyNumberFormat="1" applyFont="1" applyBorder="1" applyAlignment="1">
      <alignment horizontal="center"/>
    </xf>
    <xf numFmtId="0" fontId="26" fillId="0" borderId="3" xfId="2" applyFont="1" applyBorder="1" applyAlignment="1">
      <alignment horizontal="center"/>
    </xf>
    <xf numFmtId="0" fontId="26" fillId="0" borderId="10" xfId="2" applyFont="1" applyBorder="1"/>
    <xf numFmtId="49" fontId="15" fillId="0" borderId="3" xfId="2" applyNumberFormat="1" applyFont="1" applyBorder="1" applyAlignment="1">
      <alignment horizontal="center"/>
    </xf>
    <xf numFmtId="49" fontId="26" fillId="0" borderId="3" xfId="2" applyNumberFormat="1" applyFont="1" applyBorder="1" applyAlignment="1">
      <alignment horizontal="right"/>
    </xf>
    <xf numFmtId="0" fontId="15" fillId="0" borderId="3" xfId="2" applyFont="1" applyBorder="1" applyAlignment="1">
      <alignment horizontal="left"/>
    </xf>
    <xf numFmtId="0" fontId="15" fillId="0" borderId="3" xfId="2" applyFont="1" applyBorder="1" applyAlignment="1">
      <alignment horizontal="right" vertical="top" wrapText="1"/>
    </xf>
    <xf numFmtId="0" fontId="12" fillId="0" borderId="5" xfId="9" applyFont="1" applyBorder="1"/>
    <xf numFmtId="49" fontId="12" fillId="0" borderId="5" xfId="9" applyNumberFormat="1" applyFont="1" applyBorder="1" applyAlignment="1">
      <alignment horizontal="right"/>
    </xf>
    <xf numFmtId="0" fontId="12" fillId="0" borderId="6" xfId="9" applyFont="1" applyBorder="1"/>
    <xf numFmtId="0" fontId="18" fillId="0" borderId="0" xfId="9" applyFont="1"/>
    <xf numFmtId="0" fontId="9" fillId="0" borderId="0" xfId="9" applyFont="1" applyAlignment="1">
      <alignment horizontal="centerContinuous" vertical="center"/>
    </xf>
    <xf numFmtId="0" fontId="7" fillId="0" borderId="0" xfId="9" applyFont="1" applyAlignment="1">
      <alignment horizontal="center" vertical="center"/>
    </xf>
    <xf numFmtId="0" fontId="9" fillId="2" borderId="1" xfId="9" applyFont="1" applyFill="1" applyBorder="1" applyAlignment="1">
      <alignment horizontal="center" vertical="center"/>
    </xf>
    <xf numFmtId="0" fontId="9" fillId="2" borderId="2" xfId="9" applyFont="1" applyFill="1" applyBorder="1" applyAlignment="1">
      <alignment horizontal="center" vertical="center"/>
    </xf>
    <xf numFmtId="0" fontId="9" fillId="2" borderId="2" xfId="9" applyFont="1" applyFill="1" applyBorder="1" applyAlignment="1">
      <alignment horizontal="center" vertical="center" wrapText="1"/>
    </xf>
    <xf numFmtId="0" fontId="9" fillId="2" borderId="3" xfId="9" applyFont="1" applyFill="1" applyBorder="1" applyAlignment="1">
      <alignment horizontal="center" vertical="center"/>
    </xf>
    <xf numFmtId="0" fontId="9" fillId="2" borderId="5" xfId="9" applyFont="1" applyFill="1" applyBorder="1" applyAlignment="1">
      <alignment horizontal="center" vertical="center"/>
    </xf>
    <xf numFmtId="0" fontId="27" fillId="2" borderId="14" xfId="9" applyFont="1" applyFill="1" applyBorder="1" applyAlignment="1">
      <alignment horizontal="center" vertical="center"/>
    </xf>
    <xf numFmtId="0" fontId="19" fillId="0" borderId="5" xfId="9" applyFont="1" applyBorder="1" applyAlignment="1">
      <alignment vertical="center"/>
    </xf>
    <xf numFmtId="0" fontId="19" fillId="0" borderId="5" xfId="9" applyFont="1" applyBorder="1" applyAlignment="1">
      <alignment horizontal="center" vertical="center"/>
    </xf>
    <xf numFmtId="0" fontId="18" fillId="0" borderId="3" xfId="9" applyFont="1" applyBorder="1" applyAlignment="1">
      <alignment vertical="center"/>
    </xf>
    <xf numFmtId="0" fontId="18" fillId="0" borderId="1" xfId="9" applyFont="1" applyBorder="1" applyAlignment="1">
      <alignment horizontal="left" vertical="center" indent="2"/>
    </xf>
    <xf numFmtId="0" fontId="18" fillId="0" borderId="3" xfId="9" applyFont="1" applyBorder="1" applyAlignment="1">
      <alignment horizontal="left" vertical="center" indent="2"/>
    </xf>
    <xf numFmtId="0" fontId="18" fillId="0" borderId="3" xfId="9" applyFont="1" applyBorder="1" applyAlignment="1">
      <alignment vertical="top"/>
    </xf>
    <xf numFmtId="0" fontId="18" fillId="0" borderId="3" xfId="9" applyFont="1" applyBorder="1" applyAlignment="1">
      <alignment horizontal="left" vertical="top" wrapText="1" indent="2"/>
    </xf>
    <xf numFmtId="0" fontId="19" fillId="0" borderId="14" xfId="9" applyFont="1" applyBorder="1" applyAlignment="1">
      <alignment horizontal="center"/>
    </xf>
    <xf numFmtId="0" fontId="18" fillId="0" borderId="14" xfId="9" applyFont="1" applyBorder="1" applyAlignment="1">
      <alignment horizontal="left" vertical="center" indent="2"/>
    </xf>
    <xf numFmtId="0" fontId="28" fillId="0" borderId="3" xfId="9" applyFont="1" applyBorder="1" applyAlignment="1">
      <alignment horizontal="center" vertical="top"/>
    </xf>
    <xf numFmtId="0" fontId="18" fillId="0" borderId="3" xfId="9" applyFont="1" applyBorder="1" applyAlignment="1">
      <alignment horizontal="left" vertical="center" wrapText="1" indent="2"/>
    </xf>
    <xf numFmtId="0" fontId="18" fillId="0" borderId="5" xfId="9" applyFont="1" applyBorder="1" applyAlignment="1">
      <alignment horizontal="left" vertical="center" indent="2"/>
    </xf>
    <xf numFmtId="0" fontId="15" fillId="0" borderId="0" xfId="9" applyFont="1"/>
    <xf numFmtId="0" fontId="18" fillId="0" borderId="0" xfId="9" applyFont="1" applyAlignment="1">
      <alignment vertical="center"/>
    </xf>
    <xf numFmtId="0" fontId="29" fillId="0" borderId="0" xfId="9" applyFont="1" applyAlignment="1">
      <alignment horizontal="centerContinuous" vertical="center" wrapText="1"/>
    </xf>
    <xf numFmtId="0" fontId="9" fillId="0" borderId="0" xfId="9" applyFont="1" applyAlignment="1">
      <alignment horizontal="left" vertical="center"/>
    </xf>
    <xf numFmtId="0" fontId="29" fillId="0" borderId="0" xfId="9" applyFont="1" applyAlignment="1">
      <alignment horizontal="left" vertical="center" wrapText="1"/>
    </xf>
    <xf numFmtId="0" fontId="30" fillId="0" borderId="0" xfId="9" applyFont="1" applyAlignment="1">
      <alignment horizontal="center" vertical="center"/>
    </xf>
    <xf numFmtId="0" fontId="31" fillId="2" borderId="14" xfId="9" applyFont="1" applyFill="1" applyBorder="1" applyAlignment="1">
      <alignment horizontal="center" vertical="center"/>
    </xf>
    <xf numFmtId="0" fontId="31" fillId="2" borderId="14" xfId="9" applyFont="1" applyFill="1" applyBorder="1" applyAlignment="1">
      <alignment horizontal="center" vertical="center" wrapText="1"/>
    </xf>
    <xf numFmtId="0" fontId="32" fillId="0" borderId="0" xfId="9" applyFont="1"/>
    <xf numFmtId="0" fontId="32" fillId="0" borderId="0" xfId="9" applyFont="1" applyAlignment="1">
      <alignment vertical="center"/>
    </xf>
    <xf numFmtId="0" fontId="27" fillId="0" borderId="14" xfId="9" applyFont="1" applyBorder="1" applyAlignment="1">
      <alignment horizontal="center" vertical="center"/>
    </xf>
    <xf numFmtId="0" fontId="33" fillId="0" borderId="0" xfId="9" applyFont="1"/>
    <xf numFmtId="0" fontId="33" fillId="0" borderId="0" xfId="9" applyFont="1" applyAlignment="1">
      <alignment vertical="center"/>
    </xf>
    <xf numFmtId="0" fontId="32" fillId="0" borderId="3" xfId="9" applyFont="1" applyBorder="1" applyAlignment="1">
      <alignment horizontal="center" vertical="center"/>
    </xf>
    <xf numFmtId="0" fontId="32" fillId="0" borderId="3" xfId="9" applyFont="1" applyBorder="1" applyAlignment="1">
      <alignment vertical="center"/>
    </xf>
    <xf numFmtId="49" fontId="32" fillId="0" borderId="3" xfId="9" applyNumberFormat="1" applyFont="1" applyBorder="1" applyAlignment="1">
      <alignment horizontal="center" vertical="center"/>
    </xf>
    <xf numFmtId="49" fontId="32" fillId="0" borderId="5" xfId="9" applyNumberFormat="1" applyFont="1" applyBorder="1" applyAlignment="1">
      <alignment horizontal="center" vertical="center"/>
    </xf>
    <xf numFmtId="4" fontId="34" fillId="0" borderId="5" xfId="9" applyNumberFormat="1" applyFont="1" applyBorder="1" applyAlignment="1">
      <alignment vertical="center"/>
    </xf>
    <xf numFmtId="4" fontId="32" fillId="0" borderId="5" xfId="9" applyNumberFormat="1" applyFont="1" applyBorder="1" applyAlignment="1">
      <alignment horizontal="center" vertical="center"/>
    </xf>
    <xf numFmtId="0" fontId="34" fillId="0" borderId="3" xfId="9" applyFont="1" applyBorder="1" applyAlignment="1">
      <alignment horizontal="center" vertical="center"/>
    </xf>
    <xf numFmtId="0" fontId="35" fillId="0" borderId="0" xfId="9" applyFont="1" applyAlignment="1">
      <alignment wrapText="1"/>
    </xf>
    <xf numFmtId="49" fontId="32" fillId="0" borderId="14" xfId="9" applyNumberFormat="1" applyFont="1" applyBorder="1" applyAlignment="1">
      <alignment horizontal="center" vertical="center"/>
    </xf>
    <xf numFmtId="4" fontId="32" fillId="0" borderId="14" xfId="9" applyNumberFormat="1" applyFont="1" applyBorder="1" applyAlignment="1">
      <alignment horizontal="center" vertical="center"/>
    </xf>
    <xf numFmtId="4" fontId="34" fillId="0" borderId="14" xfId="9" applyNumberFormat="1" applyFont="1" applyBorder="1" applyAlignment="1">
      <alignment vertical="center"/>
    </xf>
    <xf numFmtId="0" fontId="35" fillId="0" borderId="0" xfId="9" applyFont="1"/>
    <xf numFmtId="4" fontId="32" fillId="0" borderId="3" xfId="9" applyNumberFormat="1" applyFont="1" applyBorder="1" applyAlignment="1">
      <alignment horizontal="center" vertical="center"/>
    </xf>
    <xf numFmtId="4" fontId="32" fillId="0" borderId="3" xfId="9" applyNumberFormat="1" applyFont="1" applyBorder="1" applyAlignment="1">
      <alignment vertical="center"/>
    </xf>
    <xf numFmtId="0" fontId="32" fillId="0" borderId="5" xfId="9" applyFont="1" applyBorder="1" applyAlignment="1">
      <alignment horizontal="center" vertical="center"/>
    </xf>
    <xf numFmtId="0" fontId="32" fillId="0" borderId="5" xfId="9" applyFont="1" applyBorder="1" applyAlignment="1">
      <alignment vertical="center"/>
    </xf>
    <xf numFmtId="49" fontId="32" fillId="0" borderId="21" xfId="9" applyNumberFormat="1" applyFont="1" applyBorder="1" applyAlignment="1">
      <alignment horizontal="center" vertical="center"/>
    </xf>
    <xf numFmtId="4" fontId="32" fillId="0" borderId="5" xfId="9" applyNumberFormat="1" applyFont="1" applyBorder="1" applyAlignment="1">
      <alignment vertical="center"/>
    </xf>
    <xf numFmtId="0" fontId="35" fillId="0" borderId="0" xfId="9" applyFont="1" applyAlignment="1">
      <alignment vertical="center" wrapText="1"/>
    </xf>
    <xf numFmtId="49" fontId="32" fillId="0" borderId="19" xfId="9" applyNumberFormat="1" applyFont="1" applyBorder="1" applyAlignment="1">
      <alignment horizontal="center" vertical="center"/>
    </xf>
    <xf numFmtId="4" fontId="34" fillId="0" borderId="14" xfId="9" applyNumberFormat="1" applyFont="1" applyBorder="1" applyAlignment="1">
      <alignment horizontal="right" vertical="center"/>
    </xf>
    <xf numFmtId="0" fontId="34" fillId="0" borderId="5" xfId="9" applyFont="1" applyBorder="1" applyAlignment="1">
      <alignment horizontal="center" vertical="center"/>
    </xf>
    <xf numFmtId="4" fontId="36" fillId="0" borderId="0" xfId="9" applyNumberFormat="1" applyFont="1"/>
    <xf numFmtId="0" fontId="16" fillId="0" borderId="0" xfId="9" applyFont="1" applyAlignment="1">
      <alignment horizontal="center" vertical="center"/>
    </xf>
    <xf numFmtId="0" fontId="13" fillId="0" borderId="0" xfId="9" applyFont="1" applyAlignment="1">
      <alignment horizontal="center" vertical="center"/>
    </xf>
    <xf numFmtId="0" fontId="13" fillId="0" borderId="0" xfId="9" applyFont="1"/>
    <xf numFmtId="0" fontId="13" fillId="0" borderId="0" xfId="9" applyFont="1" applyAlignment="1">
      <alignment horizontal="right" vertical="center"/>
    </xf>
    <xf numFmtId="0" fontId="37" fillId="0" borderId="0" xfId="9" applyFont="1"/>
    <xf numFmtId="0" fontId="37" fillId="0" borderId="0" xfId="9" applyFont="1" applyAlignment="1">
      <alignment horizontal="right"/>
    </xf>
    <xf numFmtId="0" fontId="38" fillId="0" borderId="0" xfId="9" applyFont="1"/>
    <xf numFmtId="4" fontId="38" fillId="0" borderId="0" xfId="9" applyNumberFormat="1" applyFont="1"/>
    <xf numFmtId="0" fontId="37" fillId="0" borderId="0" xfId="9" applyFont="1" applyAlignment="1">
      <alignment vertical="center"/>
    </xf>
    <xf numFmtId="0" fontId="38" fillId="0" borderId="0" xfId="9" applyFont="1" applyAlignment="1">
      <alignment horizontal="center"/>
    </xf>
    <xf numFmtId="0" fontId="39" fillId="0" borderId="0" xfId="9" applyFont="1"/>
    <xf numFmtId="4" fontId="39" fillId="0" borderId="0" xfId="9" applyNumberFormat="1" applyFont="1"/>
    <xf numFmtId="4" fontId="21" fillId="0" borderId="0" xfId="9" applyNumberFormat="1" applyFont="1" applyAlignment="1">
      <alignment horizontal="right"/>
    </xf>
    <xf numFmtId="0" fontId="21" fillId="0" borderId="0" xfId="9" applyFont="1" applyAlignment="1">
      <alignment horizontal="center"/>
    </xf>
    <xf numFmtId="0" fontId="16" fillId="0" borderId="0" xfId="9" applyFont="1" applyAlignment="1">
      <alignment horizontal="centerContinuous" vertical="center"/>
    </xf>
    <xf numFmtId="0" fontId="16" fillId="0" borderId="0" xfId="9" applyFont="1" applyAlignment="1">
      <alignment horizontal="centerContinuous"/>
    </xf>
    <xf numFmtId="0" fontId="40" fillId="0" borderId="0" xfId="9" applyFont="1" applyAlignment="1">
      <alignment horizontal="left"/>
    </xf>
    <xf numFmtId="4" fontId="39" fillId="0" borderId="0" xfId="9" applyNumberFormat="1" applyFont="1" applyAlignment="1">
      <alignment horizontal="right"/>
    </xf>
    <xf numFmtId="0" fontId="39" fillId="0" borderId="0" xfId="9" applyFont="1" applyAlignment="1">
      <alignment horizontal="left"/>
    </xf>
    <xf numFmtId="4" fontId="40" fillId="0" borderId="0" xfId="9" applyNumberFormat="1" applyFont="1"/>
    <xf numFmtId="0" fontId="40" fillId="0" borderId="0" xfId="9" applyFont="1"/>
    <xf numFmtId="0" fontId="41" fillId="0" borderId="0" xfId="9" applyFont="1"/>
    <xf numFmtId="0" fontId="13" fillId="0" borderId="0" xfId="9" applyFont="1" applyAlignment="1">
      <alignment horizontal="centerContinuous"/>
    </xf>
    <xf numFmtId="0" fontId="13" fillId="0" borderId="0" xfId="9" applyFont="1" applyAlignment="1">
      <alignment horizontal="center"/>
    </xf>
    <xf numFmtId="0" fontId="16" fillId="2" borderId="1" xfId="9" applyFont="1" applyFill="1" applyBorder="1" applyAlignment="1">
      <alignment horizontal="center" vertical="center"/>
    </xf>
    <xf numFmtId="0" fontId="13" fillId="2" borderId="1" xfId="9" applyFont="1" applyFill="1" applyBorder="1" applyAlignment="1">
      <alignment horizontal="center" vertical="center"/>
    </xf>
    <xf numFmtId="0" fontId="16" fillId="0" borderId="1" xfId="9" applyFont="1" applyBorder="1" applyAlignment="1">
      <alignment horizontal="center" vertical="center"/>
    </xf>
    <xf numFmtId="0" fontId="16" fillId="2" borderId="22" xfId="9" applyFont="1" applyFill="1" applyBorder="1" applyAlignment="1">
      <alignment horizontal="centerContinuous" vertical="center"/>
    </xf>
    <xf numFmtId="0" fontId="16" fillId="2" borderId="25" xfId="9" applyFont="1" applyFill="1" applyBorder="1" applyAlignment="1">
      <alignment horizontal="centerContinuous" vertical="center"/>
    </xf>
    <xf numFmtId="0" fontId="16" fillId="2" borderId="23" xfId="9" applyFont="1" applyFill="1" applyBorder="1" applyAlignment="1">
      <alignment horizontal="centerContinuous" vertical="center"/>
    </xf>
    <xf numFmtId="0" fontId="16" fillId="2" borderId="26" xfId="9" applyFont="1" applyFill="1" applyBorder="1" applyAlignment="1">
      <alignment horizontal="centerContinuous" vertical="center"/>
    </xf>
    <xf numFmtId="0" fontId="16" fillId="2" borderId="25" xfId="9" applyFont="1" applyFill="1" applyBorder="1" applyAlignment="1">
      <alignment horizontal="center" vertical="center"/>
    </xf>
    <xf numFmtId="0" fontId="16" fillId="2" borderId="26" xfId="9" applyFont="1" applyFill="1" applyBorder="1" applyAlignment="1">
      <alignment horizontal="center" vertical="center"/>
    </xf>
    <xf numFmtId="0" fontId="38" fillId="0" borderId="0" xfId="9" applyFont="1" applyAlignment="1">
      <alignment horizontal="center" vertical="center"/>
    </xf>
    <xf numFmtId="4" fontId="39" fillId="0" borderId="0" xfId="9" applyNumberFormat="1" applyFont="1" applyAlignment="1">
      <alignment horizontal="right" vertical="center"/>
    </xf>
    <xf numFmtId="0" fontId="39" fillId="0" borderId="0" xfId="9" applyFont="1" applyAlignment="1">
      <alignment horizontal="left" vertical="center"/>
    </xf>
    <xf numFmtId="4" fontId="38" fillId="0" borderId="0" xfId="9" applyNumberFormat="1" applyFont="1" applyAlignment="1">
      <alignment horizontal="center" vertical="center"/>
    </xf>
    <xf numFmtId="0" fontId="38" fillId="0" borderId="0" xfId="9" applyFont="1" applyAlignment="1">
      <alignment horizontal="left" vertical="center"/>
    </xf>
    <xf numFmtId="0" fontId="16" fillId="2" borderId="3" xfId="9" applyFont="1" applyFill="1" applyBorder="1" applyAlignment="1">
      <alignment horizontal="center" vertical="center"/>
    </xf>
    <xf numFmtId="0" fontId="16" fillId="2" borderId="19" xfId="9" applyFont="1" applyFill="1" applyBorder="1" applyAlignment="1">
      <alignment horizontal="center" vertical="center"/>
    </xf>
    <xf numFmtId="0" fontId="13" fillId="2" borderId="19" xfId="9" applyFont="1" applyFill="1" applyBorder="1" applyAlignment="1">
      <alignment horizontal="center" vertical="center"/>
    </xf>
    <xf numFmtId="0" fontId="16" fillId="0" borderId="19" xfId="9" applyFont="1" applyBorder="1" applyAlignment="1">
      <alignment horizontal="center" vertical="center"/>
    </xf>
    <xf numFmtId="0" fontId="16" fillId="2" borderId="0" xfId="9" applyFont="1" applyFill="1" applyAlignment="1">
      <alignment horizontal="center" vertical="center"/>
    </xf>
    <xf numFmtId="0" fontId="16" fillId="3" borderId="22" xfId="9" applyFont="1" applyFill="1" applyBorder="1" applyAlignment="1">
      <alignment horizontal="center" vertical="center"/>
    </xf>
    <xf numFmtId="0" fontId="13" fillId="0" borderId="24" xfId="9" applyFont="1" applyBorder="1" applyAlignment="1">
      <alignment horizontal="center" vertical="center" wrapText="1"/>
    </xf>
    <xf numFmtId="0" fontId="13" fillId="0" borderId="0" xfId="9" applyFont="1" applyAlignment="1">
      <alignment horizontal="center" vertical="center" wrapText="1"/>
    </xf>
    <xf numFmtId="0" fontId="13" fillId="0" borderId="3" xfId="9" applyFont="1" applyBorder="1" applyAlignment="1">
      <alignment horizontal="center" vertical="center" wrapText="1"/>
    </xf>
    <xf numFmtId="4" fontId="39" fillId="0" borderId="0" xfId="9" applyNumberFormat="1" applyFont="1" applyAlignment="1">
      <alignment vertical="center"/>
    </xf>
    <xf numFmtId="0" fontId="39" fillId="0" borderId="0" xfId="9" applyFont="1" applyAlignment="1">
      <alignment vertical="center"/>
    </xf>
    <xf numFmtId="0" fontId="38" fillId="0" borderId="0" xfId="9" applyFont="1" applyAlignment="1">
      <alignment vertical="center"/>
    </xf>
    <xf numFmtId="0" fontId="16" fillId="0" borderId="27" xfId="4" applyFont="1" applyBorder="1" applyAlignment="1">
      <alignment horizontal="center" vertical="center"/>
    </xf>
    <xf numFmtId="0" fontId="39" fillId="0" borderId="0" xfId="9" applyFont="1" applyAlignment="1">
      <alignment horizontal="center" vertical="center"/>
    </xf>
    <xf numFmtId="0" fontId="16" fillId="2" borderId="5" xfId="9" applyFont="1" applyFill="1" applyBorder="1" applyAlignment="1">
      <alignment horizontal="center" vertical="center"/>
    </xf>
    <xf numFmtId="0" fontId="16" fillId="2" borderId="21" xfId="9" applyFont="1" applyFill="1" applyBorder="1" applyAlignment="1">
      <alignment horizontal="center" vertical="center"/>
    </xf>
    <xf numFmtId="0" fontId="13" fillId="2" borderId="21" xfId="9" applyFont="1" applyFill="1" applyBorder="1" applyAlignment="1">
      <alignment horizontal="center" vertical="center"/>
    </xf>
    <xf numFmtId="0" fontId="16" fillId="0" borderId="21" xfId="9" applyFont="1" applyBorder="1" applyAlignment="1">
      <alignment horizontal="center" vertical="center"/>
    </xf>
    <xf numFmtId="0" fontId="13" fillId="2" borderId="14" xfId="9" applyFont="1" applyFill="1" applyBorder="1" applyAlignment="1">
      <alignment horizontal="center" vertical="center"/>
    </xf>
    <xf numFmtId="0" fontId="13" fillId="0" borderId="14" xfId="9" applyFont="1" applyBorder="1" applyAlignment="1">
      <alignment horizontal="center" vertical="center"/>
    </xf>
    <xf numFmtId="0" fontId="13" fillId="0" borderId="22" xfId="9" applyFont="1" applyBorder="1" applyAlignment="1">
      <alignment horizontal="center" vertical="center"/>
    </xf>
    <xf numFmtId="0" fontId="13" fillId="2" borderId="26" xfId="9" applyFont="1" applyFill="1" applyBorder="1" applyAlignment="1">
      <alignment horizontal="center" vertical="center"/>
    </xf>
    <xf numFmtId="0" fontId="13" fillId="2" borderId="24" xfId="9" applyFont="1" applyFill="1" applyBorder="1" applyAlignment="1">
      <alignment horizontal="center" vertical="center"/>
    </xf>
    <xf numFmtId="0" fontId="13" fillId="2" borderId="23" xfId="9" applyFont="1" applyFill="1" applyBorder="1" applyAlignment="1">
      <alignment horizontal="center" vertical="center"/>
    </xf>
    <xf numFmtId="4" fontId="38" fillId="0" borderId="0" xfId="9" applyNumberFormat="1" applyFont="1" applyAlignment="1">
      <alignment vertical="center"/>
    </xf>
    <xf numFmtId="0" fontId="16" fillId="0" borderId="5" xfId="9" applyFont="1" applyBorder="1" applyAlignment="1">
      <alignment horizontal="center" vertical="center"/>
    </xf>
    <xf numFmtId="1" fontId="13" fillId="3" borderId="5" xfId="9" applyNumberFormat="1" applyFont="1" applyFill="1" applyBorder="1" applyAlignment="1">
      <alignment horizontal="center" vertical="center" wrapText="1"/>
    </xf>
    <xf numFmtId="0" fontId="16" fillId="0" borderId="5" xfId="9" applyFont="1" applyBorder="1" applyAlignment="1">
      <alignment vertical="center" wrapText="1"/>
    </xf>
    <xf numFmtId="43" fontId="16" fillId="3" borderId="5" xfId="11" applyFont="1" applyFill="1" applyBorder="1" applyAlignment="1">
      <alignment vertical="center" wrapText="1"/>
    </xf>
    <xf numFmtId="2" fontId="16" fillId="3" borderId="5" xfId="11" applyNumberFormat="1" applyFont="1" applyFill="1" applyBorder="1" applyAlignment="1">
      <alignment vertical="center" wrapText="1"/>
    </xf>
    <xf numFmtId="0" fontId="42" fillId="0" borderId="14" xfId="9" applyFont="1" applyBorder="1"/>
    <xf numFmtId="0" fontId="21" fillId="0" borderId="1" xfId="9" applyFont="1" applyBorder="1" applyAlignment="1">
      <alignment horizontal="center" vertical="center"/>
    </xf>
    <xf numFmtId="43" fontId="13" fillId="3" borderId="1" xfId="11" applyFont="1" applyFill="1" applyBorder="1" applyAlignment="1">
      <alignment vertical="center" wrapText="1"/>
    </xf>
    <xf numFmtId="0" fontId="13" fillId="3" borderId="1" xfId="9" applyFont="1" applyFill="1" applyBorder="1" applyAlignment="1">
      <alignment vertical="center" wrapText="1"/>
    </xf>
    <xf numFmtId="4" fontId="13" fillId="0" borderId="1" xfId="9" applyNumberFormat="1" applyFont="1" applyBorder="1" applyAlignment="1">
      <alignment horizontal="right" vertical="center" wrapText="1"/>
    </xf>
    <xf numFmtId="4" fontId="13" fillId="3" borderId="1" xfId="9" applyNumberFormat="1" applyFont="1" applyFill="1" applyBorder="1" applyAlignment="1">
      <alignment horizontal="right" vertical="center" wrapText="1"/>
    </xf>
    <xf numFmtId="4" fontId="13" fillId="3" borderId="26" xfId="9" applyNumberFormat="1" applyFont="1" applyFill="1" applyBorder="1" applyAlignment="1">
      <alignment horizontal="right" vertical="center" wrapText="1"/>
    </xf>
    <xf numFmtId="4" fontId="13" fillId="0" borderId="1" xfId="4" applyNumberFormat="1" applyFont="1" applyBorder="1" applyAlignment="1">
      <alignment horizontal="right" vertical="center"/>
    </xf>
    <xf numFmtId="4" fontId="13" fillId="0" borderId="26" xfId="9" applyNumberFormat="1" applyFont="1" applyBorder="1" applyAlignment="1">
      <alignment horizontal="right" vertical="center"/>
    </xf>
    <xf numFmtId="0" fontId="21" fillId="0" borderId="5" xfId="9" applyFont="1" applyBorder="1" applyAlignment="1">
      <alignment horizontal="center" vertical="center"/>
    </xf>
    <xf numFmtId="0" fontId="43" fillId="0" borderId="5" xfId="9" applyFont="1" applyBorder="1" applyAlignment="1">
      <alignment vertical="center" wrapText="1"/>
    </xf>
    <xf numFmtId="43" fontId="13" fillId="3" borderId="5" xfId="11" applyFont="1" applyFill="1" applyBorder="1" applyAlignment="1">
      <alignment vertical="center" wrapText="1"/>
    </xf>
    <xf numFmtId="0" fontId="13" fillId="3" borderId="5" xfId="9" applyFont="1" applyFill="1" applyBorder="1" applyAlignment="1">
      <alignment vertical="center" wrapText="1"/>
    </xf>
    <xf numFmtId="4" fontId="13" fillId="0" borderId="5" xfId="9" applyNumberFormat="1" applyFont="1" applyBorder="1" applyAlignment="1">
      <alignment horizontal="right" vertical="center" wrapText="1"/>
    </xf>
    <xf numFmtId="4" fontId="13" fillId="3" borderId="5" xfId="9" applyNumberFormat="1" applyFont="1" applyFill="1" applyBorder="1" applyAlignment="1">
      <alignment horizontal="right" vertical="center" wrapText="1"/>
    </xf>
    <xf numFmtId="4" fontId="13" fillId="3" borderId="21" xfId="9" applyNumberFormat="1" applyFont="1" applyFill="1" applyBorder="1" applyAlignment="1">
      <alignment horizontal="right" vertical="center" wrapText="1"/>
    </xf>
    <xf numFmtId="4" fontId="13" fillId="0" borderId="5" xfId="4" applyNumberFormat="1" applyFont="1" applyBorder="1" applyAlignment="1">
      <alignment horizontal="right" vertical="center"/>
    </xf>
    <xf numFmtId="4" fontId="13" fillId="0" borderId="21" xfId="9" applyNumberFormat="1" applyFont="1" applyBorder="1" applyAlignment="1">
      <alignment horizontal="right" vertical="center"/>
    </xf>
    <xf numFmtId="0" fontId="43" fillId="0" borderId="5" xfId="9" applyFont="1" applyBorder="1" applyAlignment="1">
      <alignment vertical="center"/>
    </xf>
    <xf numFmtId="0" fontId="16" fillId="0" borderId="3" xfId="9" applyFont="1" applyBorder="1" applyAlignment="1">
      <alignment horizontal="center" vertical="center"/>
    </xf>
    <xf numFmtId="0" fontId="21" fillId="0" borderId="3" xfId="9" applyFont="1" applyBorder="1" applyAlignment="1">
      <alignment horizontal="center" vertical="center"/>
    </xf>
    <xf numFmtId="43" fontId="13" fillId="3" borderId="3" xfId="11" applyFont="1" applyFill="1" applyBorder="1" applyAlignment="1">
      <alignment vertical="center" wrapText="1"/>
    </xf>
    <xf numFmtId="0" fontId="13" fillId="3" borderId="3" xfId="9" applyFont="1" applyFill="1" applyBorder="1" applyAlignment="1">
      <alignment vertical="center" wrapText="1"/>
    </xf>
    <xf numFmtId="4" fontId="13" fillId="0" borderId="3" xfId="9" applyNumberFormat="1" applyFont="1" applyBorder="1" applyAlignment="1">
      <alignment horizontal="right" vertical="center" wrapText="1"/>
    </xf>
    <xf numFmtId="4" fontId="13" fillId="3" borderId="3" xfId="9" applyNumberFormat="1" applyFont="1" applyFill="1" applyBorder="1" applyAlignment="1">
      <alignment horizontal="right" vertical="center" wrapText="1"/>
    </xf>
    <xf numFmtId="4" fontId="13" fillId="3" borderId="19" xfId="9" applyNumberFormat="1" applyFont="1" applyFill="1" applyBorder="1" applyAlignment="1">
      <alignment horizontal="right" vertical="center" wrapText="1"/>
    </xf>
    <xf numFmtId="4" fontId="13" fillId="0" borderId="3" xfId="4" applyNumberFormat="1" applyFont="1" applyBorder="1" applyAlignment="1">
      <alignment horizontal="right" vertical="center"/>
    </xf>
    <xf numFmtId="4" fontId="13" fillId="0" borderId="19" xfId="9" applyNumberFormat="1" applyFont="1" applyBorder="1" applyAlignment="1">
      <alignment horizontal="right" vertical="center"/>
    </xf>
    <xf numFmtId="0" fontId="43" fillId="0" borderId="3" xfId="9" applyFont="1" applyBorder="1" applyAlignment="1">
      <alignment vertical="center" wrapText="1"/>
    </xf>
    <xf numFmtId="0" fontId="40" fillId="0" borderId="0" xfId="9" applyFont="1" applyAlignment="1">
      <alignment horizontal="center" vertical="center"/>
    </xf>
    <xf numFmtId="0" fontId="38" fillId="0" borderId="0" xfId="9" applyFont="1" applyAlignment="1">
      <alignment horizontal="right" vertical="center"/>
    </xf>
    <xf numFmtId="0" fontId="15" fillId="0" borderId="0" xfId="12" applyFont="1"/>
    <xf numFmtId="0" fontId="7" fillId="0" borderId="0" xfId="0" applyFont="1"/>
    <xf numFmtId="0" fontId="7" fillId="0" borderId="0" xfId="10" applyFont="1"/>
    <xf numFmtId="0" fontId="7" fillId="0" borderId="0" xfId="0" applyFont="1" applyAlignment="1">
      <alignment horizontal="left"/>
    </xf>
    <xf numFmtId="0" fontId="19" fillId="0" borderId="0" xfId="12" applyFont="1" applyAlignment="1">
      <alignment horizontal="centerContinuous" vertical="center"/>
    </xf>
    <xf numFmtId="0" fontId="26" fillId="0" borderId="1" xfId="12" applyFont="1" applyBorder="1" applyAlignment="1">
      <alignment horizontal="center" vertical="center"/>
    </xf>
    <xf numFmtId="0" fontId="26" fillId="0" borderId="1" xfId="12" applyFont="1" applyBorder="1" applyAlignment="1">
      <alignment horizontal="center" vertical="center" wrapText="1"/>
    </xf>
    <xf numFmtId="0" fontId="45" fillId="0" borderId="1" xfId="12" applyFont="1" applyBorder="1" applyAlignment="1">
      <alignment horizontal="center" vertical="top" wrapText="1"/>
    </xf>
    <xf numFmtId="0" fontId="26" fillId="0" borderId="22" xfId="12" applyFont="1" applyBorder="1" applyAlignment="1">
      <alignment horizontal="centerContinuous" vertical="center"/>
    </xf>
    <xf numFmtId="0" fontId="26" fillId="0" borderId="24" xfId="12" applyFont="1" applyBorder="1" applyAlignment="1">
      <alignment horizontal="centerContinuous" vertical="center"/>
    </xf>
    <xf numFmtId="0" fontId="26" fillId="0" borderId="23" xfId="12" applyFont="1" applyBorder="1" applyAlignment="1">
      <alignment horizontal="centerContinuous" vertical="center"/>
    </xf>
    <xf numFmtId="0" fontId="26" fillId="0" borderId="3" xfId="12" applyFont="1" applyBorder="1" applyAlignment="1">
      <alignment horizontal="center" vertical="center"/>
    </xf>
    <xf numFmtId="0" fontId="26" fillId="0" borderId="3" xfId="12" applyFont="1" applyBorder="1" applyAlignment="1">
      <alignment horizontal="center" vertical="center" wrapText="1"/>
    </xf>
    <xf numFmtId="0" fontId="45" fillId="0" borderId="3" xfId="12" applyFont="1" applyBorder="1" applyAlignment="1">
      <alignment horizontal="center" vertical="center" wrapText="1"/>
    </xf>
    <xf numFmtId="0" fontId="26" fillId="0" borderId="5" xfId="12" applyFont="1" applyBorder="1" applyAlignment="1">
      <alignment horizontal="center" vertical="center"/>
    </xf>
    <xf numFmtId="0" fontId="45" fillId="0" borderId="5" xfId="12" applyFont="1" applyBorder="1" applyAlignment="1">
      <alignment horizontal="center" vertical="center" wrapText="1"/>
    </xf>
    <xf numFmtId="0" fontId="26" fillId="0" borderId="5" xfId="12" applyFont="1" applyBorder="1" applyAlignment="1">
      <alignment horizontal="center" vertical="center" wrapText="1"/>
    </xf>
    <xf numFmtId="0" fontId="33" fillId="0" borderId="14" xfId="12" applyFont="1" applyBorder="1" applyAlignment="1">
      <alignment horizontal="center" vertical="center"/>
    </xf>
    <xf numFmtId="0" fontId="33" fillId="0" borderId="24" xfId="12" applyFont="1" applyBorder="1" applyAlignment="1">
      <alignment horizontal="center" vertical="center"/>
    </xf>
    <xf numFmtId="0" fontId="19" fillId="0" borderId="1" xfId="12" applyFont="1" applyBorder="1" applyAlignment="1">
      <alignment horizontal="center" vertical="center"/>
    </xf>
    <xf numFmtId="0" fontId="19" fillId="0" borderId="14" xfId="12" applyFont="1" applyBorder="1" applyAlignment="1">
      <alignment vertical="center"/>
    </xf>
    <xf numFmtId="4" fontId="26" fillId="0" borderId="24" xfId="12" applyNumberFormat="1" applyFont="1" applyBorder="1" applyAlignment="1">
      <alignment horizontal="center" vertical="center"/>
    </xf>
    <xf numFmtId="4" fontId="26" fillId="0" borderId="14" xfId="12" applyNumberFormat="1" applyFont="1" applyBorder="1" applyAlignment="1">
      <alignment vertical="center"/>
    </xf>
    <xf numFmtId="4" fontId="15" fillId="0" borderId="0" xfId="12" applyNumberFormat="1" applyFont="1" applyAlignment="1">
      <alignment horizontal="right" vertical="center"/>
    </xf>
    <xf numFmtId="4" fontId="26" fillId="0" borderId="0" xfId="12" applyNumberFormat="1" applyFont="1"/>
    <xf numFmtId="0" fontId="26" fillId="0" borderId="0" xfId="12" applyFont="1"/>
    <xf numFmtId="0" fontId="19" fillId="0" borderId="3" xfId="12" applyFont="1" applyBorder="1" applyAlignment="1">
      <alignment horizontal="center" vertical="center"/>
    </xf>
    <xf numFmtId="4" fontId="15" fillId="0" borderId="0" xfId="12" applyNumberFormat="1" applyFont="1"/>
    <xf numFmtId="43" fontId="15" fillId="0" borderId="0" xfId="7" applyFont="1"/>
    <xf numFmtId="3" fontId="26" fillId="0" borderId="0" xfId="12" applyNumberFormat="1" applyFont="1"/>
    <xf numFmtId="49" fontId="26" fillId="0" borderId="30" xfId="12" applyNumberFormat="1" applyFont="1" applyBorder="1" applyAlignment="1">
      <alignment horizontal="center" vertical="center"/>
    </xf>
    <xf numFmtId="0" fontId="26" fillId="0" borderId="31" xfId="12" applyFont="1" applyBorder="1" applyAlignment="1">
      <alignment vertical="center" wrapText="1"/>
    </xf>
    <xf numFmtId="4" fontId="19" fillId="0" borderId="32" xfId="0" applyNumberFormat="1" applyFont="1" applyBorder="1" applyAlignment="1">
      <alignment horizontal="center" vertical="center"/>
    </xf>
    <xf numFmtId="4" fontId="26" fillId="0" borderId="33" xfId="0" applyNumberFormat="1" applyFont="1" applyBorder="1" applyAlignment="1">
      <alignment horizontal="right" vertical="center"/>
    </xf>
    <xf numFmtId="3" fontId="15" fillId="0" borderId="0" xfId="12" applyNumberFormat="1" applyFont="1"/>
    <xf numFmtId="49" fontId="15" fillId="0" borderId="28" xfId="12" applyNumberFormat="1" applyFont="1" applyBorder="1" applyAlignment="1">
      <alignment horizontal="center" vertical="center"/>
    </xf>
    <xf numFmtId="0" fontId="16" fillId="0" borderId="28" xfId="0" applyFont="1" applyBorder="1" applyAlignment="1">
      <alignment horizontal="left" vertical="center" wrapText="1"/>
    </xf>
    <xf numFmtId="4" fontId="15" fillId="0" borderId="25" xfId="12" applyNumberFormat="1" applyFont="1" applyBorder="1"/>
    <xf numFmtId="4" fontId="15" fillId="0" borderId="26" xfId="12" applyNumberFormat="1" applyFont="1" applyBorder="1"/>
    <xf numFmtId="0" fontId="15" fillId="0" borderId="0" xfId="12" applyFont="1" applyAlignment="1">
      <alignment horizontal="center"/>
    </xf>
    <xf numFmtId="0" fontId="15" fillId="0" borderId="35" xfId="12" applyFont="1" applyBorder="1" applyAlignment="1">
      <alignment horizontal="center" vertical="top"/>
    </xf>
    <xf numFmtId="0" fontId="15" fillId="0" borderId="35" xfId="12" applyFont="1" applyBorder="1"/>
    <xf numFmtId="4" fontId="15" fillId="0" borderId="37" xfId="12" applyNumberFormat="1" applyFont="1" applyBorder="1"/>
    <xf numFmtId="4" fontId="15" fillId="0" borderId="38" xfId="12" applyNumberFormat="1" applyFont="1" applyBorder="1"/>
    <xf numFmtId="0" fontId="15" fillId="0" borderId="35" xfId="12" applyFont="1" applyBorder="1" applyAlignment="1">
      <alignment horizontal="center" vertical="center"/>
    </xf>
    <xf numFmtId="0" fontId="15" fillId="3" borderId="35" xfId="12" applyFont="1" applyFill="1" applyBorder="1" applyAlignment="1">
      <alignment horizontal="center"/>
    </xf>
    <xf numFmtId="4" fontId="15" fillId="0" borderId="35" xfId="12" applyNumberFormat="1" applyFont="1" applyBorder="1"/>
    <xf numFmtId="4" fontId="15" fillId="0" borderId="3" xfId="12" applyNumberFormat="1" applyFont="1" applyBorder="1"/>
    <xf numFmtId="4" fontId="15" fillId="0" borderId="19" xfId="12" applyNumberFormat="1" applyFont="1" applyBorder="1"/>
    <xf numFmtId="0" fontId="15" fillId="0" borderId="29" xfId="12" applyFont="1" applyBorder="1" applyAlignment="1">
      <alignment horizontal="center" vertical="center"/>
    </xf>
    <xf numFmtId="0" fontId="15" fillId="3" borderId="29" xfId="12" applyFont="1" applyFill="1" applyBorder="1" applyAlignment="1">
      <alignment horizontal="center"/>
    </xf>
    <xf numFmtId="4" fontId="15" fillId="0" borderId="29" xfId="12" applyNumberFormat="1" applyFont="1" applyBorder="1"/>
    <xf numFmtId="4" fontId="15" fillId="0" borderId="16" xfId="12" applyNumberFormat="1" applyFont="1" applyBorder="1"/>
    <xf numFmtId="0" fontId="15" fillId="0" borderId="0" xfId="12" applyFont="1" applyAlignment="1">
      <alignment horizontal="center" vertical="center"/>
    </xf>
    <xf numFmtId="4" fontId="15" fillId="0" borderId="0" xfId="12" applyNumberFormat="1" applyFont="1" applyAlignment="1">
      <alignment horizontal="center"/>
    </xf>
    <xf numFmtId="4" fontId="15" fillId="0" borderId="0" xfId="12" applyNumberFormat="1" applyFont="1" applyAlignment="1">
      <alignment horizontal="right"/>
    </xf>
    <xf numFmtId="0" fontId="32" fillId="0" borderId="0" xfId="13" applyFont="1"/>
    <xf numFmtId="0" fontId="32" fillId="0" borderId="0" xfId="13" applyFont="1" applyAlignment="1">
      <alignment horizontal="center" vertical="top"/>
    </xf>
    <xf numFmtId="0" fontId="7" fillId="0" borderId="0" xfId="13" applyFont="1" applyAlignment="1">
      <alignment horizontal="left"/>
    </xf>
    <xf numFmtId="0" fontId="46" fillId="0" borderId="0" xfId="13" applyFont="1" applyAlignment="1">
      <alignment horizontal="left"/>
    </xf>
    <xf numFmtId="0" fontId="7" fillId="0" borderId="0" xfId="13" applyFont="1"/>
    <xf numFmtId="0" fontId="31" fillId="0" borderId="0" xfId="13" applyFont="1" applyAlignment="1">
      <alignment horizontal="center" vertical="center"/>
    </xf>
    <xf numFmtId="0" fontId="32" fillId="0" borderId="0" xfId="13" applyFont="1" applyAlignment="1">
      <alignment vertical="center"/>
    </xf>
    <xf numFmtId="0" fontId="11" fillId="0" borderId="0" xfId="13" applyFont="1" applyAlignment="1">
      <alignment horizontal="right"/>
    </xf>
    <xf numFmtId="0" fontId="31" fillId="0" borderId="14" xfId="13" applyFont="1" applyBorder="1" applyAlignment="1">
      <alignment horizontal="center" vertical="center"/>
    </xf>
    <xf numFmtId="0" fontId="31" fillId="2" borderId="14" xfId="13" applyFont="1" applyFill="1" applyBorder="1" applyAlignment="1">
      <alignment horizontal="center" vertical="center"/>
    </xf>
    <xf numFmtId="0" fontId="11" fillId="0" borderId="14" xfId="13" applyFont="1" applyBorder="1" applyAlignment="1">
      <alignment horizontal="center" vertical="center"/>
    </xf>
    <xf numFmtId="0" fontId="11" fillId="0" borderId="14" xfId="13" applyFont="1" applyBorder="1" applyAlignment="1">
      <alignment horizontal="center" vertical="top"/>
    </xf>
    <xf numFmtId="0" fontId="11" fillId="0" borderId="0" xfId="13" applyFont="1"/>
    <xf numFmtId="0" fontId="47" fillId="0" borderId="22" xfId="13" applyFont="1" applyBorder="1" applyAlignment="1">
      <alignment horizontal="left" vertical="center"/>
    </xf>
    <xf numFmtId="0" fontId="47" fillId="0" borderId="23" xfId="13" applyFont="1" applyBorder="1" applyAlignment="1">
      <alignment horizontal="left" vertical="center"/>
    </xf>
    <xf numFmtId="0" fontId="47" fillId="0" borderId="23" xfId="13" applyFont="1" applyBorder="1" applyAlignment="1">
      <alignment horizontal="center" vertical="top"/>
    </xf>
    <xf numFmtId="0" fontId="47" fillId="0" borderId="24" xfId="13" applyFont="1" applyBorder="1" applyAlignment="1">
      <alignment horizontal="left" vertical="center"/>
    </xf>
    <xf numFmtId="0" fontId="23" fillId="0" borderId="14" xfId="13" applyFont="1" applyBorder="1" applyAlignment="1">
      <alignment horizontal="center" vertical="center"/>
    </xf>
    <xf numFmtId="0" fontId="46" fillId="0" borderId="14" xfId="13" applyFont="1" applyBorder="1" applyAlignment="1">
      <alignment vertical="center" wrapText="1"/>
    </xf>
    <xf numFmtId="4" fontId="46" fillId="0" borderId="14" xfId="13" applyNumberFormat="1" applyFont="1" applyBorder="1" applyAlignment="1">
      <alignment vertical="center"/>
    </xf>
    <xf numFmtId="4" fontId="32" fillId="0" borderId="0" xfId="13" applyNumberFormat="1" applyFont="1"/>
    <xf numFmtId="0" fontId="23" fillId="0" borderId="1" xfId="13" applyFont="1" applyBorder="1" applyAlignment="1">
      <alignment horizontal="center" vertical="center"/>
    </xf>
    <xf numFmtId="0" fontId="46" fillId="0" borderId="1" xfId="13" applyFont="1" applyBorder="1" applyAlignment="1">
      <alignment horizontal="center" vertical="center"/>
    </xf>
    <xf numFmtId="0" fontId="46" fillId="0" borderId="14" xfId="13" applyFont="1" applyBorder="1" applyAlignment="1">
      <alignment horizontal="center" vertical="center"/>
    </xf>
    <xf numFmtId="0" fontId="46" fillId="0" borderId="14" xfId="13" applyFont="1" applyBorder="1" applyAlignment="1">
      <alignment vertical="center"/>
    </xf>
    <xf numFmtId="0" fontId="46" fillId="3" borderId="14" xfId="14" applyFont="1" applyFill="1" applyBorder="1" applyAlignment="1">
      <alignment vertical="center"/>
    </xf>
    <xf numFmtId="0" fontId="46" fillId="3" borderId="14" xfId="14" applyFont="1" applyFill="1" applyBorder="1" applyAlignment="1">
      <alignment horizontal="center" vertical="center"/>
    </xf>
    <xf numFmtId="0" fontId="32" fillId="3" borderId="22" xfId="8" applyFont="1" applyFill="1" applyBorder="1" applyAlignment="1">
      <alignment horizontal="center" vertical="center"/>
    </xf>
    <xf numFmtId="0" fontId="46" fillId="0" borderId="22" xfId="14" applyFont="1" applyBorder="1" applyAlignment="1">
      <alignment vertical="center" wrapText="1"/>
    </xf>
    <xf numFmtId="0" fontId="13" fillId="0" borderId="22" xfId="13" applyFont="1" applyBorder="1" applyAlignment="1">
      <alignment horizontal="center" vertical="center"/>
    </xf>
    <xf numFmtId="0" fontId="7" fillId="3" borderId="23" xfId="13" applyFont="1" applyFill="1" applyBorder="1" applyAlignment="1">
      <alignment vertical="center"/>
    </xf>
    <xf numFmtId="0" fontId="7" fillId="3" borderId="23" xfId="13" applyFont="1" applyFill="1" applyBorder="1" applyAlignment="1">
      <alignment horizontal="center" vertical="center"/>
    </xf>
    <xf numFmtId="0" fontId="15" fillId="3" borderId="23" xfId="8" applyFont="1" applyFill="1" applyBorder="1" applyAlignment="1">
      <alignment horizontal="center" vertical="center"/>
    </xf>
    <xf numFmtId="0" fontId="7" fillId="0" borderId="21" xfId="13" applyFont="1" applyBorder="1" applyAlignment="1">
      <alignment vertical="center"/>
    </xf>
    <xf numFmtId="4" fontId="7" fillId="0" borderId="14" xfId="13" applyNumberFormat="1" applyFont="1" applyBorder="1" applyAlignment="1">
      <alignment vertical="center"/>
    </xf>
    <xf numFmtId="0" fontId="15" fillId="0" borderId="0" xfId="13" applyFont="1"/>
    <xf numFmtId="0" fontId="46" fillId="0" borderId="14" xfId="13" applyFont="1" applyBorder="1" applyAlignment="1">
      <alignment horizontal="left" vertical="center"/>
    </xf>
    <xf numFmtId="4" fontId="46" fillId="0" borderId="14" xfId="13" applyNumberFormat="1" applyFont="1" applyBorder="1" applyAlignment="1">
      <alignment horizontal="right" vertical="center"/>
    </xf>
    <xf numFmtId="0" fontId="13" fillId="0" borderId="6" xfId="13" applyFont="1" applyBorder="1" applyAlignment="1">
      <alignment horizontal="center"/>
    </xf>
    <xf numFmtId="0" fontId="7" fillId="0" borderId="16" xfId="13" applyFont="1" applyBorder="1" applyAlignment="1">
      <alignment horizontal="center"/>
    </xf>
    <xf numFmtId="0" fontId="7" fillId="0" borderId="23" xfId="13" applyFont="1" applyBorder="1" applyAlignment="1">
      <alignment horizontal="center"/>
    </xf>
    <xf numFmtId="0" fontId="7" fillId="0" borderId="24" xfId="13" applyFont="1" applyBorder="1" applyAlignment="1">
      <alignment horizontal="center" vertical="top"/>
    </xf>
    <xf numFmtId="0" fontId="7" fillId="0" borderId="14" xfId="13" applyFont="1" applyBorder="1" applyAlignment="1">
      <alignment wrapText="1"/>
    </xf>
    <xf numFmtId="4" fontId="7" fillId="0" borderId="21" xfId="13" applyNumberFormat="1" applyFont="1" applyBorder="1" applyAlignment="1">
      <alignment horizontal="right" vertical="center"/>
    </xf>
    <xf numFmtId="0" fontId="7" fillId="0" borderId="16" xfId="13" applyFont="1" applyBorder="1" applyAlignment="1">
      <alignment horizontal="center" vertical="top"/>
    </xf>
    <xf numFmtId="0" fontId="7" fillId="0" borderId="14" xfId="13" applyFont="1" applyBorder="1" applyAlignment="1">
      <alignment vertical="center"/>
    </xf>
    <xf numFmtId="4" fontId="7" fillId="0" borderId="21" xfId="13" applyNumberFormat="1" applyFont="1" applyBorder="1" applyAlignment="1">
      <alignment vertical="center"/>
    </xf>
    <xf numFmtId="0" fontId="7" fillId="0" borderId="24" xfId="13" applyFont="1" applyBorder="1"/>
    <xf numFmtId="4" fontId="7" fillId="0" borderId="21" xfId="13" applyNumberFormat="1" applyFont="1" applyBorder="1"/>
    <xf numFmtId="4" fontId="46" fillId="0" borderId="24" xfId="13" applyNumberFormat="1" applyFont="1" applyBorder="1" applyAlignment="1">
      <alignment vertical="center"/>
    </xf>
    <xf numFmtId="0" fontId="7" fillId="0" borderId="24" xfId="13" applyFont="1" applyBorder="1" applyAlignment="1">
      <alignment horizontal="center"/>
    </xf>
    <xf numFmtId="0" fontId="7" fillId="0" borderId="21" xfId="13" applyFont="1" applyBorder="1"/>
    <xf numFmtId="0" fontId="13" fillId="0" borderId="22" xfId="13" applyFont="1" applyBorder="1" applyAlignment="1">
      <alignment horizontal="center"/>
    </xf>
    <xf numFmtId="0" fontId="7" fillId="0" borderId="14" xfId="13" applyFont="1" applyBorder="1"/>
    <xf numFmtId="4" fontId="7" fillId="0" borderId="24" xfId="13" applyNumberFormat="1" applyFont="1" applyBorder="1"/>
    <xf numFmtId="0" fontId="7" fillId="0" borderId="16" xfId="13" applyFont="1" applyBorder="1"/>
    <xf numFmtId="0" fontId="32" fillId="0" borderId="0" xfId="13" applyFont="1" applyAlignment="1">
      <alignment horizontal="center"/>
    </xf>
    <xf numFmtId="0" fontId="31" fillId="0" borderId="0" xfId="13" applyFont="1" applyAlignment="1">
      <alignment horizontal="centerContinuous" vertical="center" wrapText="1"/>
    </xf>
    <xf numFmtId="0" fontId="34" fillId="0" borderId="0" xfId="13" applyFont="1" applyAlignment="1">
      <alignment horizontal="centerContinuous" wrapText="1"/>
    </xf>
    <xf numFmtId="0" fontId="31" fillId="3" borderId="14" xfId="13" applyFont="1" applyFill="1" applyBorder="1" applyAlignment="1">
      <alignment horizontal="center" vertical="center"/>
    </xf>
    <xf numFmtId="0" fontId="31" fillId="3" borderId="22" xfId="13" applyFont="1" applyFill="1" applyBorder="1" applyAlignment="1">
      <alignment horizontal="centerContinuous" vertical="center"/>
    </xf>
    <xf numFmtId="0" fontId="27" fillId="0" borderId="14" xfId="13" applyFont="1" applyBorder="1" applyAlignment="1">
      <alignment horizontal="center" vertical="center"/>
    </xf>
    <xf numFmtId="0" fontId="27" fillId="3" borderId="14" xfId="13" applyFont="1" applyFill="1" applyBorder="1" applyAlignment="1">
      <alignment horizontal="center" vertical="center"/>
    </xf>
    <xf numFmtId="0" fontId="33" fillId="3" borderId="22" xfId="8" applyFont="1" applyFill="1" applyBorder="1" applyAlignment="1">
      <alignment horizontal="center" vertical="top"/>
    </xf>
    <xf numFmtId="0" fontId="27" fillId="3" borderId="22" xfId="13" applyFont="1" applyFill="1" applyBorder="1" applyAlignment="1">
      <alignment horizontal="centerContinuous" vertical="center"/>
    </xf>
    <xf numFmtId="0" fontId="27" fillId="0" borderId="0" xfId="13" applyFont="1"/>
    <xf numFmtId="0" fontId="32" fillId="0" borderId="23" xfId="8" applyFont="1" applyFill="1" applyBorder="1" applyAlignment="1">
      <alignment horizontal="center" vertical="top"/>
    </xf>
    <xf numFmtId="0" fontId="23" fillId="0" borderId="14" xfId="13" applyFont="1" applyBorder="1" applyAlignment="1">
      <alignment horizontal="right" vertical="center"/>
    </xf>
    <xf numFmtId="0" fontId="48" fillId="0" borderId="0" xfId="13" applyFont="1"/>
    <xf numFmtId="0" fontId="46" fillId="3" borderId="14" xfId="13" applyFont="1" applyFill="1" applyBorder="1" applyAlignment="1">
      <alignment vertical="center"/>
    </xf>
    <xf numFmtId="0" fontId="32" fillId="3" borderId="6" xfId="8" applyFont="1" applyFill="1" applyBorder="1" applyAlignment="1">
      <alignment horizontal="center" vertical="center" wrapText="1"/>
    </xf>
    <xf numFmtId="0" fontId="46" fillId="3" borderId="6" xfId="13" applyFont="1" applyFill="1" applyBorder="1" applyAlignment="1">
      <alignment vertical="center" wrapText="1"/>
    </xf>
    <xf numFmtId="4" fontId="46" fillId="0" borderId="5" xfId="13" applyNumberFormat="1" applyFont="1" applyBorder="1" applyAlignment="1">
      <alignment vertical="center"/>
    </xf>
    <xf numFmtId="0" fontId="32" fillId="3" borderId="14" xfId="8" applyFont="1" applyFill="1" applyBorder="1" applyAlignment="1">
      <alignment horizontal="center" vertical="center"/>
    </xf>
    <xf numFmtId="0" fontId="23" fillId="3" borderId="14" xfId="13" applyFont="1" applyFill="1" applyBorder="1" applyAlignment="1">
      <alignment horizontal="left" vertical="center" wrapText="1"/>
    </xf>
    <xf numFmtId="0" fontId="46" fillId="3" borderId="22" xfId="13" applyFont="1" applyFill="1" applyBorder="1" applyAlignment="1">
      <alignment vertical="top" wrapText="1"/>
    </xf>
    <xf numFmtId="0" fontId="46" fillId="0" borderId="14" xfId="13" applyFont="1" applyBorder="1" applyAlignment="1">
      <alignment vertical="top"/>
    </xf>
    <xf numFmtId="0" fontId="46" fillId="3" borderId="14" xfId="13" applyFont="1" applyFill="1" applyBorder="1" applyAlignment="1">
      <alignment vertical="top"/>
    </xf>
    <xf numFmtId="0" fontId="32" fillId="3" borderId="22" xfId="8" applyFont="1" applyFill="1" applyBorder="1" applyAlignment="1">
      <alignment horizontal="center" vertical="top"/>
    </xf>
    <xf numFmtId="0" fontId="46" fillId="3" borderId="22" xfId="13" applyFont="1" applyFill="1" applyBorder="1" applyAlignment="1">
      <alignment vertical="center" wrapText="1"/>
    </xf>
    <xf numFmtId="4" fontId="46" fillId="0" borderId="14" xfId="13" applyNumberFormat="1" applyFont="1" applyBorder="1"/>
    <xf numFmtId="0" fontId="32" fillId="0" borderId="5" xfId="8" applyFont="1" applyFill="1" applyBorder="1" applyAlignment="1">
      <alignment horizontal="center" vertical="center" wrapText="1"/>
    </xf>
    <xf numFmtId="0" fontId="46" fillId="0" borderId="22" xfId="13" applyFont="1" applyBorder="1" applyAlignment="1">
      <alignment vertical="center"/>
    </xf>
    <xf numFmtId="0" fontId="46" fillId="0" borderId="4" xfId="13" applyFont="1" applyBorder="1"/>
    <xf numFmtId="0" fontId="46" fillId="0" borderId="0" xfId="13" applyFont="1"/>
    <xf numFmtId="0" fontId="46" fillId="0" borderId="0" xfId="13" applyFont="1" applyAlignment="1">
      <alignment vertical="center"/>
    </xf>
    <xf numFmtId="0" fontId="32" fillId="0" borderId="14" xfId="8" applyFont="1" applyFill="1" applyBorder="1" applyAlignment="1">
      <alignment horizontal="center" vertical="top" wrapText="1"/>
    </xf>
    <xf numFmtId="0" fontId="7" fillId="0" borderId="22" xfId="13" applyFont="1" applyBorder="1" applyAlignment="1">
      <alignment horizontal="left" vertical="center" wrapText="1"/>
    </xf>
    <xf numFmtId="0" fontId="46" fillId="0" borderId="2" xfId="13" applyFont="1" applyBorder="1"/>
    <xf numFmtId="0" fontId="46" fillId="0" borderId="25" xfId="13" applyFont="1" applyBorder="1"/>
    <xf numFmtId="0" fontId="32" fillId="0" borderId="1" xfId="8" applyFont="1" applyFill="1" applyBorder="1" applyAlignment="1">
      <alignment horizontal="center" vertical="top"/>
    </xf>
    <xf numFmtId="0" fontId="7" fillId="0" borderId="39" xfId="13" applyFont="1" applyBorder="1" applyAlignment="1">
      <alignment vertical="center" wrapText="1"/>
    </xf>
    <xf numFmtId="4" fontId="46" fillId="0" borderId="13" xfId="13" applyNumberFormat="1" applyFont="1" applyBorder="1"/>
    <xf numFmtId="0" fontId="32" fillId="0" borderId="3" xfId="8" applyFont="1" applyFill="1" applyBorder="1" applyAlignment="1">
      <alignment horizontal="center" vertical="top"/>
    </xf>
    <xf numFmtId="0" fontId="7" fillId="0" borderId="40" xfId="13" applyFont="1" applyBorder="1" applyAlignment="1">
      <alignment vertical="center" wrapText="1"/>
    </xf>
    <xf numFmtId="4" fontId="46" fillId="0" borderId="40" xfId="13" applyNumberFormat="1" applyFont="1" applyBorder="1"/>
    <xf numFmtId="4" fontId="46" fillId="0" borderId="17" xfId="13" applyNumberFormat="1" applyFont="1" applyBorder="1"/>
    <xf numFmtId="0" fontId="46" fillId="0" borderId="6" xfId="13" applyFont="1" applyBorder="1"/>
    <xf numFmtId="0" fontId="46" fillId="0" borderId="16" xfId="13" applyFont="1" applyBorder="1"/>
    <xf numFmtId="0" fontId="32" fillId="0" borderId="5" xfId="8" applyFont="1" applyFill="1" applyBorder="1" applyAlignment="1">
      <alignment horizontal="center" vertical="top"/>
    </xf>
    <xf numFmtId="0" fontId="7" fillId="0" borderId="6" xfId="13" applyFont="1" applyBorder="1" applyAlignment="1">
      <alignment wrapText="1"/>
    </xf>
    <xf numFmtId="4" fontId="46" fillId="0" borderId="41" xfId="13" applyNumberFormat="1" applyFont="1" applyBorder="1"/>
    <xf numFmtId="0" fontId="46" fillId="0" borderId="5" xfId="13" applyFont="1" applyBorder="1" applyAlignment="1">
      <alignment vertical="center"/>
    </xf>
    <xf numFmtId="0" fontId="46" fillId="0" borderId="6" xfId="13" applyFont="1" applyBorder="1" applyAlignment="1">
      <alignment vertical="center"/>
    </xf>
    <xf numFmtId="0" fontId="46" fillId="0" borderId="22" xfId="13" applyFont="1" applyBorder="1"/>
    <xf numFmtId="0" fontId="46" fillId="0" borderId="23" xfId="13" applyFont="1" applyBorder="1"/>
    <xf numFmtId="0" fontId="46" fillId="0" borderId="23" xfId="13" applyFont="1" applyBorder="1" applyAlignment="1">
      <alignment vertical="center"/>
    </xf>
    <xf numFmtId="0" fontId="32" fillId="0" borderId="14" xfId="8" applyFont="1" applyFill="1" applyBorder="1" applyAlignment="1">
      <alignment horizontal="center" vertical="center"/>
    </xf>
    <xf numFmtId="0" fontId="32" fillId="0" borderId="14" xfId="8" applyFont="1" applyFill="1" applyBorder="1" applyAlignment="1">
      <alignment horizontal="center" vertical="top"/>
    </xf>
    <xf numFmtId="0" fontId="7" fillId="0" borderId="12" xfId="13" applyFont="1" applyBorder="1" applyAlignment="1">
      <alignment horizontal="left" wrapText="1"/>
    </xf>
    <xf numFmtId="0" fontId="7" fillId="0" borderId="12" xfId="13" applyFont="1" applyBorder="1" applyAlignment="1">
      <alignment horizontal="left" vertical="center" wrapText="1"/>
    </xf>
    <xf numFmtId="0" fontId="7" fillId="0" borderId="42" xfId="13" applyFont="1" applyBorder="1" applyAlignment="1">
      <alignment horizontal="left" vertical="center" wrapText="1"/>
    </xf>
    <xf numFmtId="0" fontId="23" fillId="0" borderId="14" xfId="15" applyFont="1" applyBorder="1" applyAlignment="1">
      <alignment vertical="top"/>
    </xf>
    <xf numFmtId="0" fontId="23" fillId="0" borderId="22" xfId="15" applyFont="1" applyBorder="1" applyAlignment="1">
      <alignment vertical="top"/>
    </xf>
    <xf numFmtId="0" fontId="32" fillId="0" borderId="5" xfId="8" applyFont="1" applyFill="1" applyBorder="1" applyAlignment="1">
      <alignment horizontal="center" vertical="top" wrapText="1"/>
    </xf>
    <xf numFmtId="0" fontId="46" fillId="0" borderId="22" xfId="15" applyFont="1" applyBorder="1" applyAlignment="1">
      <alignment vertical="top" wrapText="1"/>
    </xf>
    <xf numFmtId="4" fontId="46" fillId="0" borderId="14" xfId="15" applyNumberFormat="1" applyFont="1" applyBorder="1" applyAlignment="1">
      <alignment vertical="center"/>
    </xf>
    <xf numFmtId="0" fontId="46" fillId="0" borderId="2" xfId="15" applyFont="1" applyBorder="1" applyAlignment="1">
      <alignment vertical="top"/>
    </xf>
    <xf numFmtId="0" fontId="46" fillId="0" borderId="25" xfId="15" applyFont="1" applyBorder="1" applyAlignment="1">
      <alignment vertical="top"/>
    </xf>
    <xf numFmtId="0" fontId="7" fillId="0" borderId="18" xfId="15" applyFont="1" applyBorder="1" applyAlignment="1">
      <alignment vertical="center" wrapText="1"/>
    </xf>
    <xf numFmtId="3" fontId="7" fillId="0" borderId="13" xfId="15" applyNumberFormat="1" applyFont="1" applyBorder="1"/>
    <xf numFmtId="0" fontId="46" fillId="0" borderId="6" xfId="15" applyFont="1" applyBorder="1" applyAlignment="1">
      <alignment vertical="top"/>
    </xf>
    <xf numFmtId="0" fontId="46" fillId="0" borderId="16" xfId="15" applyFont="1" applyBorder="1" applyAlignment="1">
      <alignment vertical="top"/>
    </xf>
    <xf numFmtId="0" fontId="7" fillId="0" borderId="42" xfId="15" applyFont="1" applyBorder="1" applyAlignment="1">
      <alignment vertical="center" wrapText="1"/>
    </xf>
    <xf numFmtId="3" fontId="7" fillId="0" borderId="41" xfId="15" applyNumberFormat="1" applyFont="1" applyBorder="1"/>
    <xf numFmtId="4" fontId="46" fillId="0" borderId="5" xfId="13" applyNumberFormat="1" applyFont="1" applyBorder="1"/>
    <xf numFmtId="0" fontId="32" fillId="3" borderId="6" xfId="8" applyFont="1" applyFill="1" applyBorder="1" applyAlignment="1">
      <alignment horizontal="center" vertical="top"/>
    </xf>
    <xf numFmtId="0" fontId="46" fillId="3" borderId="6" xfId="13" applyFont="1" applyFill="1" applyBorder="1" applyAlignment="1">
      <alignment vertical="top"/>
    </xf>
    <xf numFmtId="0" fontId="46" fillId="0" borderId="1" xfId="13" applyFont="1" applyBorder="1" applyAlignment="1">
      <alignment vertical="center"/>
    </xf>
    <xf numFmtId="0" fontId="46" fillId="3" borderId="1" xfId="13" applyFont="1" applyFill="1" applyBorder="1" applyAlignment="1">
      <alignment vertical="center"/>
    </xf>
    <xf numFmtId="0" fontId="46" fillId="3" borderId="26" xfId="13" applyFont="1" applyFill="1" applyBorder="1" applyAlignment="1">
      <alignment vertical="center"/>
    </xf>
    <xf numFmtId="0" fontId="32" fillId="3" borderId="25" xfId="8" applyFont="1" applyFill="1" applyBorder="1" applyAlignment="1">
      <alignment horizontal="center" vertical="center"/>
    </xf>
    <xf numFmtId="0" fontId="46" fillId="0" borderId="22" xfId="13" applyFont="1" applyBorder="1" applyAlignment="1">
      <alignment vertical="top" wrapText="1"/>
    </xf>
    <xf numFmtId="0" fontId="32" fillId="0" borderId="22" xfId="8" applyFont="1" applyFill="1" applyBorder="1" applyAlignment="1">
      <alignment horizontal="center" vertical="center"/>
    </xf>
    <xf numFmtId="0" fontId="46" fillId="0" borderId="22" xfId="13" applyFont="1" applyBorder="1" applyAlignment="1">
      <alignment vertical="center" wrapText="1"/>
    </xf>
    <xf numFmtId="0" fontId="46" fillId="3" borderId="1" xfId="13" applyFont="1" applyFill="1" applyBorder="1" applyAlignment="1">
      <alignment horizontal="right" vertical="center"/>
    </xf>
    <xf numFmtId="0" fontId="46" fillId="3" borderId="26" xfId="13" applyFont="1" applyFill="1" applyBorder="1" applyAlignment="1">
      <alignment horizontal="right" vertical="center"/>
    </xf>
    <xf numFmtId="0" fontId="46" fillId="3" borderId="22" xfId="13" applyFont="1" applyFill="1" applyBorder="1" applyAlignment="1">
      <alignment wrapText="1"/>
    </xf>
    <xf numFmtId="49" fontId="7" fillId="0" borderId="1" xfId="13" applyNumberFormat="1" applyFont="1" applyBorder="1" applyAlignment="1">
      <alignment horizontal="right"/>
    </xf>
    <xf numFmtId="0" fontId="7" fillId="3" borderId="1" xfId="13" applyFont="1" applyFill="1" applyBorder="1" applyAlignment="1">
      <alignment horizontal="right" vertical="top"/>
    </xf>
    <xf numFmtId="0" fontId="7" fillId="3" borderId="26" xfId="13" applyFont="1" applyFill="1" applyBorder="1" applyAlignment="1">
      <alignment horizontal="right" vertical="top"/>
    </xf>
    <xf numFmtId="0" fontId="15" fillId="3" borderId="25" xfId="8" applyFont="1" applyFill="1" applyBorder="1" applyAlignment="1">
      <alignment horizontal="center" vertical="top"/>
    </xf>
    <xf numFmtId="0" fontId="7" fillId="3" borderId="18" xfId="13" applyFont="1" applyFill="1" applyBorder="1" applyAlignment="1">
      <alignment wrapText="1"/>
    </xf>
    <xf numFmtId="4" fontId="7" fillId="0" borderId="13" xfId="13" applyNumberFormat="1" applyFont="1" applyBorder="1" applyAlignment="1">
      <alignment vertical="center"/>
    </xf>
    <xf numFmtId="49" fontId="7" fillId="0" borderId="5" xfId="13" applyNumberFormat="1" applyFont="1" applyBorder="1" applyAlignment="1">
      <alignment horizontal="right"/>
    </xf>
    <xf numFmtId="0" fontId="7" fillId="3" borderId="5" xfId="13" applyFont="1" applyFill="1" applyBorder="1" applyAlignment="1">
      <alignment horizontal="right" vertical="top"/>
    </xf>
    <xf numFmtId="0" fontId="7" fillId="3" borderId="21" xfId="13" applyFont="1" applyFill="1" applyBorder="1" applyAlignment="1">
      <alignment horizontal="right" vertical="top"/>
    </xf>
    <xf numFmtId="0" fontId="15" fillId="3" borderId="16" xfId="8" applyFont="1" applyFill="1" applyBorder="1" applyAlignment="1">
      <alignment horizontal="center" vertical="top"/>
    </xf>
    <xf numFmtId="0" fontId="7" fillId="3" borderId="6" xfId="13" applyFont="1" applyFill="1" applyBorder="1" applyAlignment="1">
      <alignment wrapText="1"/>
    </xf>
    <xf numFmtId="4" fontId="7" fillId="0" borderId="5" xfId="13" applyNumberFormat="1" applyFont="1" applyBorder="1" applyAlignment="1">
      <alignment vertical="center"/>
    </xf>
    <xf numFmtId="0" fontId="32" fillId="3" borderId="22" xfId="8" applyFont="1" applyFill="1" applyBorder="1" applyAlignment="1">
      <alignment horizontal="center" vertical="top" wrapText="1"/>
    </xf>
    <xf numFmtId="0" fontId="46" fillId="0" borderId="22" xfId="13" applyFont="1" applyBorder="1" applyAlignment="1">
      <alignment wrapText="1"/>
    </xf>
    <xf numFmtId="0" fontId="46" fillId="0" borderId="14" xfId="13" quotePrefix="1" applyFont="1" applyBorder="1" applyAlignment="1">
      <alignment horizontal="right" vertical="center"/>
    </xf>
    <xf numFmtId="0" fontId="46" fillId="0" borderId="22" xfId="13" quotePrefix="1" applyFont="1" applyBorder="1" applyAlignment="1">
      <alignment vertical="top" wrapText="1"/>
    </xf>
    <xf numFmtId="0" fontId="46" fillId="0" borderId="14" xfId="13" applyFont="1" applyBorder="1"/>
    <xf numFmtId="0" fontId="46" fillId="3" borderId="14" xfId="13" applyFont="1" applyFill="1" applyBorder="1"/>
    <xf numFmtId="0" fontId="32" fillId="3" borderId="22" xfId="8" applyFont="1" applyFill="1" applyBorder="1" applyAlignment="1">
      <alignment horizontal="center"/>
    </xf>
    <xf numFmtId="0" fontId="46" fillId="3" borderId="22" xfId="13" applyFont="1" applyFill="1" applyBorder="1"/>
    <xf numFmtId="0" fontId="32" fillId="3" borderId="22" xfId="8" applyFont="1" applyFill="1" applyBorder="1" applyAlignment="1">
      <alignment horizontal="center" vertical="center" wrapText="1"/>
    </xf>
    <xf numFmtId="0" fontId="32" fillId="0" borderId="23" xfId="8" applyFont="1" applyFill="1" applyBorder="1" applyAlignment="1">
      <alignment horizontal="center" vertical="center"/>
    </xf>
    <xf numFmtId="4" fontId="32" fillId="0" borderId="0" xfId="13" applyNumberFormat="1" applyFont="1" applyAlignment="1">
      <alignment vertical="center"/>
    </xf>
    <xf numFmtId="0" fontId="46" fillId="3" borderId="22" xfId="13" applyFont="1" applyFill="1" applyBorder="1" applyAlignment="1">
      <alignment vertical="center"/>
    </xf>
    <xf numFmtId="0" fontId="7" fillId="0" borderId="2" xfId="13" applyFont="1" applyBorder="1"/>
    <xf numFmtId="0" fontId="7" fillId="0" borderId="25" xfId="13" applyFont="1" applyBorder="1"/>
    <xf numFmtId="0" fontId="7" fillId="0" borderId="26" xfId="13" applyFont="1" applyBorder="1"/>
    <xf numFmtId="0" fontId="15" fillId="0" borderId="25" xfId="8" applyFont="1" applyFill="1" applyBorder="1" applyAlignment="1">
      <alignment horizontal="center" vertical="top"/>
    </xf>
    <xf numFmtId="0" fontId="7" fillId="0" borderId="18" xfId="13" applyFont="1" applyBorder="1" applyAlignment="1">
      <alignment vertical="center" wrapText="1"/>
    </xf>
    <xf numFmtId="4" fontId="7" fillId="0" borderId="13" xfId="13" applyNumberFormat="1" applyFont="1" applyBorder="1"/>
    <xf numFmtId="0" fontId="7" fillId="0" borderId="4" xfId="13" applyFont="1" applyBorder="1"/>
    <xf numFmtId="0" fontId="7" fillId="0" borderId="19" xfId="13" applyFont="1" applyBorder="1"/>
    <xf numFmtId="0" fontId="15" fillId="0" borderId="19" xfId="8" applyFont="1" applyFill="1" applyBorder="1" applyAlignment="1">
      <alignment horizontal="center" vertical="top"/>
    </xf>
    <xf numFmtId="0" fontId="7" fillId="0" borderId="39" xfId="13" applyFont="1" applyBorder="1" applyAlignment="1">
      <alignment horizontal="left" wrapText="1"/>
    </xf>
    <xf numFmtId="4" fontId="7" fillId="0" borderId="40" xfId="13" applyNumberFormat="1" applyFont="1" applyBorder="1"/>
    <xf numFmtId="0" fontId="49" fillId="0" borderId="0" xfId="13" applyFont="1"/>
    <xf numFmtId="0" fontId="15" fillId="0" borderId="0" xfId="8" applyFont="1" applyFill="1" applyBorder="1" applyAlignment="1">
      <alignment horizontal="center" vertical="top"/>
    </xf>
    <xf numFmtId="4" fontId="7" fillId="0" borderId="11" xfId="13" applyNumberFormat="1" applyFont="1" applyBorder="1"/>
    <xf numFmtId="0" fontId="7" fillId="0" borderId="39" xfId="13" applyFont="1" applyBorder="1" applyAlignment="1">
      <alignment horizontal="left" vertical="center" wrapText="1"/>
    </xf>
    <xf numFmtId="0" fontId="7" fillId="0" borderId="6" xfId="13" applyFont="1" applyBorder="1"/>
    <xf numFmtId="0" fontId="15" fillId="0" borderId="16" xfId="8" applyFont="1" applyFill="1" applyBorder="1" applyAlignment="1">
      <alignment horizontal="center" vertical="top"/>
    </xf>
    <xf numFmtId="0" fontId="7" fillId="0" borderId="6" xfId="13" applyFont="1" applyBorder="1" applyAlignment="1">
      <alignment horizontal="left" wrapText="1"/>
    </xf>
    <xf numFmtId="4" fontId="7" fillId="0" borderId="5" xfId="13" applyNumberFormat="1" applyFont="1" applyBorder="1"/>
    <xf numFmtId="0" fontId="7" fillId="0" borderId="18" xfId="13" applyFont="1" applyBorder="1" applyAlignment="1">
      <alignment horizontal="left" vertical="center" wrapText="1"/>
    </xf>
    <xf numFmtId="4" fontId="7" fillId="0" borderId="41" xfId="13" applyNumberFormat="1" applyFont="1" applyBorder="1"/>
    <xf numFmtId="0" fontId="7" fillId="0" borderId="12" xfId="13" applyFont="1" applyBorder="1"/>
    <xf numFmtId="0" fontId="7" fillId="0" borderId="39" xfId="13" applyFont="1" applyBorder="1"/>
    <xf numFmtId="0" fontId="7" fillId="0" borderId="6" xfId="13" applyFont="1" applyBorder="1" applyAlignment="1">
      <alignment vertical="center" wrapText="1"/>
    </xf>
    <xf numFmtId="0" fontId="15" fillId="0" borderId="1" xfId="8" applyFont="1" applyFill="1" applyBorder="1" applyAlignment="1">
      <alignment horizontal="center" vertical="top"/>
    </xf>
    <xf numFmtId="0" fontId="7" fillId="3" borderId="36" xfId="13" applyFont="1" applyFill="1" applyBorder="1" applyAlignment="1">
      <alignment vertical="center" wrapText="1"/>
    </xf>
    <xf numFmtId="4" fontId="7" fillId="0" borderId="15" xfId="13" applyNumberFormat="1" applyFont="1" applyBorder="1"/>
    <xf numFmtId="0" fontId="32" fillId="3" borderId="14" xfId="8" applyFont="1" applyFill="1" applyBorder="1" applyAlignment="1">
      <alignment horizontal="center"/>
    </xf>
    <xf numFmtId="0" fontId="46" fillId="3" borderId="23" xfId="13" applyFont="1" applyFill="1" applyBorder="1"/>
    <xf numFmtId="0" fontId="7" fillId="0" borderId="22" xfId="13" applyFont="1" applyBorder="1"/>
    <xf numFmtId="0" fontId="7" fillId="0" borderId="23" xfId="13" applyFont="1" applyBorder="1"/>
    <xf numFmtId="0" fontId="15" fillId="0" borderId="14" xfId="8" applyFont="1" applyFill="1" applyBorder="1" applyAlignment="1">
      <alignment horizontal="center" vertical="top"/>
    </xf>
    <xf numFmtId="0" fontId="7" fillId="3" borderId="23" xfId="13" applyFont="1" applyFill="1" applyBorder="1" applyAlignment="1">
      <alignment horizontal="left" vertical="center" wrapText="1"/>
    </xf>
    <xf numFmtId="4" fontId="7" fillId="0" borderId="14" xfId="13" applyNumberFormat="1" applyFont="1" applyBorder="1"/>
    <xf numFmtId="0" fontId="13" fillId="0" borderId="18" xfId="13" applyFont="1" applyBorder="1"/>
    <xf numFmtId="0" fontId="15" fillId="0" borderId="0" xfId="8" quotePrefix="1" applyFont="1" applyFill="1" applyBorder="1" applyAlignment="1">
      <alignment horizontal="center" vertical="top"/>
    </xf>
    <xf numFmtId="0" fontId="13" fillId="0" borderId="12" xfId="13" applyFont="1" applyBorder="1"/>
    <xf numFmtId="0" fontId="13" fillId="0" borderId="39" xfId="13" applyFont="1" applyBorder="1"/>
    <xf numFmtId="0" fontId="15" fillId="0" borderId="19" xfId="8" quotePrefix="1" applyFont="1" applyFill="1" applyBorder="1" applyAlignment="1">
      <alignment horizontal="center" vertical="top"/>
    </xf>
    <xf numFmtId="0" fontId="32" fillId="0" borderId="22" xfId="8" applyFont="1" applyFill="1" applyBorder="1" applyAlignment="1">
      <alignment horizontal="center" vertical="center" wrapText="1"/>
    </xf>
    <xf numFmtId="0" fontId="7" fillId="3" borderId="12" xfId="13" applyFont="1" applyFill="1" applyBorder="1" applyAlignment="1">
      <alignment horizontal="left" wrapText="1"/>
    </xf>
    <xf numFmtId="0" fontId="7" fillId="3" borderId="6" xfId="13" applyFont="1" applyFill="1" applyBorder="1" applyAlignment="1">
      <alignment horizontal="left" wrapText="1"/>
    </xf>
    <xf numFmtId="0" fontId="7" fillId="0" borderId="39" xfId="13" applyFont="1" applyBorder="1" applyAlignment="1">
      <alignment wrapText="1"/>
    </xf>
    <xf numFmtId="0" fontId="7" fillId="0" borderId="12" xfId="13" applyFont="1" applyBorder="1" applyAlignment="1">
      <alignment vertical="center" wrapText="1"/>
    </xf>
    <xf numFmtId="0" fontId="7" fillId="0" borderId="43" xfId="13" applyFont="1" applyBorder="1" applyAlignment="1">
      <alignment vertical="center" wrapText="1"/>
    </xf>
    <xf numFmtId="4" fontId="7" fillId="0" borderId="17" xfId="13" applyNumberFormat="1" applyFont="1" applyBorder="1"/>
    <xf numFmtId="4" fontId="7" fillId="0" borderId="3" xfId="13" applyNumberFormat="1" applyFont="1" applyBorder="1"/>
    <xf numFmtId="0" fontId="7" fillId="3" borderId="12" xfId="13" applyFont="1" applyFill="1" applyBorder="1" applyAlignment="1">
      <alignment horizontal="left" vertical="center" wrapText="1"/>
    </xf>
    <xf numFmtId="0" fontId="7" fillId="3" borderId="6" xfId="13" applyFont="1" applyFill="1" applyBorder="1" applyAlignment="1">
      <alignment horizontal="left" vertical="center" wrapText="1"/>
    </xf>
    <xf numFmtId="0" fontId="46" fillId="3" borderId="23" xfId="13" applyFont="1" applyFill="1" applyBorder="1" applyAlignment="1">
      <alignment vertical="center"/>
    </xf>
    <xf numFmtId="0" fontId="15" fillId="0" borderId="25" xfId="8" quotePrefix="1" applyFont="1" applyFill="1" applyBorder="1" applyAlignment="1">
      <alignment horizontal="center" vertical="top"/>
    </xf>
    <xf numFmtId="0" fontId="13" fillId="3" borderId="18" xfId="13" applyFont="1" applyFill="1" applyBorder="1"/>
    <xf numFmtId="0" fontId="15" fillId="0" borderId="16" xfId="8" quotePrefix="1" applyFont="1" applyFill="1" applyBorder="1" applyAlignment="1">
      <alignment horizontal="center" vertical="top"/>
    </xf>
    <xf numFmtId="0" fontId="7" fillId="3" borderId="6" xfId="13" applyFont="1" applyFill="1" applyBorder="1" applyAlignment="1">
      <alignment vertical="center" wrapText="1"/>
    </xf>
    <xf numFmtId="0" fontId="7" fillId="0" borderId="11" xfId="13" applyFont="1" applyBorder="1" applyAlignment="1">
      <alignment horizontal="left" vertical="center" wrapText="1"/>
    </xf>
    <xf numFmtId="0" fontId="46" fillId="0" borderId="5" xfId="13" applyFont="1" applyBorder="1"/>
    <xf numFmtId="0" fontId="32" fillId="0" borderId="14" xfId="8" applyFont="1" applyFill="1" applyBorder="1" applyAlignment="1">
      <alignment horizontal="center"/>
    </xf>
    <xf numFmtId="0" fontId="46" fillId="3" borderId="16" xfId="13" applyFont="1" applyFill="1" applyBorder="1"/>
    <xf numFmtId="0" fontId="15" fillId="0" borderId="5" xfId="8" applyFont="1" applyFill="1" applyBorder="1" applyAlignment="1">
      <alignment horizontal="center" vertical="top"/>
    </xf>
    <xf numFmtId="0" fontId="7" fillId="3" borderId="16" xfId="13" applyFont="1" applyFill="1" applyBorder="1"/>
    <xf numFmtId="0" fontId="7" fillId="3" borderId="23" xfId="13" applyFont="1" applyFill="1" applyBorder="1" applyAlignment="1">
      <alignment vertical="top" wrapText="1"/>
    </xf>
    <xf numFmtId="0" fontId="15" fillId="0" borderId="3" xfId="8" applyFont="1" applyFill="1" applyBorder="1" applyAlignment="1">
      <alignment horizontal="center" vertical="top"/>
    </xf>
    <xf numFmtId="0" fontId="7" fillId="0" borderId="44" xfId="13" applyFont="1" applyBorder="1" applyAlignment="1">
      <alignment vertical="center" wrapText="1"/>
    </xf>
    <xf numFmtId="0" fontId="46" fillId="3" borderId="22" xfId="13" applyFont="1" applyFill="1" applyBorder="1" applyAlignment="1">
      <alignment horizontal="left" vertical="top" wrapText="1"/>
    </xf>
    <xf numFmtId="0" fontId="7" fillId="3" borderId="45" xfId="13" applyFont="1" applyFill="1" applyBorder="1" applyAlignment="1">
      <alignment vertical="top" wrapText="1"/>
    </xf>
    <xf numFmtId="4" fontId="7" fillId="3" borderId="14" xfId="13" applyNumberFormat="1" applyFont="1" applyFill="1" applyBorder="1"/>
    <xf numFmtId="0" fontId="31" fillId="0" borderId="22" xfId="13" applyFont="1" applyBorder="1" applyAlignment="1">
      <alignment horizontal="center" vertical="center"/>
    </xf>
    <xf numFmtId="0" fontId="31" fillId="0" borderId="23" xfId="13" applyFont="1" applyBorder="1" applyAlignment="1">
      <alignment horizontal="center" vertical="center"/>
    </xf>
    <xf numFmtId="4" fontId="47" fillId="0" borderId="14" xfId="13" applyNumberFormat="1" applyFont="1" applyBorder="1" applyAlignment="1">
      <alignment vertical="center"/>
    </xf>
    <xf numFmtId="0" fontId="1" fillId="0" borderId="0" xfId="9" applyFont="1"/>
    <xf numFmtId="0" fontId="1" fillId="0" borderId="0" xfId="9" applyFont="1" applyAlignment="1">
      <alignment horizontal="centerContinuous"/>
    </xf>
    <xf numFmtId="0" fontId="13" fillId="0" borderId="12" xfId="9" applyFont="1" applyBorder="1"/>
    <xf numFmtId="4" fontId="7" fillId="0" borderId="11" xfId="9" applyNumberFormat="1" applyFont="1" applyBorder="1"/>
    <xf numFmtId="0" fontId="13" fillId="0" borderId="13" xfId="9" applyFont="1" applyBorder="1" applyAlignment="1">
      <alignment horizontal="left"/>
    </xf>
    <xf numFmtId="0" fontId="13" fillId="0" borderId="12" xfId="9" applyFont="1" applyBorder="1" applyAlignment="1">
      <alignment vertical="center" wrapText="1"/>
    </xf>
    <xf numFmtId="4" fontId="13" fillId="0" borderId="11" xfId="9" applyNumberFormat="1" applyFont="1" applyBorder="1" applyAlignment="1">
      <alignment horizontal="right"/>
    </xf>
    <xf numFmtId="0" fontId="13" fillId="0" borderId="12" xfId="9" applyFont="1" applyBorder="1" applyAlignment="1">
      <alignment vertical="center"/>
    </xf>
    <xf numFmtId="0" fontId="13" fillId="0" borderId="11" xfId="9" applyFont="1" applyBorder="1" applyAlignment="1">
      <alignment vertical="center" wrapText="1"/>
    </xf>
    <xf numFmtId="0" fontId="15" fillId="0" borderId="11" xfId="2" applyFont="1" applyBorder="1" applyAlignment="1">
      <alignment horizontal="left"/>
    </xf>
    <xf numFmtId="4" fontId="7" fillId="0" borderId="11" xfId="9" applyNumberFormat="1" applyFont="1" applyBorder="1" applyAlignment="1">
      <alignment horizontal="right"/>
    </xf>
    <xf numFmtId="3" fontId="13" fillId="0" borderId="11" xfId="9" applyNumberFormat="1" applyFont="1" applyBorder="1"/>
    <xf numFmtId="0" fontId="13" fillId="0" borderId="11" xfId="9" applyFont="1" applyBorder="1"/>
    <xf numFmtId="0" fontId="13" fillId="0" borderId="11" xfId="2" applyFont="1" applyBorder="1"/>
    <xf numFmtId="0" fontId="15" fillId="0" borderId="11" xfId="2" applyFont="1" applyBorder="1"/>
    <xf numFmtId="0" fontId="14" fillId="0" borderId="12" xfId="2" applyFont="1" applyBorder="1" applyAlignment="1">
      <alignment vertical="top" wrapText="1"/>
    </xf>
    <xf numFmtId="0" fontId="7" fillId="0" borderId="12" xfId="9" applyFont="1" applyBorder="1"/>
    <xf numFmtId="0" fontId="13" fillId="0" borderId="18" xfId="9" applyFont="1" applyBorder="1"/>
    <xf numFmtId="0" fontId="13" fillId="0" borderId="11" xfId="10" applyFont="1" applyBorder="1"/>
    <xf numFmtId="0" fontId="13" fillId="0" borderId="12" xfId="9" applyFont="1" applyBorder="1" applyAlignment="1">
      <alignment wrapText="1"/>
    </xf>
    <xf numFmtId="0" fontId="15" fillId="0" borderId="11" xfId="2" applyFont="1" applyBorder="1" applyAlignment="1">
      <alignment vertical="center" wrapText="1"/>
    </xf>
    <xf numFmtId="0" fontId="7" fillId="0" borderId="12" xfId="9" applyFont="1" applyBorder="1" applyAlignment="1">
      <alignment wrapText="1"/>
    </xf>
    <xf numFmtId="0" fontId="15" fillId="0" borderId="12" xfId="9" applyFont="1" applyBorder="1" applyAlignment="1">
      <alignment wrapText="1"/>
    </xf>
    <xf numFmtId="3" fontId="13" fillId="0" borderId="12" xfId="9" applyNumberFormat="1" applyFont="1" applyBorder="1" applyAlignment="1">
      <alignment wrapText="1"/>
    </xf>
    <xf numFmtId="0" fontId="13" fillId="0" borderId="2" xfId="9" applyFont="1" applyBorder="1"/>
    <xf numFmtId="3" fontId="7" fillId="0" borderId="12" xfId="9" applyNumberFormat="1" applyFont="1" applyBorder="1"/>
    <xf numFmtId="0" fontId="13" fillId="0" borderId="11" xfId="9" applyFont="1" applyBorder="1" applyAlignment="1">
      <alignment wrapText="1"/>
    </xf>
    <xf numFmtId="0" fontId="15" fillId="0" borderId="11" xfId="2" applyFont="1" applyBorder="1" applyAlignment="1">
      <alignment wrapText="1"/>
    </xf>
    <xf numFmtId="0" fontId="7" fillId="0" borderId="11" xfId="9" applyFont="1" applyBorder="1"/>
    <xf numFmtId="0" fontId="7" fillId="0" borderId="11" xfId="9" applyFont="1" applyBorder="1" applyAlignment="1">
      <alignment wrapText="1"/>
    </xf>
    <xf numFmtId="0" fontId="7" fillId="0" borderId="11" xfId="2" applyFont="1" applyBorder="1" applyAlignment="1">
      <alignment wrapText="1"/>
    </xf>
    <xf numFmtId="0" fontId="7" fillId="0" borderId="18" xfId="9" applyFont="1" applyBorder="1"/>
    <xf numFmtId="0" fontId="13" fillId="0" borderId="13" xfId="9" applyFont="1" applyBorder="1"/>
    <xf numFmtId="0" fontId="13" fillId="0" borderId="12" xfId="2" applyFont="1" applyBorder="1"/>
    <xf numFmtId="0" fontId="13" fillId="0" borderId="11" xfId="2" applyFont="1" applyBorder="1" applyAlignment="1">
      <alignment wrapText="1"/>
    </xf>
    <xf numFmtId="0" fontId="7" fillId="0" borderId="11" xfId="2" applyFont="1" applyBorder="1" applyAlignment="1">
      <alignment horizontal="left" wrapText="1"/>
    </xf>
    <xf numFmtId="0" fontId="13" fillId="0" borderId="11" xfId="9" applyFont="1" applyBorder="1" applyAlignment="1">
      <alignment vertical="center"/>
    </xf>
    <xf numFmtId="0" fontId="16" fillId="0" borderId="14" xfId="9" applyFont="1" applyBorder="1" applyAlignment="1">
      <alignment horizontal="center" vertical="center" wrapText="1"/>
    </xf>
    <xf numFmtId="0" fontId="13" fillId="0" borderId="14" xfId="9" applyFont="1" applyBorder="1" applyAlignment="1">
      <alignment horizontal="center" vertical="center" wrapText="1"/>
    </xf>
    <xf numFmtId="4" fontId="16" fillId="0" borderId="14" xfId="9" applyNumberFormat="1" applyFont="1" applyBorder="1" applyAlignment="1">
      <alignment horizontal="right" vertical="center" wrapText="1"/>
    </xf>
    <xf numFmtId="3" fontId="51" fillId="0" borderId="14" xfId="9" applyNumberFormat="1" applyFont="1" applyBorder="1" applyAlignment="1">
      <alignment horizontal="center" vertical="center" wrapText="1"/>
    </xf>
    <xf numFmtId="3" fontId="40" fillId="0" borderId="0" xfId="9" applyNumberFormat="1" applyFont="1"/>
    <xf numFmtId="3" fontId="51" fillId="0" borderId="5" xfId="9" applyNumberFormat="1" applyFont="1" applyBorder="1" applyAlignment="1">
      <alignment horizontal="center" vertical="center" wrapText="1"/>
    </xf>
    <xf numFmtId="3" fontId="21" fillId="0" borderId="5" xfId="9" applyNumberFormat="1" applyFont="1" applyBorder="1" applyAlignment="1">
      <alignment horizontal="center" vertical="center" wrapText="1"/>
    </xf>
    <xf numFmtId="0" fontId="52" fillId="0" borderId="1" xfId="9" applyFont="1" applyBorder="1" applyAlignment="1">
      <alignment vertical="center"/>
    </xf>
    <xf numFmtId="3" fontId="21" fillId="0" borderId="1" xfId="9" applyNumberFormat="1" applyFont="1" applyBorder="1" applyAlignment="1">
      <alignment horizontal="center" vertical="center" wrapText="1"/>
    </xf>
    <xf numFmtId="0" fontId="52" fillId="0" borderId="3" xfId="9" applyFont="1" applyBorder="1" applyAlignment="1">
      <alignment vertical="center" wrapText="1"/>
    </xf>
    <xf numFmtId="3" fontId="21" fillId="0" borderId="3" xfId="9" applyNumberFormat="1" applyFont="1" applyBorder="1" applyAlignment="1">
      <alignment horizontal="center" vertical="center" wrapText="1"/>
    </xf>
    <xf numFmtId="0" fontId="44" fillId="0" borderId="0" xfId="12"/>
    <xf numFmtId="0" fontId="15" fillId="0" borderId="28" xfId="12" applyFont="1" applyBorder="1" applyAlignment="1">
      <alignment vertical="center"/>
    </xf>
    <xf numFmtId="4" fontId="15" fillId="0" borderId="28" xfId="12" applyNumberFormat="1" applyFont="1" applyBorder="1" applyAlignment="1">
      <alignment horizontal="center" vertical="center"/>
    </xf>
    <xf numFmtId="4" fontId="15" fillId="0" borderId="28" xfId="12" applyNumberFormat="1" applyFont="1" applyBorder="1" applyAlignment="1">
      <alignment vertical="center"/>
    </xf>
    <xf numFmtId="0" fontId="15" fillId="0" borderId="29" xfId="12" applyFont="1" applyBorder="1" applyAlignment="1">
      <alignment vertical="center"/>
    </xf>
    <xf numFmtId="4" fontId="15" fillId="0" borderId="29" xfId="12" applyNumberFormat="1" applyFont="1" applyBorder="1" applyAlignment="1">
      <alignment horizontal="center" vertical="center"/>
    </xf>
    <xf numFmtId="4" fontId="15" fillId="0" borderId="29" xfId="12" applyNumberFormat="1" applyFont="1" applyBorder="1" applyAlignment="1">
      <alignment vertical="center"/>
    </xf>
    <xf numFmtId="0" fontId="1" fillId="3" borderId="34" xfId="0" applyFont="1" applyFill="1" applyBorder="1" applyAlignment="1">
      <alignment horizontal="center" vertical="center"/>
    </xf>
    <xf numFmtId="0" fontId="1" fillId="3" borderId="36" xfId="0" applyFont="1" applyFill="1" applyBorder="1" applyAlignment="1">
      <alignment horizontal="center"/>
    </xf>
    <xf numFmtId="0" fontId="15" fillId="0" borderId="3" xfId="12" applyFont="1" applyBorder="1"/>
    <xf numFmtId="0" fontId="15" fillId="0" borderId="29" xfId="12" applyFont="1" applyBorder="1"/>
    <xf numFmtId="0" fontId="30" fillId="0" borderId="0" xfId="12" applyFont="1"/>
    <xf numFmtId="0" fontId="23" fillId="0" borderId="22" xfId="13" applyFont="1" applyBorder="1" applyAlignment="1">
      <alignment horizontal="left"/>
    </xf>
    <xf numFmtId="0" fontId="23" fillId="0" borderId="23" xfId="13" applyFont="1" applyBorder="1" applyAlignment="1">
      <alignment horizontal="centerContinuous"/>
    </xf>
    <xf numFmtId="0" fontId="23" fillId="0" borderId="23" xfId="13" applyFont="1" applyBorder="1" applyAlignment="1">
      <alignment horizontal="center" vertical="top"/>
    </xf>
    <xf numFmtId="0" fontId="23" fillId="0" borderId="23" xfId="13" applyFont="1" applyBorder="1" applyAlignment="1">
      <alignment horizontal="center"/>
    </xf>
    <xf numFmtId="4" fontId="23" fillId="0" borderId="14" xfId="13" applyNumberFormat="1" applyFont="1" applyBorder="1"/>
    <xf numFmtId="0" fontId="31" fillId="0" borderId="23" xfId="13" applyFont="1" applyBorder="1" applyAlignment="1">
      <alignment horizontal="centerContinuous" vertical="center"/>
    </xf>
    <xf numFmtId="0" fontId="31" fillId="0" borderId="23" xfId="13" applyFont="1" applyBorder="1" applyAlignment="1">
      <alignment horizontal="center" vertical="top"/>
    </xf>
    <xf numFmtId="0" fontId="47" fillId="0" borderId="23" xfId="13" applyFont="1" applyBorder="1" applyAlignment="1">
      <alignment horizontal="center" vertical="center"/>
    </xf>
    <xf numFmtId="0" fontId="23" fillId="0" borderId="0" xfId="13" applyFont="1" applyAlignment="1">
      <alignment vertical="center"/>
    </xf>
    <xf numFmtId="0" fontId="23" fillId="0" borderId="22" xfId="13" applyFont="1" applyBorder="1" applyAlignment="1">
      <alignment horizontal="center" vertical="center"/>
    </xf>
    <xf numFmtId="0" fontId="23" fillId="0" borderId="23" xfId="13" applyFont="1" applyBorder="1" applyAlignment="1">
      <alignment horizontal="center" vertical="center"/>
    </xf>
    <xf numFmtId="4" fontId="23" fillId="0" borderId="14" xfId="13" applyNumberFormat="1" applyFont="1" applyBorder="1" applyAlignment="1">
      <alignment vertical="center"/>
    </xf>
    <xf numFmtId="0" fontId="23" fillId="0" borderId="22" xfId="13" applyFont="1" applyBorder="1" applyAlignment="1">
      <alignment horizontal="center"/>
    </xf>
    <xf numFmtId="0" fontId="1" fillId="0" borderId="0" xfId="9" applyFont="1" applyAlignment="1">
      <alignment vertical="center"/>
    </xf>
    <xf numFmtId="0" fontId="19" fillId="0" borderId="15" xfId="9" applyFont="1" applyBorder="1" applyAlignment="1">
      <alignment vertical="center" wrapText="1"/>
    </xf>
    <xf numFmtId="3" fontId="1" fillId="0" borderId="15" xfId="9" applyNumberFormat="1" applyFont="1" applyBorder="1" applyAlignment="1">
      <alignment vertical="center"/>
    </xf>
    <xf numFmtId="0" fontId="1" fillId="0" borderId="3" xfId="9" applyFont="1" applyBorder="1" applyAlignment="1">
      <alignment horizontal="center" vertical="center"/>
    </xf>
    <xf numFmtId="4" fontId="1" fillId="0" borderId="1" xfId="9" applyNumberFormat="1" applyFont="1" applyBorder="1" applyAlignment="1">
      <alignment vertical="center"/>
    </xf>
    <xf numFmtId="4" fontId="1" fillId="0" borderId="3" xfId="9" applyNumberFormat="1" applyFont="1" applyBorder="1" applyAlignment="1">
      <alignment vertical="center"/>
    </xf>
    <xf numFmtId="4" fontId="1" fillId="0" borderId="3" xfId="9" applyNumberFormat="1" applyFont="1" applyBorder="1" applyAlignment="1">
      <alignment vertical="top"/>
    </xf>
    <xf numFmtId="4" fontId="1" fillId="0" borderId="3" xfId="9" applyNumberFormat="1" applyFont="1" applyBorder="1" applyAlignment="1">
      <alignment horizontal="right" vertical="center"/>
    </xf>
    <xf numFmtId="0" fontId="1" fillId="0" borderId="3" xfId="9" applyFont="1" applyBorder="1" applyAlignment="1">
      <alignment horizontal="center" vertical="top"/>
    </xf>
    <xf numFmtId="4" fontId="1" fillId="0" borderId="3" xfId="9" applyNumberFormat="1" applyFont="1" applyBorder="1"/>
    <xf numFmtId="0" fontId="1" fillId="0" borderId="14" xfId="9" applyFont="1" applyBorder="1" applyAlignment="1">
      <alignment vertical="center"/>
    </xf>
    <xf numFmtId="4" fontId="1" fillId="0" borderId="14" xfId="9" applyNumberFormat="1" applyFont="1" applyBorder="1" applyAlignment="1">
      <alignment vertical="center"/>
    </xf>
    <xf numFmtId="0" fontId="1" fillId="0" borderId="3" xfId="9" applyFont="1" applyBorder="1" applyAlignment="1">
      <alignment vertical="top"/>
    </xf>
    <xf numFmtId="0" fontId="1" fillId="0" borderId="3" xfId="9" applyFont="1" applyBorder="1" applyAlignment="1">
      <alignment vertical="center"/>
    </xf>
    <xf numFmtId="0" fontId="1" fillId="0" borderId="5" xfId="9" applyFont="1" applyBorder="1" applyAlignment="1">
      <alignment vertical="center"/>
    </xf>
    <xf numFmtId="0" fontId="1" fillId="0" borderId="5" xfId="9" applyFont="1" applyBorder="1" applyAlignment="1">
      <alignment horizontal="center" vertical="center"/>
    </xf>
    <xf numFmtId="4" fontId="1" fillId="0" borderId="5" xfId="9" applyNumberFormat="1" applyFont="1" applyBorder="1" applyAlignment="1">
      <alignment vertical="center"/>
    </xf>
    <xf numFmtId="4" fontId="1" fillId="0" borderId="5" xfId="9" applyNumberFormat="1" applyFont="1" applyBorder="1" applyAlignment="1">
      <alignment horizontal="right" vertical="center"/>
    </xf>
    <xf numFmtId="0" fontId="1" fillId="3" borderId="5" xfId="9" applyFont="1" applyFill="1" applyBorder="1" applyAlignment="1">
      <alignment vertical="center"/>
    </xf>
    <xf numFmtId="0" fontId="19" fillId="3" borderId="14" xfId="9" applyFont="1" applyFill="1" applyBorder="1" applyAlignment="1">
      <alignment horizontal="left" vertical="center" indent="2"/>
    </xf>
    <xf numFmtId="4" fontId="19" fillId="3" borderId="5" xfId="9" applyNumberFormat="1" applyFont="1" applyFill="1" applyBorder="1" applyAlignment="1">
      <alignment vertical="center"/>
    </xf>
    <xf numFmtId="0" fontId="1" fillId="3" borderId="0" xfId="9" applyFont="1" applyFill="1"/>
    <xf numFmtId="0" fontId="15" fillId="0" borderId="0" xfId="9" applyFont="1" applyAlignment="1">
      <alignment vertical="center"/>
    </xf>
    <xf numFmtId="4" fontId="53" fillId="0" borderId="3" xfId="9" applyNumberFormat="1" applyFont="1" applyBorder="1" applyAlignment="1">
      <alignment vertical="center"/>
    </xf>
    <xf numFmtId="0" fontId="32" fillId="0" borderId="3" xfId="9" applyFont="1" applyBorder="1"/>
    <xf numFmtId="4" fontId="15" fillId="0" borderId="0" xfId="9" applyNumberFormat="1" applyFont="1"/>
    <xf numFmtId="0" fontId="32" fillId="0" borderId="3" xfId="9" applyFont="1" applyBorder="1" applyAlignment="1">
      <alignment wrapText="1"/>
    </xf>
    <xf numFmtId="0" fontId="15" fillId="0" borderId="3" xfId="9" applyFont="1" applyBorder="1" applyAlignment="1">
      <alignment vertical="center"/>
    </xf>
    <xf numFmtId="0" fontId="32" fillId="0" borderId="5" xfId="9" applyFont="1" applyBorder="1"/>
    <xf numFmtId="0" fontId="31" fillId="0" borderId="22" xfId="9" applyFont="1" applyBorder="1" applyAlignment="1">
      <alignment horizontal="center" vertical="center"/>
    </xf>
    <xf numFmtId="0" fontId="50" fillId="0" borderId="23" xfId="9" applyFont="1" applyBorder="1" applyAlignment="1">
      <alignment horizontal="right" vertical="center"/>
    </xf>
    <xf numFmtId="0" fontId="1" fillId="0" borderId="23" xfId="9" applyFont="1" applyBorder="1" applyAlignment="1">
      <alignment horizontal="center" vertical="center"/>
    </xf>
    <xf numFmtId="4" fontId="31" fillId="0" borderId="24" xfId="9" applyNumberFormat="1" applyFont="1" applyBorder="1" applyAlignment="1">
      <alignment vertical="center"/>
    </xf>
    <xf numFmtId="4" fontId="31" fillId="0" borderId="14" xfId="9" applyNumberFormat="1" applyFont="1" applyBorder="1" applyAlignment="1">
      <alignment vertical="center"/>
    </xf>
    <xf numFmtId="0" fontId="31" fillId="0" borderId="0" xfId="13" applyFont="1" applyAlignment="1">
      <alignment horizontal="center" vertical="center" wrapText="1"/>
    </xf>
    <xf numFmtId="0" fontId="9" fillId="0" borderId="0" xfId="9" applyFont="1" applyAlignment="1">
      <alignment horizontal="center" vertical="center"/>
    </xf>
    <xf numFmtId="0" fontId="8" fillId="0" borderId="0" xfId="9" applyFont="1" applyAlignment="1">
      <alignment horizontal="center" vertical="center"/>
    </xf>
    <xf numFmtId="0" fontId="9" fillId="2" borderId="1" xfId="9" applyFont="1" applyFill="1" applyBorder="1" applyAlignment="1">
      <alignment horizontal="center" vertical="center" wrapText="1"/>
    </xf>
    <xf numFmtId="0" fontId="9" fillId="2" borderId="3" xfId="9" applyFont="1" applyFill="1" applyBorder="1" applyAlignment="1">
      <alignment horizontal="center" vertical="center" wrapText="1"/>
    </xf>
    <xf numFmtId="0" fontId="9" fillId="2" borderId="5" xfId="9" applyFont="1" applyFill="1" applyBorder="1" applyAlignment="1">
      <alignment horizontal="center" vertical="center" wrapText="1"/>
    </xf>
  </cellXfs>
  <cellStyles count="16">
    <cellStyle name="Dziesiętny" xfId="7" builtinId="3"/>
    <cellStyle name="Dziesiętny 2" xfId="3" xr:uid="{BFCEA198-B5A6-4EF1-8723-5E8521CAD3DC}"/>
    <cellStyle name="Dziesiętny 3" xfId="11" xr:uid="{61ABCDB7-A447-41B0-B523-5EDA8238BCBA}"/>
    <cellStyle name="Excel Built-in Normal" xfId="4" xr:uid="{0D973522-5471-440E-B74C-241DCBFE695A}"/>
    <cellStyle name="Normalny" xfId="0" builtinId="0"/>
    <cellStyle name="Normalny 2" xfId="1" xr:uid="{F4A0727A-16F6-4BB8-93B1-4B9086AD85A6}"/>
    <cellStyle name="Normalny 2 2" xfId="2" xr:uid="{BE1E2D28-7667-4594-A8C7-64F906513484}"/>
    <cellStyle name="Normalny 3" xfId="5" xr:uid="{B757048F-EF6F-4793-91AA-B90652AC92F0}"/>
    <cellStyle name="Normalny 3 2" xfId="10" xr:uid="{326E1F78-63B5-44F6-B4BC-170C2809D710}"/>
    <cellStyle name="Normalny 3 2 2" xfId="13" xr:uid="{5D9CCC0D-9B19-4C58-A032-F084C83D0CD8}"/>
    <cellStyle name="Normalny 4" xfId="6" xr:uid="{B2465C60-8C82-4AA7-8F41-043A6B5FBEE2}"/>
    <cellStyle name="Normalny 5" xfId="9" xr:uid="{8EB26DBE-3684-4F37-8AED-2A701A641E8E}"/>
    <cellStyle name="Normalny 5 2" xfId="15" xr:uid="{DA1AAF91-5A74-451D-8E1B-B11E523F05C4}"/>
    <cellStyle name="Normalny 6" xfId="14" xr:uid="{AAD10E8A-9AF9-4994-A3F9-127867F69B60}"/>
    <cellStyle name="Normalny_zal_Szczecin" xfId="12" xr:uid="{BFFCAA56-5975-4059-92E2-6187E3A74C04}"/>
    <cellStyle name="Zły" xfId="8" builtinId="27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7966E-0EB3-4593-B35C-B70F78B78A63}">
  <sheetPr>
    <tabColor rgb="FFFFFF00"/>
  </sheetPr>
  <dimension ref="A1:H848"/>
  <sheetViews>
    <sheetView tabSelected="1" zoomScale="150" zoomScaleNormal="150" workbookViewId="0"/>
  </sheetViews>
  <sheetFormatPr defaultRowHeight="15"/>
  <cols>
    <col min="1" max="1" width="3.5703125" style="624" customWidth="1"/>
    <col min="2" max="2" width="6" style="624" customWidth="1"/>
    <col min="3" max="3" width="4.85546875" style="624" customWidth="1"/>
    <col min="4" max="4" width="39.140625" style="624" customWidth="1"/>
    <col min="5" max="5" width="13" style="624" customWidth="1"/>
    <col min="6" max="6" width="10.5703125" style="624" customWidth="1"/>
    <col min="7" max="7" width="10.85546875" style="624" customWidth="1"/>
    <col min="8" max="8" width="12.7109375" style="624" customWidth="1"/>
    <col min="9" max="16384" width="9.140625" style="624"/>
  </cols>
  <sheetData>
    <row r="1" spans="1:8" ht="12.75" customHeight="1">
      <c r="A1" s="5"/>
      <c r="B1" s="5"/>
      <c r="C1" s="6"/>
      <c r="D1" s="7"/>
      <c r="E1" s="7"/>
      <c r="F1" s="7" t="s">
        <v>0</v>
      </c>
      <c r="G1" s="7"/>
      <c r="H1" s="5"/>
    </row>
    <row r="2" spans="1:8" ht="12.75" customHeight="1">
      <c r="A2" s="5"/>
      <c r="B2" s="5"/>
      <c r="C2" s="6"/>
      <c r="D2" s="7"/>
      <c r="E2" s="7"/>
      <c r="F2" s="7" t="s">
        <v>318</v>
      </c>
      <c r="G2" s="7"/>
      <c r="H2" s="5"/>
    </row>
    <row r="3" spans="1:8" ht="12.75" customHeight="1">
      <c r="A3" s="5"/>
      <c r="B3" s="5"/>
      <c r="C3" s="6"/>
      <c r="D3" s="7"/>
      <c r="E3" s="7"/>
      <c r="F3" s="5" t="s">
        <v>1</v>
      </c>
      <c r="G3" s="5"/>
      <c r="H3" s="5"/>
    </row>
    <row r="4" spans="1:8" ht="12.75" customHeight="1">
      <c r="A4" s="5"/>
      <c r="B4" s="5"/>
      <c r="C4" s="6"/>
      <c r="D4" s="7"/>
      <c r="E4" s="7"/>
      <c r="F4" s="7" t="s">
        <v>319</v>
      </c>
      <c r="G4" s="7"/>
      <c r="H4" s="5"/>
    </row>
    <row r="5" spans="1:8" ht="48.75" customHeight="1">
      <c r="A5" s="9" t="s">
        <v>40</v>
      </c>
      <c r="B5" s="625"/>
      <c r="C5" s="10"/>
      <c r="D5" s="10"/>
      <c r="E5" s="625"/>
      <c r="F5" s="625"/>
      <c r="G5" s="11"/>
      <c r="H5" s="625"/>
    </row>
    <row r="6" spans="1:8" ht="28.5" customHeight="1">
      <c r="A6" s="5"/>
      <c r="B6" s="5"/>
      <c r="C6" s="6"/>
      <c r="D6" s="6"/>
      <c r="E6" s="12"/>
      <c r="F6" s="5"/>
      <c r="G6" s="13"/>
      <c r="H6" s="14" t="s">
        <v>2</v>
      </c>
    </row>
    <row r="7" spans="1:8" s="22" customFormat="1" ht="11.25">
      <c r="A7" s="15"/>
      <c r="B7" s="15"/>
      <c r="C7" s="16"/>
      <c r="D7" s="17"/>
      <c r="E7" s="18" t="s">
        <v>3</v>
      </c>
      <c r="F7" s="19"/>
      <c r="G7" s="20"/>
      <c r="H7" s="18" t="s">
        <v>3</v>
      </c>
    </row>
    <row r="8" spans="1:8" s="22" customFormat="1" ht="11.25">
      <c r="A8" s="23" t="s">
        <v>4</v>
      </c>
      <c r="B8" s="23" t="s">
        <v>5</v>
      </c>
      <c r="C8" s="24" t="s">
        <v>6</v>
      </c>
      <c r="D8" s="25" t="s">
        <v>7</v>
      </c>
      <c r="E8" s="23" t="s">
        <v>8</v>
      </c>
      <c r="F8" s="26" t="s">
        <v>9</v>
      </c>
      <c r="G8" s="23" t="s">
        <v>10</v>
      </c>
      <c r="H8" s="23" t="s">
        <v>11</v>
      </c>
    </row>
    <row r="9" spans="1:8" s="22" customFormat="1" ht="4.5" customHeight="1">
      <c r="A9" s="27"/>
      <c r="B9" s="27"/>
      <c r="C9" s="28"/>
      <c r="D9" s="29"/>
      <c r="E9" s="27"/>
      <c r="F9" s="30"/>
      <c r="G9" s="30"/>
      <c r="H9" s="27"/>
    </row>
    <row r="10" spans="1:8" s="22" customFormat="1" ht="17.25" customHeight="1" thickBot="1">
      <c r="A10" s="31"/>
      <c r="B10" s="31"/>
      <c r="C10" s="32"/>
      <c r="D10" s="33" t="s">
        <v>63</v>
      </c>
      <c r="E10" s="34">
        <v>1161712652.79</v>
      </c>
      <c r="F10" s="34">
        <f>SUM(F11,F72,F91)</f>
        <v>7011294.8499999996</v>
      </c>
      <c r="G10" s="34">
        <f>SUM(G11,G72,G91)</f>
        <v>373283.19999999995</v>
      </c>
      <c r="H10" s="34">
        <f t="shared" ref="H10:H24" si="0">SUM(E10+F10-G10)</f>
        <v>1168350664.4399998</v>
      </c>
    </row>
    <row r="11" spans="1:8" s="22" customFormat="1" ht="17.25" customHeight="1" thickBot="1">
      <c r="A11" s="31"/>
      <c r="B11" s="31"/>
      <c r="C11" s="32"/>
      <c r="D11" s="35" t="s">
        <v>64</v>
      </c>
      <c r="E11" s="36">
        <v>1075451711.96</v>
      </c>
      <c r="F11" s="36">
        <f>SUM(F12,F17,F24,F53,F57)</f>
        <v>3555363.85</v>
      </c>
      <c r="G11" s="36">
        <f>SUM(G12,G17,G24,G53,G57)</f>
        <v>356187.19999999995</v>
      </c>
      <c r="H11" s="36">
        <f t="shared" si="0"/>
        <v>1078650888.6099999</v>
      </c>
    </row>
    <row r="12" spans="1:8" s="22" customFormat="1" ht="17.25" customHeight="1" thickTop="1" thickBot="1">
      <c r="A12" s="37">
        <v>752</v>
      </c>
      <c r="B12" s="38"/>
      <c r="C12" s="39"/>
      <c r="D12" s="40" t="s">
        <v>65</v>
      </c>
      <c r="E12" s="36">
        <v>65000</v>
      </c>
      <c r="F12" s="41">
        <f>SUM(F13)</f>
        <v>3013282.85</v>
      </c>
      <c r="G12" s="41">
        <f>SUM(G13)</f>
        <v>0</v>
      </c>
      <c r="H12" s="36">
        <f>SUM(E12+F12-G12)</f>
        <v>3078282.85</v>
      </c>
    </row>
    <row r="13" spans="1:8" s="22" customFormat="1" ht="12" customHeight="1" thickTop="1">
      <c r="A13" s="37"/>
      <c r="B13" s="42">
        <v>75295</v>
      </c>
      <c r="C13" s="32"/>
      <c r="D13" s="43" t="s">
        <v>66</v>
      </c>
      <c r="E13" s="44">
        <v>0</v>
      </c>
      <c r="F13" s="45">
        <f>SUM(F14)</f>
        <v>3013282.85</v>
      </c>
      <c r="G13" s="45">
        <f>SUM(G14)</f>
        <v>0</v>
      </c>
      <c r="H13" s="44">
        <f>SUM(E13+F13-G13)</f>
        <v>3013282.85</v>
      </c>
    </row>
    <row r="14" spans="1:8" s="22" customFormat="1" ht="12" customHeight="1">
      <c r="A14" s="37"/>
      <c r="B14" s="46"/>
      <c r="C14" s="56"/>
      <c r="D14" s="626" t="s">
        <v>67</v>
      </c>
      <c r="E14" s="627">
        <v>0</v>
      </c>
      <c r="F14" s="627">
        <f>SUM(F15:F16)</f>
        <v>3013282.85</v>
      </c>
      <c r="G14" s="627">
        <f>SUM(G15:G16)</f>
        <v>0</v>
      </c>
      <c r="H14" s="102">
        <f>SUM(E14+F14-G14)</f>
        <v>3013282.85</v>
      </c>
    </row>
    <row r="15" spans="1:8" s="22" customFormat="1" ht="34.5" customHeight="1">
      <c r="A15" s="47"/>
      <c r="B15" s="46"/>
      <c r="C15" s="48" t="s">
        <v>68</v>
      </c>
      <c r="D15" s="49" t="s">
        <v>69</v>
      </c>
      <c r="E15" s="50">
        <v>0</v>
      </c>
      <c r="F15" s="50">
        <v>1198280.8500000001</v>
      </c>
      <c r="G15" s="50"/>
      <c r="H15" s="51">
        <f t="shared" ref="H15:H16" si="1">SUM(E15+F15-G15)</f>
        <v>1198280.8500000001</v>
      </c>
    </row>
    <row r="16" spans="1:8" s="22" customFormat="1" ht="36" customHeight="1">
      <c r="A16" s="37"/>
      <c r="B16" s="52"/>
      <c r="C16" s="53" t="s">
        <v>70</v>
      </c>
      <c r="D16" s="54" t="s">
        <v>71</v>
      </c>
      <c r="E16" s="50">
        <v>0</v>
      </c>
      <c r="F16" s="55">
        <v>1815002</v>
      </c>
      <c r="G16" s="55"/>
      <c r="H16" s="51">
        <f t="shared" si="1"/>
        <v>1815002</v>
      </c>
    </row>
    <row r="17" spans="1:8" s="22" customFormat="1" ht="12" customHeight="1" thickBot="1">
      <c r="A17" s="37">
        <v>801</v>
      </c>
      <c r="B17" s="37"/>
      <c r="C17" s="39"/>
      <c r="D17" s="40" t="s">
        <v>72</v>
      </c>
      <c r="E17" s="41">
        <v>24535033.099999998</v>
      </c>
      <c r="F17" s="41">
        <f>SUM(F18,F21)</f>
        <v>32485</v>
      </c>
      <c r="G17" s="41">
        <f>SUM(G18,G21)</f>
        <v>0</v>
      </c>
      <c r="H17" s="41">
        <f>SUM(E17+F17-G17)</f>
        <v>24567518.099999998</v>
      </c>
    </row>
    <row r="18" spans="1:8" s="22" customFormat="1" ht="12" customHeight="1" thickTop="1">
      <c r="A18" s="37"/>
      <c r="B18" s="56">
        <v>80120</v>
      </c>
      <c r="C18" s="57"/>
      <c r="D18" s="58" t="s">
        <v>20</v>
      </c>
      <c r="E18" s="59">
        <v>20715.95</v>
      </c>
      <c r="F18" s="59">
        <f>SUM(F19)</f>
        <v>32480</v>
      </c>
      <c r="G18" s="59">
        <f>SUM(G19)</f>
        <v>0</v>
      </c>
      <c r="H18" s="59">
        <f t="shared" ref="H18:H23" si="2">SUM(E18+F18-G18)</f>
        <v>53195.95</v>
      </c>
    </row>
    <row r="19" spans="1:8" s="22" customFormat="1" ht="12" customHeight="1">
      <c r="A19" s="37"/>
      <c r="B19" s="57"/>
      <c r="C19" s="60"/>
      <c r="D19" s="628" t="s">
        <v>67</v>
      </c>
      <c r="E19" s="61">
        <v>0</v>
      </c>
      <c r="F19" s="61">
        <f>SUM(F20)</f>
        <v>32480</v>
      </c>
      <c r="G19" s="61">
        <f>SUM(G20)</f>
        <v>0</v>
      </c>
      <c r="H19" s="61">
        <f t="shared" si="2"/>
        <v>32480</v>
      </c>
    </row>
    <row r="20" spans="1:8" s="22" customFormat="1" ht="23.25" customHeight="1">
      <c r="A20" s="37"/>
      <c r="B20" s="57"/>
      <c r="C20" s="48" t="s">
        <v>73</v>
      </c>
      <c r="D20" s="62" t="s">
        <v>74</v>
      </c>
      <c r="E20" s="63">
        <v>0</v>
      </c>
      <c r="F20" s="63">
        <v>32480</v>
      </c>
      <c r="G20" s="64"/>
      <c r="H20" s="63">
        <f t="shared" si="2"/>
        <v>32480</v>
      </c>
    </row>
    <row r="21" spans="1:8" s="22" customFormat="1" ht="12" customHeight="1">
      <c r="A21" s="31"/>
      <c r="B21" s="65">
        <v>80195</v>
      </c>
      <c r="C21" s="32"/>
      <c r="D21" s="43" t="s">
        <v>66</v>
      </c>
      <c r="E21" s="45">
        <v>21087042.909999996</v>
      </c>
      <c r="F21" s="45">
        <f>SUM(F22)</f>
        <v>5</v>
      </c>
      <c r="G21" s="45">
        <f>SUM(G22)</f>
        <v>0</v>
      </c>
      <c r="H21" s="44">
        <f t="shared" si="2"/>
        <v>21087047.909999996</v>
      </c>
    </row>
    <row r="22" spans="1:8" s="22" customFormat="1" ht="24.75" customHeight="1">
      <c r="A22" s="31"/>
      <c r="B22" s="66"/>
      <c r="C22" s="82"/>
      <c r="D22" s="629" t="s">
        <v>75</v>
      </c>
      <c r="E22" s="102">
        <v>542644.06000000006</v>
      </c>
      <c r="F22" s="630">
        <f>SUM(F23:F23)</f>
        <v>5</v>
      </c>
      <c r="G22" s="630">
        <f>SUM(G23:G23)</f>
        <v>0</v>
      </c>
      <c r="H22" s="102">
        <f t="shared" si="2"/>
        <v>542649.06000000006</v>
      </c>
    </row>
    <row r="23" spans="1:8" s="22" customFormat="1" ht="58.5" customHeight="1">
      <c r="A23" s="31"/>
      <c r="B23" s="66"/>
      <c r="C23" s="48" t="s">
        <v>76</v>
      </c>
      <c r="D23" s="49" t="s">
        <v>77</v>
      </c>
      <c r="E23" s="51">
        <v>542644.06000000006</v>
      </c>
      <c r="F23" s="51">
        <v>5</v>
      </c>
      <c r="G23" s="55"/>
      <c r="H23" s="51">
        <f t="shared" si="2"/>
        <v>542649.06000000006</v>
      </c>
    </row>
    <row r="24" spans="1:8" s="22" customFormat="1" ht="12" customHeight="1" thickBot="1">
      <c r="A24" s="39" t="s">
        <v>78</v>
      </c>
      <c r="B24" s="38"/>
      <c r="C24" s="39"/>
      <c r="D24" s="40" t="s">
        <v>79</v>
      </c>
      <c r="E24" s="36">
        <v>29213033.079999998</v>
      </c>
      <c r="F24" s="41">
        <f>SUM(F25,F28,F32,F35,F38,F42,F45,F50)</f>
        <v>367431</v>
      </c>
      <c r="G24" s="41">
        <f>SUM(G25,G28,G32,G35,G38,G42,G45,G50)</f>
        <v>153629</v>
      </c>
      <c r="H24" s="36">
        <f t="shared" si="0"/>
        <v>29426835.079999998</v>
      </c>
    </row>
    <row r="25" spans="1:8" s="22" customFormat="1" ht="12" customHeight="1" thickTop="1">
      <c r="A25" s="39"/>
      <c r="B25" s="67">
        <v>85202</v>
      </c>
      <c r="C25" s="32"/>
      <c r="D25" s="43" t="s">
        <v>80</v>
      </c>
      <c r="E25" s="44">
        <v>4007009.6</v>
      </c>
      <c r="F25" s="45">
        <f>SUM(F26)</f>
        <v>0</v>
      </c>
      <c r="G25" s="45">
        <f>SUM(G26)</f>
        <v>15477</v>
      </c>
      <c r="H25" s="44">
        <f t="shared" ref="H25:H30" si="3">SUM(E25+F25-G25)</f>
        <v>3991532.6</v>
      </c>
    </row>
    <row r="26" spans="1:8" s="22" customFormat="1" ht="12" customHeight="1">
      <c r="A26" s="39"/>
      <c r="B26" s="65"/>
      <c r="C26" s="32"/>
      <c r="D26" s="631" t="s">
        <v>81</v>
      </c>
      <c r="E26" s="102">
        <v>1396677</v>
      </c>
      <c r="F26" s="630">
        <f>SUM(F27:F27)</f>
        <v>0</v>
      </c>
      <c r="G26" s="630">
        <f>SUM(G27:G27)</f>
        <v>15477</v>
      </c>
      <c r="H26" s="102">
        <f t="shared" si="3"/>
        <v>1381200</v>
      </c>
    </row>
    <row r="27" spans="1:8" s="22" customFormat="1" ht="24.75" customHeight="1">
      <c r="A27" s="39"/>
      <c r="B27" s="65"/>
      <c r="C27" s="48" t="s">
        <v>73</v>
      </c>
      <c r="D27" s="62" t="s">
        <v>74</v>
      </c>
      <c r="E27" s="51">
        <v>1396677</v>
      </c>
      <c r="F27" s="51"/>
      <c r="G27" s="51">
        <v>15477</v>
      </c>
      <c r="H27" s="51">
        <f t="shared" si="3"/>
        <v>1381200</v>
      </c>
    </row>
    <row r="28" spans="1:8" s="22" customFormat="1" ht="12" customHeight="1">
      <c r="A28" s="39"/>
      <c r="B28" s="65">
        <v>85203</v>
      </c>
      <c r="C28" s="32"/>
      <c r="D28" s="68" t="s">
        <v>82</v>
      </c>
      <c r="E28" s="44">
        <v>408783</v>
      </c>
      <c r="F28" s="45">
        <f>SUM(F29)</f>
        <v>0</v>
      </c>
      <c r="G28" s="45">
        <f>SUM(G29)</f>
        <v>34088</v>
      </c>
      <c r="H28" s="44">
        <f t="shared" si="3"/>
        <v>374695</v>
      </c>
    </row>
    <row r="29" spans="1:8" s="22" customFormat="1" ht="12" customHeight="1">
      <c r="A29" s="39"/>
      <c r="B29" s="65"/>
      <c r="C29" s="32"/>
      <c r="D29" s="631" t="s">
        <v>81</v>
      </c>
      <c r="E29" s="102">
        <v>194255</v>
      </c>
      <c r="F29" s="630">
        <f>SUM(F30:F30)</f>
        <v>0</v>
      </c>
      <c r="G29" s="630">
        <f>SUM(G30:G30)</f>
        <v>34088</v>
      </c>
      <c r="H29" s="102">
        <f t="shared" si="3"/>
        <v>160167</v>
      </c>
    </row>
    <row r="30" spans="1:8" s="22" customFormat="1" ht="22.5" customHeight="1">
      <c r="A30" s="39"/>
      <c r="B30" s="65"/>
      <c r="C30" s="48" t="s">
        <v>73</v>
      </c>
      <c r="D30" s="62" t="s">
        <v>74</v>
      </c>
      <c r="E30" s="51">
        <v>194255</v>
      </c>
      <c r="F30" s="51"/>
      <c r="G30" s="55">
        <v>34088</v>
      </c>
      <c r="H30" s="51">
        <f t="shared" si="3"/>
        <v>160167</v>
      </c>
    </row>
    <row r="31" spans="1:8" s="22" customFormat="1" ht="12" customHeight="1">
      <c r="A31" s="69"/>
      <c r="B31" s="65">
        <v>85214</v>
      </c>
      <c r="C31" s="32"/>
      <c r="D31" s="70" t="s">
        <v>83</v>
      </c>
      <c r="E31" s="64"/>
      <c r="F31" s="71"/>
      <c r="G31" s="71"/>
      <c r="H31" s="64"/>
    </row>
    <row r="32" spans="1:8" s="22" customFormat="1" ht="12" customHeight="1">
      <c r="A32" s="31"/>
      <c r="B32" s="65"/>
      <c r="C32" s="32"/>
      <c r="D32" s="72" t="s">
        <v>84</v>
      </c>
      <c r="E32" s="44">
        <v>5800731</v>
      </c>
      <c r="F32" s="45">
        <f>SUM(F33)</f>
        <v>1533</v>
      </c>
      <c r="G32" s="45">
        <f>SUM(G33)</f>
        <v>0</v>
      </c>
      <c r="H32" s="44">
        <f>SUM(E32+F32-G32)</f>
        <v>5802264</v>
      </c>
    </row>
    <row r="33" spans="1:8" s="22" customFormat="1" ht="12" customHeight="1">
      <c r="A33" s="31"/>
      <c r="B33" s="65"/>
      <c r="C33" s="82"/>
      <c r="D33" s="632" t="s">
        <v>85</v>
      </c>
      <c r="E33" s="102">
        <v>4785</v>
      </c>
      <c r="F33" s="630">
        <f>SUM(F34)</f>
        <v>1533</v>
      </c>
      <c r="G33" s="630">
        <f>SUM(G34)</f>
        <v>0</v>
      </c>
      <c r="H33" s="102">
        <f t="shared" ref="H33:H34" si="4">SUM(E33+F33-G33)</f>
        <v>6318</v>
      </c>
    </row>
    <row r="34" spans="1:8" s="22" customFormat="1" ht="34.5" customHeight="1">
      <c r="A34" s="31"/>
      <c r="B34" s="65"/>
      <c r="C34" s="48" t="s">
        <v>86</v>
      </c>
      <c r="D34" s="73" t="s">
        <v>87</v>
      </c>
      <c r="E34" s="50">
        <v>4785</v>
      </c>
      <c r="F34" s="55">
        <v>1533</v>
      </c>
      <c r="G34" s="55"/>
      <c r="H34" s="50">
        <f t="shared" si="4"/>
        <v>6318</v>
      </c>
    </row>
    <row r="35" spans="1:8" s="22" customFormat="1" ht="12" customHeight="1">
      <c r="A35" s="31"/>
      <c r="B35" s="65">
        <v>85216</v>
      </c>
      <c r="C35" s="32"/>
      <c r="D35" s="58" t="s">
        <v>88</v>
      </c>
      <c r="E35" s="44">
        <v>6566494</v>
      </c>
      <c r="F35" s="45">
        <f t="shared" ref="F35:G35" si="5">SUM(F36)</f>
        <v>47698</v>
      </c>
      <c r="G35" s="45">
        <f t="shared" si="5"/>
        <v>0</v>
      </c>
      <c r="H35" s="44">
        <f>SUM(E35+F35-G35)</f>
        <v>6614192</v>
      </c>
    </row>
    <row r="36" spans="1:8" s="22" customFormat="1" ht="12" customHeight="1">
      <c r="A36" s="31"/>
      <c r="B36" s="38"/>
      <c r="C36" s="82"/>
      <c r="D36" s="632" t="s">
        <v>81</v>
      </c>
      <c r="E36" s="102">
        <v>6528794</v>
      </c>
      <c r="F36" s="630">
        <f>SUM(F37:F37)</f>
        <v>47698</v>
      </c>
      <c r="G36" s="630">
        <f>SUM(G37:G37)</f>
        <v>0</v>
      </c>
      <c r="H36" s="102">
        <f t="shared" ref="H36" si="6">SUM(E36+F36-G36)</f>
        <v>6576492</v>
      </c>
    </row>
    <row r="37" spans="1:8" s="22" customFormat="1" ht="36" customHeight="1">
      <c r="A37" s="31"/>
      <c r="B37" s="38"/>
      <c r="C37" s="48" t="s">
        <v>68</v>
      </c>
      <c r="D37" s="49" t="s">
        <v>69</v>
      </c>
      <c r="E37" s="51">
        <v>6528794</v>
      </c>
      <c r="F37" s="51">
        <v>47698</v>
      </c>
      <c r="G37" s="55"/>
      <c r="H37" s="51">
        <f>SUM(E37+F37-G37)</f>
        <v>6576492</v>
      </c>
    </row>
    <row r="38" spans="1:8" s="22" customFormat="1" ht="12" customHeight="1">
      <c r="A38" s="31"/>
      <c r="B38" s="65">
        <v>85219</v>
      </c>
      <c r="C38" s="32"/>
      <c r="D38" s="43" t="s">
        <v>89</v>
      </c>
      <c r="E38" s="44">
        <v>3816895.83</v>
      </c>
      <c r="F38" s="45">
        <f t="shared" ref="F38:G39" si="7">SUM(F39)</f>
        <v>0</v>
      </c>
      <c r="G38" s="45">
        <f t="shared" si="7"/>
        <v>102564</v>
      </c>
      <c r="H38" s="44">
        <f t="shared" ref="H38:H40" si="8">SUM(E38+F38-G38)</f>
        <v>3714331.83</v>
      </c>
    </row>
    <row r="39" spans="1:8" s="22" customFormat="1" ht="12" customHeight="1">
      <c r="A39" s="31"/>
      <c r="B39" s="65"/>
      <c r="C39" s="32"/>
      <c r="D39" s="631" t="s">
        <v>81</v>
      </c>
      <c r="E39" s="102">
        <v>3748871</v>
      </c>
      <c r="F39" s="630">
        <f t="shared" si="7"/>
        <v>0</v>
      </c>
      <c r="G39" s="630">
        <f t="shared" si="7"/>
        <v>102564</v>
      </c>
      <c r="H39" s="102">
        <f t="shared" si="8"/>
        <v>3646307</v>
      </c>
    </row>
    <row r="40" spans="1:8" s="22" customFormat="1" ht="35.25" customHeight="1">
      <c r="A40" s="74"/>
      <c r="B40" s="75"/>
      <c r="C40" s="76" t="s">
        <v>68</v>
      </c>
      <c r="D40" s="77" t="s">
        <v>90</v>
      </c>
      <c r="E40" s="78">
        <v>3748871</v>
      </c>
      <c r="F40" s="44"/>
      <c r="G40" s="44">
        <v>102564</v>
      </c>
      <c r="H40" s="78">
        <f t="shared" si="8"/>
        <v>3646307</v>
      </c>
    </row>
    <row r="41" spans="1:8" s="22" customFormat="1" ht="12" customHeight="1">
      <c r="A41" s="31"/>
      <c r="B41" s="46">
        <v>85220</v>
      </c>
      <c r="C41" s="57"/>
      <c r="D41" s="46" t="s">
        <v>91</v>
      </c>
      <c r="E41" s="51"/>
      <c r="F41" s="51"/>
      <c r="G41" s="55"/>
      <c r="H41" s="51"/>
    </row>
    <row r="42" spans="1:8" s="22" customFormat="1" ht="12" customHeight="1">
      <c r="A42" s="31"/>
      <c r="B42" s="79"/>
      <c r="C42" s="57"/>
      <c r="D42" s="58" t="s">
        <v>92</v>
      </c>
      <c r="E42" s="44">
        <v>71946</v>
      </c>
      <c r="F42" s="45">
        <f t="shared" ref="F42:G42" si="9">SUM(F43)</f>
        <v>0</v>
      </c>
      <c r="G42" s="45">
        <f t="shared" si="9"/>
        <v>1500</v>
      </c>
      <c r="H42" s="44">
        <f>SUM(E42+F42-G42)</f>
        <v>70446</v>
      </c>
    </row>
    <row r="43" spans="1:8" s="22" customFormat="1" ht="12" customHeight="1">
      <c r="A43" s="31"/>
      <c r="B43" s="38"/>
      <c r="C43" s="82"/>
      <c r="D43" s="632" t="s">
        <v>81</v>
      </c>
      <c r="E43" s="102">
        <v>71946</v>
      </c>
      <c r="F43" s="630">
        <f>SUM(F44:F44)</f>
        <v>0</v>
      </c>
      <c r="G43" s="630">
        <f>SUM(G44:G44)</f>
        <v>1500</v>
      </c>
      <c r="H43" s="102">
        <f t="shared" ref="H43" si="10">SUM(E43+F43-G43)</f>
        <v>70446</v>
      </c>
    </row>
    <row r="44" spans="1:8" s="22" customFormat="1" ht="35.25" customHeight="1">
      <c r="A44" s="31"/>
      <c r="B44" s="38"/>
      <c r="C44" s="48" t="s">
        <v>68</v>
      </c>
      <c r="D44" s="49" t="s">
        <v>69</v>
      </c>
      <c r="E44" s="51">
        <v>71946</v>
      </c>
      <c r="F44" s="51"/>
      <c r="G44" s="55">
        <v>1500</v>
      </c>
      <c r="H44" s="51">
        <f>SUM(E44+F44-G44)</f>
        <v>70446</v>
      </c>
    </row>
    <row r="45" spans="1:8" s="22" customFormat="1" ht="12" customHeight="1">
      <c r="A45" s="31"/>
      <c r="B45" s="65">
        <v>85230</v>
      </c>
      <c r="C45" s="32"/>
      <c r="D45" s="43" t="s">
        <v>93</v>
      </c>
      <c r="E45" s="44">
        <v>4148264</v>
      </c>
      <c r="F45" s="45">
        <f>SUM(F46,F48)</f>
        <v>316134</v>
      </c>
      <c r="G45" s="45">
        <f>SUM(G46,G48)</f>
        <v>0</v>
      </c>
      <c r="H45" s="44">
        <f>SUM(E45+F45-G45)</f>
        <v>4464398</v>
      </c>
    </row>
    <row r="46" spans="1:8" s="22" customFormat="1" ht="12" customHeight="1">
      <c r="A46" s="31"/>
      <c r="B46" s="65"/>
      <c r="C46" s="80"/>
      <c r="D46" s="632" t="s">
        <v>81</v>
      </c>
      <c r="E46" s="102">
        <v>4144800</v>
      </c>
      <c r="F46" s="630">
        <f>SUM(F47:F47)</f>
        <v>314934</v>
      </c>
      <c r="G46" s="630">
        <f>SUM(G47:G47)</f>
        <v>0</v>
      </c>
      <c r="H46" s="102">
        <f>SUM(E46+F46-G46)</f>
        <v>4459734</v>
      </c>
    </row>
    <row r="47" spans="1:8" s="22" customFormat="1" ht="34.5" customHeight="1">
      <c r="A47" s="31"/>
      <c r="B47" s="65"/>
      <c r="C47" s="48" t="s">
        <v>68</v>
      </c>
      <c r="D47" s="49" t="s">
        <v>69</v>
      </c>
      <c r="E47" s="51">
        <v>4144800</v>
      </c>
      <c r="F47" s="51">
        <v>314934</v>
      </c>
      <c r="G47" s="55"/>
      <c r="H47" s="51">
        <f t="shared" ref="H47:H49" si="11">SUM(E47+F47-G47)</f>
        <v>4459734</v>
      </c>
    </row>
    <row r="48" spans="1:8" s="22" customFormat="1" ht="21" customHeight="1">
      <c r="A48" s="31"/>
      <c r="B48" s="38"/>
      <c r="C48" s="82"/>
      <c r="D48" s="632" t="s">
        <v>94</v>
      </c>
      <c r="E48" s="102">
        <v>2864</v>
      </c>
      <c r="F48" s="630">
        <f>SUM(F49:F49)</f>
        <v>1200</v>
      </c>
      <c r="G48" s="630">
        <f>SUM(G49:G49)</f>
        <v>0</v>
      </c>
      <c r="H48" s="102">
        <f t="shared" si="11"/>
        <v>4064</v>
      </c>
    </row>
    <row r="49" spans="1:8" s="22" customFormat="1" ht="34.5" customHeight="1">
      <c r="A49" s="31"/>
      <c r="B49" s="38"/>
      <c r="C49" s="48" t="s">
        <v>86</v>
      </c>
      <c r="D49" s="49" t="s">
        <v>87</v>
      </c>
      <c r="E49" s="51">
        <v>2864</v>
      </c>
      <c r="F49" s="51">
        <v>1200</v>
      </c>
      <c r="G49" s="55"/>
      <c r="H49" s="51">
        <f t="shared" si="11"/>
        <v>4064</v>
      </c>
    </row>
    <row r="50" spans="1:8" s="22" customFormat="1" ht="12" customHeight="1">
      <c r="A50" s="31"/>
      <c r="B50" s="56">
        <v>85295</v>
      </c>
      <c r="C50" s="57"/>
      <c r="D50" s="43" t="s">
        <v>66</v>
      </c>
      <c r="E50" s="44">
        <v>1753224.6500000001</v>
      </c>
      <c r="F50" s="45">
        <f>SUM(F51)</f>
        <v>2066</v>
      </c>
      <c r="G50" s="45">
        <f>SUM(G51)</f>
        <v>0</v>
      </c>
      <c r="H50" s="44">
        <f>SUM(E50+F50-G50)</f>
        <v>1755290.6500000001</v>
      </c>
    </row>
    <row r="51" spans="1:8" s="22" customFormat="1" ht="20.25" customHeight="1">
      <c r="A51" s="31"/>
      <c r="B51" s="38"/>
      <c r="C51" s="82"/>
      <c r="D51" s="632" t="s">
        <v>95</v>
      </c>
      <c r="E51" s="102">
        <v>5069</v>
      </c>
      <c r="F51" s="630">
        <f>SUM(F52:F52)</f>
        <v>2066</v>
      </c>
      <c r="G51" s="630">
        <f>SUM(G52:G52)</f>
        <v>0</v>
      </c>
      <c r="H51" s="102">
        <f t="shared" ref="H51:H52" si="12">SUM(E51+F51-G51)</f>
        <v>7135</v>
      </c>
    </row>
    <row r="52" spans="1:8" s="22" customFormat="1" ht="34.5" customHeight="1">
      <c r="A52" s="31"/>
      <c r="B52" s="38"/>
      <c r="C52" s="48" t="s">
        <v>86</v>
      </c>
      <c r="D52" s="49" t="s">
        <v>87</v>
      </c>
      <c r="E52" s="51">
        <v>5069</v>
      </c>
      <c r="F52" s="51">
        <f>843+1223</f>
        <v>2066</v>
      </c>
      <c r="G52" s="55"/>
      <c r="H52" s="51">
        <f t="shared" si="12"/>
        <v>7135</v>
      </c>
    </row>
    <row r="53" spans="1:8" s="22" customFormat="1" ht="12" customHeight="1" thickBot="1">
      <c r="A53" s="37">
        <v>854</v>
      </c>
      <c r="B53" s="38"/>
      <c r="C53" s="39"/>
      <c r="D53" s="40" t="s">
        <v>23</v>
      </c>
      <c r="E53" s="41">
        <v>544196.41999999993</v>
      </c>
      <c r="F53" s="41">
        <f>SUM(F54)</f>
        <v>99936</v>
      </c>
      <c r="G53" s="41">
        <f>SUM(G54)</f>
        <v>0</v>
      </c>
      <c r="H53" s="41">
        <f>SUM(E53+F53-G53)</f>
        <v>644132.41999999993</v>
      </c>
    </row>
    <row r="54" spans="1:8" s="22" customFormat="1" ht="12" customHeight="1" thickTop="1">
      <c r="A54" s="37"/>
      <c r="B54" s="65">
        <v>85415</v>
      </c>
      <c r="C54" s="32"/>
      <c r="D54" s="43" t="s">
        <v>96</v>
      </c>
      <c r="E54" s="44">
        <v>159000</v>
      </c>
      <c r="F54" s="45">
        <f>SUM(F55)</f>
        <v>99936</v>
      </c>
      <c r="G54" s="45">
        <f>SUM(G55)</f>
        <v>0</v>
      </c>
      <c r="H54" s="44">
        <f>SUM(E54+F54-G54)</f>
        <v>258936</v>
      </c>
    </row>
    <row r="55" spans="1:8" s="22" customFormat="1" ht="12" customHeight="1">
      <c r="A55" s="37"/>
      <c r="B55" s="65"/>
      <c r="C55" s="32"/>
      <c r="D55" s="631" t="s">
        <v>81</v>
      </c>
      <c r="E55" s="102">
        <v>159000</v>
      </c>
      <c r="F55" s="630">
        <f>SUM(F56:F56)</f>
        <v>99936</v>
      </c>
      <c r="G55" s="630">
        <f>SUM(G56:G56)</f>
        <v>0</v>
      </c>
      <c r="H55" s="102">
        <f>SUM(E55+F55-G55)</f>
        <v>258936</v>
      </c>
    </row>
    <row r="56" spans="1:8" s="22" customFormat="1" ht="45.75" customHeight="1">
      <c r="A56" s="47"/>
      <c r="B56" s="38"/>
      <c r="C56" s="48" t="s">
        <v>97</v>
      </c>
      <c r="D56" s="49" t="s">
        <v>98</v>
      </c>
      <c r="E56" s="51">
        <v>0</v>
      </c>
      <c r="F56" s="51">
        <v>99936</v>
      </c>
      <c r="G56" s="55"/>
      <c r="H56" s="51">
        <f t="shared" ref="H56" si="13">SUM(E56+F56-G56)</f>
        <v>99936</v>
      </c>
    </row>
    <row r="57" spans="1:8" s="22" customFormat="1" ht="12" customHeight="1" thickBot="1">
      <c r="A57" s="38">
        <v>855</v>
      </c>
      <c r="B57" s="38"/>
      <c r="C57" s="39"/>
      <c r="D57" s="40" t="s">
        <v>99</v>
      </c>
      <c r="E57" s="41">
        <v>16136336.129999999</v>
      </c>
      <c r="F57" s="41">
        <f>SUM(F58,F61,F64,F69)</f>
        <v>42229</v>
      </c>
      <c r="G57" s="41">
        <f>SUM(G58,G61,G64,G69)</f>
        <v>202558.19999999998</v>
      </c>
      <c r="H57" s="41">
        <f>SUM(E57+F57-G57)</f>
        <v>15976006.93</v>
      </c>
    </row>
    <row r="58" spans="1:8" s="22" customFormat="1" ht="12" customHeight="1" thickTop="1">
      <c r="A58" s="38"/>
      <c r="B58" s="67">
        <v>85504</v>
      </c>
      <c r="C58" s="32"/>
      <c r="D58" s="81" t="s">
        <v>100</v>
      </c>
      <c r="E58" s="44">
        <v>777425.8</v>
      </c>
      <c r="F58" s="45">
        <f>SUM(F59)</f>
        <v>0</v>
      </c>
      <c r="G58" s="45">
        <f>SUM(G59)</f>
        <v>20112.8</v>
      </c>
      <c r="H58" s="44">
        <f t="shared" ref="H58" si="14">SUM(E58+F58-G58)</f>
        <v>757313</v>
      </c>
    </row>
    <row r="59" spans="1:8" s="22" customFormat="1" ht="12" customHeight="1">
      <c r="A59" s="38"/>
      <c r="B59" s="38"/>
      <c r="C59" s="39"/>
      <c r="D59" s="626" t="s">
        <v>67</v>
      </c>
      <c r="E59" s="627">
        <v>777016.8</v>
      </c>
      <c r="F59" s="630">
        <f>SUM(F60:F60)</f>
        <v>0</v>
      </c>
      <c r="G59" s="630">
        <f>SUM(G60:G60)</f>
        <v>20112.8</v>
      </c>
      <c r="H59" s="102">
        <f>SUM(E59+F59-G59)</f>
        <v>756904</v>
      </c>
    </row>
    <row r="60" spans="1:8" s="22" customFormat="1" ht="35.25" customHeight="1">
      <c r="A60" s="38"/>
      <c r="B60" s="38"/>
      <c r="C60" s="48" t="s">
        <v>68</v>
      </c>
      <c r="D60" s="49" t="s">
        <v>69</v>
      </c>
      <c r="E60" s="63">
        <v>777016.8</v>
      </c>
      <c r="F60" s="50"/>
      <c r="G60" s="50">
        <v>20112.8</v>
      </c>
      <c r="H60" s="50">
        <f t="shared" ref="H60:H122" si="15">SUM(E60+F60-G60)</f>
        <v>756904</v>
      </c>
    </row>
    <row r="61" spans="1:8" s="22" customFormat="1" ht="12" customHeight="1">
      <c r="A61" s="38"/>
      <c r="B61" s="46">
        <v>85508</v>
      </c>
      <c r="C61" s="82"/>
      <c r="D61" s="72" t="s">
        <v>101</v>
      </c>
      <c r="E61" s="44">
        <v>369339</v>
      </c>
      <c r="F61" s="45">
        <f>SUM(F62)</f>
        <v>0</v>
      </c>
      <c r="G61" s="45">
        <f>SUM(G62)</f>
        <v>6499.6</v>
      </c>
      <c r="H61" s="44">
        <f t="shared" si="15"/>
        <v>362839.4</v>
      </c>
    </row>
    <row r="62" spans="1:8" s="22" customFormat="1" ht="12" customHeight="1">
      <c r="A62" s="38"/>
      <c r="B62" s="38"/>
      <c r="C62" s="83"/>
      <c r="D62" s="626" t="s">
        <v>67</v>
      </c>
      <c r="E62" s="102">
        <v>227544</v>
      </c>
      <c r="F62" s="630">
        <f>SUM(F63)</f>
        <v>0</v>
      </c>
      <c r="G62" s="630">
        <f>SUM(G63)</f>
        <v>6499.6</v>
      </c>
      <c r="H62" s="102">
        <f t="shared" si="15"/>
        <v>221044.4</v>
      </c>
    </row>
    <row r="63" spans="1:8" s="22" customFormat="1" ht="24" customHeight="1">
      <c r="A63" s="38"/>
      <c r="B63" s="38"/>
      <c r="C63" s="48" t="s">
        <v>73</v>
      </c>
      <c r="D63" s="62" t="s">
        <v>74</v>
      </c>
      <c r="E63" s="55">
        <v>187059.6</v>
      </c>
      <c r="F63" s="55"/>
      <c r="G63" s="55">
        <v>6499.6</v>
      </c>
      <c r="H63" s="50">
        <f t="shared" si="15"/>
        <v>180560</v>
      </c>
    </row>
    <row r="64" spans="1:8" s="22" customFormat="1" ht="12" customHeight="1">
      <c r="A64" s="38"/>
      <c r="B64" s="42">
        <v>85510</v>
      </c>
      <c r="C64" s="32"/>
      <c r="D64" s="43" t="s">
        <v>102</v>
      </c>
      <c r="E64" s="45">
        <v>2378809.39</v>
      </c>
      <c r="F64" s="45">
        <f>SUM(F65,F67)</f>
        <v>16394</v>
      </c>
      <c r="G64" s="45">
        <f>SUM(G65,G67)</f>
        <v>175945.8</v>
      </c>
      <c r="H64" s="44">
        <f t="shared" si="15"/>
        <v>2219257.5900000003</v>
      </c>
    </row>
    <row r="65" spans="1:8" s="22" customFormat="1" ht="12" customHeight="1">
      <c r="A65" s="38"/>
      <c r="B65" s="42"/>
      <c r="C65" s="32"/>
      <c r="D65" s="626" t="s">
        <v>67</v>
      </c>
      <c r="E65" s="102">
        <v>2002067.83</v>
      </c>
      <c r="F65" s="630">
        <f>SUM(F66:F66)</f>
        <v>0</v>
      </c>
      <c r="G65" s="630">
        <f>SUM(G66:G66)</f>
        <v>175945.8</v>
      </c>
      <c r="H65" s="102">
        <f t="shared" si="15"/>
        <v>1826122.03</v>
      </c>
    </row>
    <row r="66" spans="1:8" s="22" customFormat="1" ht="24" customHeight="1">
      <c r="A66" s="38"/>
      <c r="B66" s="42"/>
      <c r="C66" s="48" t="s">
        <v>73</v>
      </c>
      <c r="D66" s="62" t="s">
        <v>74</v>
      </c>
      <c r="E66" s="51">
        <v>2002067.83</v>
      </c>
      <c r="F66" s="55"/>
      <c r="G66" s="55">
        <v>175945.8</v>
      </c>
      <c r="H66" s="50">
        <f t="shared" si="15"/>
        <v>1826122.03</v>
      </c>
    </row>
    <row r="67" spans="1:8" s="22" customFormat="1" ht="34.5" customHeight="1">
      <c r="A67" s="38"/>
      <c r="B67" s="42"/>
      <c r="C67" s="82"/>
      <c r="D67" s="632" t="s">
        <v>103</v>
      </c>
      <c r="E67" s="102">
        <v>120418</v>
      </c>
      <c r="F67" s="630">
        <f>SUM(F68:F68)</f>
        <v>16394</v>
      </c>
      <c r="G67" s="630">
        <f>SUM(G68:G68)</f>
        <v>0</v>
      </c>
      <c r="H67" s="102">
        <f t="shared" si="15"/>
        <v>136812</v>
      </c>
    </row>
    <row r="68" spans="1:8" s="22" customFormat="1" ht="34.5" customHeight="1">
      <c r="A68" s="38"/>
      <c r="B68" s="42"/>
      <c r="C68" s="48" t="s">
        <v>86</v>
      </c>
      <c r="D68" s="49" t="s">
        <v>87</v>
      </c>
      <c r="E68" s="51">
        <v>120418</v>
      </c>
      <c r="F68" s="55">
        <v>16394</v>
      </c>
      <c r="G68" s="55"/>
      <c r="H68" s="50">
        <f t="shared" si="15"/>
        <v>136812</v>
      </c>
    </row>
    <row r="69" spans="1:8" s="22" customFormat="1" ht="12" customHeight="1">
      <c r="A69" s="37"/>
      <c r="B69" s="42">
        <v>85595</v>
      </c>
      <c r="C69" s="32"/>
      <c r="D69" s="43" t="s">
        <v>66</v>
      </c>
      <c r="E69" s="44">
        <v>900157.77</v>
      </c>
      <c r="F69" s="45">
        <f t="shared" ref="F69:G69" si="16">SUM(F70)</f>
        <v>25835</v>
      </c>
      <c r="G69" s="45">
        <f t="shared" si="16"/>
        <v>0</v>
      </c>
      <c r="H69" s="44">
        <f t="shared" si="15"/>
        <v>925992.77</v>
      </c>
    </row>
    <row r="70" spans="1:8" s="22" customFormat="1" ht="12" customHeight="1">
      <c r="A70" s="37"/>
      <c r="B70" s="38"/>
      <c r="C70" s="82"/>
      <c r="D70" s="632" t="s">
        <v>104</v>
      </c>
      <c r="E70" s="102">
        <v>211948</v>
      </c>
      <c r="F70" s="630">
        <f>SUM(F71:F71)</f>
        <v>25835</v>
      </c>
      <c r="G70" s="630">
        <f>SUM(G71:G71)</f>
        <v>0</v>
      </c>
      <c r="H70" s="102">
        <f t="shared" si="15"/>
        <v>237783</v>
      </c>
    </row>
    <row r="71" spans="1:8" s="22" customFormat="1" ht="34.5" customHeight="1">
      <c r="A71" s="37"/>
      <c r="B71" s="38"/>
      <c r="C71" s="48" t="s">
        <v>86</v>
      </c>
      <c r="D71" s="49" t="s">
        <v>87</v>
      </c>
      <c r="E71" s="51">
        <v>211948</v>
      </c>
      <c r="F71" s="51">
        <v>25835</v>
      </c>
      <c r="G71" s="55"/>
      <c r="H71" s="51">
        <f t="shared" si="15"/>
        <v>237783</v>
      </c>
    </row>
    <row r="72" spans="1:8" s="22" customFormat="1" ht="18.75" customHeight="1" thickBot="1">
      <c r="A72" s="31"/>
      <c r="B72" s="31"/>
      <c r="C72" s="32"/>
      <c r="D72" s="35" t="s">
        <v>105</v>
      </c>
      <c r="E72" s="36">
        <v>55870485.590000004</v>
      </c>
      <c r="F72" s="41">
        <f>SUM(F73,F77,F87)</f>
        <v>2531773</v>
      </c>
      <c r="G72" s="41">
        <f>SUM(G73,G77,G87)</f>
        <v>17096</v>
      </c>
      <c r="H72" s="36">
        <f t="shared" si="15"/>
        <v>58385162.590000004</v>
      </c>
    </row>
    <row r="73" spans="1:8" s="22" customFormat="1" ht="18.75" customHeight="1" thickTop="1" thickBot="1">
      <c r="A73" s="37">
        <v>752</v>
      </c>
      <c r="B73" s="38"/>
      <c r="C73" s="39"/>
      <c r="D73" s="40" t="s">
        <v>65</v>
      </c>
      <c r="E73" s="41">
        <v>0</v>
      </c>
      <c r="F73" s="41">
        <f t="shared" ref="F73:G73" si="17">SUM(F74)</f>
        <v>959654</v>
      </c>
      <c r="G73" s="41">
        <f t="shared" si="17"/>
        <v>0</v>
      </c>
      <c r="H73" s="41">
        <f t="shared" si="15"/>
        <v>959654</v>
      </c>
    </row>
    <row r="74" spans="1:8" s="22" customFormat="1" ht="12" customHeight="1" thickTop="1">
      <c r="A74" s="37"/>
      <c r="B74" s="42">
        <v>75295</v>
      </c>
      <c r="C74" s="32"/>
      <c r="D74" s="43" t="s">
        <v>66</v>
      </c>
      <c r="E74" s="44">
        <v>0</v>
      </c>
      <c r="F74" s="45">
        <f>SUM(F75)</f>
        <v>959654</v>
      </c>
      <c r="G74" s="45">
        <f>SUM(G75)</f>
        <v>0</v>
      </c>
      <c r="H74" s="44">
        <f t="shared" si="15"/>
        <v>959654</v>
      </c>
    </row>
    <row r="75" spans="1:8" s="22" customFormat="1" ht="12" customHeight="1">
      <c r="A75" s="37"/>
      <c r="B75" s="65"/>
      <c r="C75" s="32"/>
      <c r="D75" s="631" t="s">
        <v>81</v>
      </c>
      <c r="E75" s="102">
        <v>0</v>
      </c>
      <c r="F75" s="630">
        <f>SUM(F76:F76)</f>
        <v>959654</v>
      </c>
      <c r="G75" s="630">
        <f>SUM(G76:G76)</f>
        <v>0</v>
      </c>
      <c r="H75" s="102">
        <f t="shared" si="15"/>
        <v>959654</v>
      </c>
    </row>
    <row r="76" spans="1:8" s="22" customFormat="1" ht="35.25" customHeight="1">
      <c r="A76" s="84"/>
      <c r="B76" s="75"/>
      <c r="C76" s="76" t="s">
        <v>106</v>
      </c>
      <c r="D76" s="85" t="s">
        <v>107</v>
      </c>
      <c r="E76" s="44">
        <v>0</v>
      </c>
      <c r="F76" s="44">
        <f>159654+800000</f>
        <v>959654</v>
      </c>
      <c r="G76" s="45"/>
      <c r="H76" s="44">
        <f t="shared" si="15"/>
        <v>959654</v>
      </c>
    </row>
    <row r="77" spans="1:8" s="22" customFormat="1" ht="12" customHeight="1" thickBot="1">
      <c r="A77" s="38">
        <v>852</v>
      </c>
      <c r="B77" s="38"/>
      <c r="C77" s="39"/>
      <c r="D77" s="40" t="s">
        <v>79</v>
      </c>
      <c r="E77" s="36">
        <v>6946545.5599999996</v>
      </c>
      <c r="F77" s="41">
        <f>SUM(F78,F81,F84)</f>
        <v>1555119</v>
      </c>
      <c r="G77" s="41">
        <f>SUM(G78,G81,G84)</f>
        <v>17096</v>
      </c>
      <c r="H77" s="41">
        <f>SUM(E77+F77-G77)</f>
        <v>8484568.5599999987</v>
      </c>
    </row>
    <row r="78" spans="1:8" s="22" customFormat="1" ht="12" customHeight="1" thickTop="1">
      <c r="A78" s="38"/>
      <c r="B78" s="65">
        <v>85203</v>
      </c>
      <c r="C78" s="32"/>
      <c r="D78" s="68" t="s">
        <v>82</v>
      </c>
      <c r="E78" s="44">
        <v>1879373</v>
      </c>
      <c r="F78" s="45">
        <f>SUM(F79)</f>
        <v>0</v>
      </c>
      <c r="G78" s="45">
        <f t="shared" ref="F78:G79" si="18">SUM(G79)</f>
        <v>17096</v>
      </c>
      <c r="H78" s="44">
        <f t="shared" ref="H78:H91" si="19">SUM(E78+F78-G78)</f>
        <v>1862277</v>
      </c>
    </row>
    <row r="79" spans="1:8" s="22" customFormat="1" ht="12" customHeight="1">
      <c r="A79" s="38"/>
      <c r="B79" s="65"/>
      <c r="C79" s="32"/>
      <c r="D79" s="631" t="s">
        <v>81</v>
      </c>
      <c r="E79" s="102">
        <v>1879373</v>
      </c>
      <c r="F79" s="630">
        <f t="shared" si="18"/>
        <v>0</v>
      </c>
      <c r="G79" s="630">
        <f t="shared" si="18"/>
        <v>17096</v>
      </c>
      <c r="H79" s="102">
        <f t="shared" si="19"/>
        <v>1862277</v>
      </c>
    </row>
    <row r="80" spans="1:8" s="22" customFormat="1" ht="45.75" customHeight="1">
      <c r="A80" s="38"/>
      <c r="B80" s="38"/>
      <c r="C80" s="48" t="s">
        <v>108</v>
      </c>
      <c r="D80" s="73" t="s">
        <v>109</v>
      </c>
      <c r="E80" s="50">
        <v>1879373</v>
      </c>
      <c r="F80" s="51"/>
      <c r="G80" s="51">
        <v>17096</v>
      </c>
      <c r="H80" s="50">
        <f t="shared" si="19"/>
        <v>1862277</v>
      </c>
    </row>
    <row r="81" spans="1:8" s="22" customFormat="1" ht="12" customHeight="1">
      <c r="A81" s="38"/>
      <c r="B81" s="65">
        <v>85219</v>
      </c>
      <c r="C81" s="32"/>
      <c r="D81" s="43" t="s">
        <v>89</v>
      </c>
      <c r="E81" s="44">
        <v>184964</v>
      </c>
      <c r="F81" s="45">
        <f t="shared" ref="F81:G82" si="20">SUM(F82)</f>
        <v>788</v>
      </c>
      <c r="G81" s="45">
        <f t="shared" si="20"/>
        <v>0</v>
      </c>
      <c r="H81" s="44">
        <f t="shared" si="19"/>
        <v>185752</v>
      </c>
    </row>
    <row r="82" spans="1:8" s="22" customFormat="1" ht="12" customHeight="1">
      <c r="A82" s="38"/>
      <c r="B82" s="65"/>
      <c r="C82" s="32"/>
      <c r="D82" s="631" t="s">
        <v>81</v>
      </c>
      <c r="E82" s="102">
        <v>184964</v>
      </c>
      <c r="F82" s="630">
        <f t="shared" si="20"/>
        <v>788</v>
      </c>
      <c r="G82" s="630">
        <f t="shared" si="20"/>
        <v>0</v>
      </c>
      <c r="H82" s="102">
        <f t="shared" si="19"/>
        <v>185752</v>
      </c>
    </row>
    <row r="83" spans="1:8" s="22" customFormat="1" ht="45.75" customHeight="1">
      <c r="A83" s="38"/>
      <c r="B83" s="38"/>
      <c r="C83" s="48" t="s">
        <v>108</v>
      </c>
      <c r="D83" s="73" t="s">
        <v>109</v>
      </c>
      <c r="E83" s="50">
        <v>184964</v>
      </c>
      <c r="F83" s="51">
        <v>788</v>
      </c>
      <c r="G83" s="51"/>
      <c r="H83" s="50">
        <f t="shared" si="19"/>
        <v>185752</v>
      </c>
    </row>
    <row r="84" spans="1:8" s="22" customFormat="1" ht="12" customHeight="1">
      <c r="A84" s="38"/>
      <c r="B84" s="65">
        <v>85228</v>
      </c>
      <c r="C84" s="32"/>
      <c r="D84" s="68" t="s">
        <v>110</v>
      </c>
      <c r="E84" s="44">
        <v>4809760</v>
      </c>
      <c r="F84" s="45">
        <f t="shared" ref="F84:G85" si="21">SUM(F85)</f>
        <v>1554331</v>
      </c>
      <c r="G84" s="45">
        <f t="shared" si="21"/>
        <v>0</v>
      </c>
      <c r="H84" s="44">
        <f t="shared" si="19"/>
        <v>6364091</v>
      </c>
    </row>
    <row r="85" spans="1:8" s="22" customFormat="1" ht="12" customHeight="1">
      <c r="A85" s="38"/>
      <c r="B85" s="65"/>
      <c r="C85" s="32"/>
      <c r="D85" s="631" t="s">
        <v>81</v>
      </c>
      <c r="E85" s="102">
        <v>4809760</v>
      </c>
      <c r="F85" s="630">
        <f t="shared" si="21"/>
        <v>1554331</v>
      </c>
      <c r="G85" s="630">
        <f t="shared" si="21"/>
        <v>0</v>
      </c>
      <c r="H85" s="102">
        <f t="shared" si="19"/>
        <v>6364091</v>
      </c>
    </row>
    <row r="86" spans="1:8" s="22" customFormat="1" ht="45.75" customHeight="1">
      <c r="A86" s="38"/>
      <c r="B86" s="38"/>
      <c r="C86" s="48" t="s">
        <v>108</v>
      </c>
      <c r="D86" s="73" t="s">
        <v>111</v>
      </c>
      <c r="E86" s="50">
        <v>4809760</v>
      </c>
      <c r="F86" s="51">
        <v>1554331</v>
      </c>
      <c r="G86" s="51"/>
      <c r="H86" s="50">
        <f t="shared" si="19"/>
        <v>6364091</v>
      </c>
    </row>
    <row r="87" spans="1:8" s="22" customFormat="1" ht="12" customHeight="1" thickBot="1">
      <c r="A87" s="38">
        <v>855</v>
      </c>
      <c r="B87" s="38"/>
      <c r="C87" s="39"/>
      <c r="D87" s="40" t="s">
        <v>99</v>
      </c>
      <c r="E87" s="41">
        <v>44896140</v>
      </c>
      <c r="F87" s="41">
        <f>SUM(F88,)</f>
        <v>17000</v>
      </c>
      <c r="G87" s="41">
        <f>SUM(G88,)</f>
        <v>0</v>
      </c>
      <c r="H87" s="41">
        <f>SUM(E87+F87-G87)</f>
        <v>44913140</v>
      </c>
    </row>
    <row r="88" spans="1:8" s="22" customFormat="1" ht="33.75" customHeight="1" thickTop="1">
      <c r="A88" s="38"/>
      <c r="B88" s="42">
        <v>85502</v>
      </c>
      <c r="C88" s="32"/>
      <c r="D88" s="86" t="s">
        <v>112</v>
      </c>
      <c r="E88" s="44">
        <v>44195353</v>
      </c>
      <c r="F88" s="45">
        <f t="shared" ref="F88:G88" si="22">SUM(F89)</f>
        <v>17000</v>
      </c>
      <c r="G88" s="45">
        <f t="shared" si="22"/>
        <v>0</v>
      </c>
      <c r="H88" s="44">
        <f>SUM(E88+F88-G88)</f>
        <v>44212353</v>
      </c>
    </row>
    <row r="89" spans="1:8" s="22" customFormat="1" ht="12" customHeight="1">
      <c r="A89" s="38"/>
      <c r="B89" s="65"/>
      <c r="C89" s="32"/>
      <c r="D89" s="631" t="s">
        <v>81</v>
      </c>
      <c r="E89" s="102">
        <v>44195353</v>
      </c>
      <c r="F89" s="630">
        <f>SUM(F90:F90)</f>
        <v>17000</v>
      </c>
      <c r="G89" s="630">
        <f>SUM(G90:G90)</f>
        <v>0</v>
      </c>
      <c r="H89" s="102">
        <f>SUM(E89+F89-G89)</f>
        <v>44212353</v>
      </c>
    </row>
    <row r="90" spans="1:8" s="22" customFormat="1" ht="58.5" customHeight="1">
      <c r="A90" s="38"/>
      <c r="B90" s="38"/>
      <c r="C90" s="48" t="s">
        <v>113</v>
      </c>
      <c r="D90" s="49" t="s">
        <v>114</v>
      </c>
      <c r="E90" s="50">
        <v>27520</v>
      </c>
      <c r="F90" s="55">
        <v>17000</v>
      </c>
      <c r="G90" s="55"/>
      <c r="H90" s="50">
        <f>SUM(E90+F90-G90)</f>
        <v>44520</v>
      </c>
    </row>
    <row r="91" spans="1:8" s="22" customFormat="1" ht="18" customHeight="1" thickBot="1">
      <c r="A91" s="31"/>
      <c r="B91" s="31"/>
      <c r="C91" s="32"/>
      <c r="D91" s="35" t="s">
        <v>115</v>
      </c>
      <c r="E91" s="36">
        <v>30390455.240000002</v>
      </c>
      <c r="F91" s="36">
        <f>SUM(F92,F97)</f>
        <v>924158</v>
      </c>
      <c r="G91" s="36">
        <f>SUM(G92,G97)</f>
        <v>0</v>
      </c>
      <c r="H91" s="36">
        <f t="shared" si="19"/>
        <v>31314613.240000002</v>
      </c>
    </row>
    <row r="92" spans="1:8" s="22" customFormat="1" ht="18" customHeight="1" thickTop="1" thickBot="1">
      <c r="A92" s="38">
        <v>700</v>
      </c>
      <c r="B92" s="38"/>
      <c r="C92" s="39"/>
      <c r="D92" s="40" t="s">
        <v>116</v>
      </c>
      <c r="E92" s="36">
        <v>586475</v>
      </c>
      <c r="F92" s="36">
        <f>SUM(F93)</f>
        <v>100000</v>
      </c>
      <c r="G92" s="36">
        <f t="shared" ref="F92:G94" si="23">SUM(G93)</f>
        <v>0</v>
      </c>
      <c r="H92" s="36">
        <f>SUM(E92+F92-G92)</f>
        <v>686475</v>
      </c>
    </row>
    <row r="93" spans="1:8" s="22" customFormat="1" ht="12" customHeight="1" thickTop="1">
      <c r="A93" s="38"/>
      <c r="B93" s="65">
        <v>70005</v>
      </c>
      <c r="C93" s="32"/>
      <c r="D93" s="72" t="s">
        <v>117</v>
      </c>
      <c r="E93" s="44">
        <v>586475</v>
      </c>
      <c r="F93" s="44">
        <f t="shared" si="23"/>
        <v>100000</v>
      </c>
      <c r="G93" s="44">
        <f t="shared" si="23"/>
        <v>0</v>
      </c>
      <c r="H93" s="44">
        <f>SUM(E93+F93-G93)</f>
        <v>686475</v>
      </c>
    </row>
    <row r="94" spans="1:8" s="22" customFormat="1" ht="12" customHeight="1">
      <c r="A94" s="31"/>
      <c r="B94" s="65"/>
      <c r="C94" s="32"/>
      <c r="D94" s="631" t="s">
        <v>81</v>
      </c>
      <c r="E94" s="102">
        <v>586475</v>
      </c>
      <c r="F94" s="630">
        <f t="shared" si="23"/>
        <v>100000</v>
      </c>
      <c r="G94" s="630">
        <f t="shared" si="23"/>
        <v>0</v>
      </c>
      <c r="H94" s="102">
        <f>SUM(E94+F94-G94)</f>
        <v>686475</v>
      </c>
    </row>
    <row r="95" spans="1:8" s="22" customFormat="1" ht="34.5" customHeight="1">
      <c r="A95" s="38"/>
      <c r="B95" s="31"/>
      <c r="C95" s="42">
        <v>2110</v>
      </c>
      <c r="D95" s="87" t="s">
        <v>118</v>
      </c>
      <c r="E95" s="88">
        <v>586475</v>
      </c>
      <c r="F95" s="89">
        <v>100000</v>
      </c>
      <c r="G95" s="89"/>
      <c r="H95" s="88">
        <f t="shared" ref="H95" si="24">SUM(E95+F95-G95)</f>
        <v>686475</v>
      </c>
    </row>
    <row r="96" spans="1:8" s="22" customFormat="1" ht="12" customHeight="1">
      <c r="A96" s="37">
        <v>754</v>
      </c>
      <c r="B96" s="38"/>
      <c r="C96" s="39"/>
      <c r="D96" s="40" t="s">
        <v>119</v>
      </c>
      <c r="E96" s="64"/>
      <c r="F96" s="64"/>
      <c r="G96" s="64"/>
      <c r="H96" s="64"/>
    </row>
    <row r="97" spans="1:8" s="22" customFormat="1" ht="12" customHeight="1" thickBot="1">
      <c r="A97" s="37"/>
      <c r="B97" s="38"/>
      <c r="C97" s="39"/>
      <c r="D97" s="90" t="s">
        <v>120</v>
      </c>
      <c r="E97" s="36">
        <v>21993829</v>
      </c>
      <c r="F97" s="36">
        <f>SUM(F98)</f>
        <v>824158</v>
      </c>
      <c r="G97" s="36">
        <f>SUM(G98)</f>
        <v>0</v>
      </c>
      <c r="H97" s="36">
        <f>SUM(E97+F97-G97)</f>
        <v>22817987</v>
      </c>
    </row>
    <row r="98" spans="1:8" s="22" customFormat="1" ht="12" customHeight="1" thickTop="1">
      <c r="A98" s="38"/>
      <c r="B98" s="65">
        <v>75411</v>
      </c>
      <c r="C98" s="32"/>
      <c r="D98" s="68" t="s">
        <v>121</v>
      </c>
      <c r="E98" s="44">
        <v>21993829</v>
      </c>
      <c r="F98" s="44">
        <f t="shared" ref="F98:G99" si="25">SUM(F99)</f>
        <v>824158</v>
      </c>
      <c r="G98" s="44">
        <f t="shared" si="25"/>
        <v>0</v>
      </c>
      <c r="H98" s="44">
        <f>SUM(E98+F98-G98)</f>
        <v>22817987</v>
      </c>
    </row>
    <row r="99" spans="1:8" s="22" customFormat="1" ht="12" customHeight="1">
      <c r="A99" s="31"/>
      <c r="B99" s="65"/>
      <c r="C99" s="32"/>
      <c r="D99" s="631" t="s">
        <v>81</v>
      </c>
      <c r="E99" s="102">
        <v>21993829</v>
      </c>
      <c r="F99" s="630">
        <f t="shared" si="25"/>
        <v>824158</v>
      </c>
      <c r="G99" s="630">
        <f t="shared" si="25"/>
        <v>0</v>
      </c>
      <c r="H99" s="102">
        <f>SUM(E99+F99-G99)</f>
        <v>22817987</v>
      </c>
    </row>
    <row r="100" spans="1:8" s="22" customFormat="1" ht="33.75" customHeight="1">
      <c r="A100" s="38"/>
      <c r="B100" s="31"/>
      <c r="C100" s="42">
        <v>2110</v>
      </c>
      <c r="D100" s="87" t="s">
        <v>122</v>
      </c>
      <c r="E100" s="88">
        <v>21993829</v>
      </c>
      <c r="F100" s="89">
        <v>824158</v>
      </c>
      <c r="G100" s="89"/>
      <c r="H100" s="88">
        <f t="shared" ref="H100" si="26">SUM(E100+F100-G100)</f>
        <v>22817987</v>
      </c>
    </row>
    <row r="101" spans="1:8" s="22" customFormat="1" ht="19.5" customHeight="1" thickBot="1">
      <c r="A101" s="65"/>
      <c r="B101" s="65"/>
      <c r="C101" s="32"/>
      <c r="D101" s="33" t="s">
        <v>13</v>
      </c>
      <c r="E101" s="34">
        <v>1353348004.3699996</v>
      </c>
      <c r="F101" s="34">
        <f>SUM(F102,F568,F597)</f>
        <v>20535864.229999997</v>
      </c>
      <c r="G101" s="34">
        <f>SUM(G102,G568,G597)</f>
        <v>13897852.579999998</v>
      </c>
      <c r="H101" s="34">
        <f t="shared" si="15"/>
        <v>1359986016.0199997</v>
      </c>
    </row>
    <row r="102" spans="1:8" s="22" customFormat="1" ht="17.25" customHeight="1" thickBot="1">
      <c r="A102" s="65"/>
      <c r="B102" s="65"/>
      <c r="C102" s="32"/>
      <c r="D102" s="35" t="s">
        <v>14</v>
      </c>
      <c r="E102" s="36">
        <v>1267087206.48</v>
      </c>
      <c r="F102" s="36">
        <f>SUM(F103,F117,F121,F125,F141,F158,F175,F180,F360,F368,F434,F446,F466,F540,F548,F555)</f>
        <v>16302963.049999999</v>
      </c>
      <c r="G102" s="36">
        <f>SUM(G103,G117,G121,G125,G141,G158,G175,G180,G360,G368,G434,G446,G466,G540,G548,G555)</f>
        <v>13103786.399999999</v>
      </c>
      <c r="H102" s="36">
        <f t="shared" si="15"/>
        <v>1270286383.1299999</v>
      </c>
    </row>
    <row r="103" spans="1:8" s="22" customFormat="1" ht="17.25" customHeight="1" thickTop="1" thickBot="1">
      <c r="A103" s="37">
        <v>600</v>
      </c>
      <c r="B103" s="38"/>
      <c r="C103" s="39"/>
      <c r="D103" s="40" t="s">
        <v>123</v>
      </c>
      <c r="E103" s="36">
        <v>185125121.63999999</v>
      </c>
      <c r="F103" s="36">
        <f>SUM(F104,F108,F112)</f>
        <v>562127</v>
      </c>
      <c r="G103" s="36">
        <f>SUM(G104,G108,G112)</f>
        <v>185665</v>
      </c>
      <c r="H103" s="36">
        <f>SUM(E103+F103-G103)</f>
        <v>185501583.63999999</v>
      </c>
    </row>
    <row r="104" spans="1:8" s="22" customFormat="1" ht="12" customHeight="1" thickTop="1">
      <c r="A104" s="37"/>
      <c r="B104" s="65">
        <v>60015</v>
      </c>
      <c r="C104" s="39"/>
      <c r="D104" s="72" t="s">
        <v>124</v>
      </c>
      <c r="E104" s="59">
        <v>63309496.780000001</v>
      </c>
      <c r="F104" s="59">
        <f>SUM(F105)</f>
        <v>85665</v>
      </c>
      <c r="G104" s="59">
        <f>SUM(G105)</f>
        <v>85665</v>
      </c>
      <c r="H104" s="44">
        <f t="shared" ref="H104" si="27">SUM(E104+F104-G104)</f>
        <v>63309496.780000001</v>
      </c>
    </row>
    <row r="105" spans="1:8" s="22" customFormat="1" ht="12" customHeight="1">
      <c r="A105" s="37"/>
      <c r="B105" s="65"/>
      <c r="C105" s="32"/>
      <c r="D105" s="633" t="s">
        <v>125</v>
      </c>
      <c r="E105" s="102">
        <v>39340706</v>
      </c>
      <c r="F105" s="634">
        <f>SUM(F106:F107)</f>
        <v>85665</v>
      </c>
      <c r="G105" s="634">
        <f>SUM(G106:G107)</f>
        <v>85665</v>
      </c>
      <c r="H105" s="627">
        <f>SUM(E105+F105-G105)</f>
        <v>39340706</v>
      </c>
    </row>
    <row r="106" spans="1:8" s="22" customFormat="1" ht="12" customHeight="1">
      <c r="A106" s="37"/>
      <c r="B106" s="65"/>
      <c r="C106" s="91">
        <v>4270</v>
      </c>
      <c r="D106" s="92" t="s">
        <v>126</v>
      </c>
      <c r="E106" s="93">
        <v>1862324</v>
      </c>
      <c r="F106" s="94"/>
      <c r="G106" s="94">
        <v>85665</v>
      </c>
      <c r="H106" s="94">
        <f t="shared" ref="H106:H112" si="28">SUM(E106+F106-G106)</f>
        <v>1776659</v>
      </c>
    </row>
    <row r="107" spans="1:8" s="22" customFormat="1" ht="12" customHeight="1">
      <c r="A107" s="37"/>
      <c r="B107" s="65"/>
      <c r="C107" s="91">
        <v>4300</v>
      </c>
      <c r="D107" s="92" t="s">
        <v>18</v>
      </c>
      <c r="E107" s="94">
        <v>8777432</v>
      </c>
      <c r="F107" s="94">
        <v>85665</v>
      </c>
      <c r="G107" s="94"/>
      <c r="H107" s="94">
        <f t="shared" si="28"/>
        <v>8863097</v>
      </c>
    </row>
    <row r="108" spans="1:8" s="22" customFormat="1" ht="12" customHeight="1">
      <c r="A108" s="37"/>
      <c r="B108" s="65">
        <v>60016</v>
      </c>
      <c r="C108" s="32"/>
      <c r="D108" s="43" t="s">
        <v>127</v>
      </c>
      <c r="E108" s="59">
        <v>38129492.840000004</v>
      </c>
      <c r="F108" s="59">
        <f>SUM(F109)</f>
        <v>100000</v>
      </c>
      <c r="G108" s="59">
        <f>SUM(G109)</f>
        <v>40000</v>
      </c>
      <c r="H108" s="44">
        <f t="shared" si="28"/>
        <v>38189492.840000004</v>
      </c>
    </row>
    <row r="109" spans="1:8" s="22" customFormat="1" ht="12" customHeight="1">
      <c r="A109" s="37"/>
      <c r="B109" s="65"/>
      <c r="C109" s="32"/>
      <c r="D109" s="633" t="s">
        <v>125</v>
      </c>
      <c r="E109" s="102">
        <v>37540492.840000004</v>
      </c>
      <c r="F109" s="634">
        <f>SUM(F110:F111)</f>
        <v>100000</v>
      </c>
      <c r="G109" s="634">
        <f>SUM(G110:G111)</f>
        <v>40000</v>
      </c>
      <c r="H109" s="627">
        <f>SUM(E109+F109-G109)</f>
        <v>37600492.840000004</v>
      </c>
    </row>
    <row r="110" spans="1:8" s="22" customFormat="1" ht="12" customHeight="1">
      <c r="A110" s="37"/>
      <c r="B110" s="65"/>
      <c r="C110" s="91">
        <v>4270</v>
      </c>
      <c r="D110" s="92" t="s">
        <v>126</v>
      </c>
      <c r="E110" s="93">
        <v>1180310</v>
      </c>
      <c r="F110" s="94"/>
      <c r="G110" s="94">
        <v>40000</v>
      </c>
      <c r="H110" s="94">
        <f t="shared" ref="H110:H111" si="29">SUM(E110+F110-G110)</f>
        <v>1140310</v>
      </c>
    </row>
    <row r="111" spans="1:8" s="22" customFormat="1" ht="12" customHeight="1">
      <c r="A111" s="37"/>
      <c r="B111" s="65"/>
      <c r="C111" s="91">
        <v>4300</v>
      </c>
      <c r="D111" s="92" t="s">
        <v>18</v>
      </c>
      <c r="E111" s="94">
        <v>3831600</v>
      </c>
      <c r="F111" s="94">
        <f>40000+60000</f>
        <v>100000</v>
      </c>
      <c r="G111" s="94"/>
      <c r="H111" s="94">
        <f t="shared" si="29"/>
        <v>3931600</v>
      </c>
    </row>
    <row r="112" spans="1:8" s="22" customFormat="1" ht="12" customHeight="1">
      <c r="A112" s="37"/>
      <c r="B112" s="91">
        <v>60095</v>
      </c>
      <c r="C112" s="91"/>
      <c r="D112" s="43" t="s">
        <v>66</v>
      </c>
      <c r="E112" s="59">
        <v>16815812.5</v>
      </c>
      <c r="F112" s="59">
        <f>SUM(F113,F115)</f>
        <v>376462</v>
      </c>
      <c r="G112" s="59">
        <f>SUM(G113,G115)</f>
        <v>60000</v>
      </c>
      <c r="H112" s="44">
        <f t="shared" si="28"/>
        <v>17132274.5</v>
      </c>
    </row>
    <row r="113" spans="1:8" s="22" customFormat="1" ht="12" customHeight="1">
      <c r="A113" s="37"/>
      <c r="B113" s="91"/>
      <c r="C113" s="32"/>
      <c r="D113" s="633" t="s">
        <v>125</v>
      </c>
      <c r="E113" s="627">
        <v>16407512.499999998</v>
      </c>
      <c r="F113" s="630">
        <f>SUM(F114)</f>
        <v>376462</v>
      </c>
      <c r="G113" s="630">
        <f>SUM(G114)</f>
        <v>0</v>
      </c>
      <c r="H113" s="102">
        <f>SUM(E113+F113-G113)</f>
        <v>16783974.5</v>
      </c>
    </row>
    <row r="114" spans="1:8" s="22" customFormat="1" ht="12" customHeight="1">
      <c r="A114" s="37"/>
      <c r="B114" s="91"/>
      <c r="C114" s="56">
        <v>4010</v>
      </c>
      <c r="D114" s="46" t="s">
        <v>128</v>
      </c>
      <c r="E114" s="63">
        <v>10483817.499999998</v>
      </c>
      <c r="F114" s="50">
        <v>376462</v>
      </c>
      <c r="G114" s="50"/>
      <c r="H114" s="51">
        <f t="shared" ref="H114" si="30">SUM(E114+F114-G114)</f>
        <v>10860279.499999998</v>
      </c>
    </row>
    <row r="115" spans="1:8" s="22" customFormat="1" ht="12" customHeight="1">
      <c r="A115" s="37"/>
      <c r="B115" s="65"/>
      <c r="C115" s="32"/>
      <c r="D115" s="635" t="s">
        <v>129</v>
      </c>
      <c r="E115" s="627">
        <v>407000</v>
      </c>
      <c r="F115" s="630">
        <f>SUM(F116:F116)</f>
        <v>0</v>
      </c>
      <c r="G115" s="630">
        <f>SUM(G116:G116)</f>
        <v>60000</v>
      </c>
      <c r="H115" s="102">
        <f>SUM(E115+F115-G115)</f>
        <v>347000</v>
      </c>
    </row>
    <row r="116" spans="1:8" s="22" customFormat="1" ht="12" customHeight="1">
      <c r="A116" s="84"/>
      <c r="B116" s="95"/>
      <c r="C116" s="96">
        <v>4300</v>
      </c>
      <c r="D116" s="97" t="s">
        <v>18</v>
      </c>
      <c r="E116" s="59">
        <v>150000</v>
      </c>
      <c r="F116" s="78"/>
      <c r="G116" s="78">
        <v>60000</v>
      </c>
      <c r="H116" s="44">
        <f t="shared" ref="H116" si="31">SUM(E116+F116-G116)</f>
        <v>90000</v>
      </c>
    </row>
    <row r="117" spans="1:8" s="22" customFormat="1" ht="12" customHeight="1" thickBot="1">
      <c r="A117" s="98">
        <v>630</v>
      </c>
      <c r="B117" s="99"/>
      <c r="C117" s="98"/>
      <c r="D117" s="100" t="s">
        <v>130</v>
      </c>
      <c r="E117" s="36">
        <v>2520467.1399999997</v>
      </c>
      <c r="F117" s="36">
        <f>SUM(F118)</f>
        <v>667720</v>
      </c>
      <c r="G117" s="36">
        <f t="shared" ref="G117" si="32">SUM(G118)</f>
        <v>0</v>
      </c>
      <c r="H117" s="36">
        <f>SUM(E117+F117-G117)</f>
        <v>3188187.1399999997</v>
      </c>
    </row>
    <row r="118" spans="1:8" s="22" customFormat="1" ht="12" customHeight="1" thickTop="1">
      <c r="A118" s="60"/>
      <c r="B118" s="56">
        <v>63003</v>
      </c>
      <c r="C118" s="57"/>
      <c r="D118" s="58" t="s">
        <v>131</v>
      </c>
      <c r="E118" s="59">
        <v>2440467.1399999997</v>
      </c>
      <c r="F118" s="59">
        <f>SUM(F119)</f>
        <v>667720</v>
      </c>
      <c r="G118" s="59">
        <f>SUM(G119)</f>
        <v>0</v>
      </c>
      <c r="H118" s="44">
        <f>SUM(E118+F118-G118)</f>
        <v>3108187.1399999997</v>
      </c>
    </row>
    <row r="119" spans="1:8" s="22" customFormat="1" ht="12" customHeight="1">
      <c r="A119" s="37"/>
      <c r="B119" s="67"/>
      <c r="C119" s="101"/>
      <c r="D119" s="636" t="s">
        <v>132</v>
      </c>
      <c r="E119" s="102">
        <v>2425467.1399999997</v>
      </c>
      <c r="F119" s="102">
        <f>SUM(F120:F120)</f>
        <v>667720</v>
      </c>
      <c r="G119" s="102">
        <f>SUM(G120:G120)</f>
        <v>0</v>
      </c>
      <c r="H119" s="102">
        <f>SUM(E119+F119-G119)</f>
        <v>3093187.1399999997</v>
      </c>
    </row>
    <row r="120" spans="1:8" s="22" customFormat="1" ht="12" customHeight="1">
      <c r="A120" s="37"/>
      <c r="B120" s="67"/>
      <c r="C120" s="56">
        <v>4010</v>
      </c>
      <c r="D120" s="46" t="s">
        <v>128</v>
      </c>
      <c r="E120" s="63">
        <v>1141702.1399999999</v>
      </c>
      <c r="F120" s="63">
        <v>667720</v>
      </c>
      <c r="G120" s="63"/>
      <c r="H120" s="51">
        <f t="shared" ref="H120" si="33">SUM(E120+F120-G120)</f>
        <v>1809422.14</v>
      </c>
    </row>
    <row r="121" spans="1:8" s="22" customFormat="1" ht="12" customHeight="1" thickBot="1">
      <c r="A121" s="37">
        <v>700</v>
      </c>
      <c r="B121" s="37"/>
      <c r="C121" s="39"/>
      <c r="D121" s="40" t="s">
        <v>116</v>
      </c>
      <c r="E121" s="36">
        <v>101005486.72</v>
      </c>
      <c r="F121" s="41">
        <f>SUM(F122,)</f>
        <v>470068</v>
      </c>
      <c r="G121" s="41">
        <f>SUM(G122,)</f>
        <v>0</v>
      </c>
      <c r="H121" s="36">
        <f t="shared" si="15"/>
        <v>101475554.72</v>
      </c>
    </row>
    <row r="122" spans="1:8" s="22" customFormat="1" ht="12" customHeight="1" thickTop="1">
      <c r="A122" s="37"/>
      <c r="B122" s="56">
        <v>70007</v>
      </c>
      <c r="C122" s="60"/>
      <c r="D122" s="58" t="s">
        <v>133</v>
      </c>
      <c r="E122" s="44">
        <v>49014888.719999999</v>
      </c>
      <c r="F122" s="45">
        <f>SUM(F123,)</f>
        <v>470068</v>
      </c>
      <c r="G122" s="45">
        <f>SUM(G123,)</f>
        <v>0</v>
      </c>
      <c r="H122" s="44">
        <f t="shared" si="15"/>
        <v>49484956.719999999</v>
      </c>
    </row>
    <row r="123" spans="1:8" s="22" customFormat="1" ht="12" customHeight="1">
      <c r="A123" s="37"/>
      <c r="B123" s="2"/>
      <c r="C123" s="2"/>
      <c r="D123" s="636" t="s">
        <v>134</v>
      </c>
      <c r="E123" s="627">
        <v>48825331.219999999</v>
      </c>
      <c r="F123" s="630">
        <f>SUM(F124:F124)</f>
        <v>470068</v>
      </c>
      <c r="G123" s="630">
        <f>SUM(G124:G124)</f>
        <v>0</v>
      </c>
      <c r="H123" s="102">
        <f>SUM(E123+F123-G123)</f>
        <v>49295399.219999999</v>
      </c>
    </row>
    <row r="124" spans="1:8" s="22" customFormat="1" ht="12" customHeight="1">
      <c r="A124" s="37"/>
      <c r="B124" s="4"/>
      <c r="C124" s="56">
        <v>4010</v>
      </c>
      <c r="D124" s="46" t="s">
        <v>128</v>
      </c>
      <c r="E124" s="63">
        <v>2821396.6599999997</v>
      </c>
      <c r="F124" s="50">
        <v>470068</v>
      </c>
      <c r="G124" s="50"/>
      <c r="H124" s="51">
        <f t="shared" ref="H124" si="34">SUM(E124+F124-G124)</f>
        <v>3291464.6599999997</v>
      </c>
    </row>
    <row r="125" spans="1:8" s="22" customFormat="1" ht="12" customHeight="1" thickBot="1">
      <c r="A125" s="37">
        <v>750</v>
      </c>
      <c r="B125" s="38"/>
      <c r="C125" s="39"/>
      <c r="D125" s="40" t="s">
        <v>41</v>
      </c>
      <c r="E125" s="36">
        <v>99572195.279999986</v>
      </c>
      <c r="F125" s="41">
        <f>SUM(F126,F137)</f>
        <v>844515.13</v>
      </c>
      <c r="G125" s="41">
        <f>SUM(G126,G137)</f>
        <v>43613.87</v>
      </c>
      <c r="H125" s="36">
        <f>SUM(E125+F125-G125)</f>
        <v>100373096.53999998</v>
      </c>
    </row>
    <row r="126" spans="1:8" s="22" customFormat="1" ht="12" customHeight="1" thickTop="1">
      <c r="A126" s="37"/>
      <c r="B126" s="32" t="s">
        <v>135</v>
      </c>
      <c r="C126" s="67"/>
      <c r="D126" s="43" t="s">
        <v>136</v>
      </c>
      <c r="E126" s="44">
        <v>43174381.919999994</v>
      </c>
      <c r="F126" s="45">
        <f>SUM(F127,F129,F132)</f>
        <v>835515.13</v>
      </c>
      <c r="G126" s="45">
        <f>SUM(G127,G129,G132)</f>
        <v>34613.870000000003</v>
      </c>
      <c r="H126" s="44">
        <f>SUM(E126+F126-G126)</f>
        <v>43975283.18</v>
      </c>
    </row>
    <row r="127" spans="1:8" s="22" customFormat="1" ht="12" customHeight="1">
      <c r="A127" s="37"/>
      <c r="B127" s="32"/>
      <c r="C127" s="67"/>
      <c r="D127" s="637" t="s">
        <v>137</v>
      </c>
      <c r="E127" s="102">
        <v>38356566.049999997</v>
      </c>
      <c r="F127" s="627">
        <f>SUM(F128:F128)</f>
        <v>800901.26</v>
      </c>
      <c r="G127" s="627">
        <f>SUM(G128:G128)</f>
        <v>0</v>
      </c>
      <c r="H127" s="627">
        <f t="shared" ref="H127:H128" si="35">SUM(E127+F127-G127)</f>
        <v>39157467.309999995</v>
      </c>
    </row>
    <row r="128" spans="1:8" s="22" customFormat="1" ht="12" customHeight="1">
      <c r="A128" s="37"/>
      <c r="B128" s="32"/>
      <c r="C128" s="56">
        <v>4010</v>
      </c>
      <c r="D128" s="46" t="s">
        <v>128</v>
      </c>
      <c r="E128" s="55">
        <v>24875004.5</v>
      </c>
      <c r="F128" s="103">
        <v>800901.26</v>
      </c>
      <c r="G128" s="103"/>
      <c r="H128" s="55">
        <f t="shared" si="35"/>
        <v>25675905.760000002</v>
      </c>
    </row>
    <row r="129" spans="1:8" s="22" customFormat="1" ht="12" customHeight="1">
      <c r="A129" s="37"/>
      <c r="B129" s="32"/>
      <c r="C129" s="32"/>
      <c r="D129" s="638" t="s">
        <v>138</v>
      </c>
      <c r="E129" s="627">
        <v>4044551.4699999997</v>
      </c>
      <c r="F129" s="630">
        <f>SUM(F130:F131)</f>
        <v>173.87</v>
      </c>
      <c r="G129" s="630">
        <f>SUM(G130:G131)</f>
        <v>173.87</v>
      </c>
      <c r="H129" s="102">
        <f>SUM(E129+F129-G129)</f>
        <v>4044551.4699999997</v>
      </c>
    </row>
    <row r="130" spans="1:8" s="22" customFormat="1" ht="12" customHeight="1">
      <c r="A130" s="37"/>
      <c r="B130" s="32"/>
      <c r="C130" s="67">
        <v>4360</v>
      </c>
      <c r="D130" s="104" t="s">
        <v>139</v>
      </c>
      <c r="E130" s="63">
        <v>52940</v>
      </c>
      <c r="F130" s="50"/>
      <c r="G130" s="50">
        <v>173.87</v>
      </c>
      <c r="H130" s="63">
        <f t="shared" ref="H130:H131" si="36">SUM(E130+F130-G130)</f>
        <v>52766.13</v>
      </c>
    </row>
    <row r="131" spans="1:8" s="22" customFormat="1" ht="12" customHeight="1">
      <c r="A131" s="37"/>
      <c r="B131" s="32"/>
      <c r="C131" s="67">
        <v>4430</v>
      </c>
      <c r="D131" s="104" t="s">
        <v>140</v>
      </c>
      <c r="E131" s="63">
        <v>0</v>
      </c>
      <c r="F131" s="50">
        <v>173.87</v>
      </c>
      <c r="G131" s="50"/>
      <c r="H131" s="63">
        <f t="shared" si="36"/>
        <v>173.87</v>
      </c>
    </row>
    <row r="132" spans="1:8" s="22" customFormat="1" ht="23.25" customHeight="1">
      <c r="A132" s="37"/>
      <c r="B132" s="32"/>
      <c r="C132" s="32"/>
      <c r="D132" s="639" t="s">
        <v>141</v>
      </c>
      <c r="E132" s="627">
        <v>615683.9</v>
      </c>
      <c r="F132" s="630">
        <f>SUM(F133:F136)</f>
        <v>34440</v>
      </c>
      <c r="G132" s="630">
        <f>SUM(G133:G136)</f>
        <v>34440</v>
      </c>
      <c r="H132" s="102">
        <f>SUM(E132+F132-G132)</f>
        <v>615683.9</v>
      </c>
    </row>
    <row r="133" spans="1:8" s="22" customFormat="1" ht="12" customHeight="1">
      <c r="A133" s="37"/>
      <c r="B133" s="32"/>
      <c r="C133" s="82" t="s">
        <v>142</v>
      </c>
      <c r="D133" s="105" t="s">
        <v>43</v>
      </c>
      <c r="E133" s="63">
        <v>0</v>
      </c>
      <c r="F133" s="50">
        <v>21658</v>
      </c>
      <c r="G133" s="50"/>
      <c r="H133" s="63">
        <f t="shared" ref="H133:H136" si="37">SUM(E133+F133-G133)</f>
        <v>21658</v>
      </c>
    </row>
    <row r="134" spans="1:8" s="22" customFormat="1" ht="12" customHeight="1">
      <c r="A134" s="37"/>
      <c r="B134" s="32"/>
      <c r="C134" s="82" t="s">
        <v>143</v>
      </c>
      <c r="D134" s="46" t="s">
        <v>43</v>
      </c>
      <c r="E134" s="63">
        <v>0</v>
      </c>
      <c r="F134" s="50">
        <v>12782</v>
      </c>
      <c r="G134" s="50"/>
      <c r="H134" s="63">
        <f t="shared" si="37"/>
        <v>12782</v>
      </c>
    </row>
    <row r="135" spans="1:8" s="22" customFormat="1" ht="21" customHeight="1">
      <c r="A135" s="37"/>
      <c r="B135" s="32"/>
      <c r="C135" s="106">
        <v>4707</v>
      </c>
      <c r="D135" s="107" t="s">
        <v>144</v>
      </c>
      <c r="E135" s="63">
        <v>54144.979999999996</v>
      </c>
      <c r="F135" s="50"/>
      <c r="G135" s="50">
        <v>21658</v>
      </c>
      <c r="H135" s="63">
        <f t="shared" si="37"/>
        <v>32486.979999999996</v>
      </c>
    </row>
    <row r="136" spans="1:8" s="22" customFormat="1" ht="23.25" customHeight="1">
      <c r="A136" s="37"/>
      <c r="B136" s="32"/>
      <c r="C136" s="106">
        <v>4709</v>
      </c>
      <c r="D136" s="107" t="s">
        <v>144</v>
      </c>
      <c r="E136" s="63">
        <v>31955.02</v>
      </c>
      <c r="F136" s="50"/>
      <c r="G136" s="50">
        <v>12782</v>
      </c>
      <c r="H136" s="63">
        <f t="shared" si="37"/>
        <v>19173.02</v>
      </c>
    </row>
    <row r="137" spans="1:8" s="22" customFormat="1" ht="12" customHeight="1">
      <c r="A137" s="37"/>
      <c r="B137" s="32" t="s">
        <v>145</v>
      </c>
      <c r="C137" s="67"/>
      <c r="D137" s="43" t="s">
        <v>146</v>
      </c>
      <c r="E137" s="44">
        <v>9287908.3399999999</v>
      </c>
      <c r="F137" s="45">
        <f>SUM(F138)</f>
        <v>9000</v>
      </c>
      <c r="G137" s="45">
        <f>SUM(G138)</f>
        <v>9000</v>
      </c>
      <c r="H137" s="44">
        <f>SUM(E137+F137-G137)</f>
        <v>9287908.3399999999</v>
      </c>
    </row>
    <row r="138" spans="1:8" s="22" customFormat="1" ht="12" customHeight="1">
      <c r="A138" s="37"/>
      <c r="B138" s="32"/>
      <c r="C138" s="32"/>
      <c r="D138" s="640" t="s">
        <v>147</v>
      </c>
      <c r="E138" s="627">
        <v>9127908.3399999999</v>
      </c>
      <c r="F138" s="630">
        <f>SUM(F139:F140)</f>
        <v>9000</v>
      </c>
      <c r="G138" s="630">
        <f>SUM(G139:G140)</f>
        <v>9000</v>
      </c>
      <c r="H138" s="102">
        <f>SUM(E138+F138-G138)</f>
        <v>9127908.3399999999</v>
      </c>
    </row>
    <row r="139" spans="1:8" s="22" customFormat="1" ht="12" customHeight="1">
      <c r="A139" s="37"/>
      <c r="B139" s="32"/>
      <c r="C139" s="67">
        <v>3020</v>
      </c>
      <c r="D139" s="104" t="s">
        <v>148</v>
      </c>
      <c r="E139" s="63">
        <v>14700</v>
      </c>
      <c r="F139" s="50"/>
      <c r="G139" s="50">
        <v>9000</v>
      </c>
      <c r="H139" s="63">
        <f t="shared" ref="H139:H140" si="38">SUM(E139+F139-G139)</f>
        <v>5700</v>
      </c>
    </row>
    <row r="140" spans="1:8" s="22" customFormat="1" ht="12" customHeight="1">
      <c r="A140" s="37"/>
      <c r="B140" s="32"/>
      <c r="C140" s="67">
        <v>4270</v>
      </c>
      <c r="D140" s="104" t="s">
        <v>126</v>
      </c>
      <c r="E140" s="63">
        <v>40200</v>
      </c>
      <c r="F140" s="50">
        <v>9000</v>
      </c>
      <c r="G140" s="50"/>
      <c r="H140" s="63">
        <f t="shared" si="38"/>
        <v>49200</v>
      </c>
    </row>
    <row r="141" spans="1:8" s="22" customFormat="1" ht="12" customHeight="1" thickBot="1">
      <c r="A141" s="37">
        <v>752</v>
      </c>
      <c r="B141" s="38"/>
      <c r="C141" s="39"/>
      <c r="D141" s="40" t="s">
        <v>65</v>
      </c>
      <c r="E141" s="36">
        <v>65000</v>
      </c>
      <c r="F141" s="41">
        <f>SUM(F142)</f>
        <v>3013282.85</v>
      </c>
      <c r="G141" s="41">
        <f>SUM(G142)</f>
        <v>0</v>
      </c>
      <c r="H141" s="36">
        <f>SUM(E141+F141-G141)</f>
        <v>3078282.85</v>
      </c>
    </row>
    <row r="142" spans="1:8" s="22" customFormat="1" ht="12" customHeight="1" thickTop="1">
      <c r="A142" s="37"/>
      <c r="B142" s="42">
        <v>75295</v>
      </c>
      <c r="C142" s="32"/>
      <c r="D142" s="43" t="s">
        <v>66</v>
      </c>
      <c r="E142" s="44">
        <v>0</v>
      </c>
      <c r="F142" s="45">
        <f>SUM(F143,F145,F147,F151,F155)</f>
        <v>3013282.85</v>
      </c>
      <c r="G142" s="45">
        <f>SUM(G143,G145,G147,G151,G155)</f>
        <v>0</v>
      </c>
      <c r="H142" s="44">
        <f>SUM(E142+F142-G142)</f>
        <v>3013282.85</v>
      </c>
    </row>
    <row r="143" spans="1:8" s="22" customFormat="1" ht="12" customHeight="1">
      <c r="A143" s="108"/>
      <c r="B143" s="32"/>
      <c r="C143" s="57"/>
      <c r="D143" s="637" t="s">
        <v>137</v>
      </c>
      <c r="E143" s="627">
        <v>0</v>
      </c>
      <c r="F143" s="630">
        <f>SUM(F144:F144)</f>
        <v>72000</v>
      </c>
      <c r="G143" s="630">
        <f>SUM(G144:G144)</f>
        <v>0</v>
      </c>
      <c r="H143" s="102">
        <f>SUM(E143+F143-G143)</f>
        <v>72000</v>
      </c>
    </row>
    <row r="144" spans="1:8" s="22" customFormat="1" ht="23.25" customHeight="1">
      <c r="A144" s="108"/>
      <c r="B144" s="32"/>
      <c r="C144" s="106">
        <v>4700</v>
      </c>
      <c r="D144" s="107" t="s">
        <v>144</v>
      </c>
      <c r="E144" s="63">
        <v>0</v>
      </c>
      <c r="F144" s="50">
        <v>72000</v>
      </c>
      <c r="G144" s="50"/>
      <c r="H144" s="51">
        <f t="shared" ref="H144" si="39">SUM(E144+F144-G144)</f>
        <v>72000</v>
      </c>
    </row>
    <row r="145" spans="1:8" s="22" customFormat="1" ht="12" customHeight="1">
      <c r="A145" s="108"/>
      <c r="B145" s="32"/>
      <c r="C145" s="57"/>
      <c r="D145" s="635" t="s">
        <v>129</v>
      </c>
      <c r="E145" s="627">
        <v>0</v>
      </c>
      <c r="F145" s="630">
        <f>SUM(F146:F146)</f>
        <v>1126352</v>
      </c>
      <c r="G145" s="630">
        <f>SUM(G146:G146)</f>
        <v>0</v>
      </c>
      <c r="H145" s="102">
        <f>SUM(E145+F145-G145)</f>
        <v>1126352</v>
      </c>
    </row>
    <row r="146" spans="1:8" s="22" customFormat="1" ht="12" customHeight="1">
      <c r="A146" s="108"/>
      <c r="B146" s="32"/>
      <c r="C146" s="42">
        <v>6060</v>
      </c>
      <c r="D146" s="109" t="s">
        <v>149</v>
      </c>
      <c r="E146" s="110">
        <v>0</v>
      </c>
      <c r="F146" s="111">
        <v>1126352</v>
      </c>
      <c r="G146" s="111"/>
      <c r="H146" s="51">
        <f t="shared" ref="H146" si="40">SUM(E146+F146-G146)</f>
        <v>1126352</v>
      </c>
    </row>
    <row r="147" spans="1:8" s="22" customFormat="1" ht="12" customHeight="1">
      <c r="A147" s="108"/>
      <c r="B147" s="32"/>
      <c r="C147" s="57"/>
      <c r="D147" s="636" t="s">
        <v>150</v>
      </c>
      <c r="E147" s="627">
        <v>0</v>
      </c>
      <c r="F147" s="630">
        <f>SUM(F148:F150)</f>
        <v>268650</v>
      </c>
      <c r="G147" s="630">
        <f>SUM(G148:G150)</f>
        <v>0</v>
      </c>
      <c r="H147" s="102">
        <f>SUM(E147+F147-G147)</f>
        <v>268650</v>
      </c>
    </row>
    <row r="148" spans="1:8" s="22" customFormat="1" ht="12" customHeight="1">
      <c r="A148" s="108"/>
      <c r="B148" s="32"/>
      <c r="C148" s="82" t="s">
        <v>42</v>
      </c>
      <c r="D148" s="112" t="s">
        <v>43</v>
      </c>
      <c r="E148" s="63">
        <v>0</v>
      </c>
      <c r="F148" s="50">
        <v>76000</v>
      </c>
      <c r="G148" s="50"/>
      <c r="H148" s="51">
        <f t="shared" ref="H148:H150" si="41">SUM(E148+F148-G148)</f>
        <v>76000</v>
      </c>
    </row>
    <row r="149" spans="1:8" s="22" customFormat="1" ht="12" customHeight="1">
      <c r="A149" s="108"/>
      <c r="B149" s="32"/>
      <c r="C149" s="67">
        <v>4300</v>
      </c>
      <c r="D149" s="104" t="s">
        <v>18</v>
      </c>
      <c r="E149" s="63">
        <v>0</v>
      </c>
      <c r="F149" s="50">
        <v>70000</v>
      </c>
      <c r="G149" s="50"/>
      <c r="H149" s="51">
        <f t="shared" si="41"/>
        <v>70000</v>
      </c>
    </row>
    <row r="150" spans="1:8" s="22" customFormat="1" ht="12" customHeight="1">
      <c r="A150" s="108"/>
      <c r="B150" s="32"/>
      <c r="C150" s="42">
        <v>6060</v>
      </c>
      <c r="D150" s="109" t="s">
        <v>149</v>
      </c>
      <c r="E150" s="110">
        <v>0</v>
      </c>
      <c r="F150" s="111">
        <v>122650</v>
      </c>
      <c r="G150" s="111"/>
      <c r="H150" s="51">
        <f t="shared" si="41"/>
        <v>122650</v>
      </c>
    </row>
    <row r="151" spans="1:8" s="22" customFormat="1" ht="12" customHeight="1">
      <c r="A151" s="108"/>
      <c r="B151" s="32"/>
      <c r="C151" s="57"/>
      <c r="D151" s="626" t="s">
        <v>16</v>
      </c>
      <c r="E151" s="627">
        <v>0</v>
      </c>
      <c r="F151" s="630">
        <f>SUM(F152:F154)</f>
        <v>1246280.8500000001</v>
      </c>
      <c r="G151" s="630">
        <f>SUM(G152:G154)</f>
        <v>0</v>
      </c>
      <c r="H151" s="102">
        <f>SUM(E151+F151-G151)</f>
        <v>1246280.8500000001</v>
      </c>
    </row>
    <row r="152" spans="1:8" s="22" customFormat="1" ht="12" customHeight="1">
      <c r="A152" s="108"/>
      <c r="B152" s="32"/>
      <c r="C152" s="82" t="s">
        <v>42</v>
      </c>
      <c r="D152" s="112" t="s">
        <v>43</v>
      </c>
      <c r="E152" s="63">
        <v>0</v>
      </c>
      <c r="F152" s="50">
        <f>604090+236190.85</f>
        <v>840280.85</v>
      </c>
      <c r="G152" s="50"/>
      <c r="H152" s="51">
        <f t="shared" ref="H152:H154" si="42">SUM(E152+F152-G152)</f>
        <v>840280.85</v>
      </c>
    </row>
    <row r="153" spans="1:8" s="22" customFormat="1" ht="12" customHeight="1">
      <c r="A153" s="108"/>
      <c r="B153" s="32"/>
      <c r="C153" s="67">
        <v>4300</v>
      </c>
      <c r="D153" s="104" t="s">
        <v>18</v>
      </c>
      <c r="E153" s="63">
        <v>0</v>
      </c>
      <c r="F153" s="50">
        <v>140000</v>
      </c>
      <c r="G153" s="50"/>
      <c r="H153" s="51">
        <f t="shared" si="42"/>
        <v>140000</v>
      </c>
    </row>
    <row r="154" spans="1:8" s="22" customFormat="1" ht="12" customHeight="1">
      <c r="A154" s="108"/>
      <c r="B154" s="32"/>
      <c r="C154" s="42">
        <v>6060</v>
      </c>
      <c r="D154" s="109" t="s">
        <v>149</v>
      </c>
      <c r="E154" s="110">
        <v>0</v>
      </c>
      <c r="F154" s="111">
        <v>266000</v>
      </c>
      <c r="G154" s="111"/>
      <c r="H154" s="51">
        <f t="shared" si="42"/>
        <v>266000</v>
      </c>
    </row>
    <row r="155" spans="1:8" s="22" customFormat="1" ht="12" customHeight="1">
      <c r="A155" s="108"/>
      <c r="B155" s="32"/>
      <c r="C155" s="57"/>
      <c r="D155" s="636" t="s">
        <v>151</v>
      </c>
      <c r="E155" s="627">
        <v>0</v>
      </c>
      <c r="F155" s="630">
        <f>SUM(F156:F156)</f>
        <v>300000</v>
      </c>
      <c r="G155" s="630">
        <f>SUM(G156:G156)</f>
        <v>0</v>
      </c>
      <c r="H155" s="102">
        <f>SUM(E155+F155-G155)</f>
        <v>300000</v>
      </c>
    </row>
    <row r="156" spans="1:8" s="22" customFormat="1" ht="12" customHeight="1">
      <c r="A156" s="108"/>
      <c r="B156" s="32"/>
      <c r="C156" s="42">
        <v>6060</v>
      </c>
      <c r="D156" s="109" t="s">
        <v>149</v>
      </c>
      <c r="E156" s="110">
        <v>0</v>
      </c>
      <c r="F156" s="111">
        <v>300000</v>
      </c>
      <c r="G156" s="111"/>
      <c r="H156" s="51">
        <f t="shared" ref="H156" si="43">SUM(E156+F156-G156)</f>
        <v>300000</v>
      </c>
    </row>
    <row r="157" spans="1:8" s="22" customFormat="1" ht="12" customHeight="1">
      <c r="A157" s="108">
        <v>754</v>
      </c>
      <c r="B157" s="99"/>
      <c r="C157" s="99"/>
      <c r="D157" s="113" t="s">
        <v>152</v>
      </c>
      <c r="E157" s="50"/>
      <c r="F157" s="50"/>
      <c r="G157" s="50"/>
      <c r="H157" s="50"/>
    </row>
    <row r="158" spans="1:8" s="22" customFormat="1" ht="12" customHeight="1" thickBot="1">
      <c r="A158" s="108"/>
      <c r="B158" s="99"/>
      <c r="C158" s="99"/>
      <c r="D158" s="113" t="s">
        <v>120</v>
      </c>
      <c r="E158" s="36">
        <v>8280146.3200000003</v>
      </c>
      <c r="F158" s="41">
        <f>SUM(F159)</f>
        <v>187941</v>
      </c>
      <c r="G158" s="41">
        <f>SUM(G159)</f>
        <v>30756</v>
      </c>
      <c r="H158" s="36">
        <f>SUM(E158+F158-G158)</f>
        <v>8437331.3200000003</v>
      </c>
    </row>
    <row r="159" spans="1:8" s="22" customFormat="1" ht="12" customHeight="1" thickTop="1">
      <c r="A159" s="108"/>
      <c r="B159" s="56">
        <v>75416</v>
      </c>
      <c r="C159" s="56"/>
      <c r="D159" s="114" t="s">
        <v>153</v>
      </c>
      <c r="E159" s="44">
        <v>7669146.3200000003</v>
      </c>
      <c r="F159" s="45">
        <f>SUM(F160,F171)</f>
        <v>187941</v>
      </c>
      <c r="G159" s="45">
        <f>SUM(G160,G171)</f>
        <v>30756</v>
      </c>
      <c r="H159" s="44">
        <f>SUM(E159+F159-G159)</f>
        <v>7826331.3200000003</v>
      </c>
    </row>
    <row r="160" spans="1:8" s="22" customFormat="1" ht="12" customHeight="1">
      <c r="A160" s="108"/>
      <c r="B160" s="56"/>
      <c r="C160" s="56"/>
      <c r="D160" s="641" t="s">
        <v>150</v>
      </c>
      <c r="E160" s="627">
        <v>6401093.0800000001</v>
      </c>
      <c r="F160" s="630">
        <f>SUM(F161:F170)</f>
        <v>165309</v>
      </c>
      <c r="G160" s="630">
        <f>SUM(G161:G170)</f>
        <v>23094</v>
      </c>
      <c r="H160" s="102">
        <f>SUM(E160+F160-G160)</f>
        <v>6543308.0800000001</v>
      </c>
    </row>
    <row r="161" spans="1:8" s="22" customFormat="1" ht="12" customHeight="1">
      <c r="A161" s="108"/>
      <c r="B161" s="32"/>
      <c r="C161" s="67">
        <v>3020</v>
      </c>
      <c r="D161" s="104" t="s">
        <v>148</v>
      </c>
      <c r="E161" s="111">
        <v>118266</v>
      </c>
      <c r="F161" s="111"/>
      <c r="G161" s="111">
        <v>7612</v>
      </c>
      <c r="H161" s="51">
        <f t="shared" ref="H161:H165" si="44">SUM(E161+F161-G161)</f>
        <v>110654</v>
      </c>
    </row>
    <row r="162" spans="1:8" s="22" customFormat="1" ht="12" customHeight="1">
      <c r="A162" s="108"/>
      <c r="B162" s="32"/>
      <c r="C162" s="67">
        <v>4010</v>
      </c>
      <c r="D162" s="104" t="s">
        <v>128</v>
      </c>
      <c r="E162" s="111">
        <v>4126696.08</v>
      </c>
      <c r="F162" s="111">
        <v>101574</v>
      </c>
      <c r="G162" s="111"/>
      <c r="H162" s="51">
        <f t="shared" si="44"/>
        <v>4228270.0800000001</v>
      </c>
    </row>
    <row r="163" spans="1:8" s="22" customFormat="1" ht="12" customHeight="1">
      <c r="A163" s="108"/>
      <c r="B163" s="32"/>
      <c r="C163" s="67">
        <v>4040</v>
      </c>
      <c r="D163" s="104" t="s">
        <v>154</v>
      </c>
      <c r="E163" s="111">
        <v>286012</v>
      </c>
      <c r="F163" s="111"/>
      <c r="G163" s="111">
        <v>318</v>
      </c>
      <c r="H163" s="51">
        <f t="shared" si="44"/>
        <v>285694</v>
      </c>
    </row>
    <row r="164" spans="1:8" s="22" customFormat="1" ht="12" customHeight="1">
      <c r="A164" s="108"/>
      <c r="B164" s="32"/>
      <c r="C164" s="67">
        <v>4110</v>
      </c>
      <c r="D164" s="104" t="s">
        <v>45</v>
      </c>
      <c r="E164" s="111">
        <v>708098</v>
      </c>
      <c r="F164" s="111">
        <v>45611</v>
      </c>
      <c r="G164" s="111"/>
      <c r="H164" s="51">
        <f t="shared" si="44"/>
        <v>753709</v>
      </c>
    </row>
    <row r="165" spans="1:8" s="22" customFormat="1" ht="12" customHeight="1">
      <c r="A165" s="108"/>
      <c r="B165" s="32"/>
      <c r="C165" s="67">
        <v>4120</v>
      </c>
      <c r="D165" s="104" t="s">
        <v>26</v>
      </c>
      <c r="E165" s="111">
        <v>101390</v>
      </c>
      <c r="F165" s="111"/>
      <c r="G165" s="111">
        <v>5652</v>
      </c>
      <c r="H165" s="51">
        <f t="shared" si="44"/>
        <v>95738</v>
      </c>
    </row>
    <row r="166" spans="1:8" s="22" customFormat="1" ht="12" customHeight="1">
      <c r="A166" s="108"/>
      <c r="B166" s="32"/>
      <c r="C166" s="67">
        <v>4170</v>
      </c>
      <c r="D166" s="104" t="s">
        <v>22</v>
      </c>
      <c r="E166" s="111">
        <v>10400</v>
      </c>
      <c r="F166" s="111"/>
      <c r="G166" s="111">
        <v>2775</v>
      </c>
      <c r="H166" s="51">
        <f t="shared" ref="H166:H170" si="45">SUM(E166+F166-G166)</f>
        <v>7625</v>
      </c>
    </row>
    <row r="167" spans="1:8" s="22" customFormat="1" ht="24" customHeight="1">
      <c r="A167" s="108"/>
      <c r="B167" s="32"/>
      <c r="C167" s="42">
        <v>4390</v>
      </c>
      <c r="D167" s="87" t="s">
        <v>155</v>
      </c>
      <c r="E167" s="110">
        <v>15800</v>
      </c>
      <c r="F167" s="111"/>
      <c r="G167" s="50">
        <v>5000</v>
      </c>
      <c r="H167" s="51">
        <f t="shared" si="45"/>
        <v>10800</v>
      </c>
    </row>
    <row r="168" spans="1:8" s="22" customFormat="1" ht="12" customHeight="1">
      <c r="A168" s="108"/>
      <c r="B168" s="32"/>
      <c r="C168" s="67">
        <v>4410</v>
      </c>
      <c r="D168" s="112" t="s">
        <v>156</v>
      </c>
      <c r="E168" s="110">
        <v>2993</v>
      </c>
      <c r="F168" s="111"/>
      <c r="G168" s="111">
        <v>1737</v>
      </c>
      <c r="H168" s="51">
        <f t="shared" si="45"/>
        <v>1256</v>
      </c>
    </row>
    <row r="169" spans="1:8" s="22" customFormat="1" ht="21.75" customHeight="1">
      <c r="A169" s="108"/>
      <c r="B169" s="32"/>
      <c r="C169" s="106">
        <v>4700</v>
      </c>
      <c r="D169" s="107" t="s">
        <v>144</v>
      </c>
      <c r="E169" s="110">
        <v>25275</v>
      </c>
      <c r="F169" s="50">
        <v>17124</v>
      </c>
      <c r="G169" s="111"/>
      <c r="H169" s="51">
        <f t="shared" si="45"/>
        <v>42399</v>
      </c>
    </row>
    <row r="170" spans="1:8" s="22" customFormat="1" ht="11.25" customHeight="1">
      <c r="A170" s="115"/>
      <c r="B170" s="116"/>
      <c r="C170" s="117">
        <v>4710</v>
      </c>
      <c r="D170" s="114" t="s">
        <v>25</v>
      </c>
      <c r="E170" s="118">
        <v>14820</v>
      </c>
      <c r="F170" s="119">
        <v>1000</v>
      </c>
      <c r="G170" s="119"/>
      <c r="H170" s="44">
        <f t="shared" si="45"/>
        <v>15820</v>
      </c>
    </row>
    <row r="171" spans="1:8" s="22" customFormat="1" ht="11.25" customHeight="1">
      <c r="A171" s="108"/>
      <c r="B171" s="32"/>
      <c r="C171" s="56"/>
      <c r="D171" s="642" t="s">
        <v>157</v>
      </c>
      <c r="E171" s="102">
        <v>1268053.24</v>
      </c>
      <c r="F171" s="630">
        <f>SUM(F172:F174)</f>
        <v>22632</v>
      </c>
      <c r="G171" s="630">
        <f>SUM(G172:G174)</f>
        <v>7662</v>
      </c>
      <c r="H171" s="627">
        <f>SUM(E171+F171-G171)</f>
        <v>1283023.24</v>
      </c>
    </row>
    <row r="172" spans="1:8" s="22" customFormat="1" ht="11.25" customHeight="1">
      <c r="A172" s="108"/>
      <c r="B172" s="32"/>
      <c r="C172" s="67">
        <v>4040</v>
      </c>
      <c r="D172" s="104" t="s">
        <v>154</v>
      </c>
      <c r="E172" s="111">
        <v>61553</v>
      </c>
      <c r="F172" s="111"/>
      <c r="G172" s="111">
        <v>6662</v>
      </c>
      <c r="H172" s="51">
        <f t="shared" ref="H172:H174" si="46">SUM(E172+F172-G172)</f>
        <v>54891</v>
      </c>
    </row>
    <row r="173" spans="1:8" s="22" customFormat="1" ht="11.25" customHeight="1">
      <c r="A173" s="108"/>
      <c r="B173" s="32"/>
      <c r="C173" s="67">
        <v>4110</v>
      </c>
      <c r="D173" s="104" t="s">
        <v>45</v>
      </c>
      <c r="E173" s="111">
        <v>134616</v>
      </c>
      <c r="F173" s="111">
        <v>22632</v>
      </c>
      <c r="G173" s="111"/>
      <c r="H173" s="51">
        <f t="shared" si="46"/>
        <v>157248</v>
      </c>
    </row>
    <row r="174" spans="1:8" s="22" customFormat="1" ht="11.25" customHeight="1">
      <c r="A174" s="108"/>
      <c r="B174" s="32"/>
      <c r="C174" s="67">
        <v>4710</v>
      </c>
      <c r="D174" s="112" t="s">
        <v>25</v>
      </c>
      <c r="E174" s="111">
        <v>2993</v>
      </c>
      <c r="F174" s="111"/>
      <c r="G174" s="111">
        <v>1000</v>
      </c>
      <c r="H174" s="51">
        <f t="shared" si="46"/>
        <v>1993</v>
      </c>
    </row>
    <row r="175" spans="1:8" s="22" customFormat="1" ht="12" customHeight="1" thickBot="1">
      <c r="A175" s="38">
        <v>758</v>
      </c>
      <c r="B175" s="38"/>
      <c r="C175" s="39"/>
      <c r="D175" s="40" t="s">
        <v>158</v>
      </c>
      <c r="E175" s="36">
        <v>31787877.16</v>
      </c>
      <c r="F175" s="41">
        <f>SUM(F176)</f>
        <v>0</v>
      </c>
      <c r="G175" s="41">
        <f>SUM(G176)</f>
        <v>7430381.8700000001</v>
      </c>
      <c r="H175" s="36">
        <f>SUM(E175+F175-G175)</f>
        <v>24357495.289999999</v>
      </c>
    </row>
    <row r="176" spans="1:8" s="22" customFormat="1" ht="12" customHeight="1" thickTop="1">
      <c r="A176" s="31"/>
      <c r="B176" s="65">
        <v>75818</v>
      </c>
      <c r="C176" s="32"/>
      <c r="D176" s="68" t="s">
        <v>159</v>
      </c>
      <c r="E176" s="44">
        <v>31787877.16</v>
      </c>
      <c r="F176" s="45">
        <f>SUM(F177)</f>
        <v>0</v>
      </c>
      <c r="G176" s="45">
        <f>SUM(G177)</f>
        <v>7430381.8700000001</v>
      </c>
      <c r="H176" s="44">
        <f>SUM(E176+F176-G176)</f>
        <v>24357495.289999999</v>
      </c>
    </row>
    <row r="177" spans="1:8" s="22" customFormat="1" ht="12" customHeight="1">
      <c r="A177" s="31"/>
      <c r="B177" s="65"/>
      <c r="C177" s="32" t="s">
        <v>160</v>
      </c>
      <c r="D177" s="70" t="s">
        <v>161</v>
      </c>
      <c r="E177" s="120">
        <v>31787877.16</v>
      </c>
      <c r="F177" s="120">
        <f>SUM(F178:F179)</f>
        <v>0</v>
      </c>
      <c r="G177" s="120">
        <f>SUM(G178:G179)</f>
        <v>7430381.8700000001</v>
      </c>
      <c r="H177" s="120">
        <f>SUM(E177+F177-G177)</f>
        <v>24357495.289999999</v>
      </c>
    </row>
    <row r="178" spans="1:8" s="22" customFormat="1" ht="12" customHeight="1">
      <c r="A178" s="31"/>
      <c r="B178" s="65"/>
      <c r="C178" s="32"/>
      <c r="D178" s="112" t="s">
        <v>162</v>
      </c>
      <c r="E178" s="63">
        <v>671891</v>
      </c>
      <c r="F178" s="63"/>
      <c r="G178" s="63">
        <f>40641+14970</f>
        <v>55611</v>
      </c>
      <c r="H178" s="63">
        <f t="shared" ref="H178:H179" si="47">SUM(E178+F178-G178)</f>
        <v>616280</v>
      </c>
    </row>
    <row r="179" spans="1:8" s="22" customFormat="1" ht="12" customHeight="1">
      <c r="A179" s="31"/>
      <c r="B179" s="65"/>
      <c r="C179" s="32"/>
      <c r="D179" s="112" t="s">
        <v>163</v>
      </c>
      <c r="E179" s="63">
        <v>31115986.16</v>
      </c>
      <c r="F179" s="63"/>
      <c r="G179" s="63">
        <f>1581500+918409+4666369.88+208491.99</f>
        <v>7374770.8700000001</v>
      </c>
      <c r="H179" s="63">
        <f t="shared" si="47"/>
        <v>23741215.289999999</v>
      </c>
    </row>
    <row r="180" spans="1:8" s="22" customFormat="1" ht="12" customHeight="1" thickBot="1">
      <c r="A180" s="38">
        <v>801</v>
      </c>
      <c r="B180" s="38"/>
      <c r="C180" s="39"/>
      <c r="D180" s="40" t="s">
        <v>72</v>
      </c>
      <c r="E180" s="3">
        <v>469168460.97999984</v>
      </c>
      <c r="F180" s="41">
        <f>SUM(F181,F201,F206,F209,F223,F227,F230,F235,F244,F255,F258,F266,F275,F279,F286,F292,F295,F300,F309,F317,F323,F336,F343)</f>
        <v>7008005</v>
      </c>
      <c r="G180" s="41">
        <f>SUM(G181,G201,G206,G209,G223,G227,G230,G235,G244,G255,G258,G266,G275,G279,G286,G292,G295,G300,G309,G317,G323,G336,G343)</f>
        <v>4475611</v>
      </c>
      <c r="H180" s="36">
        <f>SUM(E180+F180-G180)</f>
        <v>471700854.97999984</v>
      </c>
    </row>
    <row r="181" spans="1:8" s="22" customFormat="1" ht="12" customHeight="1" thickTop="1">
      <c r="A181" s="38"/>
      <c r="B181" s="65">
        <v>80101</v>
      </c>
      <c r="C181" s="32"/>
      <c r="D181" s="43" t="s">
        <v>15</v>
      </c>
      <c r="E181" s="44">
        <v>125337143.50000001</v>
      </c>
      <c r="F181" s="45">
        <f>SUM(F182,F185)</f>
        <v>1236706</v>
      </c>
      <c r="G181" s="45">
        <f>SUM(G182,G185)</f>
        <v>372702</v>
      </c>
      <c r="H181" s="44">
        <f t="shared" ref="H181:H200" si="48">SUM(E181+F181-G181)</f>
        <v>126201147.50000001</v>
      </c>
    </row>
    <row r="182" spans="1:8" s="22" customFormat="1" ht="12" customHeight="1">
      <c r="A182" s="38"/>
      <c r="B182" s="65"/>
      <c r="C182" s="32"/>
      <c r="D182" s="629" t="s">
        <v>164</v>
      </c>
      <c r="E182" s="627">
        <v>13982584.359999999</v>
      </c>
      <c r="F182" s="627">
        <f>SUM(F183:F184)</f>
        <v>400000</v>
      </c>
      <c r="G182" s="627">
        <f>SUM(G183:G184)</f>
        <v>300000</v>
      </c>
      <c r="H182" s="102">
        <f>SUM(E182+F182-G182)</f>
        <v>14082584.359999999</v>
      </c>
    </row>
    <row r="183" spans="1:8" s="22" customFormat="1" ht="23.25" customHeight="1">
      <c r="A183" s="38"/>
      <c r="B183" s="65"/>
      <c r="C183" s="53" t="s">
        <v>165</v>
      </c>
      <c r="D183" s="87" t="s">
        <v>166</v>
      </c>
      <c r="E183" s="50">
        <v>4011632.2</v>
      </c>
      <c r="F183" s="63"/>
      <c r="G183" s="63">
        <v>300000</v>
      </c>
      <c r="H183" s="51">
        <f t="shared" ref="H183:H184" si="49">SUM(E183+F183-G183)</f>
        <v>3711632.2</v>
      </c>
    </row>
    <row r="184" spans="1:8" s="22" customFormat="1" ht="33" customHeight="1">
      <c r="A184" s="38"/>
      <c r="B184" s="65"/>
      <c r="C184" s="53" t="s">
        <v>167</v>
      </c>
      <c r="D184" s="87" t="s">
        <v>168</v>
      </c>
      <c r="E184" s="50">
        <v>9970952.1600000001</v>
      </c>
      <c r="F184" s="63">
        <v>400000</v>
      </c>
      <c r="G184" s="63"/>
      <c r="H184" s="51">
        <f t="shared" si="49"/>
        <v>10370952.16</v>
      </c>
    </row>
    <row r="185" spans="1:8" s="22" customFormat="1" ht="12" customHeight="1">
      <c r="A185" s="38"/>
      <c r="B185" s="65"/>
      <c r="C185" s="32"/>
      <c r="D185" s="640" t="s">
        <v>21</v>
      </c>
      <c r="E185" s="627">
        <v>105283682.18000001</v>
      </c>
      <c r="F185" s="627">
        <f>SUM(F186:F200)</f>
        <v>836706</v>
      </c>
      <c r="G185" s="627">
        <f>SUM(G186:G200)</f>
        <v>72702</v>
      </c>
      <c r="H185" s="102">
        <f t="shared" si="48"/>
        <v>106047686.18000001</v>
      </c>
    </row>
    <row r="186" spans="1:8" s="22" customFormat="1" ht="12" customHeight="1">
      <c r="A186" s="38"/>
      <c r="B186" s="121"/>
      <c r="C186" s="122">
        <v>3020</v>
      </c>
      <c r="D186" s="104" t="s">
        <v>148</v>
      </c>
      <c r="E186" s="110">
        <v>416906</v>
      </c>
      <c r="F186" s="123"/>
      <c r="G186" s="93">
        <v>1000</v>
      </c>
      <c r="H186" s="93">
        <f t="shared" si="48"/>
        <v>415906</v>
      </c>
    </row>
    <row r="187" spans="1:8" s="22" customFormat="1" ht="12" customHeight="1">
      <c r="A187" s="38"/>
      <c r="B187" s="65"/>
      <c r="C187" s="67">
        <v>4010</v>
      </c>
      <c r="D187" s="104" t="s">
        <v>128</v>
      </c>
      <c r="E187" s="63">
        <v>12990115.539999999</v>
      </c>
      <c r="F187" s="63">
        <v>105000</v>
      </c>
      <c r="G187" s="63"/>
      <c r="H187" s="51">
        <f t="shared" si="48"/>
        <v>13095115.539999999</v>
      </c>
    </row>
    <row r="188" spans="1:8" s="22" customFormat="1" ht="12" customHeight="1">
      <c r="A188" s="38"/>
      <c r="B188" s="65"/>
      <c r="C188" s="42">
        <v>4040</v>
      </c>
      <c r="D188" s="104" t="s">
        <v>154</v>
      </c>
      <c r="E188" s="110">
        <v>1063413</v>
      </c>
      <c r="F188" s="63"/>
      <c r="G188" s="63">
        <v>2000</v>
      </c>
      <c r="H188" s="51">
        <f t="shared" si="48"/>
        <v>1061413</v>
      </c>
    </row>
    <row r="189" spans="1:8" s="22" customFormat="1" ht="12" customHeight="1">
      <c r="A189" s="38"/>
      <c r="B189" s="65"/>
      <c r="C189" s="67">
        <v>4110</v>
      </c>
      <c r="D189" s="104" t="s">
        <v>45</v>
      </c>
      <c r="E189" s="63">
        <v>13369863</v>
      </c>
      <c r="F189" s="63"/>
      <c r="G189" s="63">
        <v>516</v>
      </c>
      <c r="H189" s="51">
        <f t="shared" si="48"/>
        <v>13369347</v>
      </c>
    </row>
    <row r="190" spans="1:8" s="22" customFormat="1" ht="12" customHeight="1">
      <c r="A190" s="38"/>
      <c r="B190" s="65"/>
      <c r="C190" s="67">
        <v>4120</v>
      </c>
      <c r="D190" s="104" t="s">
        <v>26</v>
      </c>
      <c r="E190" s="63">
        <v>1938385</v>
      </c>
      <c r="F190" s="63"/>
      <c r="G190" s="63">
        <v>2000</v>
      </c>
      <c r="H190" s="51">
        <f t="shared" si="48"/>
        <v>1936385</v>
      </c>
    </row>
    <row r="191" spans="1:8" s="22" customFormat="1" ht="12" customHeight="1">
      <c r="A191" s="38"/>
      <c r="B191" s="65"/>
      <c r="C191" s="67">
        <v>4170</v>
      </c>
      <c r="D191" s="104" t="s">
        <v>22</v>
      </c>
      <c r="E191" s="63">
        <v>67877</v>
      </c>
      <c r="F191" s="63"/>
      <c r="G191" s="63">
        <v>1986</v>
      </c>
      <c r="H191" s="51">
        <f t="shared" si="48"/>
        <v>65891</v>
      </c>
    </row>
    <row r="192" spans="1:8" s="22" customFormat="1" ht="12" customHeight="1">
      <c r="A192" s="38"/>
      <c r="B192" s="65"/>
      <c r="C192" s="67">
        <v>4260</v>
      </c>
      <c r="D192" s="104" t="s">
        <v>169</v>
      </c>
      <c r="E192" s="63">
        <v>7301104</v>
      </c>
      <c r="F192" s="63"/>
      <c r="G192" s="63">
        <v>55000</v>
      </c>
      <c r="H192" s="51">
        <f t="shared" si="48"/>
        <v>7246104</v>
      </c>
    </row>
    <row r="193" spans="1:8" s="22" customFormat="1" ht="12" customHeight="1">
      <c r="A193" s="38"/>
      <c r="B193" s="65"/>
      <c r="C193" s="42">
        <v>4270</v>
      </c>
      <c r="D193" s="104" t="s">
        <v>126</v>
      </c>
      <c r="E193" s="63">
        <v>350565</v>
      </c>
      <c r="F193" s="63">
        <v>55000</v>
      </c>
      <c r="G193" s="63"/>
      <c r="H193" s="51">
        <f t="shared" si="48"/>
        <v>405565</v>
      </c>
    </row>
    <row r="194" spans="1:8" s="22" customFormat="1" ht="12" customHeight="1">
      <c r="A194" s="38"/>
      <c r="B194" s="65"/>
      <c r="C194" s="67">
        <v>4280</v>
      </c>
      <c r="D194" s="104" t="s">
        <v>170</v>
      </c>
      <c r="E194" s="63">
        <v>121314</v>
      </c>
      <c r="F194" s="63">
        <v>506</v>
      </c>
      <c r="G194" s="63"/>
      <c r="H194" s="51">
        <f t="shared" si="48"/>
        <v>121820</v>
      </c>
    </row>
    <row r="195" spans="1:8" s="22" customFormat="1" ht="12" customHeight="1">
      <c r="A195" s="38"/>
      <c r="B195" s="65"/>
      <c r="C195" s="67">
        <v>4300</v>
      </c>
      <c r="D195" s="104" t="s">
        <v>18</v>
      </c>
      <c r="E195" s="63">
        <v>1037381.2</v>
      </c>
      <c r="F195" s="63">
        <v>24000</v>
      </c>
      <c r="G195" s="63"/>
      <c r="H195" s="51">
        <f t="shared" si="48"/>
        <v>1061381.2</v>
      </c>
    </row>
    <row r="196" spans="1:8" s="22" customFormat="1" ht="22.5" customHeight="1">
      <c r="A196" s="38"/>
      <c r="B196" s="65"/>
      <c r="C196" s="42">
        <v>4390</v>
      </c>
      <c r="D196" s="87" t="s">
        <v>155</v>
      </c>
      <c r="E196" s="63">
        <v>33820</v>
      </c>
      <c r="F196" s="63"/>
      <c r="G196" s="63">
        <v>7200</v>
      </c>
      <c r="H196" s="51">
        <f t="shared" si="48"/>
        <v>26620</v>
      </c>
    </row>
    <row r="197" spans="1:8" s="22" customFormat="1" ht="12" customHeight="1">
      <c r="A197" s="38"/>
      <c r="B197" s="65"/>
      <c r="C197" s="67">
        <v>4410</v>
      </c>
      <c r="D197" s="112" t="s">
        <v>156</v>
      </c>
      <c r="E197" s="63">
        <v>24042</v>
      </c>
      <c r="F197" s="63">
        <v>2000</v>
      </c>
      <c r="G197" s="63"/>
      <c r="H197" s="51">
        <f t="shared" si="48"/>
        <v>26042</v>
      </c>
    </row>
    <row r="198" spans="1:8" s="22" customFormat="1" ht="12" customHeight="1">
      <c r="A198" s="38"/>
      <c r="B198" s="65"/>
      <c r="C198" s="67">
        <v>4430</v>
      </c>
      <c r="D198" s="104" t="s">
        <v>140</v>
      </c>
      <c r="E198" s="63">
        <v>9849</v>
      </c>
      <c r="F198" s="63">
        <v>200</v>
      </c>
      <c r="G198" s="63"/>
      <c r="H198" s="51">
        <f t="shared" si="48"/>
        <v>10049</v>
      </c>
    </row>
    <row r="199" spans="1:8" s="22" customFormat="1" ht="12" customHeight="1">
      <c r="A199" s="38"/>
      <c r="B199" s="65"/>
      <c r="C199" s="56">
        <v>4790</v>
      </c>
      <c r="D199" s="123" t="s">
        <v>171</v>
      </c>
      <c r="E199" s="63">
        <v>56429228.640000001</v>
      </c>
      <c r="F199" s="63">
        <v>650000</v>
      </c>
      <c r="G199" s="63"/>
      <c r="H199" s="51">
        <f t="shared" si="48"/>
        <v>57079228.640000001</v>
      </c>
    </row>
    <row r="200" spans="1:8" s="22" customFormat="1" ht="12" customHeight="1">
      <c r="A200" s="38"/>
      <c r="B200" s="65"/>
      <c r="C200" s="122">
        <v>4800</v>
      </c>
      <c r="D200" s="123" t="s">
        <v>172</v>
      </c>
      <c r="E200" s="50">
        <v>4345697</v>
      </c>
      <c r="F200" s="50"/>
      <c r="G200" s="50">
        <v>3000</v>
      </c>
      <c r="H200" s="51">
        <f t="shared" si="48"/>
        <v>4342697</v>
      </c>
    </row>
    <row r="201" spans="1:8" s="22" customFormat="1" ht="12" customHeight="1">
      <c r="A201" s="38"/>
      <c r="B201" s="65">
        <v>80102</v>
      </c>
      <c r="C201" s="32"/>
      <c r="D201" s="43" t="s">
        <v>54</v>
      </c>
      <c r="E201" s="45">
        <v>17315525.850000001</v>
      </c>
      <c r="F201" s="45">
        <f>SUM(F202)</f>
        <v>410000</v>
      </c>
      <c r="G201" s="45">
        <f>SUM(G202)</f>
        <v>0</v>
      </c>
      <c r="H201" s="44">
        <f>SUM(E201+F201-G201)</f>
        <v>17725525.850000001</v>
      </c>
    </row>
    <row r="202" spans="1:8" s="22" customFormat="1" ht="12" customHeight="1">
      <c r="A202" s="38"/>
      <c r="B202" s="65"/>
      <c r="C202" s="32"/>
      <c r="D202" s="640" t="s">
        <v>21</v>
      </c>
      <c r="E202" s="627">
        <v>17043555.140000001</v>
      </c>
      <c r="F202" s="627">
        <f>SUM(F203:F205)</f>
        <v>410000</v>
      </c>
      <c r="G202" s="627">
        <f>SUM(G203:G205)</f>
        <v>0</v>
      </c>
      <c r="H202" s="102">
        <f>SUM(E202+F202-G202)</f>
        <v>17453555.140000001</v>
      </c>
    </row>
    <row r="203" spans="1:8" s="22" customFormat="1" ht="12" customHeight="1">
      <c r="A203" s="38"/>
      <c r="B203" s="65"/>
      <c r="C203" s="67">
        <v>4010</v>
      </c>
      <c r="D203" s="104" t="s">
        <v>128</v>
      </c>
      <c r="E203" s="63">
        <v>2354741.8199999998</v>
      </c>
      <c r="F203" s="63">
        <v>80000</v>
      </c>
      <c r="G203" s="63"/>
      <c r="H203" s="51">
        <f t="shared" ref="H203:H204" si="50">SUM(E203+F203-G203)</f>
        <v>2434741.8199999998</v>
      </c>
    </row>
    <row r="204" spans="1:8" s="22" customFormat="1" ht="12" customHeight="1">
      <c r="A204" s="38"/>
      <c r="B204" s="65"/>
      <c r="C204" s="67">
        <v>4110</v>
      </c>
      <c r="D204" s="104" t="s">
        <v>45</v>
      </c>
      <c r="E204" s="63">
        <v>2426609</v>
      </c>
      <c r="F204" s="63">
        <v>10000</v>
      </c>
      <c r="G204" s="63"/>
      <c r="H204" s="51">
        <f t="shared" si="50"/>
        <v>2436609</v>
      </c>
    </row>
    <row r="205" spans="1:8" s="22" customFormat="1" ht="12" customHeight="1">
      <c r="A205" s="38"/>
      <c r="B205" s="65"/>
      <c r="C205" s="32" t="s">
        <v>173</v>
      </c>
      <c r="D205" s="123" t="s">
        <v>171</v>
      </c>
      <c r="E205" s="63">
        <v>9813957.5199999996</v>
      </c>
      <c r="F205" s="63">
        <f>300000+20000</f>
        <v>320000</v>
      </c>
      <c r="G205" s="63"/>
      <c r="H205" s="51">
        <f>SUM(E205+F205-G205)</f>
        <v>10133957.52</v>
      </c>
    </row>
    <row r="206" spans="1:8" s="22" customFormat="1" ht="12" customHeight="1">
      <c r="A206" s="38"/>
      <c r="B206" s="65">
        <v>80103</v>
      </c>
      <c r="C206" s="32"/>
      <c r="D206" s="124" t="s">
        <v>174</v>
      </c>
      <c r="E206" s="45">
        <v>1075756.48</v>
      </c>
      <c r="F206" s="45">
        <f>SUM(F207)</f>
        <v>18000</v>
      </c>
      <c r="G206" s="45">
        <f>SUM(G207)</f>
        <v>0</v>
      </c>
      <c r="H206" s="44">
        <f>SUM(E206+F206-G206)</f>
        <v>1093756.48</v>
      </c>
    </row>
    <row r="207" spans="1:8" s="22" customFormat="1" ht="12" customHeight="1">
      <c r="A207" s="38"/>
      <c r="B207" s="65"/>
      <c r="C207" s="32"/>
      <c r="D207" s="640" t="s">
        <v>21</v>
      </c>
      <c r="E207" s="627">
        <v>857377.28000000003</v>
      </c>
      <c r="F207" s="627">
        <f>SUM(F208:F208)</f>
        <v>18000</v>
      </c>
      <c r="G207" s="627">
        <f>SUM(G208:G208)</f>
        <v>0</v>
      </c>
      <c r="H207" s="102">
        <f>SUM(E207+F207-G207)</f>
        <v>875377.28</v>
      </c>
    </row>
    <row r="208" spans="1:8" s="22" customFormat="1" ht="12" customHeight="1">
      <c r="A208" s="38"/>
      <c r="B208" s="65"/>
      <c r="C208" s="67">
        <v>4790</v>
      </c>
      <c r="D208" s="123" t="s">
        <v>171</v>
      </c>
      <c r="E208" s="63">
        <v>492173.28</v>
      </c>
      <c r="F208" s="63">
        <v>18000</v>
      </c>
      <c r="G208" s="63"/>
      <c r="H208" s="51">
        <f t="shared" ref="H208" si="51">SUM(E208+F208-G208)</f>
        <v>510173.28</v>
      </c>
    </row>
    <row r="209" spans="1:8" s="22" customFormat="1" ht="12" customHeight="1">
      <c r="A209" s="38"/>
      <c r="B209" s="65">
        <v>80104</v>
      </c>
      <c r="C209" s="32"/>
      <c r="D209" s="43" t="s">
        <v>17</v>
      </c>
      <c r="E209" s="45">
        <v>60422666.990000002</v>
      </c>
      <c r="F209" s="45">
        <f>SUM(F210,F213)</f>
        <v>1159480</v>
      </c>
      <c r="G209" s="45">
        <f>SUM(G210,G213)</f>
        <v>24000</v>
      </c>
      <c r="H209" s="44">
        <f>SUM(E209+F209-G209)</f>
        <v>61558146.990000002</v>
      </c>
    </row>
    <row r="210" spans="1:8" s="22" customFormat="1" ht="12" customHeight="1">
      <c r="A210" s="38"/>
      <c r="B210" s="65"/>
      <c r="C210" s="32"/>
      <c r="D210" s="629" t="s">
        <v>164</v>
      </c>
      <c r="E210" s="627">
        <v>13875820</v>
      </c>
      <c r="F210" s="627">
        <f>SUM(F211:F212)</f>
        <v>1000000</v>
      </c>
      <c r="G210" s="627">
        <f>SUM(G211:G212)</f>
        <v>0</v>
      </c>
      <c r="H210" s="102">
        <f>SUM(E210+F210-G210)</f>
        <v>14875820</v>
      </c>
    </row>
    <row r="211" spans="1:8" s="22" customFormat="1" ht="23.25" customHeight="1">
      <c r="A211" s="38"/>
      <c r="B211" s="65"/>
      <c r="C211" s="53" t="s">
        <v>165</v>
      </c>
      <c r="D211" s="87" t="s">
        <v>166</v>
      </c>
      <c r="E211" s="50">
        <v>9483881.1999999993</v>
      </c>
      <c r="F211" s="63">
        <v>700000</v>
      </c>
      <c r="G211" s="63"/>
      <c r="H211" s="51">
        <f t="shared" ref="H211:H212" si="52">SUM(E211+F211-G211)</f>
        <v>10183881.199999999</v>
      </c>
    </row>
    <row r="212" spans="1:8" s="22" customFormat="1" ht="31.5" customHeight="1">
      <c r="A212" s="38"/>
      <c r="B212" s="65"/>
      <c r="C212" s="53" t="s">
        <v>167</v>
      </c>
      <c r="D212" s="87" t="s">
        <v>168</v>
      </c>
      <c r="E212" s="50">
        <v>3891938.8</v>
      </c>
      <c r="F212" s="63">
        <v>300000</v>
      </c>
      <c r="G212" s="63"/>
      <c r="H212" s="51">
        <f t="shared" si="52"/>
        <v>4191938.8</v>
      </c>
    </row>
    <row r="213" spans="1:8" s="22" customFormat="1" ht="12" customHeight="1">
      <c r="A213" s="38"/>
      <c r="B213" s="65"/>
      <c r="C213" s="32"/>
      <c r="D213" s="640" t="s">
        <v>21</v>
      </c>
      <c r="E213" s="627">
        <v>45646610.420000002</v>
      </c>
      <c r="F213" s="627">
        <f>SUM(F214:F222)</f>
        <v>159480</v>
      </c>
      <c r="G213" s="627">
        <f>SUM(G214:G222)</f>
        <v>24000</v>
      </c>
      <c r="H213" s="102">
        <f>SUM(E213+F213-G213)</f>
        <v>45782090.420000002</v>
      </c>
    </row>
    <row r="214" spans="1:8" s="22" customFormat="1" ht="12" customHeight="1">
      <c r="A214" s="38"/>
      <c r="B214" s="65"/>
      <c r="C214" s="122">
        <v>3020</v>
      </c>
      <c r="D214" s="104" t="s">
        <v>148</v>
      </c>
      <c r="E214" s="63">
        <v>126023</v>
      </c>
      <c r="F214" s="63">
        <v>1000</v>
      </c>
      <c r="G214" s="63"/>
      <c r="H214" s="51">
        <f t="shared" ref="H214:H234" si="53">SUM(E214+F214-G214)</f>
        <v>127023</v>
      </c>
    </row>
    <row r="215" spans="1:8" s="22" customFormat="1" ht="12" customHeight="1">
      <c r="A215" s="38"/>
      <c r="B215" s="65"/>
      <c r="C215" s="82" t="s">
        <v>175</v>
      </c>
      <c r="D215" s="104" t="s">
        <v>128</v>
      </c>
      <c r="E215" s="63">
        <v>11941548.74</v>
      </c>
      <c r="F215" s="63">
        <v>95000</v>
      </c>
      <c r="G215" s="63"/>
      <c r="H215" s="51">
        <f>SUM(E215+F215-G215)</f>
        <v>12036548.74</v>
      </c>
    </row>
    <row r="216" spans="1:8" s="22" customFormat="1" ht="12" customHeight="1">
      <c r="A216" s="38"/>
      <c r="B216" s="65"/>
      <c r="C216" s="67">
        <v>4260</v>
      </c>
      <c r="D216" s="104" t="s">
        <v>169</v>
      </c>
      <c r="E216" s="63">
        <v>2569977</v>
      </c>
      <c r="F216" s="63"/>
      <c r="G216" s="63">
        <v>23000</v>
      </c>
      <c r="H216" s="51">
        <f t="shared" ref="H216" si="54">SUM(E216+F216-G216)</f>
        <v>2546977</v>
      </c>
    </row>
    <row r="217" spans="1:8" s="22" customFormat="1" ht="12" customHeight="1">
      <c r="A217" s="38"/>
      <c r="B217" s="65"/>
      <c r="C217" s="67">
        <v>4270</v>
      </c>
      <c r="D217" s="104" t="s">
        <v>126</v>
      </c>
      <c r="E217" s="63">
        <v>289860</v>
      </c>
      <c r="F217" s="63">
        <v>10000</v>
      </c>
      <c r="G217" s="63"/>
      <c r="H217" s="51">
        <f t="shared" si="53"/>
        <v>299860</v>
      </c>
    </row>
    <row r="218" spans="1:8" s="22" customFormat="1" ht="12" customHeight="1">
      <c r="A218" s="38"/>
      <c r="B218" s="65"/>
      <c r="C218" s="67">
        <v>4280</v>
      </c>
      <c r="D218" s="104" t="s">
        <v>170</v>
      </c>
      <c r="E218" s="63">
        <v>40422</v>
      </c>
      <c r="F218" s="63">
        <v>480</v>
      </c>
      <c r="G218" s="63"/>
      <c r="H218" s="51">
        <f>SUM(E218+F218-G218)</f>
        <v>40902</v>
      </c>
    </row>
    <row r="219" spans="1:8" s="22" customFormat="1" ht="12" customHeight="1">
      <c r="A219" s="38"/>
      <c r="B219" s="65"/>
      <c r="C219" s="67">
        <v>4300</v>
      </c>
      <c r="D219" s="104" t="s">
        <v>18</v>
      </c>
      <c r="E219" s="63">
        <v>814856</v>
      </c>
      <c r="F219" s="63">
        <v>10000</v>
      </c>
      <c r="G219" s="63"/>
      <c r="H219" s="51">
        <f t="shared" si="53"/>
        <v>824856</v>
      </c>
    </row>
    <row r="220" spans="1:8" s="22" customFormat="1" ht="21.75" customHeight="1">
      <c r="A220" s="38"/>
      <c r="B220" s="65"/>
      <c r="C220" s="42">
        <v>4700</v>
      </c>
      <c r="D220" s="125" t="s">
        <v>176</v>
      </c>
      <c r="E220" s="50">
        <v>50446</v>
      </c>
      <c r="F220" s="50">
        <v>3000</v>
      </c>
      <c r="G220" s="50"/>
      <c r="H220" s="51">
        <f t="shared" si="53"/>
        <v>53446</v>
      </c>
    </row>
    <row r="221" spans="1:8" s="22" customFormat="1" ht="12" customHeight="1">
      <c r="A221" s="38"/>
      <c r="B221" s="65"/>
      <c r="C221" s="67">
        <v>4710</v>
      </c>
      <c r="D221" s="112" t="s">
        <v>25</v>
      </c>
      <c r="E221" s="50">
        <v>159936</v>
      </c>
      <c r="F221" s="50"/>
      <c r="G221" s="50">
        <v>1000</v>
      </c>
      <c r="H221" s="51">
        <f t="shared" si="53"/>
        <v>158936</v>
      </c>
    </row>
    <row r="222" spans="1:8" s="22" customFormat="1" ht="12" customHeight="1">
      <c r="A222" s="38"/>
      <c r="B222" s="65"/>
      <c r="C222" s="67">
        <v>4790</v>
      </c>
      <c r="D222" s="123" t="s">
        <v>171</v>
      </c>
      <c r="E222" s="50">
        <v>18103010.68</v>
      </c>
      <c r="F222" s="50">
        <v>40000</v>
      </c>
      <c r="G222" s="50"/>
      <c r="H222" s="51">
        <f t="shared" si="53"/>
        <v>18143010.68</v>
      </c>
    </row>
    <row r="223" spans="1:8" s="22" customFormat="1" ht="12" customHeight="1">
      <c r="A223" s="38"/>
      <c r="B223" s="67">
        <v>80105</v>
      </c>
      <c r="C223" s="32"/>
      <c r="D223" s="43" t="s">
        <v>177</v>
      </c>
      <c r="E223" s="126">
        <v>1460863.39</v>
      </c>
      <c r="F223" s="45">
        <f>SUM(F224)</f>
        <v>70000</v>
      </c>
      <c r="G223" s="45">
        <f>SUM(G224)</f>
        <v>0</v>
      </c>
      <c r="H223" s="44">
        <f t="shared" si="53"/>
        <v>1530863.39</v>
      </c>
    </row>
    <row r="224" spans="1:8" s="22" customFormat="1" ht="12" customHeight="1">
      <c r="A224" s="38"/>
      <c r="B224" s="65"/>
      <c r="C224" s="32"/>
      <c r="D224" s="640" t="s">
        <v>21</v>
      </c>
      <c r="E224" s="627">
        <v>1454225.26</v>
      </c>
      <c r="F224" s="627">
        <f>SUM(F225:F226)</f>
        <v>70000</v>
      </c>
      <c r="G224" s="627">
        <f>SUM(G225:G226)</f>
        <v>0</v>
      </c>
      <c r="H224" s="102">
        <f t="shared" si="53"/>
        <v>1524225.26</v>
      </c>
    </row>
    <row r="225" spans="1:8" s="22" customFormat="1" ht="12" customHeight="1">
      <c r="A225" s="75"/>
      <c r="B225" s="95"/>
      <c r="C225" s="117">
        <v>4010</v>
      </c>
      <c r="D225" s="43" t="s">
        <v>128</v>
      </c>
      <c r="E225" s="59">
        <v>281350</v>
      </c>
      <c r="F225" s="59">
        <v>30000</v>
      </c>
      <c r="G225" s="44"/>
      <c r="H225" s="59">
        <f t="shared" si="53"/>
        <v>311350</v>
      </c>
    </row>
    <row r="226" spans="1:8" s="22" customFormat="1" ht="12" customHeight="1">
      <c r="A226" s="38"/>
      <c r="B226" s="67"/>
      <c r="C226" s="67">
        <v>4790</v>
      </c>
      <c r="D226" s="65" t="s">
        <v>128</v>
      </c>
      <c r="E226" s="127">
        <v>765511.26</v>
      </c>
      <c r="F226" s="128">
        <v>40000</v>
      </c>
      <c r="G226" s="129"/>
      <c r="H226" s="129">
        <f t="shared" si="53"/>
        <v>805511.26</v>
      </c>
    </row>
    <row r="227" spans="1:8" s="22" customFormat="1" ht="12" customHeight="1">
      <c r="A227" s="38"/>
      <c r="B227" s="56">
        <v>80106</v>
      </c>
      <c r="C227" s="57"/>
      <c r="D227" s="58" t="s">
        <v>178</v>
      </c>
      <c r="E227" s="44">
        <v>258564</v>
      </c>
      <c r="F227" s="45">
        <f>SUM(F228)</f>
        <v>0</v>
      </c>
      <c r="G227" s="45">
        <f>SUM(G228)</f>
        <v>100000</v>
      </c>
      <c r="H227" s="44">
        <f>SUM(E227+F227-G227)</f>
        <v>158564</v>
      </c>
    </row>
    <row r="228" spans="1:8" s="22" customFormat="1" ht="12" customHeight="1">
      <c r="A228" s="38"/>
      <c r="B228" s="65"/>
      <c r="C228" s="32"/>
      <c r="D228" s="629" t="s">
        <v>164</v>
      </c>
      <c r="E228" s="627">
        <v>258564</v>
      </c>
      <c r="F228" s="627">
        <f>SUM(F229:F229)</f>
        <v>0</v>
      </c>
      <c r="G228" s="627">
        <f>SUM(G229:G229)</f>
        <v>100000</v>
      </c>
      <c r="H228" s="627">
        <f t="shared" ref="H228:H229" si="55">SUM(E228+F228-G228)</f>
        <v>158564</v>
      </c>
    </row>
    <row r="229" spans="1:8" s="22" customFormat="1" ht="22.5" customHeight="1">
      <c r="A229" s="38"/>
      <c r="B229" s="65"/>
      <c r="C229" s="42">
        <v>2540</v>
      </c>
      <c r="D229" s="87" t="s">
        <v>166</v>
      </c>
      <c r="E229" s="55">
        <v>258564</v>
      </c>
      <c r="F229" s="55"/>
      <c r="G229" s="55">
        <v>100000</v>
      </c>
      <c r="H229" s="55">
        <f t="shared" si="55"/>
        <v>158564</v>
      </c>
    </row>
    <row r="230" spans="1:8" s="22" customFormat="1" ht="12" customHeight="1">
      <c r="A230" s="38"/>
      <c r="B230" s="65">
        <v>80107</v>
      </c>
      <c r="C230" s="32"/>
      <c r="D230" s="43" t="s">
        <v>179</v>
      </c>
      <c r="E230" s="45">
        <v>8820091.8399999999</v>
      </c>
      <c r="F230" s="45">
        <f>SUM(F231)</f>
        <v>29344</v>
      </c>
      <c r="G230" s="45">
        <f>SUM(G231)</f>
        <v>0</v>
      </c>
      <c r="H230" s="44">
        <f t="shared" si="53"/>
        <v>8849435.8399999999</v>
      </c>
    </row>
    <row r="231" spans="1:8" s="22" customFormat="1" ht="12" customHeight="1">
      <c r="A231" s="38"/>
      <c r="B231" s="65"/>
      <c r="C231" s="32"/>
      <c r="D231" s="640" t="s">
        <v>21</v>
      </c>
      <c r="E231" s="627">
        <v>8820091.8399999999</v>
      </c>
      <c r="F231" s="627">
        <f>SUM(F232:F234)</f>
        <v>29344</v>
      </c>
      <c r="G231" s="627">
        <f>SUM(G232:G234)</f>
        <v>0</v>
      </c>
      <c r="H231" s="102">
        <f t="shared" si="53"/>
        <v>8849435.8399999999</v>
      </c>
    </row>
    <row r="232" spans="1:8" s="22" customFormat="1" ht="12" customHeight="1">
      <c r="A232" s="38"/>
      <c r="B232" s="65"/>
      <c r="C232" s="32" t="s">
        <v>180</v>
      </c>
      <c r="D232" s="104" t="s">
        <v>148</v>
      </c>
      <c r="E232" s="63">
        <v>5625</v>
      </c>
      <c r="F232" s="63">
        <v>4000</v>
      </c>
      <c r="G232" s="63"/>
      <c r="H232" s="63">
        <f t="shared" si="53"/>
        <v>9625</v>
      </c>
    </row>
    <row r="233" spans="1:8" s="22" customFormat="1" ht="12" customHeight="1">
      <c r="A233" s="38"/>
      <c r="B233" s="65"/>
      <c r="C233" s="32" t="s">
        <v>181</v>
      </c>
      <c r="D233" s="104" t="s">
        <v>45</v>
      </c>
      <c r="E233" s="63">
        <v>1245645</v>
      </c>
      <c r="F233" s="63">
        <v>344</v>
      </c>
      <c r="G233" s="63"/>
      <c r="H233" s="63">
        <f t="shared" si="53"/>
        <v>1245989</v>
      </c>
    </row>
    <row r="234" spans="1:8" s="22" customFormat="1" ht="12" customHeight="1">
      <c r="A234" s="38"/>
      <c r="B234" s="65"/>
      <c r="C234" s="67">
        <v>4790</v>
      </c>
      <c r="D234" s="123" t="s">
        <v>171</v>
      </c>
      <c r="E234" s="63">
        <v>6408864.8399999999</v>
      </c>
      <c r="F234" s="63">
        <f>10000+15000</f>
        <v>25000</v>
      </c>
      <c r="G234" s="63"/>
      <c r="H234" s="51">
        <f t="shared" si="53"/>
        <v>6433864.8399999999</v>
      </c>
    </row>
    <row r="235" spans="1:8" s="22" customFormat="1" ht="12" customHeight="1">
      <c r="A235" s="38"/>
      <c r="B235" s="65">
        <v>80113</v>
      </c>
      <c r="C235" s="32"/>
      <c r="D235" s="1" t="s">
        <v>182</v>
      </c>
      <c r="E235" s="45">
        <v>1489684.8</v>
      </c>
      <c r="F235" s="45">
        <f>SUM(F236,F242)</f>
        <v>130000</v>
      </c>
      <c r="G235" s="45">
        <f>SUM(G236,G242)</f>
        <v>19000</v>
      </c>
      <c r="H235" s="44">
        <f>SUM(E235+F235-G235)</f>
        <v>1600684.8</v>
      </c>
    </row>
    <row r="236" spans="1:8" s="22" customFormat="1" ht="12" customHeight="1">
      <c r="A236" s="38"/>
      <c r="B236" s="65"/>
      <c r="C236" s="32"/>
      <c r="D236" s="640" t="s">
        <v>21</v>
      </c>
      <c r="E236" s="627">
        <v>1129784.8</v>
      </c>
      <c r="F236" s="627">
        <f>SUM(F237:F241)</f>
        <v>30000</v>
      </c>
      <c r="G236" s="627">
        <f>SUM(G237:G241)</f>
        <v>19000</v>
      </c>
      <c r="H236" s="102">
        <f>SUM(E236+F236-G236)</f>
        <v>1140784.8</v>
      </c>
    </row>
    <row r="237" spans="1:8" s="22" customFormat="1" ht="12" customHeight="1">
      <c r="A237" s="38"/>
      <c r="B237" s="65"/>
      <c r="C237" s="32" t="s">
        <v>175</v>
      </c>
      <c r="D237" s="104" t="s">
        <v>128</v>
      </c>
      <c r="E237" s="63">
        <v>686208.8</v>
      </c>
      <c r="F237" s="63">
        <v>30000</v>
      </c>
      <c r="G237" s="63"/>
      <c r="H237" s="51">
        <f t="shared" ref="H237:H254" si="56">SUM(E237+F237-G237)</f>
        <v>716208.8</v>
      </c>
    </row>
    <row r="238" spans="1:8" s="22" customFormat="1" ht="12" customHeight="1">
      <c r="A238" s="38"/>
      <c r="B238" s="65"/>
      <c r="C238" s="32" t="s">
        <v>42</v>
      </c>
      <c r="D238" s="112" t="s">
        <v>43</v>
      </c>
      <c r="E238" s="63">
        <v>92310</v>
      </c>
      <c r="F238" s="63"/>
      <c r="G238" s="63">
        <v>5000</v>
      </c>
      <c r="H238" s="51">
        <f t="shared" si="56"/>
        <v>87310</v>
      </c>
    </row>
    <row r="239" spans="1:8" s="22" customFormat="1" ht="12" customHeight="1">
      <c r="A239" s="38"/>
      <c r="B239" s="65"/>
      <c r="C239" s="32" t="s">
        <v>183</v>
      </c>
      <c r="D239" s="104" t="s">
        <v>169</v>
      </c>
      <c r="E239" s="63">
        <v>9034</v>
      </c>
      <c r="F239" s="63"/>
      <c r="G239" s="63">
        <v>8000</v>
      </c>
      <c r="H239" s="51">
        <f t="shared" si="56"/>
        <v>1034</v>
      </c>
    </row>
    <row r="240" spans="1:8" s="22" customFormat="1" ht="12" customHeight="1">
      <c r="A240" s="38"/>
      <c r="B240" s="65"/>
      <c r="C240" s="32" t="s">
        <v>184</v>
      </c>
      <c r="D240" s="104" t="s">
        <v>18</v>
      </c>
      <c r="E240" s="63">
        <v>33333</v>
      </c>
      <c r="F240" s="63"/>
      <c r="G240" s="63">
        <v>3000</v>
      </c>
      <c r="H240" s="51">
        <f t="shared" si="56"/>
        <v>30333</v>
      </c>
    </row>
    <row r="241" spans="1:8" s="22" customFormat="1" ht="21.75" customHeight="1">
      <c r="A241" s="38"/>
      <c r="B241" s="65"/>
      <c r="C241" s="130">
        <v>4400</v>
      </c>
      <c r="D241" s="62" t="s">
        <v>185</v>
      </c>
      <c r="E241" s="63">
        <v>12000</v>
      </c>
      <c r="F241" s="63"/>
      <c r="G241" s="63">
        <v>3000</v>
      </c>
      <c r="H241" s="51">
        <f t="shared" si="56"/>
        <v>9000</v>
      </c>
    </row>
    <row r="242" spans="1:8" s="22" customFormat="1" ht="12" customHeight="1">
      <c r="A242" s="38"/>
      <c r="B242" s="65"/>
      <c r="C242" s="32"/>
      <c r="D242" s="629" t="s">
        <v>164</v>
      </c>
      <c r="E242" s="627">
        <v>359900</v>
      </c>
      <c r="F242" s="627">
        <f>SUM(F243:F243)</f>
        <v>100000</v>
      </c>
      <c r="G242" s="627">
        <f>SUM(G243:G243)</f>
        <v>0</v>
      </c>
      <c r="H242" s="627">
        <f t="shared" si="56"/>
        <v>459900</v>
      </c>
    </row>
    <row r="243" spans="1:8" s="22" customFormat="1" ht="12" customHeight="1">
      <c r="A243" s="38"/>
      <c r="B243" s="65"/>
      <c r="C243" s="32" t="s">
        <v>184</v>
      </c>
      <c r="D243" s="104" t="s">
        <v>18</v>
      </c>
      <c r="E243" s="55">
        <v>359900</v>
      </c>
      <c r="F243" s="55">
        <v>100000</v>
      </c>
      <c r="G243" s="55"/>
      <c r="H243" s="55">
        <f t="shared" si="56"/>
        <v>459900</v>
      </c>
    </row>
    <row r="244" spans="1:8" s="22" customFormat="1" ht="12" customHeight="1">
      <c r="A244" s="38"/>
      <c r="B244" s="65">
        <v>80115</v>
      </c>
      <c r="C244" s="32"/>
      <c r="D244" s="43" t="s">
        <v>19</v>
      </c>
      <c r="E244" s="44">
        <v>66375944.300000004</v>
      </c>
      <c r="F244" s="45">
        <f>SUM(F245,F247)</f>
        <v>105460</v>
      </c>
      <c r="G244" s="45">
        <f>SUM(G245,G247)</f>
        <v>211500</v>
      </c>
      <c r="H244" s="44">
        <f t="shared" si="56"/>
        <v>66269904.300000004</v>
      </c>
    </row>
    <row r="245" spans="1:8" s="22" customFormat="1" ht="12" customHeight="1">
      <c r="A245" s="38"/>
      <c r="B245" s="65"/>
      <c r="C245" s="32"/>
      <c r="D245" s="629" t="s">
        <v>164</v>
      </c>
      <c r="E245" s="627">
        <v>4256329.4400000004</v>
      </c>
      <c r="F245" s="627">
        <f>SUM(F246:F246)</f>
        <v>0</v>
      </c>
      <c r="G245" s="627">
        <f>SUM(G246:G246)</f>
        <v>200000</v>
      </c>
      <c r="H245" s="627">
        <f t="shared" si="56"/>
        <v>4056329.4400000004</v>
      </c>
    </row>
    <row r="246" spans="1:8" s="22" customFormat="1" ht="23.25" customHeight="1">
      <c r="A246" s="38"/>
      <c r="B246" s="65"/>
      <c r="C246" s="42">
        <v>2540</v>
      </c>
      <c r="D246" s="87" t="s">
        <v>166</v>
      </c>
      <c r="E246" s="55">
        <v>4256329.4400000004</v>
      </c>
      <c r="F246" s="55"/>
      <c r="G246" s="55">
        <v>200000</v>
      </c>
      <c r="H246" s="55">
        <f t="shared" si="56"/>
        <v>4056329.4400000004</v>
      </c>
    </row>
    <row r="247" spans="1:8" s="22" customFormat="1" ht="12" customHeight="1">
      <c r="A247" s="38"/>
      <c r="B247" s="65"/>
      <c r="C247" s="32"/>
      <c r="D247" s="640" t="s">
        <v>21</v>
      </c>
      <c r="E247" s="627">
        <v>60789530.540000007</v>
      </c>
      <c r="F247" s="627">
        <f>SUM(F248:F254)</f>
        <v>105460</v>
      </c>
      <c r="G247" s="627">
        <f>SUM(G248:G254)</f>
        <v>11500</v>
      </c>
      <c r="H247" s="102">
        <f t="shared" si="56"/>
        <v>60883490.540000007</v>
      </c>
    </row>
    <row r="248" spans="1:8" s="22" customFormat="1" ht="12" customHeight="1">
      <c r="A248" s="38"/>
      <c r="B248" s="65"/>
      <c r="C248" s="67">
        <v>3020</v>
      </c>
      <c r="D248" s="104" t="s">
        <v>148</v>
      </c>
      <c r="E248" s="63">
        <v>203397</v>
      </c>
      <c r="F248" s="63">
        <v>4860</v>
      </c>
      <c r="G248" s="50"/>
      <c r="H248" s="55">
        <f t="shared" si="56"/>
        <v>208257</v>
      </c>
    </row>
    <row r="249" spans="1:8" s="22" customFormat="1" ht="12" customHeight="1">
      <c r="A249" s="38"/>
      <c r="B249" s="65"/>
      <c r="C249" s="67">
        <v>4010</v>
      </c>
      <c r="D249" s="104" t="s">
        <v>128</v>
      </c>
      <c r="E249" s="63">
        <v>7315834.4199999999</v>
      </c>
      <c r="F249" s="63">
        <v>88600</v>
      </c>
      <c r="G249" s="50"/>
      <c r="H249" s="55">
        <f t="shared" si="56"/>
        <v>7404434.4199999999</v>
      </c>
    </row>
    <row r="250" spans="1:8" s="22" customFormat="1" ht="12" customHeight="1">
      <c r="A250" s="38"/>
      <c r="B250" s="65"/>
      <c r="C250" s="67">
        <v>4210</v>
      </c>
      <c r="D250" s="112" t="s">
        <v>43</v>
      </c>
      <c r="E250" s="63">
        <v>267119</v>
      </c>
      <c r="F250" s="63">
        <v>5000</v>
      </c>
      <c r="G250" s="50"/>
      <c r="H250" s="55">
        <f t="shared" si="56"/>
        <v>272119</v>
      </c>
    </row>
    <row r="251" spans="1:8" s="22" customFormat="1" ht="12" customHeight="1">
      <c r="A251" s="38"/>
      <c r="B251" s="65"/>
      <c r="C251" s="67">
        <v>4260</v>
      </c>
      <c r="D251" s="104" t="s">
        <v>169</v>
      </c>
      <c r="E251" s="63">
        <v>3397222.5</v>
      </c>
      <c r="F251" s="63"/>
      <c r="G251" s="50">
        <v>6000</v>
      </c>
      <c r="H251" s="55">
        <f t="shared" si="56"/>
        <v>3391222.5</v>
      </c>
    </row>
    <row r="252" spans="1:8" s="22" customFormat="1" ht="12" customHeight="1">
      <c r="A252" s="38"/>
      <c r="B252" s="65"/>
      <c r="C252" s="67">
        <v>4270</v>
      </c>
      <c r="D252" s="104" t="s">
        <v>126</v>
      </c>
      <c r="E252" s="63">
        <v>204407</v>
      </c>
      <c r="F252" s="63">
        <v>5000</v>
      </c>
      <c r="G252" s="50"/>
      <c r="H252" s="55">
        <f t="shared" si="56"/>
        <v>209407</v>
      </c>
    </row>
    <row r="253" spans="1:8" s="22" customFormat="1" ht="12" customHeight="1">
      <c r="A253" s="38"/>
      <c r="B253" s="65"/>
      <c r="C253" s="67">
        <v>4430</v>
      </c>
      <c r="D253" s="104" t="s">
        <v>140</v>
      </c>
      <c r="E253" s="63">
        <v>43378</v>
      </c>
      <c r="F253" s="63"/>
      <c r="G253" s="50">
        <v>5500</v>
      </c>
      <c r="H253" s="55">
        <f>SUM(E253+F253-G253)</f>
        <v>37878</v>
      </c>
    </row>
    <row r="254" spans="1:8" s="22" customFormat="1" ht="22.5" customHeight="1">
      <c r="A254" s="38"/>
      <c r="B254" s="65"/>
      <c r="C254" s="42">
        <v>4700</v>
      </c>
      <c r="D254" s="125" t="s">
        <v>176</v>
      </c>
      <c r="E254" s="63">
        <v>48200</v>
      </c>
      <c r="F254" s="63">
        <v>2000</v>
      </c>
      <c r="G254" s="50"/>
      <c r="H254" s="55">
        <f t="shared" si="56"/>
        <v>50200</v>
      </c>
    </row>
    <row r="255" spans="1:8" s="22" customFormat="1" ht="12" customHeight="1">
      <c r="A255" s="38"/>
      <c r="B255" s="65">
        <v>80116</v>
      </c>
      <c r="C255" s="32"/>
      <c r="D255" s="43" t="s">
        <v>186</v>
      </c>
      <c r="E255" s="59">
        <v>11129068.07</v>
      </c>
      <c r="F255" s="45">
        <f>SUM(F256)</f>
        <v>20000</v>
      </c>
      <c r="G255" s="45">
        <f>SUM(G256)</f>
        <v>0</v>
      </c>
      <c r="H255" s="44">
        <f>SUM(E255+F255-G255)</f>
        <v>11149068.07</v>
      </c>
    </row>
    <row r="256" spans="1:8" s="22" customFormat="1" ht="12" customHeight="1">
      <c r="A256" s="38"/>
      <c r="B256" s="65"/>
      <c r="C256" s="32"/>
      <c r="D256" s="640" t="s">
        <v>21</v>
      </c>
      <c r="E256" s="627">
        <v>1244020.98</v>
      </c>
      <c r="F256" s="627">
        <f>SUM(F257:F257)</f>
        <v>20000</v>
      </c>
      <c r="G256" s="627">
        <f>SUM(G257:G257)</f>
        <v>0</v>
      </c>
      <c r="H256" s="102">
        <f>SUM(E256+F256-G256)</f>
        <v>1264020.98</v>
      </c>
    </row>
    <row r="257" spans="1:8" s="22" customFormat="1" ht="12" customHeight="1">
      <c r="A257" s="38"/>
      <c r="B257" s="65"/>
      <c r="C257" s="32" t="s">
        <v>175</v>
      </c>
      <c r="D257" s="104" t="s">
        <v>128</v>
      </c>
      <c r="E257" s="63">
        <v>178405.66</v>
      </c>
      <c r="F257" s="63">
        <v>20000</v>
      </c>
      <c r="G257" s="63"/>
      <c r="H257" s="51">
        <f t="shared" ref="H257:H258" si="57">SUM(E257+F257-G257)</f>
        <v>198405.66</v>
      </c>
    </row>
    <row r="258" spans="1:8" s="22" customFormat="1" ht="12" customHeight="1">
      <c r="A258" s="38"/>
      <c r="B258" s="65">
        <v>80117</v>
      </c>
      <c r="C258" s="32"/>
      <c r="D258" s="43" t="s">
        <v>187</v>
      </c>
      <c r="E258" s="44">
        <v>11571240.77</v>
      </c>
      <c r="F258" s="45">
        <f>SUM(F259,F262)</f>
        <v>1279140</v>
      </c>
      <c r="G258" s="45">
        <f>SUM(G259,G262)</f>
        <v>8500</v>
      </c>
      <c r="H258" s="44">
        <f t="shared" si="57"/>
        <v>12841880.77</v>
      </c>
    </row>
    <row r="259" spans="1:8" s="22" customFormat="1" ht="12" customHeight="1">
      <c r="A259" s="38"/>
      <c r="B259" s="65"/>
      <c r="C259" s="32"/>
      <c r="D259" s="629" t="s">
        <v>164</v>
      </c>
      <c r="E259" s="627">
        <v>3686408.1799999997</v>
      </c>
      <c r="F259" s="627">
        <f>SUM(F260:F261)</f>
        <v>1275000</v>
      </c>
      <c r="G259" s="627">
        <f>SUM(G260:G261)</f>
        <v>0</v>
      </c>
      <c r="H259" s="102">
        <f>SUM(E259+F259-G259)</f>
        <v>4961408.18</v>
      </c>
    </row>
    <row r="260" spans="1:8" s="22" customFormat="1" ht="22.5" customHeight="1">
      <c r="A260" s="38"/>
      <c r="B260" s="65"/>
      <c r="C260" s="53" t="s">
        <v>165</v>
      </c>
      <c r="D260" s="87" t="s">
        <v>166</v>
      </c>
      <c r="E260" s="50">
        <v>2202774</v>
      </c>
      <c r="F260" s="63">
        <v>675000</v>
      </c>
      <c r="G260" s="63"/>
      <c r="H260" s="51">
        <f t="shared" ref="H260:H261" si="58">SUM(E260+F260-G260)</f>
        <v>2877774</v>
      </c>
    </row>
    <row r="261" spans="1:8" s="22" customFormat="1" ht="34.5" customHeight="1">
      <c r="A261" s="38"/>
      <c r="B261" s="65"/>
      <c r="C261" s="53" t="s">
        <v>167</v>
      </c>
      <c r="D261" s="87" t="s">
        <v>168</v>
      </c>
      <c r="E261" s="50">
        <v>1483634.18</v>
      </c>
      <c r="F261" s="63">
        <v>600000</v>
      </c>
      <c r="G261" s="63"/>
      <c r="H261" s="51">
        <f t="shared" si="58"/>
        <v>2083634.18</v>
      </c>
    </row>
    <row r="262" spans="1:8" s="22" customFormat="1" ht="12" customHeight="1">
      <c r="A262" s="38"/>
      <c r="B262" s="65"/>
      <c r="C262" s="32"/>
      <c r="D262" s="640" t="s">
        <v>21</v>
      </c>
      <c r="E262" s="627">
        <v>7621410.1600000001</v>
      </c>
      <c r="F262" s="627">
        <f>SUM(F263:F265)</f>
        <v>4140</v>
      </c>
      <c r="G262" s="627">
        <f>SUM(G263:G265)</f>
        <v>8500</v>
      </c>
      <c r="H262" s="102">
        <f>SUM(E262+F262-G262)</f>
        <v>7617050.1600000001</v>
      </c>
    </row>
    <row r="263" spans="1:8" s="22" customFormat="1" ht="12" customHeight="1">
      <c r="A263" s="38"/>
      <c r="B263" s="65"/>
      <c r="C263" s="67">
        <v>3020</v>
      </c>
      <c r="D263" s="104" t="s">
        <v>148</v>
      </c>
      <c r="E263" s="63">
        <v>44406</v>
      </c>
      <c r="F263" s="63">
        <v>4140</v>
      </c>
      <c r="G263" s="63"/>
      <c r="H263" s="63">
        <f>SUM(E263+F263-G263)</f>
        <v>48546</v>
      </c>
    </row>
    <row r="264" spans="1:8" s="22" customFormat="1" ht="12" customHeight="1">
      <c r="A264" s="38"/>
      <c r="B264" s="46"/>
      <c r="C264" s="82" t="s">
        <v>183</v>
      </c>
      <c r="D264" s="112" t="s">
        <v>169</v>
      </c>
      <c r="E264" s="63">
        <v>809281</v>
      </c>
      <c r="F264" s="63"/>
      <c r="G264" s="63">
        <v>4000</v>
      </c>
      <c r="H264" s="63">
        <f>SUM(E264+F264-G264)</f>
        <v>805281</v>
      </c>
    </row>
    <row r="265" spans="1:8" s="22" customFormat="1" ht="12" customHeight="1">
      <c r="A265" s="38"/>
      <c r="B265" s="65"/>
      <c r="C265" s="122">
        <v>4430</v>
      </c>
      <c r="D265" s="104" t="s">
        <v>140</v>
      </c>
      <c r="E265" s="63">
        <v>6031</v>
      </c>
      <c r="F265" s="63"/>
      <c r="G265" s="50">
        <v>4500</v>
      </c>
      <c r="H265" s="55">
        <f t="shared" ref="H265" si="59">SUM(E265+F265-G265)</f>
        <v>1531</v>
      </c>
    </row>
    <row r="266" spans="1:8" s="22" customFormat="1" ht="12" customHeight="1">
      <c r="A266" s="38"/>
      <c r="B266" s="56">
        <v>80120</v>
      </c>
      <c r="C266" s="57"/>
      <c r="D266" s="58" t="s">
        <v>20</v>
      </c>
      <c r="E266" s="59">
        <v>48954223.609999999</v>
      </c>
      <c r="F266" s="45">
        <f>SUM(F267,F269,F273)</f>
        <v>284480</v>
      </c>
      <c r="G266" s="45">
        <f>SUM(G267,G269,G273)</f>
        <v>3480</v>
      </c>
      <c r="H266" s="44">
        <f>SUM(E266+F266-G266)</f>
        <v>49235223.609999999</v>
      </c>
    </row>
    <row r="267" spans="1:8" s="22" customFormat="1" ht="12" customHeight="1">
      <c r="A267" s="38"/>
      <c r="B267" s="56"/>
      <c r="C267" s="32"/>
      <c r="D267" s="629" t="s">
        <v>164</v>
      </c>
      <c r="E267" s="627">
        <v>8557242.3000000007</v>
      </c>
      <c r="F267" s="627">
        <f>SUM(F268:F268)</f>
        <v>200000</v>
      </c>
      <c r="G267" s="627">
        <f>SUM(G268:G268)</f>
        <v>0</v>
      </c>
      <c r="H267" s="627">
        <f t="shared" ref="H267:H268" si="60">SUM(E267+F267-G267)</f>
        <v>8757242.3000000007</v>
      </c>
    </row>
    <row r="268" spans="1:8" s="22" customFormat="1" ht="23.25" customHeight="1">
      <c r="A268" s="38"/>
      <c r="B268" s="56"/>
      <c r="C268" s="42">
        <v>2540</v>
      </c>
      <c r="D268" s="87" t="s">
        <v>166</v>
      </c>
      <c r="E268" s="55">
        <v>3471265.85</v>
      </c>
      <c r="F268" s="55">
        <v>200000</v>
      </c>
      <c r="G268" s="55"/>
      <c r="H268" s="55">
        <f t="shared" si="60"/>
        <v>3671265.85</v>
      </c>
    </row>
    <row r="269" spans="1:8" s="22" customFormat="1" ht="12" customHeight="1">
      <c r="A269" s="38"/>
      <c r="B269" s="56"/>
      <c r="C269" s="32"/>
      <c r="D269" s="640" t="s">
        <v>21</v>
      </c>
      <c r="E269" s="627">
        <v>38816223.560000002</v>
      </c>
      <c r="F269" s="627">
        <f>SUM(F270:F272)</f>
        <v>52000</v>
      </c>
      <c r="G269" s="627">
        <f>SUM(G270:G272)</f>
        <v>2000</v>
      </c>
      <c r="H269" s="627">
        <f>SUM(E269+F269-G269)</f>
        <v>38866223.560000002</v>
      </c>
    </row>
    <row r="270" spans="1:8" s="22" customFormat="1" ht="12" customHeight="1">
      <c r="A270" s="38"/>
      <c r="B270" s="56"/>
      <c r="C270" s="67">
        <v>3020</v>
      </c>
      <c r="D270" s="104" t="s">
        <v>148</v>
      </c>
      <c r="E270" s="63">
        <v>95154</v>
      </c>
      <c r="F270" s="63">
        <v>2000</v>
      </c>
      <c r="G270" s="50"/>
      <c r="H270" s="55">
        <f t="shared" ref="H270:H272" si="61">SUM(E270+F270-G270)</f>
        <v>97154</v>
      </c>
    </row>
    <row r="271" spans="1:8" s="22" customFormat="1" ht="12" customHeight="1">
      <c r="A271" s="38"/>
      <c r="B271" s="56"/>
      <c r="C271" s="67">
        <v>4010</v>
      </c>
      <c r="D271" s="104" t="s">
        <v>128</v>
      </c>
      <c r="E271" s="63">
        <v>3695748.24</v>
      </c>
      <c r="F271" s="63">
        <v>50000</v>
      </c>
      <c r="G271" s="63"/>
      <c r="H271" s="55">
        <f t="shared" si="61"/>
        <v>3745748.24</v>
      </c>
    </row>
    <row r="272" spans="1:8" s="22" customFormat="1" ht="12" customHeight="1">
      <c r="A272" s="38"/>
      <c r="B272" s="56"/>
      <c r="C272" s="67">
        <v>4040</v>
      </c>
      <c r="D272" s="104" t="s">
        <v>154</v>
      </c>
      <c r="E272" s="63">
        <v>311916</v>
      </c>
      <c r="F272" s="63"/>
      <c r="G272" s="63">
        <v>2000</v>
      </c>
      <c r="H272" s="55">
        <f t="shared" si="61"/>
        <v>309916</v>
      </c>
    </row>
    <row r="273" spans="1:8" s="22" customFormat="1" ht="20.25" customHeight="1">
      <c r="A273" s="38"/>
      <c r="B273" s="65"/>
      <c r="C273" s="32"/>
      <c r="D273" s="629" t="s">
        <v>188</v>
      </c>
      <c r="E273" s="102">
        <v>9600</v>
      </c>
      <c r="F273" s="627">
        <f>SUM(F274:F274)</f>
        <v>32480</v>
      </c>
      <c r="G273" s="627">
        <f>SUM(G274:G274)</f>
        <v>1480</v>
      </c>
      <c r="H273" s="102">
        <f>SUM(E273+F273-G273)</f>
        <v>40600</v>
      </c>
    </row>
    <row r="274" spans="1:8" s="22" customFormat="1" ht="12" customHeight="1">
      <c r="A274" s="38"/>
      <c r="B274" s="65"/>
      <c r="C274" s="53" t="s">
        <v>42</v>
      </c>
      <c r="D274" s="112" t="s">
        <v>43</v>
      </c>
      <c r="E274" s="63">
        <v>9600</v>
      </c>
      <c r="F274" s="63">
        <v>32480</v>
      </c>
      <c r="G274" s="63">
        <v>1480</v>
      </c>
      <c r="H274" s="51">
        <f>SUM(E274+F274-G274)</f>
        <v>40600</v>
      </c>
    </row>
    <row r="275" spans="1:8" s="22" customFormat="1" ht="12" customHeight="1">
      <c r="A275" s="38"/>
      <c r="B275" s="56">
        <v>80122</v>
      </c>
      <c r="C275" s="57"/>
      <c r="D275" s="58" t="s">
        <v>189</v>
      </c>
      <c r="E275" s="59">
        <v>5186178</v>
      </c>
      <c r="F275" s="45">
        <f>SUM(F276)</f>
        <v>0</v>
      </c>
      <c r="G275" s="45">
        <f>SUM(G276)</f>
        <v>3475000</v>
      </c>
      <c r="H275" s="44">
        <f>SUM(E275+F275-G275)</f>
        <v>1711178</v>
      </c>
    </row>
    <row r="276" spans="1:8" s="22" customFormat="1" ht="12" customHeight="1">
      <c r="A276" s="38"/>
      <c r="B276" s="56"/>
      <c r="C276" s="32"/>
      <c r="D276" s="629" t="s">
        <v>164</v>
      </c>
      <c r="E276" s="627">
        <v>5186178</v>
      </c>
      <c r="F276" s="627">
        <f>SUM(F277:F278)</f>
        <v>0</v>
      </c>
      <c r="G276" s="627">
        <f>SUM(G277:G278)</f>
        <v>3475000</v>
      </c>
      <c r="H276" s="102">
        <f>SUM(E276+F276-G276)</f>
        <v>1711178</v>
      </c>
    </row>
    <row r="277" spans="1:8" s="22" customFormat="1" ht="23.25" customHeight="1">
      <c r="A277" s="75"/>
      <c r="B277" s="131"/>
      <c r="C277" s="132" t="s">
        <v>165</v>
      </c>
      <c r="D277" s="86" t="s">
        <v>166</v>
      </c>
      <c r="E277" s="78">
        <v>625800</v>
      </c>
      <c r="F277" s="59"/>
      <c r="G277" s="59">
        <v>200000</v>
      </c>
      <c r="H277" s="44">
        <f t="shared" ref="H277:H278" si="62">SUM(E277+F277-G277)</f>
        <v>425800</v>
      </c>
    </row>
    <row r="278" spans="1:8" s="22" customFormat="1" ht="33.75" customHeight="1">
      <c r="A278" s="38"/>
      <c r="B278" s="65"/>
      <c r="C278" s="53" t="s">
        <v>167</v>
      </c>
      <c r="D278" s="87" t="s">
        <v>168</v>
      </c>
      <c r="E278" s="50">
        <v>4560378</v>
      </c>
      <c r="F278" s="63"/>
      <c r="G278" s="63">
        <v>3275000</v>
      </c>
      <c r="H278" s="51">
        <f t="shared" si="62"/>
        <v>1285378</v>
      </c>
    </row>
    <row r="279" spans="1:8" s="22" customFormat="1" ht="12" customHeight="1">
      <c r="A279" s="38"/>
      <c r="B279" s="65">
        <v>80134</v>
      </c>
      <c r="C279" s="32"/>
      <c r="D279" s="68" t="s">
        <v>190</v>
      </c>
      <c r="E279" s="59">
        <v>14997349.82</v>
      </c>
      <c r="F279" s="45">
        <f>SUM(F280)</f>
        <v>85000</v>
      </c>
      <c r="G279" s="45">
        <f>SUM(G280)</f>
        <v>65000</v>
      </c>
      <c r="H279" s="44">
        <f>SUM(E279+F279-G279)</f>
        <v>15017349.82</v>
      </c>
    </row>
    <row r="280" spans="1:8" s="22" customFormat="1" ht="12" customHeight="1">
      <c r="A280" s="38"/>
      <c r="B280" s="65"/>
      <c r="C280" s="32"/>
      <c r="D280" s="640" t="s">
        <v>21</v>
      </c>
      <c r="E280" s="627">
        <v>14902420.82</v>
      </c>
      <c r="F280" s="627">
        <f>SUM(F281:F285)</f>
        <v>85000</v>
      </c>
      <c r="G280" s="627">
        <f>SUM(G281:G285)</f>
        <v>65000</v>
      </c>
      <c r="H280" s="627">
        <f>SUM(E280+F280-G280)</f>
        <v>14922420.82</v>
      </c>
    </row>
    <row r="281" spans="1:8" s="22" customFormat="1" ht="12" customHeight="1">
      <c r="A281" s="38"/>
      <c r="B281" s="65"/>
      <c r="C281" s="67">
        <v>4010</v>
      </c>
      <c r="D281" s="104" t="s">
        <v>128</v>
      </c>
      <c r="E281" s="63">
        <v>731905.2</v>
      </c>
      <c r="F281" s="63">
        <v>40000</v>
      </c>
      <c r="G281" s="50"/>
      <c r="H281" s="55">
        <f t="shared" ref="H281" si="63">SUM(E281+F281-G281)</f>
        <v>771905.2</v>
      </c>
    </row>
    <row r="282" spans="1:8" s="22" customFormat="1" ht="12" customHeight="1">
      <c r="A282" s="38"/>
      <c r="B282" s="65"/>
      <c r="C282" s="67">
        <v>4210</v>
      </c>
      <c r="D282" s="112" t="s">
        <v>43</v>
      </c>
      <c r="E282" s="63">
        <v>55263.199999999997</v>
      </c>
      <c r="F282" s="63">
        <v>40000</v>
      </c>
      <c r="G282" s="50"/>
      <c r="H282" s="55">
        <f>SUM(E282+F282-G282)</f>
        <v>95263.2</v>
      </c>
    </row>
    <row r="283" spans="1:8" s="22" customFormat="1" ht="12" customHeight="1">
      <c r="A283" s="38"/>
      <c r="B283" s="65"/>
      <c r="C283" s="67">
        <v>4260</v>
      </c>
      <c r="D283" s="112" t="s">
        <v>169</v>
      </c>
      <c r="E283" s="63">
        <v>250401</v>
      </c>
      <c r="F283" s="63"/>
      <c r="G283" s="50">
        <v>5000</v>
      </c>
      <c r="H283" s="55">
        <f>SUM(E283+F283-G283)</f>
        <v>245401</v>
      </c>
    </row>
    <row r="284" spans="1:8" s="22" customFormat="1" ht="23.25" customHeight="1">
      <c r="A284" s="38"/>
      <c r="B284" s="65"/>
      <c r="C284" s="42">
        <v>4700</v>
      </c>
      <c r="D284" s="125" t="s">
        <v>176</v>
      </c>
      <c r="E284" s="63">
        <v>6560</v>
      </c>
      <c r="F284" s="63">
        <v>5000</v>
      </c>
      <c r="G284" s="50"/>
      <c r="H284" s="55">
        <f>SUM(E284+F284-G284)</f>
        <v>11560</v>
      </c>
    </row>
    <row r="285" spans="1:8" s="22" customFormat="1" ht="12" customHeight="1">
      <c r="A285" s="38"/>
      <c r="B285" s="65"/>
      <c r="C285" s="122">
        <v>4790</v>
      </c>
      <c r="D285" s="123" t="s">
        <v>171</v>
      </c>
      <c r="E285" s="63">
        <v>9976240.6199999992</v>
      </c>
      <c r="F285" s="63"/>
      <c r="G285" s="50">
        <v>60000</v>
      </c>
      <c r="H285" s="55">
        <f t="shared" ref="H285" si="64">SUM(E285+F285-G285)</f>
        <v>9916240.6199999992</v>
      </c>
    </row>
    <row r="286" spans="1:8" s="22" customFormat="1" ht="23.25" customHeight="1">
      <c r="A286" s="38"/>
      <c r="B286" s="42">
        <v>80140</v>
      </c>
      <c r="C286" s="53"/>
      <c r="D286" s="133" t="s">
        <v>56</v>
      </c>
      <c r="E286" s="59">
        <v>5678393.5800000001</v>
      </c>
      <c r="F286" s="59">
        <f>SUM(F287)</f>
        <v>35900</v>
      </c>
      <c r="G286" s="59">
        <f>SUM(G287)</f>
        <v>0</v>
      </c>
      <c r="H286" s="44">
        <f>SUM(E286+F286-G286)</f>
        <v>5714293.5800000001</v>
      </c>
    </row>
    <row r="287" spans="1:8" s="22" customFormat="1" ht="12" customHeight="1">
      <c r="A287" s="38"/>
      <c r="B287" s="67"/>
      <c r="C287" s="53"/>
      <c r="D287" s="640" t="s">
        <v>21</v>
      </c>
      <c r="E287" s="627">
        <v>5678393.5800000001</v>
      </c>
      <c r="F287" s="627">
        <f>SUM(F288:F291)</f>
        <v>35900</v>
      </c>
      <c r="G287" s="627">
        <f>SUM(G288:G291)</f>
        <v>0</v>
      </c>
      <c r="H287" s="627">
        <f t="shared" ref="H287:H303" si="65">SUM(E287+F287-G287)</f>
        <v>5714293.5800000001</v>
      </c>
    </row>
    <row r="288" spans="1:8" s="22" customFormat="1" ht="12" customHeight="1">
      <c r="A288" s="38"/>
      <c r="B288" s="67"/>
      <c r="C288" s="134" t="s">
        <v>181</v>
      </c>
      <c r="D288" s="135" t="s">
        <v>45</v>
      </c>
      <c r="E288" s="63">
        <v>595867</v>
      </c>
      <c r="F288" s="63">
        <v>5160</v>
      </c>
      <c r="G288" s="63"/>
      <c r="H288" s="63">
        <f t="shared" si="65"/>
        <v>601027</v>
      </c>
    </row>
    <row r="289" spans="1:8" s="22" customFormat="1" ht="12" customHeight="1">
      <c r="A289" s="38"/>
      <c r="B289" s="67"/>
      <c r="C289" s="53" t="s">
        <v>191</v>
      </c>
      <c r="D289" s="104" t="s">
        <v>26</v>
      </c>
      <c r="E289" s="63">
        <v>81046</v>
      </c>
      <c r="F289" s="63">
        <v>740</v>
      </c>
      <c r="G289" s="63"/>
      <c r="H289" s="63">
        <f t="shared" si="65"/>
        <v>81786</v>
      </c>
    </row>
    <row r="290" spans="1:8" s="22" customFormat="1" ht="12" customHeight="1">
      <c r="A290" s="38"/>
      <c r="B290" s="67"/>
      <c r="C290" s="53" t="s">
        <v>27</v>
      </c>
      <c r="D290" s="104" t="s">
        <v>22</v>
      </c>
      <c r="E290" s="63">
        <v>8000</v>
      </c>
      <c r="F290" s="63">
        <v>10000</v>
      </c>
      <c r="G290" s="63"/>
      <c r="H290" s="63">
        <f t="shared" si="65"/>
        <v>18000</v>
      </c>
    </row>
    <row r="291" spans="1:8" s="22" customFormat="1" ht="12" customHeight="1">
      <c r="A291" s="38"/>
      <c r="B291" s="67"/>
      <c r="C291" s="53" t="s">
        <v>173</v>
      </c>
      <c r="D291" s="123" t="s">
        <v>171</v>
      </c>
      <c r="E291" s="51">
        <v>2439743.08</v>
      </c>
      <c r="F291" s="51">
        <v>20000</v>
      </c>
      <c r="G291" s="51"/>
      <c r="H291" s="51">
        <f t="shared" si="65"/>
        <v>2459743.08</v>
      </c>
    </row>
    <row r="292" spans="1:8" s="22" customFormat="1" ht="12" customHeight="1">
      <c r="A292" s="38"/>
      <c r="B292" s="65">
        <v>80142</v>
      </c>
      <c r="C292" s="32"/>
      <c r="D292" s="136" t="s">
        <v>57</v>
      </c>
      <c r="E292" s="59">
        <v>163928.26</v>
      </c>
      <c r="F292" s="45">
        <f>SUM(F293)</f>
        <v>10000</v>
      </c>
      <c r="G292" s="45">
        <f>SUM(G293)</f>
        <v>0</v>
      </c>
      <c r="H292" s="44">
        <f t="shared" si="65"/>
        <v>173928.26</v>
      </c>
    </row>
    <row r="293" spans="1:8" s="22" customFormat="1" ht="12" customHeight="1">
      <c r="A293" s="38"/>
      <c r="B293" s="65"/>
      <c r="C293" s="32"/>
      <c r="D293" s="640" t="s">
        <v>21</v>
      </c>
      <c r="E293" s="627">
        <v>163928.26</v>
      </c>
      <c r="F293" s="627">
        <f>SUM(F294:F294)</f>
        <v>10000</v>
      </c>
      <c r="G293" s="627">
        <f>SUM(G294:G294)</f>
        <v>0</v>
      </c>
      <c r="H293" s="627">
        <f t="shared" si="65"/>
        <v>173928.26</v>
      </c>
    </row>
    <row r="294" spans="1:8" s="22" customFormat="1" ht="12" customHeight="1">
      <c r="A294" s="38"/>
      <c r="B294" s="65"/>
      <c r="C294" s="67">
        <v>4010</v>
      </c>
      <c r="D294" s="104" t="s">
        <v>128</v>
      </c>
      <c r="E294" s="63">
        <v>116719.26</v>
      </c>
      <c r="F294" s="63">
        <v>10000</v>
      </c>
      <c r="G294" s="50"/>
      <c r="H294" s="55">
        <f t="shared" si="65"/>
        <v>126719.26</v>
      </c>
    </row>
    <row r="295" spans="1:8" s="22" customFormat="1" ht="12" customHeight="1">
      <c r="A295" s="38"/>
      <c r="B295" s="65">
        <v>80146</v>
      </c>
      <c r="C295" s="32"/>
      <c r="D295" s="136" t="s">
        <v>192</v>
      </c>
      <c r="E295" s="59">
        <v>2165410</v>
      </c>
      <c r="F295" s="45">
        <f>SUM(F296)</f>
        <v>9741</v>
      </c>
      <c r="G295" s="45">
        <f>SUM(G296)</f>
        <v>9741</v>
      </c>
      <c r="H295" s="44">
        <f t="shared" si="65"/>
        <v>2165410</v>
      </c>
    </row>
    <row r="296" spans="1:8" s="22" customFormat="1" ht="12" customHeight="1">
      <c r="A296" s="38"/>
      <c r="B296" s="65"/>
      <c r="C296" s="32"/>
      <c r="D296" s="640" t="s">
        <v>21</v>
      </c>
      <c r="E296" s="627">
        <v>1932493.81</v>
      </c>
      <c r="F296" s="627">
        <f>SUM(F297:F299)</f>
        <v>9741</v>
      </c>
      <c r="G296" s="627">
        <f>SUM(G297:G299)</f>
        <v>9741</v>
      </c>
      <c r="H296" s="627">
        <f t="shared" si="65"/>
        <v>1932493.81</v>
      </c>
    </row>
    <row r="297" spans="1:8" s="22" customFormat="1" ht="12" customHeight="1">
      <c r="A297" s="38"/>
      <c r="B297" s="65"/>
      <c r="C297" s="32" t="s">
        <v>184</v>
      </c>
      <c r="D297" s="104" t="s">
        <v>18</v>
      </c>
      <c r="E297" s="63">
        <v>468954.01</v>
      </c>
      <c r="F297" s="51"/>
      <c r="G297" s="63">
        <v>8741</v>
      </c>
      <c r="H297" s="63">
        <f t="shared" si="65"/>
        <v>460213.01</v>
      </c>
    </row>
    <row r="298" spans="1:8" s="22" customFormat="1" ht="12" customHeight="1">
      <c r="A298" s="38"/>
      <c r="B298" s="65"/>
      <c r="C298" s="32" t="s">
        <v>193</v>
      </c>
      <c r="D298" s="112" t="s">
        <v>156</v>
      </c>
      <c r="E298" s="63">
        <v>88400</v>
      </c>
      <c r="F298" s="63"/>
      <c r="G298" s="63">
        <v>1000</v>
      </c>
      <c r="H298" s="63">
        <f t="shared" si="65"/>
        <v>87400</v>
      </c>
    </row>
    <row r="299" spans="1:8" s="22" customFormat="1" ht="23.25" customHeight="1">
      <c r="A299" s="38"/>
      <c r="B299" s="65"/>
      <c r="C299" s="48" t="s">
        <v>194</v>
      </c>
      <c r="D299" s="125" t="s">
        <v>176</v>
      </c>
      <c r="E299" s="63">
        <v>775139.8</v>
      </c>
      <c r="F299" s="63">
        <v>9741</v>
      </c>
      <c r="G299" s="63"/>
      <c r="H299" s="63">
        <f t="shared" si="65"/>
        <v>784880.8</v>
      </c>
    </row>
    <row r="300" spans="1:8" s="22" customFormat="1" ht="12" customHeight="1">
      <c r="A300" s="38"/>
      <c r="B300" s="46">
        <v>80148</v>
      </c>
      <c r="C300" s="82"/>
      <c r="D300" s="43" t="s">
        <v>12</v>
      </c>
      <c r="E300" s="44">
        <v>5538406.8399999999</v>
      </c>
      <c r="F300" s="45">
        <f>SUM(F301)</f>
        <v>87000</v>
      </c>
      <c r="G300" s="45">
        <f>SUM(G301)</f>
        <v>140000</v>
      </c>
      <c r="H300" s="44">
        <f t="shared" si="65"/>
        <v>5485406.8399999999</v>
      </c>
    </row>
    <row r="301" spans="1:8" s="22" customFormat="1" ht="12" customHeight="1">
      <c r="A301" s="38"/>
      <c r="B301" s="65"/>
      <c r="C301" s="32"/>
      <c r="D301" s="640" t="s">
        <v>21</v>
      </c>
      <c r="E301" s="102">
        <v>5538406.8399999999</v>
      </c>
      <c r="F301" s="634">
        <f>SUM(F302:F305)</f>
        <v>87000</v>
      </c>
      <c r="G301" s="634">
        <f>SUM(G302:G305)</f>
        <v>140000</v>
      </c>
      <c r="H301" s="627">
        <f t="shared" si="65"/>
        <v>5485406.8399999999</v>
      </c>
    </row>
    <row r="302" spans="1:8" s="22" customFormat="1" ht="12" customHeight="1">
      <c r="A302" s="38"/>
      <c r="B302" s="65"/>
      <c r="C302" s="67">
        <v>4010</v>
      </c>
      <c r="D302" s="104" t="s">
        <v>128</v>
      </c>
      <c r="E302" s="51">
        <v>3589595.84</v>
      </c>
      <c r="F302" s="50">
        <v>75000</v>
      </c>
      <c r="G302" s="50"/>
      <c r="H302" s="55">
        <f t="shared" si="65"/>
        <v>3664595.84</v>
      </c>
    </row>
    <row r="303" spans="1:8" s="22" customFormat="1" ht="12" customHeight="1">
      <c r="A303" s="38"/>
      <c r="B303" s="65"/>
      <c r="C303" s="67">
        <v>4110</v>
      </c>
      <c r="D303" s="104" t="s">
        <v>45</v>
      </c>
      <c r="E303" s="51">
        <v>705589</v>
      </c>
      <c r="F303" s="50">
        <f>2000+10000</f>
        <v>12000</v>
      </c>
      <c r="G303" s="50"/>
      <c r="H303" s="55">
        <f t="shared" si="65"/>
        <v>717589</v>
      </c>
    </row>
    <row r="304" spans="1:8" s="22" customFormat="1" ht="12" customHeight="1">
      <c r="A304" s="38"/>
      <c r="B304" s="65"/>
      <c r="C304" s="67">
        <v>4210</v>
      </c>
      <c r="D304" s="112" t="s">
        <v>43</v>
      </c>
      <c r="E304" s="51">
        <v>301309</v>
      </c>
      <c r="F304" s="50"/>
      <c r="G304" s="50">
        <v>90000</v>
      </c>
      <c r="H304" s="55">
        <f>SUM(E304+F304-G304)</f>
        <v>211309</v>
      </c>
    </row>
    <row r="305" spans="1:8" s="22" customFormat="1" ht="12" customHeight="1">
      <c r="A305" s="38"/>
      <c r="B305" s="65"/>
      <c r="C305" s="67">
        <v>4260</v>
      </c>
      <c r="D305" s="112" t="s">
        <v>169</v>
      </c>
      <c r="E305" s="51">
        <v>184351</v>
      </c>
      <c r="F305" s="50"/>
      <c r="G305" s="50">
        <v>50000</v>
      </c>
      <c r="H305" s="55">
        <f>SUM(E305+F305-G305)</f>
        <v>134351</v>
      </c>
    </row>
    <row r="306" spans="1:8" s="22" customFormat="1" ht="12" customHeight="1">
      <c r="A306" s="38"/>
      <c r="B306" s="65">
        <v>80149</v>
      </c>
      <c r="C306" s="67"/>
      <c r="D306" s="104" t="s">
        <v>195</v>
      </c>
      <c r="E306" s="51"/>
      <c r="F306" s="50"/>
      <c r="G306" s="50"/>
      <c r="H306" s="55"/>
    </row>
    <row r="307" spans="1:8" s="22" customFormat="1" ht="12" customHeight="1">
      <c r="A307" s="38"/>
      <c r="B307" s="65"/>
      <c r="C307" s="67"/>
      <c r="D307" s="104" t="s">
        <v>196</v>
      </c>
      <c r="E307" s="51"/>
      <c r="F307" s="50"/>
      <c r="G307" s="50"/>
      <c r="H307" s="55"/>
    </row>
    <row r="308" spans="1:8" s="22" customFormat="1" ht="12" customHeight="1">
      <c r="A308" s="38"/>
      <c r="B308" s="65"/>
      <c r="C308" s="67"/>
      <c r="D308" s="104" t="s">
        <v>197</v>
      </c>
      <c r="E308" s="51"/>
      <c r="F308" s="50"/>
      <c r="G308" s="50"/>
      <c r="H308" s="55"/>
    </row>
    <row r="309" spans="1:8" s="22" customFormat="1" ht="12" customHeight="1">
      <c r="A309" s="38"/>
      <c r="B309" s="46"/>
      <c r="C309" s="82"/>
      <c r="D309" s="43" t="s">
        <v>198</v>
      </c>
      <c r="E309" s="44">
        <v>8736543.2600000016</v>
      </c>
      <c r="F309" s="45">
        <f>SUM(F310,F312)</f>
        <v>1072000</v>
      </c>
      <c r="G309" s="45">
        <f>SUM(G310,G312)</f>
        <v>0</v>
      </c>
      <c r="H309" s="44">
        <f>SUM(E309+F309-G309)</f>
        <v>9808543.2600000016</v>
      </c>
    </row>
    <row r="310" spans="1:8" s="22" customFormat="1" ht="12" customHeight="1">
      <c r="A310" s="38"/>
      <c r="B310" s="46"/>
      <c r="C310" s="32"/>
      <c r="D310" s="629" t="s">
        <v>164</v>
      </c>
      <c r="E310" s="627">
        <v>4668693.5200000005</v>
      </c>
      <c r="F310" s="627">
        <f>SUM(F311:F311)</f>
        <v>1000000</v>
      </c>
      <c r="G310" s="627">
        <f>SUM(G311:G311)</f>
        <v>0</v>
      </c>
      <c r="H310" s="627">
        <f t="shared" ref="H310:H314" si="66">SUM(E310+F310-G310)</f>
        <v>5668693.5200000005</v>
      </c>
    </row>
    <row r="311" spans="1:8" s="22" customFormat="1" ht="24" customHeight="1">
      <c r="A311" s="38"/>
      <c r="B311" s="46"/>
      <c r="C311" s="42">
        <v>2540</v>
      </c>
      <c r="D311" s="87" t="s">
        <v>166</v>
      </c>
      <c r="E311" s="55">
        <v>4613118.41</v>
      </c>
      <c r="F311" s="55">
        <v>1000000</v>
      </c>
      <c r="G311" s="55"/>
      <c r="H311" s="55">
        <f t="shared" si="66"/>
        <v>5613118.4100000001</v>
      </c>
    </row>
    <row r="312" spans="1:8" s="22" customFormat="1" ht="12" customHeight="1">
      <c r="A312" s="38"/>
      <c r="B312" s="65"/>
      <c r="C312" s="32"/>
      <c r="D312" s="640" t="s">
        <v>21</v>
      </c>
      <c r="E312" s="102">
        <v>4067849.74</v>
      </c>
      <c r="F312" s="634">
        <f>SUM(F313:F314)</f>
        <v>72000</v>
      </c>
      <c r="G312" s="634">
        <f>SUM(G313:G314)</f>
        <v>0</v>
      </c>
      <c r="H312" s="627">
        <f t="shared" si="66"/>
        <v>4139849.74</v>
      </c>
    </row>
    <row r="313" spans="1:8" s="22" customFormat="1" ht="12" customHeight="1">
      <c r="A313" s="38"/>
      <c r="B313" s="65"/>
      <c r="C313" s="67">
        <v>3020</v>
      </c>
      <c r="D313" s="104" t="s">
        <v>148</v>
      </c>
      <c r="E313" s="63">
        <v>2215</v>
      </c>
      <c r="F313" s="63">
        <v>2000</v>
      </c>
      <c r="G313" s="50"/>
      <c r="H313" s="55">
        <f t="shared" si="66"/>
        <v>4215</v>
      </c>
    </row>
    <row r="314" spans="1:8" s="22" customFormat="1" ht="12" customHeight="1">
      <c r="A314" s="38"/>
      <c r="B314" s="65"/>
      <c r="C314" s="67">
        <v>4790</v>
      </c>
      <c r="D314" s="123" t="s">
        <v>171</v>
      </c>
      <c r="E314" s="51">
        <v>2830785.74</v>
      </c>
      <c r="F314" s="50">
        <v>70000</v>
      </c>
      <c r="G314" s="50"/>
      <c r="H314" s="55">
        <f t="shared" si="66"/>
        <v>2900785.74</v>
      </c>
    </row>
    <row r="315" spans="1:8" s="22" customFormat="1" ht="12" customHeight="1">
      <c r="A315" s="38"/>
      <c r="B315" s="65">
        <v>80150</v>
      </c>
      <c r="C315" s="82"/>
      <c r="D315" s="112" t="s">
        <v>195</v>
      </c>
      <c r="E315" s="55"/>
      <c r="F315" s="55"/>
      <c r="G315" s="55"/>
      <c r="H315" s="55"/>
    </row>
    <row r="316" spans="1:8" s="22" customFormat="1" ht="12" customHeight="1">
      <c r="A316" s="38"/>
      <c r="B316" s="65"/>
      <c r="C316" s="82"/>
      <c r="D316" s="112" t="s">
        <v>199</v>
      </c>
      <c r="E316" s="55"/>
      <c r="F316" s="55"/>
      <c r="G316" s="55"/>
      <c r="H316" s="55"/>
    </row>
    <row r="317" spans="1:8" s="22" customFormat="1" ht="12" customHeight="1">
      <c r="A317" s="38"/>
      <c r="B317" s="65"/>
      <c r="C317" s="32"/>
      <c r="D317" s="43" t="s">
        <v>200</v>
      </c>
      <c r="E317" s="44">
        <v>17929167.77</v>
      </c>
      <c r="F317" s="45">
        <f>SUM(F318)</f>
        <v>515672</v>
      </c>
      <c r="G317" s="45">
        <f>SUM(G318)</f>
        <v>1000</v>
      </c>
      <c r="H317" s="44">
        <f>SUM(E317+F317-G317)</f>
        <v>18443839.77</v>
      </c>
    </row>
    <row r="318" spans="1:8" s="22" customFormat="1" ht="12" customHeight="1">
      <c r="A318" s="38"/>
      <c r="B318" s="65"/>
      <c r="C318" s="32"/>
      <c r="D318" s="640" t="s">
        <v>21</v>
      </c>
      <c r="E318" s="627">
        <v>16946099.759999998</v>
      </c>
      <c r="F318" s="627">
        <f>SUM(F319:F322)</f>
        <v>515672</v>
      </c>
      <c r="G318" s="627">
        <f>SUM(G319:G322)</f>
        <v>1000</v>
      </c>
      <c r="H318" s="627">
        <f t="shared" ref="H318:H322" si="67">SUM(E318+F318-G318)</f>
        <v>17460771.759999998</v>
      </c>
    </row>
    <row r="319" spans="1:8" s="22" customFormat="1" ht="12" customHeight="1">
      <c r="A319" s="38"/>
      <c r="B319" s="65"/>
      <c r="C319" s="67">
        <v>3020</v>
      </c>
      <c r="D319" s="104" t="s">
        <v>148</v>
      </c>
      <c r="E319" s="63">
        <v>9000</v>
      </c>
      <c r="F319" s="63">
        <v>2000</v>
      </c>
      <c r="G319" s="50"/>
      <c r="H319" s="55">
        <f t="shared" si="67"/>
        <v>11000</v>
      </c>
    </row>
    <row r="320" spans="1:8" s="22" customFormat="1" ht="12" customHeight="1">
      <c r="A320" s="38"/>
      <c r="B320" s="65"/>
      <c r="C320" s="67">
        <v>4110</v>
      </c>
      <c r="D320" s="104" t="s">
        <v>45</v>
      </c>
      <c r="E320" s="63">
        <v>2609841</v>
      </c>
      <c r="F320" s="63">
        <v>172</v>
      </c>
      <c r="G320" s="63"/>
      <c r="H320" s="55">
        <f t="shared" si="67"/>
        <v>2610013</v>
      </c>
    </row>
    <row r="321" spans="1:8" s="22" customFormat="1" ht="12" customHeight="1">
      <c r="A321" s="38"/>
      <c r="B321" s="65"/>
      <c r="C321" s="67">
        <v>4790</v>
      </c>
      <c r="D321" s="123" t="s">
        <v>171</v>
      </c>
      <c r="E321" s="63">
        <v>12031049.76</v>
      </c>
      <c r="F321" s="63">
        <v>513500</v>
      </c>
      <c r="G321" s="50"/>
      <c r="H321" s="55">
        <f t="shared" si="67"/>
        <v>12544549.76</v>
      </c>
    </row>
    <row r="322" spans="1:8" s="22" customFormat="1" ht="12" customHeight="1">
      <c r="A322" s="38"/>
      <c r="B322" s="65"/>
      <c r="C322" s="122">
        <v>4800</v>
      </c>
      <c r="D322" s="123" t="s">
        <v>172</v>
      </c>
      <c r="E322" s="63">
        <v>975112</v>
      </c>
      <c r="F322" s="63"/>
      <c r="G322" s="63">
        <v>1000</v>
      </c>
      <c r="H322" s="55">
        <f t="shared" si="67"/>
        <v>974112</v>
      </c>
    </row>
    <row r="323" spans="1:8" s="22" customFormat="1" ht="12" customHeight="1">
      <c r="A323" s="38"/>
      <c r="B323" s="65">
        <v>80151</v>
      </c>
      <c r="C323" s="32"/>
      <c r="D323" s="43" t="s">
        <v>201</v>
      </c>
      <c r="E323" s="44">
        <v>749522.69000000006</v>
      </c>
      <c r="F323" s="45">
        <f>SUM(F324)</f>
        <v>10000</v>
      </c>
      <c r="G323" s="45">
        <f>SUM(G324)</f>
        <v>35900</v>
      </c>
      <c r="H323" s="44">
        <f>SUM(E323+F323-G323)</f>
        <v>723622.69000000006</v>
      </c>
    </row>
    <row r="324" spans="1:8" s="22" customFormat="1" ht="12" customHeight="1">
      <c r="A324" s="38"/>
      <c r="B324" s="65"/>
      <c r="C324" s="32"/>
      <c r="D324" s="640" t="s">
        <v>21</v>
      </c>
      <c r="E324" s="102">
        <v>694530.4</v>
      </c>
      <c r="F324" s="634">
        <f>SUM(F325:F328)</f>
        <v>10000</v>
      </c>
      <c r="G324" s="634">
        <f>SUM(G325:G328)</f>
        <v>35900</v>
      </c>
      <c r="H324" s="627">
        <f t="shared" ref="H324:H328" si="68">SUM(E324+F324-G324)</f>
        <v>668630.4</v>
      </c>
    </row>
    <row r="325" spans="1:8" s="22" customFormat="1" ht="12" customHeight="1">
      <c r="A325" s="38"/>
      <c r="B325" s="65"/>
      <c r="C325" s="67">
        <v>4010</v>
      </c>
      <c r="D325" s="104" t="s">
        <v>128</v>
      </c>
      <c r="E325" s="63">
        <v>180643.4</v>
      </c>
      <c r="F325" s="63">
        <v>10000</v>
      </c>
      <c r="G325" s="63"/>
      <c r="H325" s="55">
        <f t="shared" si="68"/>
        <v>190643.4</v>
      </c>
    </row>
    <row r="326" spans="1:8" s="22" customFormat="1" ht="12" customHeight="1">
      <c r="A326" s="38"/>
      <c r="B326" s="65"/>
      <c r="C326" s="67">
        <v>4110</v>
      </c>
      <c r="D326" s="104" t="s">
        <v>45</v>
      </c>
      <c r="E326" s="63">
        <v>89802</v>
      </c>
      <c r="F326" s="63"/>
      <c r="G326" s="63">
        <v>5160</v>
      </c>
      <c r="H326" s="55">
        <f>SUM(E326+F326-G326)</f>
        <v>84642</v>
      </c>
    </row>
    <row r="327" spans="1:8" s="22" customFormat="1" ht="12" customHeight="1">
      <c r="A327" s="38"/>
      <c r="B327" s="65"/>
      <c r="C327" s="67">
        <v>4120</v>
      </c>
      <c r="D327" s="104" t="s">
        <v>26</v>
      </c>
      <c r="E327" s="63">
        <v>12858</v>
      </c>
      <c r="F327" s="63"/>
      <c r="G327" s="63">
        <v>740</v>
      </c>
      <c r="H327" s="55">
        <f>SUM(E327+F327-G327)</f>
        <v>12118</v>
      </c>
    </row>
    <row r="328" spans="1:8" s="22" customFormat="1" ht="12" customHeight="1">
      <c r="A328" s="75"/>
      <c r="B328" s="95"/>
      <c r="C328" s="117">
        <v>4790</v>
      </c>
      <c r="D328" s="137" t="s">
        <v>171</v>
      </c>
      <c r="E328" s="59">
        <v>307222</v>
      </c>
      <c r="F328" s="59"/>
      <c r="G328" s="59">
        <v>30000</v>
      </c>
      <c r="H328" s="45">
        <f t="shared" si="68"/>
        <v>277222</v>
      </c>
    </row>
    <row r="329" spans="1:8" s="22" customFormat="1" ht="12" customHeight="1">
      <c r="A329" s="38"/>
      <c r="B329" s="65">
        <v>80152</v>
      </c>
      <c r="C329" s="82"/>
      <c r="D329" s="112" t="s">
        <v>195</v>
      </c>
      <c r="E329" s="63"/>
      <c r="F329" s="63"/>
      <c r="G329" s="63"/>
      <c r="H329" s="55"/>
    </row>
    <row r="330" spans="1:8" s="22" customFormat="1" ht="12" customHeight="1">
      <c r="A330" s="38"/>
      <c r="B330" s="65"/>
      <c r="C330" s="82"/>
      <c r="D330" s="112" t="s">
        <v>199</v>
      </c>
      <c r="E330" s="63"/>
      <c r="F330" s="63"/>
      <c r="G330" s="63"/>
      <c r="H330" s="55"/>
    </row>
    <row r="331" spans="1:8" s="22" customFormat="1" ht="12" customHeight="1">
      <c r="A331" s="38"/>
      <c r="B331" s="65"/>
      <c r="C331" s="82"/>
      <c r="D331" s="112" t="s">
        <v>202</v>
      </c>
      <c r="E331" s="63"/>
      <c r="F331" s="63"/>
      <c r="G331" s="63"/>
      <c r="H331" s="55"/>
    </row>
    <row r="332" spans="1:8" s="22" customFormat="1" ht="12" customHeight="1">
      <c r="A332" s="38"/>
      <c r="B332" s="65"/>
      <c r="C332" s="82"/>
      <c r="D332" s="46" t="s">
        <v>203</v>
      </c>
      <c r="E332" s="63"/>
      <c r="F332" s="63"/>
      <c r="G332" s="63"/>
      <c r="H332" s="55"/>
    </row>
    <row r="333" spans="1:8" s="22" customFormat="1" ht="12" customHeight="1">
      <c r="A333" s="38"/>
      <c r="B333" s="65"/>
      <c r="C333" s="82"/>
      <c r="D333" s="46" t="s">
        <v>204</v>
      </c>
      <c r="E333" s="63"/>
      <c r="F333" s="63"/>
      <c r="G333" s="63"/>
      <c r="H333" s="55"/>
    </row>
    <row r="334" spans="1:8" s="22" customFormat="1" ht="12" customHeight="1">
      <c r="A334" s="38"/>
      <c r="B334" s="65"/>
      <c r="C334" s="82"/>
      <c r="D334" s="112" t="s">
        <v>205</v>
      </c>
      <c r="E334" s="63"/>
      <c r="F334" s="63"/>
      <c r="G334" s="63"/>
      <c r="H334" s="55"/>
    </row>
    <row r="335" spans="1:8" s="22" customFormat="1" ht="12" customHeight="1">
      <c r="A335" s="38"/>
      <c r="B335" s="65"/>
      <c r="C335" s="82"/>
      <c r="D335" s="46" t="s">
        <v>206</v>
      </c>
      <c r="E335" s="63"/>
      <c r="F335" s="63"/>
      <c r="G335" s="63"/>
      <c r="H335" s="55"/>
    </row>
    <row r="336" spans="1:8" s="22" customFormat="1" ht="12" customHeight="1">
      <c r="A336" s="38"/>
      <c r="B336" s="65"/>
      <c r="C336" s="32"/>
      <c r="D336" s="58" t="s">
        <v>207</v>
      </c>
      <c r="E336" s="59">
        <v>7234979.9499999993</v>
      </c>
      <c r="F336" s="45">
        <f>SUM(F337,F339)</f>
        <v>430809</v>
      </c>
      <c r="G336" s="45">
        <f>SUM(G337,G339)</f>
        <v>1020</v>
      </c>
      <c r="H336" s="44">
        <f>SUM(E336+F336-G336)</f>
        <v>7664768.9499999993</v>
      </c>
    </row>
    <row r="337" spans="1:8" s="22" customFormat="1" ht="12" customHeight="1">
      <c r="A337" s="38"/>
      <c r="B337" s="65"/>
      <c r="C337" s="32"/>
      <c r="D337" s="629" t="s">
        <v>164</v>
      </c>
      <c r="E337" s="627">
        <v>1305840.69</v>
      </c>
      <c r="F337" s="627">
        <f>SUM(F338:F338)</f>
        <v>100000</v>
      </c>
      <c r="G337" s="627">
        <f>SUM(G338:G338)</f>
        <v>0</v>
      </c>
      <c r="H337" s="627">
        <f t="shared" ref="H337:H342" si="69">SUM(E337+F337-G337)</f>
        <v>1405840.69</v>
      </c>
    </row>
    <row r="338" spans="1:8" s="22" customFormat="1" ht="23.25" customHeight="1">
      <c r="A338" s="38"/>
      <c r="B338" s="65"/>
      <c r="C338" s="42">
        <v>2540</v>
      </c>
      <c r="D338" s="87" t="s">
        <v>166</v>
      </c>
      <c r="E338" s="55">
        <v>844760.80999999994</v>
      </c>
      <c r="F338" s="55">
        <v>100000</v>
      </c>
      <c r="G338" s="55"/>
      <c r="H338" s="55">
        <f t="shared" si="69"/>
        <v>944760.80999999994</v>
      </c>
    </row>
    <row r="339" spans="1:8" s="22" customFormat="1" ht="12" customHeight="1">
      <c r="A339" s="38"/>
      <c r="B339" s="37"/>
      <c r="C339" s="32"/>
      <c r="D339" s="640" t="s">
        <v>21</v>
      </c>
      <c r="E339" s="627">
        <v>5929139.2599999998</v>
      </c>
      <c r="F339" s="627">
        <f>SUM(F340:F342)</f>
        <v>330809</v>
      </c>
      <c r="G339" s="627">
        <f>SUM(G340:G342)</f>
        <v>1020</v>
      </c>
      <c r="H339" s="627">
        <f t="shared" si="69"/>
        <v>6258928.2599999998</v>
      </c>
    </row>
    <row r="340" spans="1:8" s="22" customFormat="1" ht="12" customHeight="1">
      <c r="A340" s="38"/>
      <c r="B340" s="37"/>
      <c r="C340" s="67">
        <v>3020</v>
      </c>
      <c r="D340" s="104" t="s">
        <v>148</v>
      </c>
      <c r="E340" s="63">
        <v>0</v>
      </c>
      <c r="F340" s="63">
        <v>1000</v>
      </c>
      <c r="G340" s="63"/>
      <c r="H340" s="55">
        <f t="shared" si="69"/>
        <v>1000</v>
      </c>
    </row>
    <row r="341" spans="1:8" s="22" customFormat="1" ht="12" customHeight="1">
      <c r="A341" s="38"/>
      <c r="B341" s="37"/>
      <c r="C341" s="67">
        <v>4710</v>
      </c>
      <c r="D341" s="112" t="s">
        <v>25</v>
      </c>
      <c r="E341" s="63">
        <v>62986</v>
      </c>
      <c r="F341" s="63"/>
      <c r="G341" s="63">
        <v>1020</v>
      </c>
      <c r="H341" s="55">
        <f t="shared" si="69"/>
        <v>61966</v>
      </c>
    </row>
    <row r="342" spans="1:8" s="22" customFormat="1" ht="12" customHeight="1">
      <c r="A342" s="38"/>
      <c r="B342" s="67"/>
      <c r="C342" s="67">
        <v>4790</v>
      </c>
      <c r="D342" s="123" t="s">
        <v>171</v>
      </c>
      <c r="E342" s="63">
        <v>4167337.26</v>
      </c>
      <c r="F342" s="63">
        <v>329809</v>
      </c>
      <c r="G342" s="63"/>
      <c r="H342" s="55">
        <f t="shared" si="69"/>
        <v>4497146.26</v>
      </c>
    </row>
    <row r="343" spans="1:8" s="22" customFormat="1" ht="12" customHeight="1">
      <c r="A343" s="38"/>
      <c r="B343" s="65">
        <v>80195</v>
      </c>
      <c r="C343" s="32"/>
      <c r="D343" s="43" t="s">
        <v>66</v>
      </c>
      <c r="E343" s="44">
        <v>36051320.57</v>
      </c>
      <c r="F343" s="45">
        <f>SUM(F344,F346,F352,F355)</f>
        <v>9273</v>
      </c>
      <c r="G343" s="45">
        <f>SUM(G344,G346,G352,G355)</f>
        <v>8768</v>
      </c>
      <c r="H343" s="44">
        <f>SUM(E343+F343-G343)</f>
        <v>36051825.57</v>
      </c>
    </row>
    <row r="344" spans="1:8" s="22" customFormat="1" ht="12" customHeight="1">
      <c r="A344" s="38"/>
      <c r="B344" s="65"/>
      <c r="C344" s="32"/>
      <c r="D344" s="640" t="s">
        <v>21</v>
      </c>
      <c r="E344" s="102">
        <v>2237792</v>
      </c>
      <c r="F344" s="634">
        <f>SUM(F345:F345)</f>
        <v>500</v>
      </c>
      <c r="G344" s="634">
        <f>SUM(G345:G345)</f>
        <v>0</v>
      </c>
      <c r="H344" s="627">
        <f t="shared" ref="H344" si="70">SUM(E344+F344-G344)</f>
        <v>2238292</v>
      </c>
    </row>
    <row r="345" spans="1:8" s="22" customFormat="1" ht="12" customHeight="1">
      <c r="A345" s="38"/>
      <c r="B345" s="46"/>
      <c r="C345" s="56">
        <v>4110</v>
      </c>
      <c r="D345" s="112" t="s">
        <v>45</v>
      </c>
      <c r="E345" s="63">
        <v>3042</v>
      </c>
      <c r="F345" s="50">
        <v>500</v>
      </c>
      <c r="G345" s="50"/>
      <c r="H345" s="63">
        <f>SUM(E345+F345-G345)</f>
        <v>3542</v>
      </c>
    </row>
    <row r="346" spans="1:8" s="22" customFormat="1" ht="24.75" customHeight="1">
      <c r="A346" s="38"/>
      <c r="B346" s="46"/>
      <c r="C346" s="56"/>
      <c r="D346" s="629" t="s">
        <v>208</v>
      </c>
      <c r="E346" s="102">
        <v>542644.05999999994</v>
      </c>
      <c r="F346" s="102">
        <f>SUM(F347:F351)</f>
        <v>5</v>
      </c>
      <c r="G346" s="102">
        <f>SUM(G347:G351)</f>
        <v>0</v>
      </c>
      <c r="H346" s="102">
        <f>SUM(E346+F346-G346)</f>
        <v>542649.05999999994</v>
      </c>
    </row>
    <row r="347" spans="1:8" s="22" customFormat="1" ht="11.25" customHeight="1">
      <c r="A347" s="38"/>
      <c r="B347" s="65"/>
      <c r="C347" s="82" t="s">
        <v>209</v>
      </c>
      <c r="D347" s="112" t="s">
        <v>210</v>
      </c>
      <c r="E347" s="63">
        <v>43189.05</v>
      </c>
      <c r="F347" s="50">
        <v>1</v>
      </c>
      <c r="G347" s="50"/>
      <c r="H347" s="63">
        <f>SUM(E347+F347-G347)</f>
        <v>43190.05</v>
      </c>
    </row>
    <row r="348" spans="1:8" s="22" customFormat="1" ht="12" customHeight="1">
      <c r="A348" s="38"/>
      <c r="B348" s="65"/>
      <c r="C348" s="82" t="s">
        <v>211</v>
      </c>
      <c r="D348" s="104" t="s">
        <v>26</v>
      </c>
      <c r="E348" s="63">
        <v>5163.5</v>
      </c>
      <c r="F348" s="50">
        <v>1</v>
      </c>
      <c r="G348" s="50"/>
      <c r="H348" s="63">
        <f>SUM(E348+F348-G348)</f>
        <v>5164.5</v>
      </c>
    </row>
    <row r="349" spans="1:8" s="22" customFormat="1" ht="12" customHeight="1">
      <c r="A349" s="38"/>
      <c r="B349" s="65"/>
      <c r="C349" s="82" t="s">
        <v>212</v>
      </c>
      <c r="D349" s="104" t="s">
        <v>22</v>
      </c>
      <c r="E349" s="63">
        <v>269228.34999999998</v>
      </c>
      <c r="F349" s="50">
        <v>1</v>
      </c>
      <c r="G349" s="50"/>
      <c r="H349" s="63">
        <f t="shared" ref="H349:H350" si="71">SUM(E349+F349-G349)</f>
        <v>269229.34999999998</v>
      </c>
    </row>
    <row r="350" spans="1:8" s="22" customFormat="1" ht="12" customHeight="1">
      <c r="A350" s="38"/>
      <c r="B350" s="65"/>
      <c r="C350" s="82" t="s">
        <v>213</v>
      </c>
      <c r="D350" s="104" t="s">
        <v>18</v>
      </c>
      <c r="E350" s="63">
        <v>82787</v>
      </c>
      <c r="F350" s="50">
        <v>1</v>
      </c>
      <c r="G350" s="50"/>
      <c r="H350" s="63">
        <f t="shared" si="71"/>
        <v>82788</v>
      </c>
    </row>
    <row r="351" spans="1:8" s="22" customFormat="1" ht="12" customHeight="1">
      <c r="A351" s="38"/>
      <c r="B351" s="67"/>
      <c r="C351" s="122">
        <v>4717</v>
      </c>
      <c r="D351" s="112" t="s">
        <v>25</v>
      </c>
      <c r="E351" s="63">
        <v>859.09999999999991</v>
      </c>
      <c r="F351" s="63">
        <v>1</v>
      </c>
      <c r="G351" s="63"/>
      <c r="H351" s="55">
        <f>SUM(E351+F351-G351)</f>
        <v>860.09999999999991</v>
      </c>
    </row>
    <row r="352" spans="1:8" s="22" customFormat="1" ht="33.75" customHeight="1">
      <c r="A352" s="38"/>
      <c r="B352" s="67"/>
      <c r="C352" s="67"/>
      <c r="D352" s="643" t="s">
        <v>214</v>
      </c>
      <c r="E352" s="627">
        <v>311268.7</v>
      </c>
      <c r="F352" s="627">
        <f>SUM(F353:F354)</f>
        <v>3768</v>
      </c>
      <c r="G352" s="627">
        <f>SUM(G353:G354)</f>
        <v>3768</v>
      </c>
      <c r="H352" s="627">
        <f>SUM(E352+F352-G352)</f>
        <v>311268.7</v>
      </c>
    </row>
    <row r="353" spans="1:8" s="22" customFormat="1" ht="12" customHeight="1">
      <c r="A353" s="38"/>
      <c r="B353" s="67"/>
      <c r="C353" s="67">
        <v>4301</v>
      </c>
      <c r="D353" s="104" t="s">
        <v>18</v>
      </c>
      <c r="E353" s="63">
        <v>219002.7</v>
      </c>
      <c r="F353" s="63"/>
      <c r="G353" s="63">
        <v>3768</v>
      </c>
      <c r="H353" s="55">
        <f>SUM(E353+F353-G353)</f>
        <v>215234.7</v>
      </c>
    </row>
    <row r="354" spans="1:8" s="22" customFormat="1" ht="12" customHeight="1">
      <c r="A354" s="38"/>
      <c r="B354" s="67"/>
      <c r="C354" s="67">
        <v>4431</v>
      </c>
      <c r="D354" s="104" t="s">
        <v>140</v>
      </c>
      <c r="E354" s="63">
        <v>400</v>
      </c>
      <c r="F354" s="63">
        <v>3768</v>
      </c>
      <c r="G354" s="63"/>
      <c r="H354" s="55">
        <f>SUM(E354+F354-G354)</f>
        <v>4168</v>
      </c>
    </row>
    <row r="355" spans="1:8" s="22" customFormat="1" ht="34.5" customHeight="1">
      <c r="A355" s="38"/>
      <c r="B355" s="31"/>
      <c r="C355" s="32"/>
      <c r="D355" s="644" t="s">
        <v>215</v>
      </c>
      <c r="E355" s="627">
        <v>10844720.059999999</v>
      </c>
      <c r="F355" s="627">
        <f>SUM(F356:F359)</f>
        <v>5000</v>
      </c>
      <c r="G355" s="627">
        <f>SUM(G356:G359)</f>
        <v>5000</v>
      </c>
      <c r="H355" s="627">
        <f t="shared" ref="H355:H361" si="72">SUM(E355+F355-G355)</f>
        <v>10844720.059999999</v>
      </c>
    </row>
    <row r="356" spans="1:8" s="22" customFormat="1" ht="12" customHeight="1">
      <c r="A356" s="38"/>
      <c r="B356" s="31"/>
      <c r="C356" s="32" t="s">
        <v>216</v>
      </c>
      <c r="D356" s="104" t="s">
        <v>128</v>
      </c>
      <c r="E356" s="63">
        <v>119007</v>
      </c>
      <c r="F356" s="63"/>
      <c r="G356" s="63">
        <v>4722.5</v>
      </c>
      <c r="H356" s="63">
        <f t="shared" si="72"/>
        <v>114284.5</v>
      </c>
    </row>
    <row r="357" spans="1:8" s="22" customFormat="1" ht="12" customHeight="1">
      <c r="A357" s="38"/>
      <c r="B357" s="31"/>
      <c r="C357" s="32" t="s">
        <v>217</v>
      </c>
      <c r="D357" s="104" t="s">
        <v>128</v>
      </c>
      <c r="E357" s="63">
        <v>6993</v>
      </c>
      <c r="F357" s="63"/>
      <c r="G357" s="63">
        <v>277.5</v>
      </c>
      <c r="H357" s="63">
        <f t="shared" si="72"/>
        <v>6715.5</v>
      </c>
    </row>
    <row r="358" spans="1:8" s="22" customFormat="1" ht="12" customHeight="1">
      <c r="A358" s="38"/>
      <c r="B358" s="31"/>
      <c r="C358" s="82" t="s">
        <v>212</v>
      </c>
      <c r="D358" s="104" t="s">
        <v>22</v>
      </c>
      <c r="E358" s="63">
        <v>0</v>
      </c>
      <c r="F358" s="63">
        <v>4722.5</v>
      </c>
      <c r="G358" s="63"/>
      <c r="H358" s="63">
        <f t="shared" si="72"/>
        <v>4722.5</v>
      </c>
    </row>
    <row r="359" spans="1:8" s="22" customFormat="1" ht="12" customHeight="1">
      <c r="A359" s="38"/>
      <c r="B359" s="31"/>
      <c r="C359" s="82" t="s">
        <v>218</v>
      </c>
      <c r="D359" s="104" t="s">
        <v>22</v>
      </c>
      <c r="E359" s="63">
        <v>0</v>
      </c>
      <c r="F359" s="63">
        <v>277.5</v>
      </c>
      <c r="G359" s="63"/>
      <c r="H359" s="63">
        <f t="shared" si="72"/>
        <v>277.5</v>
      </c>
    </row>
    <row r="360" spans="1:8" s="22" customFormat="1" ht="12" customHeight="1" thickBot="1">
      <c r="A360" s="39" t="s">
        <v>219</v>
      </c>
      <c r="B360" s="38"/>
      <c r="C360" s="39"/>
      <c r="D360" s="40" t="s">
        <v>220</v>
      </c>
      <c r="E360" s="36">
        <v>8699913.6999999993</v>
      </c>
      <c r="F360" s="41">
        <f>SUM(F361)</f>
        <v>25234</v>
      </c>
      <c r="G360" s="41">
        <f>SUM(G361)</f>
        <v>3000</v>
      </c>
      <c r="H360" s="36">
        <f t="shared" si="72"/>
        <v>8722147.6999999993</v>
      </c>
    </row>
    <row r="361" spans="1:8" s="22" customFormat="1" ht="12" customHeight="1" thickTop="1">
      <c r="A361" s="38"/>
      <c r="B361" s="56">
        <v>85154</v>
      </c>
      <c r="C361" s="57"/>
      <c r="D361" s="58" t="s">
        <v>221</v>
      </c>
      <c r="E361" s="59">
        <v>6398758.7000000002</v>
      </c>
      <c r="F361" s="45">
        <f>SUM(F362,F364)</f>
        <v>25234</v>
      </c>
      <c r="G361" s="45">
        <f>SUM(G362,G364)</f>
        <v>3000</v>
      </c>
      <c r="H361" s="44">
        <f t="shared" si="72"/>
        <v>6420992.7000000002</v>
      </c>
    </row>
    <row r="362" spans="1:8" s="22" customFormat="1" ht="12" customHeight="1">
      <c r="A362" s="38"/>
      <c r="B362" s="37"/>
      <c r="C362" s="67"/>
      <c r="D362" s="636" t="s">
        <v>222</v>
      </c>
      <c r="E362" s="627">
        <v>3251956</v>
      </c>
      <c r="F362" s="627">
        <f>SUM(F363:F363)</f>
        <v>22234</v>
      </c>
      <c r="G362" s="627">
        <f>SUM(G363:G363)</f>
        <v>0</v>
      </c>
      <c r="H362" s="102">
        <f>SUM(E362+F362-G362)</f>
        <v>3274190</v>
      </c>
    </row>
    <row r="363" spans="1:8" s="22" customFormat="1" ht="12" customHeight="1">
      <c r="A363" s="38"/>
      <c r="B363" s="37"/>
      <c r="C363" s="56">
        <v>4010</v>
      </c>
      <c r="D363" s="46" t="s">
        <v>128</v>
      </c>
      <c r="E363" s="63">
        <v>510764</v>
      </c>
      <c r="F363" s="63">
        <f>20355+1879</f>
        <v>22234</v>
      </c>
      <c r="G363" s="63"/>
      <c r="H363" s="63">
        <f t="shared" ref="H363:H367" si="73">SUM(E363+F363-G363)</f>
        <v>532998</v>
      </c>
    </row>
    <row r="364" spans="1:8" s="22" customFormat="1" ht="12" customHeight="1">
      <c r="A364" s="38"/>
      <c r="B364" s="65"/>
      <c r="C364" s="56"/>
      <c r="D364" s="640" t="s">
        <v>223</v>
      </c>
      <c r="E364" s="630">
        <v>25000</v>
      </c>
      <c r="F364" s="630">
        <f>SUM(F365:F367)</f>
        <v>3000</v>
      </c>
      <c r="G364" s="630">
        <f>SUM(G365:G367)</f>
        <v>3000</v>
      </c>
      <c r="H364" s="627">
        <f t="shared" si="73"/>
        <v>25000</v>
      </c>
    </row>
    <row r="365" spans="1:8" s="22" customFormat="1" ht="12" customHeight="1">
      <c r="A365" s="38"/>
      <c r="B365" s="65"/>
      <c r="C365" s="67">
        <v>4280</v>
      </c>
      <c r="D365" s="104" t="s">
        <v>170</v>
      </c>
      <c r="E365" s="50">
        <v>2000</v>
      </c>
      <c r="F365" s="50"/>
      <c r="G365" s="50">
        <v>2000</v>
      </c>
      <c r="H365" s="50">
        <f t="shared" si="73"/>
        <v>0</v>
      </c>
    </row>
    <row r="366" spans="1:8" s="22" customFormat="1" ht="12" customHeight="1">
      <c r="A366" s="38"/>
      <c r="B366" s="65"/>
      <c r="C366" s="67">
        <v>4300</v>
      </c>
      <c r="D366" s="104" t="s">
        <v>18</v>
      </c>
      <c r="E366" s="50">
        <v>22000</v>
      </c>
      <c r="F366" s="50">
        <v>3000</v>
      </c>
      <c r="G366" s="50"/>
      <c r="H366" s="50">
        <f t="shared" si="73"/>
        <v>25000</v>
      </c>
    </row>
    <row r="367" spans="1:8" s="22" customFormat="1" ht="23.25" customHeight="1">
      <c r="A367" s="38"/>
      <c r="B367" s="65"/>
      <c r="C367" s="42">
        <v>4700</v>
      </c>
      <c r="D367" s="125" t="s">
        <v>176</v>
      </c>
      <c r="E367" s="55">
        <v>1000</v>
      </c>
      <c r="F367" s="55"/>
      <c r="G367" s="55">
        <v>1000</v>
      </c>
      <c r="H367" s="55">
        <f t="shared" si="73"/>
        <v>0</v>
      </c>
    </row>
    <row r="368" spans="1:8" s="22" customFormat="1" ht="12" customHeight="1" thickBot="1">
      <c r="A368" s="39" t="s">
        <v>78</v>
      </c>
      <c r="B368" s="38"/>
      <c r="C368" s="39"/>
      <c r="D368" s="40" t="s">
        <v>79</v>
      </c>
      <c r="E368" s="3">
        <v>93340016.469999984</v>
      </c>
      <c r="F368" s="41">
        <f>SUM(F369,F379,F385,F388,F394,F397,F408,F413,F418,F424)</f>
        <v>798541.2</v>
      </c>
      <c r="G368" s="41">
        <f>SUM(G369,G379,G385,G388,G394,G397,G408,G413,G418,G424)</f>
        <v>331797.2</v>
      </c>
      <c r="H368" s="36">
        <f>SUM(E368+F368-G368)</f>
        <v>93806760.469999984</v>
      </c>
    </row>
    <row r="369" spans="1:8" s="22" customFormat="1" ht="12" customHeight="1" thickTop="1">
      <c r="A369" s="39"/>
      <c r="B369" s="65">
        <v>85202</v>
      </c>
      <c r="C369" s="32"/>
      <c r="D369" s="68" t="s">
        <v>80</v>
      </c>
      <c r="E369" s="44">
        <v>26772103.68</v>
      </c>
      <c r="F369" s="45">
        <f>SUM(F370,F373)</f>
        <v>395308</v>
      </c>
      <c r="G369" s="45">
        <f>SUM(G370,G373)</f>
        <v>105000</v>
      </c>
      <c r="H369" s="44">
        <f>SUM(E369+F369-G369)</f>
        <v>27062411.68</v>
      </c>
    </row>
    <row r="370" spans="1:8" s="22" customFormat="1" ht="12" customHeight="1">
      <c r="A370" s="39"/>
      <c r="B370" s="65"/>
      <c r="C370" s="32"/>
      <c r="D370" s="640" t="s">
        <v>224</v>
      </c>
      <c r="E370" s="102">
        <v>6453958.6799999997</v>
      </c>
      <c r="F370" s="634">
        <f>SUM(F371:F372)</f>
        <v>299868</v>
      </c>
      <c r="G370" s="634">
        <f>SUM(G371:G372)</f>
        <v>0</v>
      </c>
      <c r="H370" s="627">
        <f t="shared" ref="H370:H383" si="74">SUM(E370+F370-G370)</f>
        <v>6753826.6799999997</v>
      </c>
    </row>
    <row r="371" spans="1:8" s="22" customFormat="1" ht="12" customHeight="1">
      <c r="A371" s="39"/>
      <c r="B371" s="65"/>
      <c r="C371" s="56">
        <v>4010</v>
      </c>
      <c r="D371" s="46" t="s">
        <v>128</v>
      </c>
      <c r="E371" s="63">
        <v>3850299</v>
      </c>
      <c r="F371" s="50">
        <f>34523+195345</f>
        <v>229868</v>
      </c>
      <c r="G371" s="50"/>
      <c r="H371" s="55">
        <f t="shared" si="74"/>
        <v>4080167</v>
      </c>
    </row>
    <row r="372" spans="1:8" s="22" customFormat="1" ht="12" customHeight="1">
      <c r="A372" s="39"/>
      <c r="B372" s="65"/>
      <c r="C372" s="82" t="s">
        <v>42</v>
      </c>
      <c r="D372" s="112" t="s">
        <v>43</v>
      </c>
      <c r="E372" s="50">
        <v>100048</v>
      </c>
      <c r="F372" s="50">
        <v>70000</v>
      </c>
      <c r="G372" s="50"/>
      <c r="H372" s="55">
        <f t="shared" si="74"/>
        <v>170048</v>
      </c>
    </row>
    <row r="373" spans="1:8" s="22" customFormat="1" ht="12" customHeight="1">
      <c r="A373" s="39"/>
      <c r="B373" s="65"/>
      <c r="C373" s="32"/>
      <c r="D373" s="640" t="s">
        <v>225</v>
      </c>
      <c r="E373" s="102">
        <v>5926145</v>
      </c>
      <c r="F373" s="634">
        <f>SUM(F374:F378)</f>
        <v>95440</v>
      </c>
      <c r="G373" s="634">
        <f>SUM(G374:G378)</f>
        <v>105000</v>
      </c>
      <c r="H373" s="627">
        <f t="shared" si="74"/>
        <v>5916585</v>
      </c>
    </row>
    <row r="374" spans="1:8" s="22" customFormat="1" ht="12" customHeight="1">
      <c r="A374" s="39"/>
      <c r="B374" s="65"/>
      <c r="C374" s="67">
        <v>4010</v>
      </c>
      <c r="D374" s="104" t="s">
        <v>128</v>
      </c>
      <c r="E374" s="50">
        <v>3514194</v>
      </c>
      <c r="F374" s="50">
        <v>40440</v>
      </c>
      <c r="G374" s="50">
        <v>41782</v>
      </c>
      <c r="H374" s="55">
        <f t="shared" si="74"/>
        <v>3512852</v>
      </c>
    </row>
    <row r="375" spans="1:8" s="22" customFormat="1" ht="12" customHeight="1">
      <c r="A375" s="39"/>
      <c r="B375" s="65"/>
      <c r="C375" s="67">
        <v>4110</v>
      </c>
      <c r="D375" s="104" t="s">
        <v>45</v>
      </c>
      <c r="E375" s="110">
        <v>617500</v>
      </c>
      <c r="F375" s="50"/>
      <c r="G375" s="50">
        <v>7195</v>
      </c>
      <c r="H375" s="55">
        <f t="shared" si="74"/>
        <v>610305</v>
      </c>
    </row>
    <row r="376" spans="1:8" s="22" customFormat="1" ht="12" customHeight="1">
      <c r="A376" s="39"/>
      <c r="B376" s="65"/>
      <c r="C376" s="67">
        <v>4120</v>
      </c>
      <c r="D376" s="104" t="s">
        <v>26</v>
      </c>
      <c r="E376" s="110">
        <v>87836</v>
      </c>
      <c r="F376" s="50"/>
      <c r="G376" s="50">
        <v>1023</v>
      </c>
      <c r="H376" s="55">
        <f t="shared" si="74"/>
        <v>86813</v>
      </c>
    </row>
    <row r="377" spans="1:8" s="22" customFormat="1" ht="12" customHeight="1">
      <c r="A377" s="39"/>
      <c r="B377" s="65"/>
      <c r="C377" s="67">
        <v>4210</v>
      </c>
      <c r="D377" s="112" t="s">
        <v>43</v>
      </c>
      <c r="E377" s="110">
        <v>108200</v>
      </c>
      <c r="F377" s="50">
        <v>55000</v>
      </c>
      <c r="G377" s="50"/>
      <c r="H377" s="55">
        <f t="shared" si="74"/>
        <v>163200</v>
      </c>
    </row>
    <row r="378" spans="1:8" s="22" customFormat="1" ht="12" customHeight="1">
      <c r="A378" s="39"/>
      <c r="B378" s="65"/>
      <c r="C378" s="67">
        <v>4260</v>
      </c>
      <c r="D378" s="104" t="s">
        <v>169</v>
      </c>
      <c r="E378" s="110">
        <v>330000</v>
      </c>
      <c r="F378" s="50"/>
      <c r="G378" s="50">
        <v>55000</v>
      </c>
      <c r="H378" s="55">
        <f t="shared" si="74"/>
        <v>275000</v>
      </c>
    </row>
    <row r="379" spans="1:8" s="22" customFormat="1" ht="12" customHeight="1">
      <c r="A379" s="39"/>
      <c r="B379" s="56">
        <v>85203</v>
      </c>
      <c r="C379" s="98"/>
      <c r="D379" s="58" t="s">
        <v>82</v>
      </c>
      <c r="E379" s="59">
        <v>1970947.0799999998</v>
      </c>
      <c r="F379" s="45">
        <f>SUM(F380)</f>
        <v>17157</v>
      </c>
      <c r="G379" s="45">
        <f>SUM(G380)</f>
        <v>34088</v>
      </c>
      <c r="H379" s="44">
        <f t="shared" si="74"/>
        <v>1954016.0799999998</v>
      </c>
    </row>
    <row r="380" spans="1:8" s="22" customFormat="1" ht="23.25" customHeight="1">
      <c r="A380" s="39"/>
      <c r="B380" s="67"/>
      <c r="C380" s="32"/>
      <c r="D380" s="645" t="s">
        <v>226</v>
      </c>
      <c r="E380" s="102">
        <v>1647583.88</v>
      </c>
      <c r="F380" s="634">
        <f>SUM(F381:F383)</f>
        <v>17157</v>
      </c>
      <c r="G380" s="634">
        <f>SUM(G381:G383)</f>
        <v>34088</v>
      </c>
      <c r="H380" s="627">
        <f t="shared" si="74"/>
        <v>1630652.88</v>
      </c>
    </row>
    <row r="381" spans="1:8" s="22" customFormat="1" ht="12" customHeight="1">
      <c r="A381" s="39"/>
      <c r="B381" s="67"/>
      <c r="C381" s="67">
        <v>4010</v>
      </c>
      <c r="D381" s="104" t="s">
        <v>128</v>
      </c>
      <c r="E381" s="63">
        <v>899547.88</v>
      </c>
      <c r="F381" s="50">
        <v>17157</v>
      </c>
      <c r="G381" s="50">
        <v>28574</v>
      </c>
      <c r="H381" s="50">
        <f t="shared" si="74"/>
        <v>888130.88</v>
      </c>
    </row>
    <row r="382" spans="1:8" s="22" customFormat="1" ht="12" customHeight="1">
      <c r="A382" s="138"/>
      <c r="B382" s="117"/>
      <c r="C382" s="117">
        <v>4110</v>
      </c>
      <c r="D382" s="43" t="s">
        <v>45</v>
      </c>
      <c r="E382" s="59">
        <v>157092</v>
      </c>
      <c r="F382" s="78"/>
      <c r="G382" s="78">
        <v>4714</v>
      </c>
      <c r="H382" s="78">
        <f t="shared" si="74"/>
        <v>152378</v>
      </c>
    </row>
    <row r="383" spans="1:8" s="22" customFormat="1" ht="12" customHeight="1">
      <c r="A383" s="39"/>
      <c r="B383" s="67"/>
      <c r="C383" s="67">
        <v>4120</v>
      </c>
      <c r="D383" s="104" t="s">
        <v>26</v>
      </c>
      <c r="E383" s="50">
        <v>23169</v>
      </c>
      <c r="F383" s="63"/>
      <c r="G383" s="63">
        <v>800</v>
      </c>
      <c r="H383" s="55">
        <f t="shared" si="74"/>
        <v>22369</v>
      </c>
    </row>
    <row r="384" spans="1:8" s="22" customFormat="1" ht="12" customHeight="1">
      <c r="A384" s="69"/>
      <c r="B384" s="65">
        <v>85214</v>
      </c>
      <c r="C384" s="32"/>
      <c r="D384" s="70" t="s">
        <v>83</v>
      </c>
      <c r="E384" s="64"/>
      <c r="F384" s="71"/>
      <c r="G384" s="71"/>
      <c r="H384" s="64"/>
    </row>
    <row r="385" spans="1:8" s="22" customFormat="1" ht="11.25">
      <c r="A385" s="31"/>
      <c r="B385" s="65"/>
      <c r="C385" s="32"/>
      <c r="D385" s="72" t="s">
        <v>84</v>
      </c>
      <c r="E385" s="44">
        <v>7101417</v>
      </c>
      <c r="F385" s="45">
        <f>SUM(F386)</f>
        <v>1533</v>
      </c>
      <c r="G385" s="45">
        <f>SUM(G386)</f>
        <v>0</v>
      </c>
      <c r="H385" s="44">
        <f>SUM(E385+F385-G385)</f>
        <v>7102950</v>
      </c>
    </row>
    <row r="386" spans="1:8" s="22" customFormat="1" ht="23.25" customHeight="1">
      <c r="A386" s="38"/>
      <c r="B386" s="65"/>
      <c r="C386" s="82"/>
      <c r="D386" s="632" t="s">
        <v>227</v>
      </c>
      <c r="E386" s="102">
        <v>4785</v>
      </c>
      <c r="F386" s="634">
        <f>SUM(F387:F387)</f>
        <v>1533</v>
      </c>
      <c r="G386" s="634">
        <f>SUM(G387:G387)</f>
        <v>0</v>
      </c>
      <c r="H386" s="627">
        <f t="shared" ref="H386:H423" si="75">SUM(E386+F386-G386)</f>
        <v>6318</v>
      </c>
    </row>
    <row r="387" spans="1:8" s="22" customFormat="1" ht="22.5" customHeight="1">
      <c r="A387" s="38"/>
      <c r="B387" s="65"/>
      <c r="C387" s="42">
        <v>3290</v>
      </c>
      <c r="D387" s="87" t="s">
        <v>228</v>
      </c>
      <c r="E387" s="50">
        <v>4785</v>
      </c>
      <c r="F387" s="50">
        <v>1533</v>
      </c>
      <c r="G387" s="50"/>
      <c r="H387" s="55">
        <f t="shared" si="75"/>
        <v>6318</v>
      </c>
    </row>
    <row r="388" spans="1:8" s="22" customFormat="1" ht="12" customHeight="1">
      <c r="A388" s="38"/>
      <c r="B388" s="82" t="s">
        <v>229</v>
      </c>
      <c r="C388" s="57"/>
      <c r="D388" s="58" t="s">
        <v>230</v>
      </c>
      <c r="E388" s="59">
        <v>4838102</v>
      </c>
      <c r="F388" s="45">
        <f>SUM(F389)</f>
        <v>14500</v>
      </c>
      <c r="G388" s="45">
        <f>SUM(G389)</f>
        <v>14500</v>
      </c>
      <c r="H388" s="44">
        <f t="shared" si="75"/>
        <v>4838102</v>
      </c>
    </row>
    <row r="389" spans="1:8" s="22" customFormat="1" ht="12" customHeight="1">
      <c r="A389" s="38"/>
      <c r="B389" s="67"/>
      <c r="C389" s="82"/>
      <c r="D389" s="640" t="s">
        <v>231</v>
      </c>
      <c r="E389" s="102">
        <v>4838102</v>
      </c>
      <c r="F389" s="630">
        <f>SUM(F390:F393)</f>
        <v>14500</v>
      </c>
      <c r="G389" s="630">
        <f>SUM(G390:G393)</f>
        <v>14500</v>
      </c>
      <c r="H389" s="102">
        <f>SUM(E389+F389-G389)</f>
        <v>4838102</v>
      </c>
    </row>
    <row r="390" spans="1:8" s="22" customFormat="1" ht="12" customHeight="1">
      <c r="A390" s="38"/>
      <c r="B390" s="67"/>
      <c r="C390" s="67">
        <v>4170</v>
      </c>
      <c r="D390" s="104" t="s">
        <v>22</v>
      </c>
      <c r="E390" s="63">
        <v>2500</v>
      </c>
      <c r="F390" s="55"/>
      <c r="G390" s="55">
        <v>2500</v>
      </c>
      <c r="H390" s="55">
        <f t="shared" ref="H390:H394" si="76">SUM(E390+F390-G390)</f>
        <v>0</v>
      </c>
    </row>
    <row r="391" spans="1:8" s="22" customFormat="1" ht="12" customHeight="1">
      <c r="A391" s="38"/>
      <c r="B391" s="65"/>
      <c r="C391" s="67">
        <v>4210</v>
      </c>
      <c r="D391" s="112" t="s">
        <v>43</v>
      </c>
      <c r="E391" s="50">
        <v>20570</v>
      </c>
      <c r="F391" s="50">
        <v>10500</v>
      </c>
      <c r="G391" s="50"/>
      <c r="H391" s="55">
        <f t="shared" si="76"/>
        <v>31070</v>
      </c>
    </row>
    <row r="392" spans="1:8" s="22" customFormat="1" ht="12" customHeight="1">
      <c r="A392" s="38"/>
      <c r="B392" s="65"/>
      <c r="C392" s="67">
        <v>4260</v>
      </c>
      <c r="D392" s="104" t="s">
        <v>169</v>
      </c>
      <c r="E392" s="50">
        <v>22600</v>
      </c>
      <c r="F392" s="50"/>
      <c r="G392" s="50">
        <v>12000</v>
      </c>
      <c r="H392" s="55">
        <f t="shared" si="76"/>
        <v>10600</v>
      </c>
    </row>
    <row r="393" spans="1:8" s="22" customFormat="1" ht="12" customHeight="1">
      <c r="A393" s="38"/>
      <c r="B393" s="65"/>
      <c r="C393" s="67">
        <v>4300</v>
      </c>
      <c r="D393" s="104" t="s">
        <v>18</v>
      </c>
      <c r="E393" s="50">
        <v>19200</v>
      </c>
      <c r="F393" s="50">
        <v>4000</v>
      </c>
      <c r="G393" s="50"/>
      <c r="H393" s="55">
        <f t="shared" si="76"/>
        <v>23200</v>
      </c>
    </row>
    <row r="394" spans="1:8" s="22" customFormat="1" ht="12" customHeight="1">
      <c r="A394" s="38"/>
      <c r="B394" s="2">
        <v>85216</v>
      </c>
      <c r="C394" s="2"/>
      <c r="D394" s="1" t="s">
        <v>88</v>
      </c>
      <c r="E394" s="78">
        <v>6566972</v>
      </c>
      <c r="F394" s="59">
        <f>SUM(F395)</f>
        <v>47698</v>
      </c>
      <c r="G394" s="59">
        <f>SUM(G395)</f>
        <v>0</v>
      </c>
      <c r="H394" s="44">
        <f t="shared" si="76"/>
        <v>6614670</v>
      </c>
    </row>
    <row r="395" spans="1:8" s="22" customFormat="1" ht="12" customHeight="1">
      <c r="A395" s="38"/>
      <c r="B395" s="65"/>
      <c r="C395" s="82"/>
      <c r="D395" s="640" t="s">
        <v>231</v>
      </c>
      <c r="E395" s="139">
        <v>6529272</v>
      </c>
      <c r="F395" s="61">
        <f>SUM(F396:F396)</f>
        <v>47698</v>
      </c>
      <c r="G395" s="61">
        <f>SUM(G396:G396)</f>
        <v>0</v>
      </c>
      <c r="H395" s="102">
        <f>SUM(E395+F395-G395)</f>
        <v>6576970</v>
      </c>
    </row>
    <row r="396" spans="1:8" s="22" customFormat="1" ht="12" customHeight="1">
      <c r="A396" s="38"/>
      <c r="B396" s="65"/>
      <c r="C396" s="67">
        <v>3110</v>
      </c>
      <c r="D396" s="104" t="s">
        <v>232</v>
      </c>
      <c r="E396" s="50">
        <v>6527272</v>
      </c>
      <c r="F396" s="63">
        <v>47698</v>
      </c>
      <c r="G396" s="63"/>
      <c r="H396" s="63">
        <f t="shared" ref="H396" si="77">SUM(E396+F396-G396)</f>
        <v>6574970</v>
      </c>
    </row>
    <row r="397" spans="1:8" s="22" customFormat="1" ht="12" customHeight="1">
      <c r="A397" s="38"/>
      <c r="B397" s="56">
        <v>85219</v>
      </c>
      <c r="C397" s="57"/>
      <c r="D397" s="58" t="s">
        <v>89</v>
      </c>
      <c r="E397" s="59">
        <v>22304726.419999998</v>
      </c>
      <c r="F397" s="45">
        <f>SUM(F398,F401,F405)</f>
        <v>1470</v>
      </c>
      <c r="G397" s="45">
        <f>SUM(G398,G401,G405)</f>
        <v>104034</v>
      </c>
      <c r="H397" s="44">
        <f t="shared" si="75"/>
        <v>22202162.419999998</v>
      </c>
    </row>
    <row r="398" spans="1:8" s="22" customFormat="1" ht="12" customHeight="1">
      <c r="A398" s="38"/>
      <c r="B398" s="67"/>
      <c r="C398" s="82"/>
      <c r="D398" s="640" t="s">
        <v>231</v>
      </c>
      <c r="E398" s="102">
        <v>19957065.939999998</v>
      </c>
      <c r="F398" s="630">
        <f>SUM(F399:F400)</f>
        <v>1470</v>
      </c>
      <c r="G398" s="630">
        <f>SUM(G399:G400)</f>
        <v>1470</v>
      </c>
      <c r="H398" s="102">
        <f t="shared" si="75"/>
        <v>19957065.939999998</v>
      </c>
    </row>
    <row r="399" spans="1:8" s="22" customFormat="1" ht="12" customHeight="1">
      <c r="A399" s="38"/>
      <c r="B399" s="67"/>
      <c r="C399" s="67">
        <v>4210</v>
      </c>
      <c r="D399" s="112" t="s">
        <v>43</v>
      </c>
      <c r="E399" s="55">
        <v>223492</v>
      </c>
      <c r="F399" s="55">
        <v>1470</v>
      </c>
      <c r="G399" s="55"/>
      <c r="H399" s="55">
        <f t="shared" si="75"/>
        <v>224962</v>
      </c>
    </row>
    <row r="400" spans="1:8" s="22" customFormat="1" ht="12" customHeight="1">
      <c r="A400" s="38"/>
      <c r="B400" s="67"/>
      <c r="C400" s="67">
        <v>4440</v>
      </c>
      <c r="D400" s="104" t="s">
        <v>233</v>
      </c>
      <c r="E400" s="55">
        <v>497102</v>
      </c>
      <c r="F400" s="55"/>
      <c r="G400" s="55">
        <v>1470</v>
      </c>
      <c r="H400" s="55">
        <f t="shared" si="75"/>
        <v>495632</v>
      </c>
    </row>
    <row r="401" spans="1:8" s="22" customFormat="1" ht="12" customHeight="1">
      <c r="A401" s="38"/>
      <c r="B401" s="67"/>
      <c r="C401" s="82"/>
      <c r="D401" s="640" t="s">
        <v>234</v>
      </c>
      <c r="E401" s="102">
        <v>1906294</v>
      </c>
      <c r="F401" s="630">
        <f>SUM(F402:F404)</f>
        <v>0</v>
      </c>
      <c r="G401" s="630">
        <f>SUM(G402:G404)</f>
        <v>29928</v>
      </c>
      <c r="H401" s="102">
        <f t="shared" si="75"/>
        <v>1876366</v>
      </c>
    </row>
    <row r="402" spans="1:8" s="22" customFormat="1" ht="12" customHeight="1">
      <c r="A402" s="38"/>
      <c r="B402" s="67"/>
      <c r="C402" s="67">
        <v>4010</v>
      </c>
      <c r="D402" s="104" t="s">
        <v>128</v>
      </c>
      <c r="E402" s="63">
        <v>1594000</v>
      </c>
      <c r="F402" s="50"/>
      <c r="G402" s="50">
        <v>24959</v>
      </c>
      <c r="H402" s="55">
        <f t="shared" si="75"/>
        <v>1569041</v>
      </c>
    </row>
    <row r="403" spans="1:8" s="22" customFormat="1" ht="12" customHeight="1">
      <c r="A403" s="38"/>
      <c r="B403" s="67"/>
      <c r="C403" s="67">
        <v>4110</v>
      </c>
      <c r="D403" s="104" t="s">
        <v>45</v>
      </c>
      <c r="E403" s="63">
        <v>278312</v>
      </c>
      <c r="F403" s="50"/>
      <c r="G403" s="50">
        <v>4358</v>
      </c>
      <c r="H403" s="55">
        <f t="shared" si="75"/>
        <v>273954</v>
      </c>
    </row>
    <row r="404" spans="1:8" s="22" customFormat="1" ht="12" customHeight="1">
      <c r="A404" s="38"/>
      <c r="B404" s="67"/>
      <c r="C404" s="67">
        <v>4120</v>
      </c>
      <c r="D404" s="104" t="s">
        <v>26</v>
      </c>
      <c r="E404" s="63">
        <v>33982</v>
      </c>
      <c r="F404" s="50"/>
      <c r="G404" s="50">
        <v>611</v>
      </c>
      <c r="H404" s="55">
        <f t="shared" si="75"/>
        <v>33371</v>
      </c>
    </row>
    <row r="405" spans="1:8" s="22" customFormat="1" ht="12" customHeight="1">
      <c r="A405" s="38"/>
      <c r="B405" s="67"/>
      <c r="C405" s="32"/>
      <c r="D405" s="626" t="s">
        <v>16</v>
      </c>
      <c r="E405" s="102">
        <v>401117</v>
      </c>
      <c r="F405" s="634">
        <f>SUM(F406:F406)</f>
        <v>0</v>
      </c>
      <c r="G405" s="634">
        <f>SUM(G406:G406)</f>
        <v>72636</v>
      </c>
      <c r="H405" s="627">
        <f t="shared" si="75"/>
        <v>328481</v>
      </c>
    </row>
    <row r="406" spans="1:8" s="22" customFormat="1" ht="33.75" customHeight="1">
      <c r="A406" s="38"/>
      <c r="B406" s="67"/>
      <c r="C406" s="42">
        <v>2830</v>
      </c>
      <c r="D406" s="62" t="s">
        <v>235</v>
      </c>
      <c r="E406" s="63">
        <v>401117</v>
      </c>
      <c r="F406" s="50"/>
      <c r="G406" s="50">
        <v>72636</v>
      </c>
      <c r="H406" s="55">
        <f t="shared" si="75"/>
        <v>328481</v>
      </c>
    </row>
    <row r="407" spans="1:8" s="22" customFormat="1" ht="12" customHeight="1">
      <c r="A407" s="38"/>
      <c r="B407" s="56">
        <v>85220</v>
      </c>
      <c r="C407" s="57"/>
      <c r="D407" s="46" t="s">
        <v>91</v>
      </c>
      <c r="E407" s="50"/>
      <c r="F407" s="63"/>
      <c r="G407" s="63"/>
      <c r="H407" s="55"/>
    </row>
    <row r="408" spans="1:8" s="22" customFormat="1" ht="12" customHeight="1">
      <c r="A408" s="38"/>
      <c r="B408" s="60"/>
      <c r="C408" s="57"/>
      <c r="D408" s="58" t="s">
        <v>92</v>
      </c>
      <c r="E408" s="59">
        <v>1099990.46</v>
      </c>
      <c r="F408" s="45">
        <f>SUM(F409)</f>
        <v>0</v>
      </c>
      <c r="G408" s="45">
        <f>SUM(G409)</f>
        <v>1500</v>
      </c>
      <c r="H408" s="44">
        <f t="shared" ref="H408:H417" si="78">SUM(E408+F408-G408)</f>
        <v>1098490.46</v>
      </c>
    </row>
    <row r="409" spans="1:8" s="22" customFormat="1" ht="12" customHeight="1">
      <c r="A409" s="38"/>
      <c r="B409" s="65"/>
      <c r="C409" s="82"/>
      <c r="D409" s="640" t="s">
        <v>234</v>
      </c>
      <c r="E409" s="102">
        <v>71946</v>
      </c>
      <c r="F409" s="630">
        <f>SUM(F410:F412)</f>
        <v>0</v>
      </c>
      <c r="G409" s="630">
        <f>SUM(G410:G412)</f>
        <v>1500</v>
      </c>
      <c r="H409" s="102">
        <f t="shared" si="78"/>
        <v>70446</v>
      </c>
    </row>
    <row r="410" spans="1:8" s="22" customFormat="1" ht="12" customHeight="1">
      <c r="A410" s="38"/>
      <c r="B410" s="65"/>
      <c r="C410" s="67">
        <v>4010</v>
      </c>
      <c r="D410" s="104" t="s">
        <v>128</v>
      </c>
      <c r="E410" s="63">
        <v>60000</v>
      </c>
      <c r="F410" s="50"/>
      <c r="G410" s="50">
        <v>1251</v>
      </c>
      <c r="H410" s="55">
        <f t="shared" si="78"/>
        <v>58749</v>
      </c>
    </row>
    <row r="411" spans="1:8" s="22" customFormat="1" ht="12" customHeight="1">
      <c r="A411" s="38"/>
      <c r="B411" s="65"/>
      <c r="C411" s="67">
        <v>4110</v>
      </c>
      <c r="D411" s="104" t="s">
        <v>45</v>
      </c>
      <c r="E411" s="63">
        <v>10476</v>
      </c>
      <c r="F411" s="50"/>
      <c r="G411" s="50">
        <v>218</v>
      </c>
      <c r="H411" s="55">
        <f t="shared" si="78"/>
        <v>10258</v>
      </c>
    </row>
    <row r="412" spans="1:8" s="22" customFormat="1" ht="12" customHeight="1">
      <c r="A412" s="38"/>
      <c r="B412" s="65"/>
      <c r="C412" s="67">
        <v>4120</v>
      </c>
      <c r="D412" s="104" t="s">
        <v>26</v>
      </c>
      <c r="E412" s="63">
        <v>1470</v>
      </c>
      <c r="F412" s="50"/>
      <c r="G412" s="50">
        <v>31</v>
      </c>
      <c r="H412" s="55">
        <f t="shared" si="78"/>
        <v>1439</v>
      </c>
    </row>
    <row r="413" spans="1:8" s="22" customFormat="1" ht="12" customHeight="1">
      <c r="A413" s="38"/>
      <c r="B413" s="140" t="s">
        <v>236</v>
      </c>
      <c r="C413" s="91"/>
      <c r="D413" s="97" t="s">
        <v>110</v>
      </c>
      <c r="E413" s="59">
        <v>8907911.5199999996</v>
      </c>
      <c r="F413" s="45">
        <f>SUM(F414,F416)</f>
        <v>2426</v>
      </c>
      <c r="G413" s="45">
        <f>SUM(G414,G416)</f>
        <v>2426</v>
      </c>
      <c r="H413" s="44">
        <f t="shared" si="78"/>
        <v>8907911.5199999996</v>
      </c>
    </row>
    <row r="414" spans="1:8" s="22" customFormat="1" ht="12" customHeight="1">
      <c r="A414" s="38"/>
      <c r="B414" s="67"/>
      <c r="C414" s="91"/>
      <c r="D414" s="626" t="s">
        <v>16</v>
      </c>
      <c r="E414" s="102">
        <v>8907911.5199999996</v>
      </c>
      <c r="F414" s="630">
        <f>SUM(F415:F415)</f>
        <v>0</v>
      </c>
      <c r="G414" s="630">
        <f>SUM(G415:G415)</f>
        <v>2426</v>
      </c>
      <c r="H414" s="102">
        <f t="shared" si="78"/>
        <v>8905485.5199999996</v>
      </c>
    </row>
    <row r="415" spans="1:8" s="22" customFormat="1" ht="56.25" customHeight="1">
      <c r="A415" s="38"/>
      <c r="B415" s="37"/>
      <c r="C415" s="53" t="s">
        <v>237</v>
      </c>
      <c r="D415" s="125" t="s">
        <v>238</v>
      </c>
      <c r="E415" s="51">
        <v>8907911.5199999996</v>
      </c>
      <c r="F415" s="51"/>
      <c r="G415" s="55">
        <v>2426</v>
      </c>
      <c r="H415" s="51">
        <f t="shared" si="78"/>
        <v>8905485.5199999996</v>
      </c>
    </row>
    <row r="416" spans="1:8" s="22" customFormat="1" ht="12" customHeight="1">
      <c r="A416" s="38"/>
      <c r="B416" s="65"/>
      <c r="C416" s="91"/>
      <c r="D416" s="646" t="s">
        <v>239</v>
      </c>
      <c r="E416" s="102">
        <v>0</v>
      </c>
      <c r="F416" s="630">
        <f>SUM(F417:F417)</f>
        <v>2426</v>
      </c>
      <c r="G416" s="630">
        <f>SUM(G417:G417)</f>
        <v>0</v>
      </c>
      <c r="H416" s="102">
        <f t="shared" si="78"/>
        <v>2426</v>
      </c>
    </row>
    <row r="417" spans="1:8" s="22" customFormat="1" ht="23.25" customHeight="1">
      <c r="A417" s="38"/>
      <c r="B417" s="65"/>
      <c r="C417" s="48" t="s">
        <v>240</v>
      </c>
      <c r="D417" s="141" t="s">
        <v>241</v>
      </c>
      <c r="E417" s="51">
        <v>0</v>
      </c>
      <c r="F417" s="51">
        <v>2426</v>
      </c>
      <c r="G417" s="55"/>
      <c r="H417" s="51">
        <f t="shared" si="78"/>
        <v>2426</v>
      </c>
    </row>
    <row r="418" spans="1:8" s="22" customFormat="1" ht="12" customHeight="1">
      <c r="A418" s="38"/>
      <c r="B418" s="56">
        <v>85230</v>
      </c>
      <c r="C418" s="57"/>
      <c r="D418" s="58" t="s">
        <v>93</v>
      </c>
      <c r="E418" s="59">
        <v>6378051</v>
      </c>
      <c r="F418" s="45">
        <f>SUM(F419,F422)</f>
        <v>316134</v>
      </c>
      <c r="G418" s="45">
        <f>SUM(G419,G422)</f>
        <v>0</v>
      </c>
      <c r="H418" s="44">
        <f t="shared" si="75"/>
        <v>6694185</v>
      </c>
    </row>
    <row r="419" spans="1:8" s="22" customFormat="1" ht="12" customHeight="1">
      <c r="A419" s="38"/>
      <c r="B419" s="56"/>
      <c r="C419" s="32"/>
      <c r="D419" s="646" t="s">
        <v>239</v>
      </c>
      <c r="E419" s="102">
        <v>6374667</v>
      </c>
      <c r="F419" s="630">
        <f>SUM(F420:F421)</f>
        <v>314934</v>
      </c>
      <c r="G419" s="630">
        <f>SUM(G420:G421)</f>
        <v>0</v>
      </c>
      <c r="H419" s="102">
        <f>SUM(E419+F419-G419)</f>
        <v>6689601</v>
      </c>
    </row>
    <row r="420" spans="1:8" s="22" customFormat="1" ht="12" customHeight="1">
      <c r="A420" s="38"/>
      <c r="B420" s="56"/>
      <c r="C420" s="67">
        <v>3110</v>
      </c>
      <c r="D420" s="104" t="s">
        <v>232</v>
      </c>
      <c r="E420" s="63">
        <v>2366746</v>
      </c>
      <c r="F420" s="50">
        <v>116076</v>
      </c>
      <c r="G420" s="50"/>
      <c r="H420" s="55">
        <f t="shared" ref="H420:H421" si="79">SUM(E420+F420-G420)</f>
        <v>2482822</v>
      </c>
    </row>
    <row r="421" spans="1:8" s="22" customFormat="1" ht="12" customHeight="1">
      <c r="A421" s="38"/>
      <c r="B421" s="56"/>
      <c r="C421" s="67">
        <v>4300</v>
      </c>
      <c r="D421" s="104" t="s">
        <v>18</v>
      </c>
      <c r="E421" s="63">
        <v>4007921</v>
      </c>
      <c r="F421" s="55">
        <v>198858</v>
      </c>
      <c r="G421" s="55"/>
      <c r="H421" s="55">
        <f t="shared" si="79"/>
        <v>4206779</v>
      </c>
    </row>
    <row r="422" spans="1:8" s="22" customFormat="1" ht="22.9" customHeight="1">
      <c r="A422" s="38"/>
      <c r="B422" s="56"/>
      <c r="C422" s="32"/>
      <c r="D422" s="645" t="s">
        <v>242</v>
      </c>
      <c r="E422" s="102">
        <v>2864</v>
      </c>
      <c r="F422" s="630">
        <f>SUM(F423:F423)</f>
        <v>1200</v>
      </c>
      <c r="G422" s="630">
        <f>SUM(G423:G423)</f>
        <v>0</v>
      </c>
      <c r="H422" s="102">
        <f t="shared" si="75"/>
        <v>4064</v>
      </c>
    </row>
    <row r="423" spans="1:8" s="22" customFormat="1" ht="21.6" customHeight="1">
      <c r="A423" s="38"/>
      <c r="B423" s="56"/>
      <c r="C423" s="42">
        <v>3290</v>
      </c>
      <c r="D423" s="87" t="s">
        <v>228</v>
      </c>
      <c r="E423" s="63">
        <v>2864</v>
      </c>
      <c r="F423" s="50">
        <v>1200</v>
      </c>
      <c r="G423" s="50"/>
      <c r="H423" s="55">
        <f t="shared" si="75"/>
        <v>4064</v>
      </c>
    </row>
    <row r="424" spans="1:8" s="22" customFormat="1" ht="12" customHeight="1">
      <c r="A424" s="38"/>
      <c r="B424" s="65">
        <v>85295</v>
      </c>
      <c r="C424" s="32"/>
      <c r="D424" s="43" t="s">
        <v>66</v>
      </c>
      <c r="E424" s="59">
        <v>6838685.3099999996</v>
      </c>
      <c r="F424" s="44">
        <f>SUM(F425,F427,F432)</f>
        <v>2315.1999999999998</v>
      </c>
      <c r="G424" s="44">
        <f>SUM(G425,G427,G432)</f>
        <v>70249.2</v>
      </c>
      <c r="H424" s="44">
        <f>SUM(E424+F424-G424)</f>
        <v>6770751.3099999996</v>
      </c>
    </row>
    <row r="425" spans="1:8" s="22" customFormat="1" ht="23.25" customHeight="1">
      <c r="A425" s="38"/>
      <c r="B425" s="65"/>
      <c r="C425" s="82"/>
      <c r="D425" s="645" t="s">
        <v>243</v>
      </c>
      <c r="E425" s="102">
        <v>771360.24</v>
      </c>
      <c r="F425" s="630">
        <f>SUM(F426:F426)</f>
        <v>0</v>
      </c>
      <c r="G425" s="630">
        <f>SUM(G426:G426)</f>
        <v>70000</v>
      </c>
      <c r="H425" s="102">
        <f t="shared" ref="H425:H435" si="80">SUM(E425+F425-G425)</f>
        <v>701360.24</v>
      </c>
    </row>
    <row r="426" spans="1:8" s="22" customFormat="1" ht="12" customHeight="1">
      <c r="A426" s="38"/>
      <c r="B426" s="65"/>
      <c r="C426" s="67">
        <v>4170</v>
      </c>
      <c r="D426" s="104" t="s">
        <v>22</v>
      </c>
      <c r="E426" s="63">
        <v>265726.84000000003</v>
      </c>
      <c r="F426" s="50"/>
      <c r="G426" s="50">
        <v>70000</v>
      </c>
      <c r="H426" s="50">
        <f t="shared" si="80"/>
        <v>195726.84000000003</v>
      </c>
    </row>
    <row r="427" spans="1:8" s="22" customFormat="1" ht="23.25" customHeight="1">
      <c r="A427" s="38"/>
      <c r="B427" s="65"/>
      <c r="C427" s="82"/>
      <c r="D427" s="647" t="s">
        <v>244</v>
      </c>
      <c r="E427" s="102">
        <v>907862.6399999999</v>
      </c>
      <c r="F427" s="630">
        <f>SUM(F428:F431)</f>
        <v>249.20000000000002</v>
      </c>
      <c r="G427" s="630">
        <f>SUM(G428:G431)</f>
        <v>249.20000000000002</v>
      </c>
      <c r="H427" s="102">
        <f t="shared" si="80"/>
        <v>907862.6399999999</v>
      </c>
    </row>
    <row r="428" spans="1:8" s="22" customFormat="1" ht="12" customHeight="1">
      <c r="A428" s="38"/>
      <c r="B428" s="65"/>
      <c r="C428" s="67">
        <v>4017</v>
      </c>
      <c r="D428" s="104" t="s">
        <v>128</v>
      </c>
      <c r="E428" s="63">
        <v>222819.06999999998</v>
      </c>
      <c r="F428" s="55">
        <v>223.18</v>
      </c>
      <c r="G428" s="55"/>
      <c r="H428" s="55">
        <f t="shared" si="80"/>
        <v>223042.24999999997</v>
      </c>
    </row>
    <row r="429" spans="1:8" s="22" customFormat="1" ht="12" customHeight="1">
      <c r="A429" s="38"/>
      <c r="B429" s="65"/>
      <c r="C429" s="67">
        <v>4019</v>
      </c>
      <c r="D429" s="104" t="s">
        <v>128</v>
      </c>
      <c r="E429" s="63">
        <v>25972.9</v>
      </c>
      <c r="F429" s="55">
        <v>26.02</v>
      </c>
      <c r="G429" s="55"/>
      <c r="H429" s="55">
        <f t="shared" si="80"/>
        <v>25998.920000000002</v>
      </c>
    </row>
    <row r="430" spans="1:8" s="22" customFormat="1" ht="12" customHeight="1">
      <c r="A430" s="38"/>
      <c r="B430" s="65"/>
      <c r="C430" s="67">
        <v>4447</v>
      </c>
      <c r="D430" s="104" t="s">
        <v>233</v>
      </c>
      <c r="E430" s="63">
        <v>2345.19</v>
      </c>
      <c r="F430" s="55"/>
      <c r="G430" s="55">
        <v>223.18</v>
      </c>
      <c r="H430" s="55">
        <f t="shared" si="80"/>
        <v>2122.0100000000002</v>
      </c>
    </row>
    <row r="431" spans="1:8" s="22" customFormat="1" ht="12" customHeight="1">
      <c r="A431" s="75"/>
      <c r="B431" s="95"/>
      <c r="C431" s="117">
        <v>4449</v>
      </c>
      <c r="D431" s="43" t="s">
        <v>233</v>
      </c>
      <c r="E431" s="59">
        <v>273.37</v>
      </c>
      <c r="F431" s="45"/>
      <c r="G431" s="45">
        <v>26.02</v>
      </c>
      <c r="H431" s="45">
        <f t="shared" si="80"/>
        <v>247.35</v>
      </c>
    </row>
    <row r="432" spans="1:8" s="22" customFormat="1" ht="23.25" customHeight="1">
      <c r="A432" s="38"/>
      <c r="B432" s="38"/>
      <c r="C432" s="82"/>
      <c r="D432" s="632" t="s">
        <v>245</v>
      </c>
      <c r="E432" s="102">
        <v>5069</v>
      </c>
      <c r="F432" s="630">
        <f>SUM(F433:F433)</f>
        <v>2066</v>
      </c>
      <c r="G432" s="630">
        <f>SUM(G433:G433)</f>
        <v>0</v>
      </c>
      <c r="H432" s="102">
        <f t="shared" si="80"/>
        <v>7135</v>
      </c>
    </row>
    <row r="433" spans="1:8" s="22" customFormat="1" ht="22.15" customHeight="1">
      <c r="A433" s="38"/>
      <c r="B433" s="38"/>
      <c r="C433" s="42">
        <v>3290</v>
      </c>
      <c r="D433" s="87" t="s">
        <v>228</v>
      </c>
      <c r="E433" s="63">
        <v>5069</v>
      </c>
      <c r="F433" s="55">
        <f>843+1223</f>
        <v>2066</v>
      </c>
      <c r="G433" s="55"/>
      <c r="H433" s="55">
        <f t="shared" si="80"/>
        <v>7135</v>
      </c>
    </row>
    <row r="434" spans="1:8" s="22" customFormat="1" ht="12" customHeight="1" thickBot="1">
      <c r="A434" s="37">
        <v>853</v>
      </c>
      <c r="B434" s="38"/>
      <c r="C434" s="39"/>
      <c r="D434" s="40" t="s">
        <v>246</v>
      </c>
      <c r="E434" s="36">
        <v>15446339.029999999</v>
      </c>
      <c r="F434" s="41">
        <f>SUM(F435)</f>
        <v>127726.6</v>
      </c>
      <c r="G434" s="41">
        <f>SUM(G435)</f>
        <v>21300</v>
      </c>
      <c r="H434" s="36">
        <f t="shared" si="80"/>
        <v>15552765.629999999</v>
      </c>
    </row>
    <row r="435" spans="1:8" s="22" customFormat="1" ht="12" customHeight="1" thickTop="1">
      <c r="A435" s="37"/>
      <c r="B435" s="65">
        <v>85395</v>
      </c>
      <c r="C435" s="32"/>
      <c r="D435" s="43" t="s">
        <v>66</v>
      </c>
      <c r="E435" s="59">
        <v>9615389.0299999993</v>
      </c>
      <c r="F435" s="45">
        <f>SUM(F436,F444)</f>
        <v>127726.6</v>
      </c>
      <c r="G435" s="45">
        <f>SUM(G436,G444)</f>
        <v>21300</v>
      </c>
      <c r="H435" s="44">
        <f t="shared" si="80"/>
        <v>9721815.629999999</v>
      </c>
    </row>
    <row r="436" spans="1:8" s="22" customFormat="1" ht="12" customHeight="1">
      <c r="A436" s="37"/>
      <c r="B436" s="38"/>
      <c r="C436" s="67"/>
      <c r="D436" s="626" t="s">
        <v>247</v>
      </c>
      <c r="E436" s="627">
        <v>6382601</v>
      </c>
      <c r="F436" s="627">
        <f>SUM(F437:F442)</f>
        <v>105606</v>
      </c>
      <c r="G436" s="627">
        <f>SUM(G437:G442)</f>
        <v>21300</v>
      </c>
      <c r="H436" s="102">
        <f>SUM(E436+F436-G436)</f>
        <v>6466907</v>
      </c>
    </row>
    <row r="437" spans="1:8" s="22" customFormat="1" ht="12" customHeight="1">
      <c r="A437" s="37"/>
      <c r="B437" s="38"/>
      <c r="C437" s="56">
        <v>4010</v>
      </c>
      <c r="D437" s="46" t="s">
        <v>128</v>
      </c>
      <c r="E437" s="63">
        <v>2660511</v>
      </c>
      <c r="F437" s="63">
        <v>84306</v>
      </c>
      <c r="G437" s="63"/>
      <c r="H437" s="55">
        <f t="shared" ref="H437:H441" si="81">SUM(E437+F437-G437)</f>
        <v>2744817</v>
      </c>
    </row>
    <row r="438" spans="1:8" s="22" customFormat="1" ht="12" customHeight="1">
      <c r="A438" s="37"/>
      <c r="B438" s="38"/>
      <c r="C438" s="82" t="s">
        <v>42</v>
      </c>
      <c r="D438" s="112" t="s">
        <v>43</v>
      </c>
      <c r="E438" s="55">
        <v>312000</v>
      </c>
      <c r="F438" s="55"/>
      <c r="G438" s="55">
        <v>12000</v>
      </c>
      <c r="H438" s="55">
        <f t="shared" si="81"/>
        <v>300000</v>
      </c>
    </row>
    <row r="439" spans="1:8" s="22" customFormat="1" ht="12" customHeight="1">
      <c r="A439" s="37"/>
      <c r="B439" s="38"/>
      <c r="C439" s="67">
        <v>4220</v>
      </c>
      <c r="D439" s="104" t="s">
        <v>44</v>
      </c>
      <c r="E439" s="55">
        <v>1850000</v>
      </c>
      <c r="F439" s="55"/>
      <c r="G439" s="55">
        <v>5000</v>
      </c>
      <c r="H439" s="55">
        <f t="shared" si="81"/>
        <v>1845000</v>
      </c>
    </row>
    <row r="440" spans="1:8" s="22" customFormat="1" ht="12" customHeight="1">
      <c r="A440" s="37"/>
      <c r="B440" s="38"/>
      <c r="C440" s="67">
        <v>4260</v>
      </c>
      <c r="D440" s="104" t="s">
        <v>169</v>
      </c>
      <c r="E440" s="55">
        <v>359400</v>
      </c>
      <c r="F440" s="55"/>
      <c r="G440" s="55">
        <v>4300</v>
      </c>
      <c r="H440" s="55">
        <f t="shared" si="81"/>
        <v>355100</v>
      </c>
    </row>
    <row r="441" spans="1:8" s="22" customFormat="1" ht="12" customHeight="1">
      <c r="A441" s="37"/>
      <c r="B441" s="38"/>
      <c r="C441" s="67">
        <v>4280</v>
      </c>
      <c r="D441" s="104" t="s">
        <v>170</v>
      </c>
      <c r="E441" s="55">
        <v>4400</v>
      </c>
      <c r="F441" s="55">
        <v>1300</v>
      </c>
      <c r="G441" s="55"/>
      <c r="H441" s="55">
        <f t="shared" si="81"/>
        <v>5700</v>
      </c>
    </row>
    <row r="442" spans="1:8" s="22" customFormat="1" ht="12" customHeight="1">
      <c r="A442" s="37"/>
      <c r="B442" s="38"/>
      <c r="C442" s="67">
        <v>4300</v>
      </c>
      <c r="D442" s="104" t="s">
        <v>18</v>
      </c>
      <c r="E442" s="55">
        <v>124000</v>
      </c>
      <c r="F442" s="55">
        <v>20000</v>
      </c>
      <c r="G442" s="55"/>
      <c r="H442" s="55">
        <f>SUM(E442+F442-G442)</f>
        <v>144000</v>
      </c>
    </row>
    <row r="443" spans="1:8" s="22" customFormat="1" ht="12" customHeight="1">
      <c r="A443" s="37"/>
      <c r="B443" s="38"/>
      <c r="C443" s="32"/>
      <c r="D443" s="104" t="s">
        <v>248</v>
      </c>
      <c r="E443" s="51"/>
      <c r="F443" s="55"/>
      <c r="G443" s="55"/>
      <c r="H443" s="51"/>
    </row>
    <row r="444" spans="1:8" s="22" customFormat="1" ht="12" customHeight="1">
      <c r="A444" s="37"/>
      <c r="B444" s="38"/>
      <c r="C444" s="82"/>
      <c r="D444" s="626" t="s">
        <v>249</v>
      </c>
      <c r="E444" s="102">
        <v>564804.4</v>
      </c>
      <c r="F444" s="630">
        <f>SUM(F445:F445)</f>
        <v>22120.6</v>
      </c>
      <c r="G444" s="630">
        <f>SUM(G445:G445)</f>
        <v>0</v>
      </c>
      <c r="H444" s="102">
        <f>SUM(E444+F444-G444)</f>
        <v>586925</v>
      </c>
    </row>
    <row r="445" spans="1:8" s="22" customFormat="1" ht="12" customHeight="1">
      <c r="A445" s="37"/>
      <c r="B445" s="38"/>
      <c r="C445" s="67">
        <v>4010</v>
      </c>
      <c r="D445" s="104" t="s">
        <v>128</v>
      </c>
      <c r="E445" s="63">
        <v>293749.40000000002</v>
      </c>
      <c r="F445" s="55">
        <v>22120.6</v>
      </c>
      <c r="G445" s="55"/>
      <c r="H445" s="55">
        <f>SUM(E445+F445-G445)</f>
        <v>315870</v>
      </c>
    </row>
    <row r="446" spans="1:8" s="22" customFormat="1" ht="12" customHeight="1" thickBot="1">
      <c r="A446" s="38">
        <v>854</v>
      </c>
      <c r="B446" s="38"/>
      <c r="C446" s="39"/>
      <c r="D446" s="40" t="s">
        <v>23</v>
      </c>
      <c r="E446" s="36">
        <v>24100806.639999997</v>
      </c>
      <c r="F446" s="41">
        <f>SUM(F447,F450,F454,F457,F462)</f>
        <v>360936</v>
      </c>
      <c r="G446" s="41">
        <f>SUM(G447,G450,G454,G457,G462)</f>
        <v>261000</v>
      </c>
      <c r="H446" s="36">
        <f t="shared" ref="H446" si="82">SUM(E446+F446-G446)</f>
        <v>24200742.639999997</v>
      </c>
    </row>
    <row r="447" spans="1:8" s="22" customFormat="1" ht="12" customHeight="1" thickTop="1">
      <c r="A447" s="38"/>
      <c r="B447" s="142">
        <v>85402</v>
      </c>
      <c r="C447" s="143"/>
      <c r="D447" s="144" t="s">
        <v>250</v>
      </c>
      <c r="E447" s="44">
        <v>1338913.0900000001</v>
      </c>
      <c r="F447" s="45">
        <f>SUM(F448)</f>
        <v>0</v>
      </c>
      <c r="G447" s="45">
        <f>SUM(G448)</f>
        <v>200000</v>
      </c>
      <c r="H447" s="44">
        <f>SUM(E447+F447-G447)</f>
        <v>1138913.0900000001</v>
      </c>
    </row>
    <row r="448" spans="1:8" s="22" customFormat="1" ht="12" customHeight="1">
      <c r="A448" s="38"/>
      <c r="B448" s="65"/>
      <c r="C448" s="32"/>
      <c r="D448" s="626" t="s">
        <v>16</v>
      </c>
      <c r="E448" s="627">
        <v>1338913.0900000001</v>
      </c>
      <c r="F448" s="627">
        <f>SUM(F449:F449)</f>
        <v>0</v>
      </c>
      <c r="G448" s="627">
        <f>SUM(G449:G449)</f>
        <v>200000</v>
      </c>
      <c r="H448" s="627">
        <f t="shared" ref="H448:H450" si="83">SUM(E448+F448-G448)</f>
        <v>1138913.0900000001</v>
      </c>
    </row>
    <row r="449" spans="1:8" s="22" customFormat="1" ht="21.75" customHeight="1">
      <c r="A449" s="38"/>
      <c r="B449" s="65"/>
      <c r="C449" s="42">
        <v>2540</v>
      </c>
      <c r="D449" s="87" t="s">
        <v>166</v>
      </c>
      <c r="E449" s="145">
        <v>1338913.0900000001</v>
      </c>
      <c r="F449" s="146"/>
      <c r="G449" s="146">
        <v>200000</v>
      </c>
      <c r="H449" s="51">
        <f t="shared" si="83"/>
        <v>1138913.0900000001</v>
      </c>
    </row>
    <row r="450" spans="1:8" s="22" customFormat="1" ht="12" customHeight="1">
      <c r="A450" s="38"/>
      <c r="B450" s="56">
        <v>85406</v>
      </c>
      <c r="C450" s="60"/>
      <c r="D450" s="58" t="s">
        <v>251</v>
      </c>
      <c r="E450" s="44">
        <v>6221713.1199999992</v>
      </c>
      <c r="F450" s="45">
        <f>SUM(F451)</f>
        <v>1000</v>
      </c>
      <c r="G450" s="45">
        <f>SUM(G451)</f>
        <v>1000</v>
      </c>
      <c r="H450" s="44">
        <f t="shared" si="83"/>
        <v>6221713.1199999992</v>
      </c>
    </row>
    <row r="451" spans="1:8" s="22" customFormat="1" ht="12" customHeight="1">
      <c r="A451" s="38"/>
      <c r="B451" s="56"/>
      <c r="C451" s="32"/>
      <c r="D451" s="640" t="s">
        <v>21</v>
      </c>
      <c r="E451" s="627">
        <v>6097808.0999999996</v>
      </c>
      <c r="F451" s="627">
        <f>SUM(F452:F453)</f>
        <v>1000</v>
      </c>
      <c r="G451" s="627">
        <f>SUM(G452:G453)</f>
        <v>1000</v>
      </c>
      <c r="H451" s="102">
        <f>SUM(E451+F451-G451)</f>
        <v>6097808.0999999996</v>
      </c>
    </row>
    <row r="452" spans="1:8" s="22" customFormat="1" ht="12" customHeight="1">
      <c r="A452" s="38"/>
      <c r="B452" s="67"/>
      <c r="C452" s="82" t="s">
        <v>180</v>
      </c>
      <c r="D452" s="104" t="s">
        <v>148</v>
      </c>
      <c r="E452" s="63">
        <v>2400</v>
      </c>
      <c r="F452" s="63">
        <v>1000</v>
      </c>
      <c r="G452" s="63"/>
      <c r="H452" s="51">
        <f t="shared" ref="H452:H465" si="84">SUM(E452+F452-G452)</f>
        <v>3400</v>
      </c>
    </row>
    <row r="453" spans="1:8" s="22" customFormat="1" ht="12" customHeight="1">
      <c r="A453" s="38"/>
      <c r="B453" s="67"/>
      <c r="C453" s="82" t="s">
        <v>252</v>
      </c>
      <c r="D453" s="104" t="s">
        <v>154</v>
      </c>
      <c r="E453" s="63">
        <v>43387</v>
      </c>
      <c r="F453" s="63"/>
      <c r="G453" s="63">
        <v>1000</v>
      </c>
      <c r="H453" s="51">
        <f t="shared" si="84"/>
        <v>42387</v>
      </c>
    </row>
    <row r="454" spans="1:8" s="22" customFormat="1" ht="12" customHeight="1">
      <c r="A454" s="38"/>
      <c r="B454" s="56">
        <v>85410</v>
      </c>
      <c r="C454" s="60"/>
      <c r="D454" s="58" t="s">
        <v>24</v>
      </c>
      <c r="E454" s="45">
        <v>5303990.9300000006</v>
      </c>
      <c r="F454" s="45">
        <f>SUM(F455)</f>
        <v>200000</v>
      </c>
      <c r="G454" s="45">
        <f>SUM(G455)</f>
        <v>0</v>
      </c>
      <c r="H454" s="44">
        <f>SUM(E454+F454-G454)</f>
        <v>5503990.9300000006</v>
      </c>
    </row>
    <row r="455" spans="1:8" s="22" customFormat="1" ht="12" customHeight="1">
      <c r="A455" s="38"/>
      <c r="B455" s="65"/>
      <c r="C455" s="32"/>
      <c r="D455" s="626" t="s">
        <v>16</v>
      </c>
      <c r="E455" s="627">
        <v>1365082.9100000001</v>
      </c>
      <c r="F455" s="627">
        <f>SUM(F456:F456)</f>
        <v>200000</v>
      </c>
      <c r="G455" s="627">
        <f>SUM(G456:G456)</f>
        <v>0</v>
      </c>
      <c r="H455" s="627">
        <f t="shared" ref="H455:H456" si="85">SUM(E455+F455-G455)</f>
        <v>1565082.9100000001</v>
      </c>
    </row>
    <row r="456" spans="1:8" s="22" customFormat="1" ht="31.5" customHeight="1">
      <c r="A456" s="38"/>
      <c r="B456" s="65"/>
      <c r="C456" s="42">
        <v>2590</v>
      </c>
      <c r="D456" s="147" t="s">
        <v>168</v>
      </c>
      <c r="E456" s="146">
        <v>1365082.9100000001</v>
      </c>
      <c r="F456" s="146">
        <v>200000</v>
      </c>
      <c r="G456" s="146"/>
      <c r="H456" s="51">
        <f t="shared" si="85"/>
        <v>1565082.9100000001</v>
      </c>
    </row>
    <row r="457" spans="1:8" s="22" customFormat="1" ht="12" customHeight="1">
      <c r="A457" s="38"/>
      <c r="B457" s="56">
        <v>85415</v>
      </c>
      <c r="C457" s="60"/>
      <c r="D457" s="58" t="s">
        <v>96</v>
      </c>
      <c r="E457" s="44">
        <v>289000</v>
      </c>
      <c r="F457" s="45">
        <f>SUM(F458,F460)</f>
        <v>99936</v>
      </c>
      <c r="G457" s="45">
        <f>SUM(G458,G460)</f>
        <v>0</v>
      </c>
      <c r="H457" s="44">
        <f t="shared" si="84"/>
        <v>388936</v>
      </c>
    </row>
    <row r="458" spans="1:8" s="22" customFormat="1" ht="12" customHeight="1">
      <c r="A458" s="38"/>
      <c r="B458" s="65"/>
      <c r="C458" s="32"/>
      <c r="D458" s="640" t="s">
        <v>21</v>
      </c>
      <c r="E458" s="102">
        <v>9000</v>
      </c>
      <c r="F458" s="102">
        <f>SUM(F459)</f>
        <v>99845</v>
      </c>
      <c r="G458" s="102">
        <f>SUM(G459:G461)</f>
        <v>0</v>
      </c>
      <c r="H458" s="102">
        <f t="shared" si="84"/>
        <v>108845</v>
      </c>
    </row>
    <row r="459" spans="1:8" s="22" customFormat="1" ht="12" customHeight="1">
      <c r="A459" s="38"/>
      <c r="B459" s="46"/>
      <c r="C459" s="148">
        <v>3260</v>
      </c>
      <c r="D459" s="135" t="s">
        <v>253</v>
      </c>
      <c r="E459" s="63">
        <v>0</v>
      </c>
      <c r="F459" s="63">
        <v>99845</v>
      </c>
      <c r="G459" s="63"/>
      <c r="H459" s="55">
        <f t="shared" si="84"/>
        <v>99845</v>
      </c>
    </row>
    <row r="460" spans="1:8" s="22" customFormat="1" ht="12" customHeight="1">
      <c r="A460" s="38"/>
      <c r="B460" s="65"/>
      <c r="C460" s="32"/>
      <c r="D460" s="640" t="s">
        <v>254</v>
      </c>
      <c r="E460" s="102">
        <v>280000</v>
      </c>
      <c r="F460" s="102">
        <f>SUM(F461:F461)</f>
        <v>91</v>
      </c>
      <c r="G460" s="102">
        <f>SUM(G461:G461)</f>
        <v>0</v>
      </c>
      <c r="H460" s="102">
        <f t="shared" si="84"/>
        <v>280091</v>
      </c>
    </row>
    <row r="461" spans="1:8" s="22" customFormat="1" ht="12" customHeight="1">
      <c r="A461" s="38"/>
      <c r="B461" s="46"/>
      <c r="C461" s="149">
        <v>3260</v>
      </c>
      <c r="D461" s="104" t="s">
        <v>253</v>
      </c>
      <c r="E461" s="63">
        <v>15000</v>
      </c>
      <c r="F461" s="63">
        <v>91</v>
      </c>
      <c r="G461" s="63"/>
      <c r="H461" s="55">
        <f t="shared" si="84"/>
        <v>15091</v>
      </c>
    </row>
    <row r="462" spans="1:8" s="22" customFormat="1" ht="12" customHeight="1">
      <c r="A462" s="38"/>
      <c r="B462" s="56">
        <v>85420</v>
      </c>
      <c r="C462" s="60"/>
      <c r="D462" s="58" t="s">
        <v>61</v>
      </c>
      <c r="E462" s="44">
        <v>8415881.3599999994</v>
      </c>
      <c r="F462" s="45">
        <f>SUM(F463)</f>
        <v>60000</v>
      </c>
      <c r="G462" s="45">
        <f>SUM(G463)</f>
        <v>60000</v>
      </c>
      <c r="H462" s="44">
        <f t="shared" si="84"/>
        <v>8415881.3599999994</v>
      </c>
    </row>
    <row r="463" spans="1:8" s="22" customFormat="1" ht="12" customHeight="1">
      <c r="A463" s="38"/>
      <c r="B463" s="65"/>
      <c r="C463" s="32"/>
      <c r="D463" s="640" t="s">
        <v>21</v>
      </c>
      <c r="E463" s="102">
        <v>8235881.3599999994</v>
      </c>
      <c r="F463" s="102">
        <f>SUM(F464:F465)</f>
        <v>60000</v>
      </c>
      <c r="G463" s="102">
        <f>SUM(G464:G465)</f>
        <v>60000</v>
      </c>
      <c r="H463" s="102">
        <f t="shared" si="84"/>
        <v>8235881.3599999994</v>
      </c>
    </row>
    <row r="464" spans="1:8" s="22" customFormat="1" ht="12" customHeight="1">
      <c r="A464" s="38"/>
      <c r="B464" s="65"/>
      <c r="C464" s="149">
        <v>4210</v>
      </c>
      <c r="D464" s="112" t="s">
        <v>43</v>
      </c>
      <c r="E464" s="63">
        <v>140000</v>
      </c>
      <c r="F464" s="63">
        <v>60000</v>
      </c>
      <c r="G464" s="63"/>
      <c r="H464" s="63">
        <f t="shared" si="84"/>
        <v>200000</v>
      </c>
    </row>
    <row r="465" spans="1:8" s="22" customFormat="1" ht="12" customHeight="1">
      <c r="A465" s="38"/>
      <c r="B465" s="46"/>
      <c r="C465" s="56">
        <v>4260</v>
      </c>
      <c r="D465" s="112" t="s">
        <v>169</v>
      </c>
      <c r="E465" s="63">
        <v>958900</v>
      </c>
      <c r="F465" s="63"/>
      <c r="G465" s="63">
        <v>60000</v>
      </c>
      <c r="H465" s="63">
        <f t="shared" si="84"/>
        <v>898900</v>
      </c>
    </row>
    <row r="466" spans="1:8" s="22" customFormat="1" ht="12" customHeight="1" thickBot="1">
      <c r="A466" s="38">
        <v>855</v>
      </c>
      <c r="B466" s="38"/>
      <c r="C466" s="39"/>
      <c r="D466" s="40" t="s">
        <v>99</v>
      </c>
      <c r="E466" s="3">
        <v>46977579.410000004</v>
      </c>
      <c r="F466" s="41">
        <f>SUM(F467,F479,F491,F523,F530)</f>
        <v>327754.26</v>
      </c>
      <c r="G466" s="41">
        <f>SUM(G467,G479,G491,G523,G530)</f>
        <v>272217.45999999996</v>
      </c>
      <c r="H466" s="36">
        <f>SUM(E466+F466-G466)</f>
        <v>47033116.210000001</v>
      </c>
    </row>
    <row r="467" spans="1:8" s="22" customFormat="1" ht="12" customHeight="1" thickTop="1">
      <c r="A467" s="38"/>
      <c r="B467" s="67">
        <v>85504</v>
      </c>
      <c r="C467" s="32"/>
      <c r="D467" s="81" t="s">
        <v>100</v>
      </c>
      <c r="E467" s="59">
        <v>2753357.8600000003</v>
      </c>
      <c r="F467" s="44">
        <f>SUM(F469,F472,F475)</f>
        <v>1862</v>
      </c>
      <c r="G467" s="44">
        <f>SUM(G469,G472,G475)</f>
        <v>21974.799999999999</v>
      </c>
      <c r="H467" s="44">
        <f t="shared" ref="H467" si="86">SUM(E467+F467-G467)</f>
        <v>2733245.0600000005</v>
      </c>
    </row>
    <row r="468" spans="1:8" s="22" customFormat="1" ht="12" customHeight="1">
      <c r="A468" s="38"/>
      <c r="B468" s="67"/>
      <c r="C468" s="32"/>
      <c r="D468" s="648" t="s">
        <v>255</v>
      </c>
      <c r="E468" s="63"/>
      <c r="F468" s="51"/>
      <c r="G468" s="51"/>
      <c r="H468" s="51"/>
    </row>
    <row r="469" spans="1:8" s="22" customFormat="1" ht="12" customHeight="1">
      <c r="A469" s="38"/>
      <c r="B469" s="37"/>
      <c r="C469" s="32"/>
      <c r="D469" s="649" t="s">
        <v>256</v>
      </c>
      <c r="E469" s="102">
        <v>1051805.06</v>
      </c>
      <c r="F469" s="634">
        <f>SUM(F470:F471)</f>
        <v>201</v>
      </c>
      <c r="G469" s="634">
        <f>SUM(G470:G471)</f>
        <v>201</v>
      </c>
      <c r="H469" s="102">
        <f t="shared" ref="H469:H541" si="87">SUM(E469+F469-G469)</f>
        <v>1051805.06</v>
      </c>
    </row>
    <row r="470" spans="1:8" s="22" customFormat="1" ht="12" customHeight="1">
      <c r="A470" s="38"/>
      <c r="B470" s="37"/>
      <c r="C470" s="67">
        <v>4260</v>
      </c>
      <c r="D470" s="104" t="s">
        <v>169</v>
      </c>
      <c r="E470" s="63">
        <v>48000</v>
      </c>
      <c r="F470" s="55"/>
      <c r="G470" s="55">
        <v>201</v>
      </c>
      <c r="H470" s="55">
        <f t="shared" si="87"/>
        <v>47799</v>
      </c>
    </row>
    <row r="471" spans="1:8" s="22" customFormat="1" ht="12" customHeight="1">
      <c r="A471" s="38"/>
      <c r="B471" s="37"/>
      <c r="C471" s="67">
        <v>4440</v>
      </c>
      <c r="D471" s="104" t="s">
        <v>233</v>
      </c>
      <c r="E471" s="63">
        <v>21123</v>
      </c>
      <c r="F471" s="55">
        <v>201</v>
      </c>
      <c r="G471" s="55"/>
      <c r="H471" s="55">
        <f t="shared" si="87"/>
        <v>21324</v>
      </c>
    </row>
    <row r="472" spans="1:8" s="22" customFormat="1" ht="12" customHeight="1">
      <c r="A472" s="38"/>
      <c r="B472" s="37"/>
      <c r="C472" s="56"/>
      <c r="D472" s="636" t="s">
        <v>257</v>
      </c>
      <c r="E472" s="627">
        <v>924127</v>
      </c>
      <c r="F472" s="630">
        <f>SUM(F473:F474)</f>
        <v>1661</v>
      </c>
      <c r="G472" s="630">
        <f>SUM(G473:G474)</f>
        <v>1661</v>
      </c>
      <c r="H472" s="102">
        <f t="shared" si="87"/>
        <v>924127</v>
      </c>
    </row>
    <row r="473" spans="1:8" s="22" customFormat="1" ht="12" customHeight="1">
      <c r="A473" s="38"/>
      <c r="B473" s="37"/>
      <c r="C473" s="149">
        <v>4210</v>
      </c>
      <c r="D473" s="112" t="s">
        <v>43</v>
      </c>
      <c r="E473" s="63">
        <v>9270</v>
      </c>
      <c r="F473" s="55">
        <v>1661</v>
      </c>
      <c r="G473" s="55"/>
      <c r="H473" s="55">
        <f t="shared" si="87"/>
        <v>10931</v>
      </c>
    </row>
    <row r="474" spans="1:8" s="22" customFormat="1" ht="12" customHeight="1">
      <c r="A474" s="38"/>
      <c r="B474" s="37"/>
      <c r="C474" s="67">
        <v>4440</v>
      </c>
      <c r="D474" s="104" t="s">
        <v>233</v>
      </c>
      <c r="E474" s="63">
        <v>24538</v>
      </c>
      <c r="F474" s="55"/>
      <c r="G474" s="55">
        <v>1661</v>
      </c>
      <c r="H474" s="55">
        <f t="shared" si="87"/>
        <v>22877</v>
      </c>
    </row>
    <row r="475" spans="1:8" s="22" customFormat="1" ht="12" customHeight="1">
      <c r="A475" s="38"/>
      <c r="B475" s="37"/>
      <c r="C475" s="82"/>
      <c r="D475" s="640" t="s">
        <v>234</v>
      </c>
      <c r="E475" s="102">
        <v>777016.8</v>
      </c>
      <c r="F475" s="630">
        <f>SUM(F476:F478)</f>
        <v>0</v>
      </c>
      <c r="G475" s="630">
        <f>SUM(G476:G478)</f>
        <v>20112.8</v>
      </c>
      <c r="H475" s="102">
        <f t="shared" si="87"/>
        <v>756904</v>
      </c>
    </row>
    <row r="476" spans="1:8" s="22" customFormat="1" ht="12" customHeight="1">
      <c r="A476" s="38"/>
      <c r="B476" s="37"/>
      <c r="C476" s="67">
        <v>4010</v>
      </c>
      <c r="D476" s="104" t="s">
        <v>128</v>
      </c>
      <c r="E476" s="63">
        <v>648000</v>
      </c>
      <c r="F476" s="50"/>
      <c r="G476" s="50">
        <v>15492</v>
      </c>
      <c r="H476" s="55">
        <f t="shared" si="87"/>
        <v>632508</v>
      </c>
    </row>
    <row r="477" spans="1:8" s="22" customFormat="1" ht="12" customHeight="1">
      <c r="A477" s="38"/>
      <c r="B477" s="37"/>
      <c r="C477" s="67">
        <v>4110</v>
      </c>
      <c r="D477" s="104" t="s">
        <v>45</v>
      </c>
      <c r="E477" s="63">
        <v>113140.8</v>
      </c>
      <c r="F477" s="50"/>
      <c r="G477" s="50">
        <v>2700.8</v>
      </c>
      <c r="H477" s="55">
        <f t="shared" si="87"/>
        <v>110440</v>
      </c>
    </row>
    <row r="478" spans="1:8" s="22" customFormat="1" ht="12" customHeight="1">
      <c r="A478" s="38"/>
      <c r="B478" s="37"/>
      <c r="C478" s="67">
        <v>4120</v>
      </c>
      <c r="D478" s="104" t="s">
        <v>26</v>
      </c>
      <c r="E478" s="63">
        <v>15876</v>
      </c>
      <c r="F478" s="50"/>
      <c r="G478" s="50">
        <v>1920</v>
      </c>
      <c r="H478" s="55">
        <f t="shared" si="87"/>
        <v>13956</v>
      </c>
    </row>
    <row r="479" spans="1:8" s="22" customFormat="1" ht="12" customHeight="1">
      <c r="A479" s="38"/>
      <c r="B479" s="67">
        <v>85508</v>
      </c>
      <c r="C479" s="66"/>
      <c r="D479" s="150" t="s">
        <v>101</v>
      </c>
      <c r="E479" s="59">
        <v>5132913.8600000003</v>
      </c>
      <c r="F479" s="44">
        <f>SUM(F480,F483,F487)</f>
        <v>13150</v>
      </c>
      <c r="G479" s="44">
        <f>SUM(G480,G483,G487)</f>
        <v>19649.599999999999</v>
      </c>
      <c r="H479" s="44">
        <f t="shared" si="87"/>
        <v>5126414.2600000007</v>
      </c>
    </row>
    <row r="480" spans="1:8" s="22" customFormat="1" ht="12" customHeight="1">
      <c r="A480" s="38"/>
      <c r="B480" s="67"/>
      <c r="C480" s="56"/>
      <c r="D480" s="638" t="s">
        <v>258</v>
      </c>
      <c r="E480" s="627">
        <v>4071780</v>
      </c>
      <c r="F480" s="630">
        <f>SUM(F481:F482)</f>
        <v>0</v>
      </c>
      <c r="G480" s="630">
        <f>SUM(G481:G482)</f>
        <v>13150</v>
      </c>
      <c r="H480" s="102">
        <f t="shared" si="87"/>
        <v>4058630</v>
      </c>
    </row>
    <row r="481" spans="1:8" s="22" customFormat="1" ht="12" customHeight="1">
      <c r="A481" s="38"/>
      <c r="B481" s="67"/>
      <c r="C481" s="67">
        <v>4110</v>
      </c>
      <c r="D481" s="104" t="s">
        <v>45</v>
      </c>
      <c r="E481" s="63">
        <v>60625</v>
      </c>
      <c r="F481" s="55"/>
      <c r="G481" s="55">
        <v>3150</v>
      </c>
      <c r="H481" s="55">
        <f t="shared" si="87"/>
        <v>57475</v>
      </c>
    </row>
    <row r="482" spans="1:8" s="22" customFormat="1" ht="12" customHeight="1">
      <c r="A482" s="38"/>
      <c r="B482" s="67"/>
      <c r="C482" s="67">
        <v>4170</v>
      </c>
      <c r="D482" s="104" t="s">
        <v>22</v>
      </c>
      <c r="E482" s="63">
        <v>410820</v>
      </c>
      <c r="F482" s="55"/>
      <c r="G482" s="55">
        <v>10000</v>
      </c>
      <c r="H482" s="55">
        <f t="shared" si="87"/>
        <v>400820</v>
      </c>
    </row>
    <row r="483" spans="1:8" s="22" customFormat="1" ht="21.75" customHeight="1">
      <c r="A483" s="38"/>
      <c r="B483" s="37"/>
      <c r="C483" s="56"/>
      <c r="D483" s="650" t="s">
        <v>259</v>
      </c>
      <c r="E483" s="627">
        <v>833589.86</v>
      </c>
      <c r="F483" s="630">
        <f>SUM(F484:F486)</f>
        <v>13150</v>
      </c>
      <c r="G483" s="630">
        <f>SUM(G484:G486)</f>
        <v>0</v>
      </c>
      <c r="H483" s="102">
        <f t="shared" si="87"/>
        <v>846739.86</v>
      </c>
    </row>
    <row r="484" spans="1:8" s="22" customFormat="1" ht="12" customHeight="1">
      <c r="A484" s="38"/>
      <c r="B484" s="37"/>
      <c r="C484" s="56">
        <v>4010</v>
      </c>
      <c r="D484" s="46" t="s">
        <v>128</v>
      </c>
      <c r="E484" s="63">
        <v>556691.86</v>
      </c>
      <c r="F484" s="55">
        <v>10000</v>
      </c>
      <c r="G484" s="55"/>
      <c r="H484" s="55">
        <f t="shared" si="87"/>
        <v>566691.86</v>
      </c>
    </row>
    <row r="485" spans="1:8" s="22" customFormat="1" ht="12" customHeight="1">
      <c r="A485" s="38"/>
      <c r="B485" s="37"/>
      <c r="C485" s="67">
        <v>4110</v>
      </c>
      <c r="D485" s="104" t="s">
        <v>45</v>
      </c>
      <c r="E485" s="63">
        <v>98838</v>
      </c>
      <c r="F485" s="55">
        <v>2750</v>
      </c>
      <c r="G485" s="55"/>
      <c r="H485" s="55">
        <f t="shared" si="87"/>
        <v>101588</v>
      </c>
    </row>
    <row r="486" spans="1:8" s="22" customFormat="1" ht="12" customHeight="1">
      <c r="A486" s="75"/>
      <c r="B486" s="84"/>
      <c r="C486" s="117">
        <v>4120</v>
      </c>
      <c r="D486" s="43" t="s">
        <v>26</v>
      </c>
      <c r="E486" s="59">
        <v>13869</v>
      </c>
      <c r="F486" s="45">
        <v>400</v>
      </c>
      <c r="G486" s="45"/>
      <c r="H486" s="45">
        <f t="shared" si="87"/>
        <v>14269</v>
      </c>
    </row>
    <row r="487" spans="1:8" s="22" customFormat="1" ht="12" customHeight="1">
      <c r="A487" s="38"/>
      <c r="B487" s="37"/>
      <c r="C487" s="82"/>
      <c r="D487" s="640" t="s">
        <v>234</v>
      </c>
      <c r="E487" s="102">
        <v>187059.6</v>
      </c>
      <c r="F487" s="630">
        <f>SUM(F488:F490)</f>
        <v>0</v>
      </c>
      <c r="G487" s="630">
        <f>SUM(G488:G490)</f>
        <v>6499.6</v>
      </c>
      <c r="H487" s="102">
        <f t="shared" si="87"/>
        <v>180560</v>
      </c>
    </row>
    <row r="488" spans="1:8" s="22" customFormat="1" ht="12" customHeight="1">
      <c r="A488" s="38"/>
      <c r="B488" s="37"/>
      <c r="C488" s="67">
        <v>4010</v>
      </c>
      <c r="D488" s="104" t="s">
        <v>128</v>
      </c>
      <c r="E488" s="63">
        <v>156000</v>
      </c>
      <c r="F488" s="50"/>
      <c r="G488" s="50">
        <v>5033</v>
      </c>
      <c r="H488" s="55">
        <f t="shared" si="87"/>
        <v>150967</v>
      </c>
    </row>
    <row r="489" spans="1:8" s="22" customFormat="1" ht="12" customHeight="1">
      <c r="A489" s="38"/>
      <c r="B489" s="37"/>
      <c r="C489" s="67">
        <v>4110</v>
      </c>
      <c r="D489" s="104" t="s">
        <v>45</v>
      </c>
      <c r="E489" s="63">
        <v>27237.599999999999</v>
      </c>
      <c r="F489" s="50"/>
      <c r="G489" s="50">
        <v>766.6</v>
      </c>
      <c r="H489" s="55">
        <f t="shared" si="87"/>
        <v>26471</v>
      </c>
    </row>
    <row r="490" spans="1:8" s="22" customFormat="1" ht="12" customHeight="1">
      <c r="A490" s="38"/>
      <c r="B490" s="37"/>
      <c r="C490" s="67">
        <v>4120</v>
      </c>
      <c r="D490" s="104" t="s">
        <v>26</v>
      </c>
      <c r="E490" s="63">
        <v>3822</v>
      </c>
      <c r="F490" s="50"/>
      <c r="G490" s="50">
        <v>700</v>
      </c>
      <c r="H490" s="55">
        <f t="shared" si="87"/>
        <v>3122</v>
      </c>
    </row>
    <row r="491" spans="1:8" s="22" customFormat="1" ht="11.25">
      <c r="A491" s="38"/>
      <c r="B491" s="67">
        <v>85510</v>
      </c>
      <c r="C491" s="32"/>
      <c r="D491" s="43" t="s">
        <v>102</v>
      </c>
      <c r="E491" s="44">
        <v>19758352.07</v>
      </c>
      <c r="F491" s="44">
        <f>SUM(F492,F494,F496,F498,F500,F502,F506,F510,F514,F518)</f>
        <v>258260</v>
      </c>
      <c r="G491" s="44">
        <f>SUM(G492,G494,G496,G498,G500,G502,G506,G510,G514,G518)</f>
        <v>201945.8</v>
      </c>
      <c r="H491" s="44">
        <f t="shared" si="87"/>
        <v>19814666.27</v>
      </c>
    </row>
    <row r="492" spans="1:8" s="22" customFormat="1" ht="11.25">
      <c r="A492" s="38"/>
      <c r="B492" s="67"/>
      <c r="C492" s="32"/>
      <c r="D492" s="626" t="s">
        <v>16</v>
      </c>
      <c r="E492" s="102">
        <v>3492005.56</v>
      </c>
      <c r="F492" s="630">
        <f>SUM(F493:F493)</f>
        <v>0</v>
      </c>
      <c r="G492" s="630">
        <f>SUM(G493:G493)</f>
        <v>5554.02</v>
      </c>
      <c r="H492" s="102">
        <f t="shared" si="87"/>
        <v>3486451.54</v>
      </c>
    </row>
    <row r="493" spans="1:8" s="22" customFormat="1" ht="32.25" customHeight="1">
      <c r="A493" s="38"/>
      <c r="B493" s="67"/>
      <c r="C493" s="42">
        <v>2830</v>
      </c>
      <c r="D493" s="62" t="s">
        <v>235</v>
      </c>
      <c r="E493" s="51">
        <v>343644</v>
      </c>
      <c r="F493" s="55"/>
      <c r="G493" s="55">
        <v>5554.02</v>
      </c>
      <c r="H493" s="50">
        <f t="shared" si="87"/>
        <v>338089.98</v>
      </c>
    </row>
    <row r="494" spans="1:8" s="22" customFormat="1" ht="11.25">
      <c r="A494" s="38"/>
      <c r="B494" s="67"/>
      <c r="C494" s="32"/>
      <c r="D494" s="651" t="s">
        <v>260</v>
      </c>
      <c r="E494" s="102">
        <v>5476631.7799999993</v>
      </c>
      <c r="F494" s="634">
        <f>SUM(F495:F495)</f>
        <v>215866</v>
      </c>
      <c r="G494" s="634">
        <f>SUM(G495:G495)</f>
        <v>0</v>
      </c>
      <c r="H494" s="102">
        <f t="shared" ref="H494:H495" si="88">SUM(E494+F494-G494)</f>
        <v>5692497.7799999993</v>
      </c>
    </row>
    <row r="495" spans="1:8" s="22" customFormat="1" ht="11.25">
      <c r="A495" s="38"/>
      <c r="B495" s="67"/>
      <c r="C495" s="56">
        <v>4010</v>
      </c>
      <c r="D495" s="46" t="s">
        <v>128</v>
      </c>
      <c r="E495" s="151">
        <v>3073169.78</v>
      </c>
      <c r="F495" s="50">
        <v>215866</v>
      </c>
      <c r="G495" s="50"/>
      <c r="H495" s="50">
        <f t="shared" si="88"/>
        <v>3289035.78</v>
      </c>
    </row>
    <row r="496" spans="1:8" s="22" customFormat="1" ht="11.25">
      <c r="A496" s="38"/>
      <c r="B496" s="67"/>
      <c r="C496" s="32"/>
      <c r="D496" s="652" t="s">
        <v>261</v>
      </c>
      <c r="E496" s="102">
        <v>2902457.8600000003</v>
      </c>
      <c r="F496" s="634">
        <f>SUM(F497:F497)</f>
        <v>0</v>
      </c>
      <c r="G496" s="634">
        <f>SUM(G497:G497)</f>
        <v>26000</v>
      </c>
      <c r="H496" s="102">
        <f t="shared" ref="H496:H517" si="89">SUM(E496+F496-G496)</f>
        <v>2876457.8600000003</v>
      </c>
    </row>
    <row r="497" spans="1:8" s="22" customFormat="1" ht="11.25">
      <c r="A497" s="38"/>
      <c r="B497" s="67"/>
      <c r="C497" s="67">
        <v>4220</v>
      </c>
      <c r="D497" s="104" t="s">
        <v>44</v>
      </c>
      <c r="E497" s="63">
        <v>133463</v>
      </c>
      <c r="F497" s="50"/>
      <c r="G497" s="50">
        <v>26000</v>
      </c>
      <c r="H497" s="50">
        <f t="shared" si="89"/>
        <v>107463</v>
      </c>
    </row>
    <row r="498" spans="1:8" s="22" customFormat="1" ht="11.25">
      <c r="A498" s="38"/>
      <c r="B498" s="67"/>
      <c r="C498" s="32"/>
      <c r="D498" s="652" t="s">
        <v>262</v>
      </c>
      <c r="E498" s="102">
        <v>2366183.88</v>
      </c>
      <c r="F498" s="634">
        <f>SUM(F499:F499)</f>
        <v>16000</v>
      </c>
      <c r="G498" s="634">
        <f>SUM(G499:G499)</f>
        <v>0</v>
      </c>
      <c r="H498" s="102">
        <f t="shared" si="89"/>
        <v>2382183.88</v>
      </c>
    </row>
    <row r="499" spans="1:8" s="22" customFormat="1" ht="11.25">
      <c r="A499" s="38"/>
      <c r="B499" s="67"/>
      <c r="C499" s="67">
        <v>4220</v>
      </c>
      <c r="D499" s="104" t="s">
        <v>44</v>
      </c>
      <c r="E499" s="63">
        <v>90000</v>
      </c>
      <c r="F499" s="50">
        <v>16000</v>
      </c>
      <c r="G499" s="50"/>
      <c r="H499" s="50">
        <f t="shared" si="89"/>
        <v>106000</v>
      </c>
    </row>
    <row r="500" spans="1:8" s="22" customFormat="1" ht="12" customHeight="1">
      <c r="A500" s="38"/>
      <c r="B500" s="67"/>
      <c r="C500" s="32"/>
      <c r="D500" s="651" t="s">
        <v>263</v>
      </c>
      <c r="E500" s="102">
        <v>2258897.16</v>
      </c>
      <c r="F500" s="634">
        <f>SUM(F501:F501)</f>
        <v>10000</v>
      </c>
      <c r="G500" s="634">
        <f>SUM(G501:G501)</f>
        <v>0</v>
      </c>
      <c r="H500" s="102">
        <f t="shared" si="89"/>
        <v>2268897.16</v>
      </c>
    </row>
    <row r="501" spans="1:8" s="22" customFormat="1" ht="11.25">
      <c r="A501" s="38"/>
      <c r="B501" s="67"/>
      <c r="C501" s="67">
        <v>4220</v>
      </c>
      <c r="D501" s="104" t="s">
        <v>44</v>
      </c>
      <c r="E501" s="151">
        <v>89000</v>
      </c>
      <c r="F501" s="50">
        <v>10000</v>
      </c>
      <c r="G501" s="50"/>
      <c r="H501" s="50">
        <f t="shared" si="89"/>
        <v>99000</v>
      </c>
    </row>
    <row r="502" spans="1:8" s="22" customFormat="1" ht="11.25">
      <c r="A502" s="38"/>
      <c r="B502" s="67"/>
      <c r="C502" s="32"/>
      <c r="D502" s="640" t="s">
        <v>264</v>
      </c>
      <c r="E502" s="102">
        <v>685709.1</v>
      </c>
      <c r="F502" s="634">
        <f>SUM(F503:F505)</f>
        <v>0</v>
      </c>
      <c r="G502" s="634">
        <f>SUM(G503:G505)</f>
        <v>58250.49</v>
      </c>
      <c r="H502" s="102">
        <f t="shared" si="89"/>
        <v>627458.61</v>
      </c>
    </row>
    <row r="503" spans="1:8" s="22" customFormat="1" ht="11.25">
      <c r="A503" s="38"/>
      <c r="B503" s="67"/>
      <c r="C503" s="91">
        <v>4010</v>
      </c>
      <c r="D503" s="92" t="s">
        <v>128</v>
      </c>
      <c r="E503" s="63">
        <v>573000</v>
      </c>
      <c r="F503" s="50"/>
      <c r="G503" s="50">
        <v>48675.93</v>
      </c>
      <c r="H503" s="50">
        <f t="shared" si="89"/>
        <v>524324.06999999995</v>
      </c>
    </row>
    <row r="504" spans="1:8" s="22" customFormat="1" ht="11.25">
      <c r="A504" s="38"/>
      <c r="B504" s="67"/>
      <c r="C504" s="91">
        <v>4110</v>
      </c>
      <c r="D504" s="92" t="s">
        <v>265</v>
      </c>
      <c r="E504" s="63">
        <v>98670.6</v>
      </c>
      <c r="F504" s="50"/>
      <c r="G504" s="50">
        <v>8382</v>
      </c>
      <c r="H504" s="50">
        <f t="shared" si="89"/>
        <v>90288.6</v>
      </c>
    </row>
    <row r="505" spans="1:8" s="22" customFormat="1" ht="11.25">
      <c r="A505" s="38"/>
      <c r="B505" s="67"/>
      <c r="C505" s="91">
        <v>4120</v>
      </c>
      <c r="D505" s="92" t="s">
        <v>26</v>
      </c>
      <c r="E505" s="63">
        <v>14038.5</v>
      </c>
      <c r="F505" s="50"/>
      <c r="G505" s="50">
        <v>1192.56</v>
      </c>
      <c r="H505" s="50">
        <f t="shared" si="89"/>
        <v>12845.94</v>
      </c>
    </row>
    <row r="506" spans="1:8" s="22" customFormat="1" ht="22.5">
      <c r="A506" s="38"/>
      <c r="B506" s="67"/>
      <c r="C506" s="32"/>
      <c r="D506" s="653" t="s">
        <v>266</v>
      </c>
      <c r="E506" s="102">
        <v>568260.80000000005</v>
      </c>
      <c r="F506" s="634">
        <f>SUM(F507:F509)</f>
        <v>0</v>
      </c>
      <c r="G506" s="634">
        <f>SUM(G507:G509)</f>
        <v>103020.74</v>
      </c>
      <c r="H506" s="102">
        <f t="shared" si="89"/>
        <v>465240.06000000006</v>
      </c>
    </row>
    <row r="507" spans="1:8" s="22" customFormat="1" ht="11.25">
      <c r="A507" s="38"/>
      <c r="B507" s="67"/>
      <c r="C507" s="91">
        <v>4010</v>
      </c>
      <c r="D507" s="92" t="s">
        <v>128</v>
      </c>
      <c r="E507" s="63">
        <v>474000</v>
      </c>
      <c r="F507" s="50"/>
      <c r="G507" s="50">
        <v>91319.77</v>
      </c>
      <c r="H507" s="50">
        <f t="shared" si="89"/>
        <v>382680.23</v>
      </c>
    </row>
    <row r="508" spans="1:8" s="22" customFormat="1" ht="11.25">
      <c r="A508" s="38"/>
      <c r="B508" s="67"/>
      <c r="C508" s="91">
        <v>4110</v>
      </c>
      <c r="D508" s="92" t="s">
        <v>265</v>
      </c>
      <c r="E508" s="63">
        <v>82647.8</v>
      </c>
      <c r="F508" s="50"/>
      <c r="G508" s="50">
        <v>8826.15</v>
      </c>
      <c r="H508" s="50">
        <f t="shared" si="89"/>
        <v>73821.650000000009</v>
      </c>
    </row>
    <row r="509" spans="1:8" s="22" customFormat="1" ht="11.25">
      <c r="A509" s="38"/>
      <c r="B509" s="67"/>
      <c r="C509" s="91">
        <v>4120</v>
      </c>
      <c r="D509" s="92" t="s">
        <v>26</v>
      </c>
      <c r="E509" s="63">
        <v>11613</v>
      </c>
      <c r="F509" s="50"/>
      <c r="G509" s="50">
        <v>2874.82</v>
      </c>
      <c r="H509" s="50">
        <f t="shared" si="89"/>
        <v>8738.18</v>
      </c>
    </row>
    <row r="510" spans="1:8" s="22" customFormat="1" ht="22.5">
      <c r="A510" s="38"/>
      <c r="B510" s="67"/>
      <c r="C510" s="32"/>
      <c r="D510" s="653" t="s">
        <v>267</v>
      </c>
      <c r="E510" s="102">
        <v>198604.33</v>
      </c>
      <c r="F510" s="634">
        <f>SUM(F511:F513)</f>
        <v>0</v>
      </c>
      <c r="G510" s="634">
        <f>SUM(G511:G513)</f>
        <v>8789.369999999999</v>
      </c>
      <c r="H510" s="102">
        <f t="shared" si="89"/>
        <v>189814.96</v>
      </c>
    </row>
    <row r="511" spans="1:8" s="22" customFormat="1" ht="11.25">
      <c r="A511" s="38"/>
      <c r="B511" s="67"/>
      <c r="C511" s="91">
        <v>4010</v>
      </c>
      <c r="D511" s="92" t="s">
        <v>128</v>
      </c>
      <c r="E511" s="63">
        <v>165960</v>
      </c>
      <c r="F511" s="50"/>
      <c r="G511" s="50">
        <v>7431.89</v>
      </c>
      <c r="H511" s="50">
        <f t="shared" si="89"/>
        <v>158528.10999999999</v>
      </c>
    </row>
    <row r="512" spans="1:8" s="22" customFormat="1" ht="11.25">
      <c r="A512" s="38"/>
      <c r="B512" s="67"/>
      <c r="C512" s="91">
        <v>4110</v>
      </c>
      <c r="D512" s="92" t="s">
        <v>265</v>
      </c>
      <c r="E512" s="63">
        <v>28578.31</v>
      </c>
      <c r="F512" s="50"/>
      <c r="G512" s="50">
        <v>1095.26</v>
      </c>
      <c r="H512" s="50">
        <f t="shared" si="89"/>
        <v>27483.050000000003</v>
      </c>
    </row>
    <row r="513" spans="1:8" s="22" customFormat="1" ht="11.25">
      <c r="A513" s="38"/>
      <c r="B513" s="67"/>
      <c r="C513" s="91">
        <v>4120</v>
      </c>
      <c r="D513" s="92" t="s">
        <v>26</v>
      </c>
      <c r="E513" s="63">
        <v>4066.02</v>
      </c>
      <c r="F513" s="50"/>
      <c r="G513" s="50">
        <v>262.22000000000003</v>
      </c>
      <c r="H513" s="50">
        <f t="shared" si="89"/>
        <v>3803.8</v>
      </c>
    </row>
    <row r="514" spans="1:8" s="22" customFormat="1" ht="22.5">
      <c r="A514" s="38"/>
      <c r="B514" s="67"/>
      <c r="C514" s="32"/>
      <c r="D514" s="651" t="s">
        <v>268</v>
      </c>
      <c r="E514" s="102">
        <v>205849.60000000001</v>
      </c>
      <c r="F514" s="634">
        <f>SUM(F515:F517)</f>
        <v>0</v>
      </c>
      <c r="G514" s="634">
        <f>SUM(G515:G517)</f>
        <v>331.18</v>
      </c>
      <c r="H514" s="102">
        <f t="shared" si="89"/>
        <v>205518.42</v>
      </c>
    </row>
    <row r="515" spans="1:8" s="22" customFormat="1" ht="11.25">
      <c r="A515" s="38"/>
      <c r="B515" s="67"/>
      <c r="C515" s="91">
        <v>4010</v>
      </c>
      <c r="D515" s="92" t="s">
        <v>128</v>
      </c>
      <c r="E515" s="151">
        <v>171000</v>
      </c>
      <c r="F515" s="50"/>
      <c r="G515" s="50">
        <v>214.28</v>
      </c>
      <c r="H515" s="50">
        <f t="shared" si="89"/>
        <v>170785.72</v>
      </c>
    </row>
    <row r="516" spans="1:8" s="22" customFormat="1" ht="11.25">
      <c r="A516" s="38"/>
      <c r="B516" s="67"/>
      <c r="C516" s="91">
        <v>4110</v>
      </c>
      <c r="D516" s="92" t="s">
        <v>265</v>
      </c>
      <c r="E516" s="151">
        <v>30660.1</v>
      </c>
      <c r="F516" s="51"/>
      <c r="G516" s="51">
        <v>38.15</v>
      </c>
      <c r="H516" s="50">
        <f t="shared" si="89"/>
        <v>30621.949999999997</v>
      </c>
    </row>
    <row r="517" spans="1:8" s="22" customFormat="1" ht="11.25">
      <c r="A517" s="38"/>
      <c r="B517" s="67"/>
      <c r="C517" s="91">
        <v>4120</v>
      </c>
      <c r="D517" s="92" t="s">
        <v>26</v>
      </c>
      <c r="E517" s="151">
        <v>4189.5</v>
      </c>
      <c r="F517" s="51"/>
      <c r="G517" s="51">
        <v>78.75</v>
      </c>
      <c r="H517" s="50">
        <f t="shared" si="89"/>
        <v>4110.75</v>
      </c>
    </row>
    <row r="518" spans="1:8" s="22" customFormat="1" ht="33.75">
      <c r="A518" s="38"/>
      <c r="B518" s="67"/>
      <c r="C518" s="32"/>
      <c r="D518" s="654" t="s">
        <v>269</v>
      </c>
      <c r="E518" s="102">
        <v>120418</v>
      </c>
      <c r="F518" s="634">
        <f>SUM(F519:F522)</f>
        <v>16394</v>
      </c>
      <c r="G518" s="634">
        <f>SUM(G519:G522)</f>
        <v>0</v>
      </c>
      <c r="H518" s="102">
        <f t="shared" si="87"/>
        <v>136812</v>
      </c>
    </row>
    <row r="519" spans="1:8" s="22" customFormat="1" ht="21.75" customHeight="1">
      <c r="A519" s="38"/>
      <c r="B519" s="67"/>
      <c r="C519" s="53" t="s">
        <v>270</v>
      </c>
      <c r="D519" s="125" t="s">
        <v>271</v>
      </c>
      <c r="E519" s="63">
        <v>9635</v>
      </c>
      <c r="F519" s="50">
        <v>1312</v>
      </c>
      <c r="G519" s="50"/>
      <c r="H519" s="50">
        <f t="shared" si="87"/>
        <v>10947</v>
      </c>
    </row>
    <row r="520" spans="1:8" s="22" customFormat="1" ht="11.25">
      <c r="A520" s="38"/>
      <c r="B520" s="67"/>
      <c r="C520" s="67">
        <v>4370</v>
      </c>
      <c r="D520" s="104" t="s">
        <v>272</v>
      </c>
      <c r="E520" s="63">
        <v>15653</v>
      </c>
      <c r="F520" s="50">
        <v>2131</v>
      </c>
      <c r="G520" s="50"/>
      <c r="H520" s="50">
        <f t="shared" si="87"/>
        <v>17784</v>
      </c>
    </row>
    <row r="521" spans="1:8" s="22" customFormat="1" ht="22.5">
      <c r="A521" s="38"/>
      <c r="B521" s="67"/>
      <c r="C521" s="42">
        <v>4740</v>
      </c>
      <c r="D521" s="87" t="s">
        <v>273</v>
      </c>
      <c r="E521" s="63">
        <v>78273</v>
      </c>
      <c r="F521" s="50">
        <v>10656</v>
      </c>
      <c r="G521" s="50"/>
      <c r="H521" s="50">
        <f t="shared" si="87"/>
        <v>88929</v>
      </c>
    </row>
    <row r="522" spans="1:8" s="22" customFormat="1" ht="24" customHeight="1">
      <c r="A522" s="38"/>
      <c r="B522" s="67"/>
      <c r="C522" s="42">
        <v>4850</v>
      </c>
      <c r="D522" s="87" t="s">
        <v>274</v>
      </c>
      <c r="E522" s="63">
        <v>16857</v>
      </c>
      <c r="F522" s="50">
        <v>2295</v>
      </c>
      <c r="G522" s="50"/>
      <c r="H522" s="50">
        <f t="shared" si="87"/>
        <v>19152</v>
      </c>
    </row>
    <row r="523" spans="1:8" s="22" customFormat="1" ht="12" customHeight="1">
      <c r="A523" s="38"/>
      <c r="B523" s="67">
        <v>85516</v>
      </c>
      <c r="C523" s="66"/>
      <c r="D523" s="150" t="s">
        <v>275</v>
      </c>
      <c r="E523" s="59">
        <v>16599231.58</v>
      </c>
      <c r="F523" s="45">
        <f>SUM(F524,)</f>
        <v>28341</v>
      </c>
      <c r="G523" s="45">
        <f>SUM(G524,)</f>
        <v>28341</v>
      </c>
      <c r="H523" s="44">
        <f t="shared" si="87"/>
        <v>16599231.58</v>
      </c>
    </row>
    <row r="524" spans="1:8" s="22" customFormat="1" ht="12" customHeight="1">
      <c r="A524" s="38"/>
      <c r="B524" s="67"/>
      <c r="C524" s="66"/>
      <c r="D524" s="652" t="s">
        <v>276</v>
      </c>
      <c r="E524" s="102">
        <v>11047422.140000001</v>
      </c>
      <c r="F524" s="630">
        <f>SUM(F525:F529)</f>
        <v>28341</v>
      </c>
      <c r="G524" s="630">
        <f>SUM(G525:G529)</f>
        <v>28341</v>
      </c>
      <c r="H524" s="102">
        <f>SUM(E524+F524-G524)</f>
        <v>11047422.140000001</v>
      </c>
    </row>
    <row r="525" spans="1:8" s="22" customFormat="1" ht="12" customHeight="1">
      <c r="A525" s="38"/>
      <c r="B525" s="67"/>
      <c r="C525" s="67">
        <v>4220</v>
      </c>
      <c r="D525" s="104" t="s">
        <v>44</v>
      </c>
      <c r="E525" s="63">
        <v>440000</v>
      </c>
      <c r="F525" s="55"/>
      <c r="G525" s="55">
        <v>23422</v>
      </c>
      <c r="H525" s="55">
        <f t="shared" ref="H525:H529" si="90">SUM(E525+F525-G525)</f>
        <v>416578</v>
      </c>
    </row>
    <row r="526" spans="1:8" s="22" customFormat="1" ht="21.75" customHeight="1">
      <c r="A526" s="38"/>
      <c r="B526" s="67"/>
      <c r="C526" s="42">
        <v>4400</v>
      </c>
      <c r="D526" s="62" t="s">
        <v>185</v>
      </c>
      <c r="E526" s="63">
        <v>16227</v>
      </c>
      <c r="F526" s="55">
        <v>474</v>
      </c>
      <c r="G526" s="55"/>
      <c r="H526" s="55">
        <f t="shared" si="90"/>
        <v>16701</v>
      </c>
    </row>
    <row r="527" spans="1:8" s="22" customFormat="1" ht="12" customHeight="1">
      <c r="A527" s="38"/>
      <c r="B527" s="67"/>
      <c r="C527" s="67">
        <v>4410</v>
      </c>
      <c r="D527" s="112" t="s">
        <v>156</v>
      </c>
      <c r="E527" s="63">
        <v>550</v>
      </c>
      <c r="F527" s="55">
        <v>1506</v>
      </c>
      <c r="G527" s="55"/>
      <c r="H527" s="55">
        <f t="shared" si="90"/>
        <v>2056</v>
      </c>
    </row>
    <row r="528" spans="1:8" s="22" customFormat="1" ht="12" customHeight="1">
      <c r="A528" s="38"/>
      <c r="B528" s="67"/>
      <c r="C528" s="67">
        <v>4430</v>
      </c>
      <c r="D528" s="104" t="s">
        <v>140</v>
      </c>
      <c r="E528" s="63">
        <v>19558</v>
      </c>
      <c r="F528" s="55"/>
      <c r="G528" s="55">
        <v>4919</v>
      </c>
      <c r="H528" s="55">
        <f t="shared" si="90"/>
        <v>14639</v>
      </c>
    </row>
    <row r="529" spans="1:8" s="22" customFormat="1" ht="12" customHeight="1">
      <c r="A529" s="38"/>
      <c r="B529" s="67"/>
      <c r="C529" s="67">
        <v>4440</v>
      </c>
      <c r="D529" s="104" t="s">
        <v>233</v>
      </c>
      <c r="E529" s="63">
        <v>222981</v>
      </c>
      <c r="F529" s="55">
        <v>26361</v>
      </c>
      <c r="G529" s="55"/>
      <c r="H529" s="55">
        <f t="shared" si="90"/>
        <v>249342</v>
      </c>
    </row>
    <row r="530" spans="1:8" s="22" customFormat="1" ht="12" customHeight="1">
      <c r="A530" s="38"/>
      <c r="B530" s="42">
        <v>85595</v>
      </c>
      <c r="C530" s="32"/>
      <c r="D530" s="114" t="s">
        <v>66</v>
      </c>
      <c r="E530" s="44">
        <v>924169.46</v>
      </c>
      <c r="F530" s="45">
        <f>SUM(F531,F536)</f>
        <v>26141.26</v>
      </c>
      <c r="G530" s="45">
        <f>SUM(G531,G536)</f>
        <v>306.26</v>
      </c>
      <c r="H530" s="44">
        <f>SUM(E530+F530-G530)</f>
        <v>950004.46</v>
      </c>
    </row>
    <row r="531" spans="1:8" s="22" customFormat="1" ht="23.25" customHeight="1">
      <c r="A531" s="38"/>
      <c r="B531" s="42"/>
      <c r="C531" s="56"/>
      <c r="D531" s="646" t="s">
        <v>277</v>
      </c>
      <c r="E531" s="102">
        <v>443681.77</v>
      </c>
      <c r="F531" s="634">
        <f>SUM(F532:F535)</f>
        <v>306.26</v>
      </c>
      <c r="G531" s="634">
        <f>SUM(G532:G535)</f>
        <v>306.26</v>
      </c>
      <c r="H531" s="102">
        <f t="shared" ref="H531:H539" si="91">SUM(E531+F531-G531)</f>
        <v>443681.77</v>
      </c>
    </row>
    <row r="532" spans="1:8" s="22" customFormat="1" ht="12" customHeight="1">
      <c r="A532" s="38"/>
      <c r="B532" s="42"/>
      <c r="C532" s="67">
        <v>4017</v>
      </c>
      <c r="D532" s="104" t="s">
        <v>128</v>
      </c>
      <c r="E532" s="63">
        <v>93933.74</v>
      </c>
      <c r="F532" s="50"/>
      <c r="G532" s="50">
        <v>274.02</v>
      </c>
      <c r="H532" s="55">
        <f t="shared" si="91"/>
        <v>93659.72</v>
      </c>
    </row>
    <row r="533" spans="1:8" s="22" customFormat="1" ht="12" customHeight="1">
      <c r="A533" s="38"/>
      <c r="B533" s="42"/>
      <c r="C533" s="67">
        <v>4019</v>
      </c>
      <c r="D533" s="104" t="s">
        <v>128</v>
      </c>
      <c r="E533" s="63">
        <v>11051.06</v>
      </c>
      <c r="F533" s="50"/>
      <c r="G533" s="50">
        <v>32.24</v>
      </c>
      <c r="H533" s="55">
        <f t="shared" si="91"/>
        <v>11018.82</v>
      </c>
    </row>
    <row r="534" spans="1:8" s="22" customFormat="1" ht="12" customHeight="1">
      <c r="A534" s="38"/>
      <c r="B534" s="42"/>
      <c r="C534" s="67">
        <v>4447</v>
      </c>
      <c r="D534" s="104" t="s">
        <v>233</v>
      </c>
      <c r="E534" s="63">
        <v>2162.6999999999998</v>
      </c>
      <c r="F534" s="50">
        <v>274.02</v>
      </c>
      <c r="G534" s="50"/>
      <c r="H534" s="55">
        <f t="shared" si="91"/>
        <v>2436.7199999999998</v>
      </c>
    </row>
    <row r="535" spans="1:8" s="22" customFormat="1" ht="12" customHeight="1">
      <c r="A535" s="75"/>
      <c r="B535" s="152"/>
      <c r="C535" s="117">
        <v>4449</v>
      </c>
      <c r="D535" s="43" t="s">
        <v>233</v>
      </c>
      <c r="E535" s="59">
        <v>254.44</v>
      </c>
      <c r="F535" s="78">
        <v>32.24</v>
      </c>
      <c r="G535" s="78"/>
      <c r="H535" s="45">
        <f t="shared" si="91"/>
        <v>286.68</v>
      </c>
    </row>
    <row r="536" spans="1:8" s="22" customFormat="1" ht="24" customHeight="1">
      <c r="A536" s="38"/>
      <c r="B536" s="65"/>
      <c r="C536" s="82"/>
      <c r="D536" s="632" t="s">
        <v>278</v>
      </c>
      <c r="E536" s="102">
        <v>211948</v>
      </c>
      <c r="F536" s="630">
        <f>SUM(F537:F539)</f>
        <v>25835</v>
      </c>
      <c r="G536" s="630">
        <f>SUM(G537:G539)</f>
        <v>0</v>
      </c>
      <c r="H536" s="102">
        <f t="shared" si="91"/>
        <v>237783</v>
      </c>
    </row>
    <row r="537" spans="1:8" s="22" customFormat="1" ht="23.25" customHeight="1">
      <c r="A537" s="38"/>
      <c r="B537" s="65"/>
      <c r="C537" s="42">
        <v>3290</v>
      </c>
      <c r="D537" s="87" t="s">
        <v>228</v>
      </c>
      <c r="E537" s="51">
        <v>206350</v>
      </c>
      <c r="F537" s="51">
        <v>25250</v>
      </c>
      <c r="G537" s="55"/>
      <c r="H537" s="51">
        <f t="shared" si="91"/>
        <v>231600</v>
      </c>
    </row>
    <row r="538" spans="1:8" s="22" customFormat="1" ht="23.25" customHeight="1">
      <c r="A538" s="38"/>
      <c r="B538" s="65"/>
      <c r="C538" s="42">
        <v>4740</v>
      </c>
      <c r="D538" s="87" t="s">
        <v>273</v>
      </c>
      <c r="E538" s="51">
        <v>4667</v>
      </c>
      <c r="F538" s="51">
        <v>488</v>
      </c>
      <c r="G538" s="55"/>
      <c r="H538" s="51">
        <f t="shared" si="91"/>
        <v>5155</v>
      </c>
    </row>
    <row r="539" spans="1:8" s="22" customFormat="1" ht="23.25" customHeight="1">
      <c r="A539" s="38"/>
      <c r="B539" s="65"/>
      <c r="C539" s="42">
        <v>4850</v>
      </c>
      <c r="D539" s="87" t="s">
        <v>274</v>
      </c>
      <c r="E539" s="51">
        <v>931</v>
      </c>
      <c r="F539" s="51">
        <v>97</v>
      </c>
      <c r="G539" s="55"/>
      <c r="H539" s="51">
        <f t="shared" si="91"/>
        <v>1028</v>
      </c>
    </row>
    <row r="540" spans="1:8" s="22" customFormat="1" ht="12" customHeight="1" thickBot="1">
      <c r="A540" s="37">
        <v>900</v>
      </c>
      <c r="B540" s="38"/>
      <c r="C540" s="39"/>
      <c r="D540" s="40" t="s">
        <v>279</v>
      </c>
      <c r="E540" s="36">
        <v>76044811.510000005</v>
      </c>
      <c r="F540" s="41">
        <f>SUM(F541)</f>
        <v>39644</v>
      </c>
      <c r="G540" s="41">
        <f>SUM(G541)</f>
        <v>39644</v>
      </c>
      <c r="H540" s="36">
        <f t="shared" si="87"/>
        <v>76044811.510000005</v>
      </c>
    </row>
    <row r="541" spans="1:8" s="22" customFormat="1" ht="12" customHeight="1" thickTop="1">
      <c r="A541" s="37"/>
      <c r="B541" s="67">
        <v>90013</v>
      </c>
      <c r="C541" s="39"/>
      <c r="D541" s="43" t="s">
        <v>280</v>
      </c>
      <c r="E541" s="44">
        <v>2828550</v>
      </c>
      <c r="F541" s="45">
        <f>SUM(F542)</f>
        <v>39644</v>
      </c>
      <c r="G541" s="45">
        <f>SUM(G542)</f>
        <v>39644</v>
      </c>
      <c r="H541" s="44">
        <f t="shared" si="87"/>
        <v>2828550</v>
      </c>
    </row>
    <row r="542" spans="1:8" s="22" customFormat="1" ht="12" customHeight="1">
      <c r="A542" s="37"/>
      <c r="B542" s="67"/>
      <c r="C542" s="67"/>
      <c r="D542" s="655" t="s">
        <v>281</v>
      </c>
      <c r="E542" s="102">
        <v>2828550</v>
      </c>
      <c r="F542" s="139">
        <f>SUM(F543:F547)</f>
        <v>39644</v>
      </c>
      <c r="G542" s="139">
        <f>SUM(G543:G547)</f>
        <v>39644</v>
      </c>
      <c r="H542" s="102">
        <f>SUM(E542+F542-G542)</f>
        <v>2828550</v>
      </c>
    </row>
    <row r="543" spans="1:8" s="22" customFormat="1" ht="12" customHeight="1">
      <c r="A543" s="37"/>
      <c r="B543" s="67"/>
      <c r="C543" s="56">
        <v>4110</v>
      </c>
      <c r="D543" s="112" t="s">
        <v>45</v>
      </c>
      <c r="E543" s="63">
        <v>253138</v>
      </c>
      <c r="F543" s="50"/>
      <c r="G543" s="50">
        <v>3000</v>
      </c>
      <c r="H543" s="55">
        <f t="shared" ref="H543:H588" si="92">SUM(E543+F543-G543)</f>
        <v>250138</v>
      </c>
    </row>
    <row r="544" spans="1:8" s="22" customFormat="1" ht="12" customHeight="1">
      <c r="A544" s="37"/>
      <c r="B544" s="67"/>
      <c r="C544" s="67">
        <v>4120</v>
      </c>
      <c r="D544" s="104" t="s">
        <v>26</v>
      </c>
      <c r="E544" s="63">
        <v>39651</v>
      </c>
      <c r="F544" s="50"/>
      <c r="G544" s="50">
        <v>5144</v>
      </c>
      <c r="H544" s="55">
        <f t="shared" si="92"/>
        <v>34507</v>
      </c>
    </row>
    <row r="545" spans="1:8" s="22" customFormat="1" ht="12" customHeight="1">
      <c r="A545" s="37"/>
      <c r="B545" s="67"/>
      <c r="C545" s="67">
        <v>4170</v>
      </c>
      <c r="D545" s="104" t="s">
        <v>22</v>
      </c>
      <c r="E545" s="63">
        <v>32744</v>
      </c>
      <c r="F545" s="50">
        <v>8144</v>
      </c>
      <c r="G545" s="50"/>
      <c r="H545" s="55">
        <f t="shared" si="92"/>
        <v>40888</v>
      </c>
    </row>
    <row r="546" spans="1:8" s="22" customFormat="1" ht="11.25" customHeight="1">
      <c r="A546" s="37"/>
      <c r="B546" s="67"/>
      <c r="C546" s="82" t="s">
        <v>42</v>
      </c>
      <c r="D546" s="112" t="s">
        <v>43</v>
      </c>
      <c r="E546" s="63">
        <v>162913</v>
      </c>
      <c r="F546" s="50"/>
      <c r="G546" s="50">
        <v>31500</v>
      </c>
      <c r="H546" s="55">
        <f t="shared" si="92"/>
        <v>131413</v>
      </c>
    </row>
    <row r="547" spans="1:8" s="22" customFormat="1" ht="11.25" customHeight="1">
      <c r="A547" s="37"/>
      <c r="B547" s="67"/>
      <c r="C547" s="67">
        <v>4270</v>
      </c>
      <c r="D547" s="104" t="s">
        <v>126</v>
      </c>
      <c r="E547" s="63">
        <v>73145</v>
      </c>
      <c r="F547" s="50">
        <v>31500</v>
      </c>
      <c r="G547" s="50"/>
      <c r="H547" s="55">
        <f t="shared" si="92"/>
        <v>104645</v>
      </c>
    </row>
    <row r="548" spans="1:8" s="22" customFormat="1" ht="12" customHeight="1" thickBot="1">
      <c r="A548" s="37">
        <v>921</v>
      </c>
      <c r="B548" s="38"/>
      <c r="C548" s="39"/>
      <c r="D548" s="40" t="s">
        <v>282</v>
      </c>
      <c r="E548" s="36">
        <v>26082362.079999998</v>
      </c>
      <c r="F548" s="41">
        <f>SUM(F549,F552)</f>
        <v>208491.99</v>
      </c>
      <c r="G548" s="41">
        <f>SUM(G549,G552)</f>
        <v>0</v>
      </c>
      <c r="H548" s="36">
        <f t="shared" si="92"/>
        <v>26290854.069999997</v>
      </c>
    </row>
    <row r="549" spans="1:8" s="22" customFormat="1" ht="12" customHeight="1" thickTop="1">
      <c r="A549" s="37"/>
      <c r="B549" s="56">
        <v>92113</v>
      </c>
      <c r="C549" s="56"/>
      <c r="D549" s="114" t="s">
        <v>283</v>
      </c>
      <c r="E549" s="44">
        <v>10122800</v>
      </c>
      <c r="F549" s="44">
        <f>SUM(F550)</f>
        <v>187563.99</v>
      </c>
      <c r="G549" s="44">
        <f>SUM(G550)</f>
        <v>0</v>
      </c>
      <c r="H549" s="44">
        <f t="shared" si="92"/>
        <v>10310363.99</v>
      </c>
    </row>
    <row r="550" spans="1:8" s="22" customFormat="1" ht="12" customHeight="1">
      <c r="A550" s="37"/>
      <c r="B550" s="153"/>
      <c r="C550" s="56"/>
      <c r="D550" s="656" t="s">
        <v>284</v>
      </c>
      <c r="E550" s="102">
        <v>10122800</v>
      </c>
      <c r="F550" s="634">
        <f>SUM(F551:F551)</f>
        <v>187563.99</v>
      </c>
      <c r="G550" s="634">
        <f>SUM(G551:G551)</f>
        <v>0</v>
      </c>
      <c r="H550" s="627">
        <f t="shared" si="92"/>
        <v>10310363.99</v>
      </c>
    </row>
    <row r="551" spans="1:8" s="22" customFormat="1" ht="24" customHeight="1">
      <c r="A551" s="37"/>
      <c r="B551" s="153"/>
      <c r="C551" s="48" t="s">
        <v>285</v>
      </c>
      <c r="D551" s="154" t="s">
        <v>286</v>
      </c>
      <c r="E551" s="55">
        <v>9607800</v>
      </c>
      <c r="F551" s="55">
        <v>187563.99</v>
      </c>
      <c r="G551" s="55"/>
      <c r="H551" s="55">
        <f t="shared" si="92"/>
        <v>9795363.9900000002</v>
      </c>
    </row>
    <row r="552" spans="1:8" s="22" customFormat="1" ht="12" customHeight="1">
      <c r="A552" s="37"/>
      <c r="B552" s="56">
        <v>92114</v>
      </c>
      <c r="C552" s="56"/>
      <c r="D552" s="114" t="s">
        <v>287</v>
      </c>
      <c r="E552" s="44">
        <v>2141019.92</v>
      </c>
      <c r="F552" s="44">
        <f>SUM(F553)</f>
        <v>20928</v>
      </c>
      <c r="G552" s="44">
        <f>SUM(G553)</f>
        <v>0</v>
      </c>
      <c r="H552" s="44">
        <f t="shared" si="92"/>
        <v>2161947.92</v>
      </c>
    </row>
    <row r="553" spans="1:8" s="22" customFormat="1" ht="12" customHeight="1">
      <c r="A553" s="37"/>
      <c r="B553" s="153"/>
      <c r="C553" s="56"/>
      <c r="D553" s="656" t="s">
        <v>284</v>
      </c>
      <c r="E553" s="102">
        <v>2041019.92</v>
      </c>
      <c r="F553" s="634">
        <f>SUM(F554:F554)</f>
        <v>20928</v>
      </c>
      <c r="G553" s="634">
        <f>SUM(G554:G554)</f>
        <v>0</v>
      </c>
      <c r="H553" s="627">
        <f t="shared" si="92"/>
        <v>2061947.92</v>
      </c>
    </row>
    <row r="554" spans="1:8" s="22" customFormat="1" ht="24" customHeight="1">
      <c r="A554" s="37"/>
      <c r="B554" s="153"/>
      <c r="C554" s="48" t="s">
        <v>285</v>
      </c>
      <c r="D554" s="154" t="s">
        <v>286</v>
      </c>
      <c r="E554" s="55">
        <v>2041019.92</v>
      </c>
      <c r="F554" s="55">
        <v>20928</v>
      </c>
      <c r="G554" s="55"/>
      <c r="H554" s="55">
        <f t="shared" si="92"/>
        <v>2061947.92</v>
      </c>
    </row>
    <row r="555" spans="1:8" s="22" customFormat="1" ht="12" customHeight="1" thickBot="1">
      <c r="A555" s="37">
        <v>926</v>
      </c>
      <c r="B555" s="38"/>
      <c r="C555" s="39"/>
      <c r="D555" s="40" t="s">
        <v>288</v>
      </c>
      <c r="E555" s="36">
        <v>38441241.560000002</v>
      </c>
      <c r="F555" s="36">
        <f>SUM(F556,F559,F562)</f>
        <v>1660976.02</v>
      </c>
      <c r="G555" s="36">
        <f>SUM(G556,G559,G562)</f>
        <v>8800</v>
      </c>
      <c r="H555" s="36">
        <f t="shared" si="92"/>
        <v>40093417.580000006</v>
      </c>
    </row>
    <row r="556" spans="1:8" s="22" customFormat="1" ht="12" customHeight="1" thickTop="1">
      <c r="A556" s="37"/>
      <c r="B556" s="67">
        <v>92604</v>
      </c>
      <c r="C556" s="83"/>
      <c r="D556" s="43" t="s">
        <v>289</v>
      </c>
      <c r="E556" s="44">
        <v>20228542.559999999</v>
      </c>
      <c r="F556" s="44">
        <f>SUM(F557)</f>
        <v>1652176.02</v>
      </c>
      <c r="G556" s="44">
        <f>SUM(G557)</f>
        <v>0</v>
      </c>
      <c r="H556" s="44">
        <f t="shared" si="92"/>
        <v>21880718.579999998</v>
      </c>
    </row>
    <row r="557" spans="1:8" s="22" customFormat="1" ht="12" customHeight="1">
      <c r="A557" s="37"/>
      <c r="B557" s="67"/>
      <c r="C557" s="39"/>
      <c r="D557" s="626" t="s">
        <v>132</v>
      </c>
      <c r="E557" s="627">
        <v>20228542.559999999</v>
      </c>
      <c r="F557" s="627">
        <f>SUM(F558)</f>
        <v>1652176.02</v>
      </c>
      <c r="G557" s="627">
        <f>SUM(G558)</f>
        <v>0</v>
      </c>
      <c r="H557" s="627">
        <f t="shared" si="92"/>
        <v>21880718.579999998</v>
      </c>
    </row>
    <row r="558" spans="1:8" s="22" customFormat="1" ht="12" customHeight="1">
      <c r="A558" s="37"/>
      <c r="B558" s="67"/>
      <c r="C558" s="91">
        <v>4010</v>
      </c>
      <c r="D558" s="92" t="s">
        <v>128</v>
      </c>
      <c r="E558" s="145">
        <v>5821195.5599999996</v>
      </c>
      <c r="F558" s="63">
        <v>1652176.02</v>
      </c>
      <c r="G558" s="63"/>
      <c r="H558" s="51">
        <f t="shared" si="92"/>
        <v>7473371.5800000001</v>
      </c>
    </row>
    <row r="559" spans="1:8" s="22" customFormat="1" ht="12" customHeight="1">
      <c r="A559" s="37"/>
      <c r="B559" s="142">
        <v>92605</v>
      </c>
      <c r="C559" s="2"/>
      <c r="D559" s="1" t="s">
        <v>290</v>
      </c>
      <c r="E559" s="44">
        <v>4860500</v>
      </c>
      <c r="F559" s="44">
        <f>SUM(F560)</f>
        <v>0</v>
      </c>
      <c r="G559" s="44">
        <f>SUM(G560)</f>
        <v>5500</v>
      </c>
      <c r="H559" s="44">
        <f t="shared" si="92"/>
        <v>4855000</v>
      </c>
    </row>
    <row r="560" spans="1:8" s="22" customFormat="1" ht="12" customHeight="1">
      <c r="A560" s="37"/>
      <c r="B560" s="65"/>
      <c r="C560" s="39"/>
      <c r="D560" s="657" t="s">
        <v>291</v>
      </c>
      <c r="E560" s="627">
        <v>4860500</v>
      </c>
      <c r="F560" s="627">
        <f>SUM(F561:F561)</f>
        <v>0</v>
      </c>
      <c r="G560" s="627">
        <f>SUM(G561:G561)</f>
        <v>5500</v>
      </c>
      <c r="H560" s="627">
        <f t="shared" si="92"/>
        <v>4855000</v>
      </c>
    </row>
    <row r="561" spans="1:8" s="22" customFormat="1" ht="55.5" customHeight="1">
      <c r="A561" s="37"/>
      <c r="B561" s="65"/>
      <c r="C561" s="53" t="s">
        <v>237</v>
      </c>
      <c r="D561" s="125" t="s">
        <v>238</v>
      </c>
      <c r="E561" s="145">
        <v>4860500</v>
      </c>
      <c r="F561" s="63"/>
      <c r="G561" s="63">
        <v>5500</v>
      </c>
      <c r="H561" s="51">
        <f t="shared" si="92"/>
        <v>4855000</v>
      </c>
    </row>
    <row r="562" spans="1:8" s="22" customFormat="1" ht="11.25" customHeight="1">
      <c r="A562" s="37"/>
      <c r="B562" s="67">
        <v>92695</v>
      </c>
      <c r="C562" s="83"/>
      <c r="D562" s="114" t="s">
        <v>66</v>
      </c>
      <c r="E562" s="44">
        <v>861009</v>
      </c>
      <c r="F562" s="44">
        <f>SUM(F563)</f>
        <v>8800</v>
      </c>
      <c r="G562" s="44">
        <f>SUM(G563)</f>
        <v>3300</v>
      </c>
      <c r="H562" s="44">
        <f t="shared" si="92"/>
        <v>866509</v>
      </c>
    </row>
    <row r="563" spans="1:8" s="22" customFormat="1" ht="11.25" customHeight="1">
      <c r="A563" s="37"/>
      <c r="B563" s="37"/>
      <c r="C563" s="39"/>
      <c r="D563" s="657" t="s">
        <v>291</v>
      </c>
      <c r="E563" s="627">
        <v>679500</v>
      </c>
      <c r="F563" s="627">
        <f>SUM(F564:F567)</f>
        <v>8800</v>
      </c>
      <c r="G563" s="627">
        <f>SUM(G564:G567)</f>
        <v>3300</v>
      </c>
      <c r="H563" s="627">
        <f t="shared" si="92"/>
        <v>685000</v>
      </c>
    </row>
    <row r="564" spans="1:8" s="22" customFormat="1" ht="11.25" customHeight="1">
      <c r="A564" s="37"/>
      <c r="B564" s="67"/>
      <c r="C564" s="67">
        <v>3250</v>
      </c>
      <c r="D564" s="155" t="s">
        <v>292</v>
      </c>
      <c r="E564" s="145">
        <v>460800</v>
      </c>
      <c r="F564" s="63"/>
      <c r="G564" s="63">
        <v>1800</v>
      </c>
      <c r="H564" s="51">
        <f t="shared" si="92"/>
        <v>459000</v>
      </c>
    </row>
    <row r="565" spans="1:8" s="22" customFormat="1" ht="11.25" customHeight="1">
      <c r="A565" s="37"/>
      <c r="B565" s="67"/>
      <c r="C565" s="67">
        <v>4110</v>
      </c>
      <c r="D565" s="104" t="s">
        <v>45</v>
      </c>
      <c r="E565" s="145">
        <v>20000</v>
      </c>
      <c r="F565" s="63">
        <v>3000</v>
      </c>
      <c r="G565" s="63"/>
      <c r="H565" s="51">
        <f t="shared" si="92"/>
        <v>23000</v>
      </c>
    </row>
    <row r="566" spans="1:8" s="22" customFormat="1" ht="11.25" customHeight="1">
      <c r="A566" s="37"/>
      <c r="B566" s="67"/>
      <c r="C566" s="82" t="s">
        <v>42</v>
      </c>
      <c r="D566" s="112" t="s">
        <v>43</v>
      </c>
      <c r="E566" s="145">
        <v>4500</v>
      </c>
      <c r="F566" s="63">
        <v>4000</v>
      </c>
      <c r="G566" s="63">
        <v>1500</v>
      </c>
      <c r="H566" s="51">
        <f t="shared" si="92"/>
        <v>7000</v>
      </c>
    </row>
    <row r="567" spans="1:8" s="22" customFormat="1" ht="11.25" customHeight="1">
      <c r="A567" s="37"/>
      <c r="B567" s="46"/>
      <c r="C567" s="67">
        <v>4300</v>
      </c>
      <c r="D567" s="104" t="s">
        <v>18</v>
      </c>
      <c r="E567" s="63">
        <v>37000</v>
      </c>
      <c r="F567" s="50">
        <f>300+1500</f>
        <v>1800</v>
      </c>
      <c r="G567" s="50"/>
      <c r="H567" s="51">
        <f t="shared" si="92"/>
        <v>38800</v>
      </c>
    </row>
    <row r="568" spans="1:8" s="22" customFormat="1" ht="20.25" customHeight="1" thickBot="1">
      <c r="A568" s="52"/>
      <c r="B568" s="65"/>
      <c r="C568" s="67"/>
      <c r="D568" s="35" t="s">
        <v>293</v>
      </c>
      <c r="E568" s="36">
        <v>55870342.649999999</v>
      </c>
      <c r="F568" s="36">
        <f>SUM(F569,F575,F588)</f>
        <v>2571773</v>
      </c>
      <c r="G568" s="36">
        <f>SUM(G569,G575,G588)</f>
        <v>57096</v>
      </c>
      <c r="H568" s="36">
        <f t="shared" si="92"/>
        <v>58385019.649999999</v>
      </c>
    </row>
    <row r="569" spans="1:8" s="22" customFormat="1" ht="16.5" customHeight="1" thickTop="1" thickBot="1">
      <c r="A569" s="38">
        <v>752</v>
      </c>
      <c r="B569" s="38"/>
      <c r="C569" s="39"/>
      <c r="D569" s="40" t="s">
        <v>65</v>
      </c>
      <c r="E569" s="36">
        <v>0</v>
      </c>
      <c r="F569" s="36">
        <f>SUM(F570)</f>
        <v>959654</v>
      </c>
      <c r="G569" s="36">
        <f>SUM(G570)</f>
        <v>0</v>
      </c>
      <c r="H569" s="36">
        <f t="shared" si="92"/>
        <v>959654</v>
      </c>
    </row>
    <row r="570" spans="1:8" s="22" customFormat="1" ht="12" customHeight="1" thickTop="1">
      <c r="A570" s="38"/>
      <c r="B570" s="67">
        <v>75295</v>
      </c>
      <c r="C570" s="83"/>
      <c r="D570" s="114" t="s">
        <v>66</v>
      </c>
      <c r="E570" s="59">
        <v>0</v>
      </c>
      <c r="F570" s="45">
        <f>SUM(F571,F573)</f>
        <v>959654</v>
      </c>
      <c r="G570" s="45">
        <f>SUM(G571)</f>
        <v>0</v>
      </c>
      <c r="H570" s="44">
        <f t="shared" si="92"/>
        <v>959654</v>
      </c>
    </row>
    <row r="571" spans="1:8" s="22" customFormat="1" ht="12" customHeight="1">
      <c r="A571" s="38"/>
      <c r="B571" s="67"/>
      <c r="C571" s="32"/>
      <c r="D571" s="626" t="s">
        <v>294</v>
      </c>
      <c r="E571" s="102">
        <v>0</v>
      </c>
      <c r="F571" s="634">
        <f>SUM(F572:F572)</f>
        <v>159654</v>
      </c>
      <c r="G571" s="634">
        <f>SUM(G572:G572)</f>
        <v>0</v>
      </c>
      <c r="H571" s="627">
        <f t="shared" si="92"/>
        <v>159654</v>
      </c>
    </row>
    <row r="572" spans="1:8" s="22" customFormat="1" ht="12" customHeight="1">
      <c r="A572" s="38"/>
      <c r="B572" s="67"/>
      <c r="C572" s="67">
        <v>6050</v>
      </c>
      <c r="D572" s="104" t="s">
        <v>295</v>
      </c>
      <c r="E572" s="50">
        <v>0</v>
      </c>
      <c r="F572" s="63">
        <v>159654</v>
      </c>
      <c r="G572" s="63"/>
      <c r="H572" s="55">
        <f t="shared" si="92"/>
        <v>159654</v>
      </c>
    </row>
    <row r="573" spans="1:8" s="22" customFormat="1" ht="12" customHeight="1">
      <c r="A573" s="38"/>
      <c r="B573" s="67"/>
      <c r="C573" s="32"/>
      <c r="D573" s="626" t="s">
        <v>16</v>
      </c>
      <c r="E573" s="102">
        <v>0</v>
      </c>
      <c r="F573" s="634">
        <f>SUM(F574:F574)</f>
        <v>800000</v>
      </c>
      <c r="G573" s="634">
        <f>SUM(G574:G574)</f>
        <v>0</v>
      </c>
      <c r="H573" s="627">
        <f t="shared" si="92"/>
        <v>800000</v>
      </c>
    </row>
    <row r="574" spans="1:8" s="22" customFormat="1" ht="12" customHeight="1">
      <c r="A574" s="38"/>
      <c r="B574" s="67"/>
      <c r="C574" s="67">
        <v>6050</v>
      </c>
      <c r="D574" s="104" t="s">
        <v>295</v>
      </c>
      <c r="E574" s="50">
        <v>0</v>
      </c>
      <c r="F574" s="63">
        <v>800000</v>
      </c>
      <c r="G574" s="63"/>
      <c r="H574" s="55">
        <f t="shared" si="92"/>
        <v>800000</v>
      </c>
    </row>
    <row r="575" spans="1:8" s="22" customFormat="1" ht="12" customHeight="1" thickBot="1">
      <c r="A575" s="156">
        <v>852</v>
      </c>
      <c r="B575" s="156"/>
      <c r="C575" s="2"/>
      <c r="D575" s="157" t="s">
        <v>79</v>
      </c>
      <c r="E575" s="36">
        <v>6946545.5599999996</v>
      </c>
      <c r="F575" s="36">
        <f>SUM(F576,F581,F585)</f>
        <v>1555119</v>
      </c>
      <c r="G575" s="36">
        <f>SUM(G576,G581,G585)</f>
        <v>17096</v>
      </c>
      <c r="H575" s="36">
        <f t="shared" si="92"/>
        <v>8484568.5599999987</v>
      </c>
    </row>
    <row r="576" spans="1:8" s="22" customFormat="1" ht="12" customHeight="1" thickTop="1">
      <c r="A576" s="156"/>
      <c r="B576" s="2">
        <v>85203</v>
      </c>
      <c r="C576" s="158"/>
      <c r="D576" s="1" t="s">
        <v>82</v>
      </c>
      <c r="E576" s="59">
        <v>1879373</v>
      </c>
      <c r="F576" s="45">
        <f>SUM(F577)</f>
        <v>0</v>
      </c>
      <c r="G576" s="45">
        <f>SUM(G577)</f>
        <v>17096</v>
      </c>
      <c r="H576" s="44">
        <f t="shared" si="92"/>
        <v>1862277</v>
      </c>
    </row>
    <row r="577" spans="1:8" s="22" customFormat="1" ht="12" customHeight="1">
      <c r="A577" s="156"/>
      <c r="B577" s="2"/>
      <c r="C577" s="158"/>
      <c r="D577" s="658" t="s">
        <v>296</v>
      </c>
      <c r="E577" s="61">
        <v>1697573</v>
      </c>
      <c r="F577" s="634">
        <f>SUM(F578:F580)</f>
        <v>0</v>
      </c>
      <c r="G577" s="634">
        <f>SUM(G578:G580)</f>
        <v>17096</v>
      </c>
      <c r="H577" s="627">
        <f t="shared" si="92"/>
        <v>1680477</v>
      </c>
    </row>
    <row r="578" spans="1:8" s="22" customFormat="1" ht="12" customHeight="1">
      <c r="A578" s="156"/>
      <c r="B578" s="2"/>
      <c r="C578" s="67">
        <v>4010</v>
      </c>
      <c r="D578" s="104" t="s">
        <v>128</v>
      </c>
      <c r="E578" s="63">
        <v>1142854</v>
      </c>
      <c r="F578" s="50"/>
      <c r="G578" s="50">
        <v>13361</v>
      </c>
      <c r="H578" s="55">
        <f t="shared" si="92"/>
        <v>1129493</v>
      </c>
    </row>
    <row r="579" spans="1:8" s="22" customFormat="1" ht="12" customHeight="1">
      <c r="A579" s="156"/>
      <c r="B579" s="2"/>
      <c r="C579" s="56">
        <v>4110</v>
      </c>
      <c r="D579" s="112" t="s">
        <v>45</v>
      </c>
      <c r="E579" s="63">
        <v>206258</v>
      </c>
      <c r="F579" s="50"/>
      <c r="G579" s="50">
        <v>2456</v>
      </c>
      <c r="H579" s="55">
        <f t="shared" si="92"/>
        <v>203802</v>
      </c>
    </row>
    <row r="580" spans="1:8" s="22" customFormat="1" ht="12" customHeight="1">
      <c r="A580" s="156"/>
      <c r="B580" s="2"/>
      <c r="C580" s="67">
        <v>4120</v>
      </c>
      <c r="D580" s="104" t="s">
        <v>26</v>
      </c>
      <c r="E580" s="63">
        <v>21830</v>
      </c>
      <c r="F580" s="50"/>
      <c r="G580" s="50">
        <v>1279</v>
      </c>
      <c r="H580" s="55">
        <f t="shared" si="92"/>
        <v>20551</v>
      </c>
    </row>
    <row r="581" spans="1:8" s="22" customFormat="1" ht="12" customHeight="1">
      <c r="A581" s="65"/>
      <c r="B581" s="65">
        <v>85219</v>
      </c>
      <c r="C581" s="32"/>
      <c r="D581" s="43" t="s">
        <v>89</v>
      </c>
      <c r="E581" s="59">
        <v>184964</v>
      </c>
      <c r="F581" s="45">
        <f>SUM(F582)</f>
        <v>788</v>
      </c>
      <c r="G581" s="45">
        <f>SUM(G582)</f>
        <v>0</v>
      </c>
      <c r="H581" s="44">
        <f t="shared" si="92"/>
        <v>185752</v>
      </c>
    </row>
    <row r="582" spans="1:8" s="22" customFormat="1" ht="12" customHeight="1">
      <c r="A582" s="65"/>
      <c r="B582" s="4"/>
      <c r="C582" s="158"/>
      <c r="D582" s="658" t="s">
        <v>231</v>
      </c>
      <c r="E582" s="61">
        <v>184964</v>
      </c>
      <c r="F582" s="634">
        <f>SUM(F583:F584)</f>
        <v>788</v>
      </c>
      <c r="G582" s="634">
        <f>SUM(G583:G584)</f>
        <v>0</v>
      </c>
      <c r="H582" s="627">
        <f t="shared" si="92"/>
        <v>185752</v>
      </c>
    </row>
    <row r="583" spans="1:8" s="22" customFormat="1" ht="12" customHeight="1">
      <c r="A583" s="65"/>
      <c r="B583" s="4"/>
      <c r="C583" s="67">
        <v>3110</v>
      </c>
      <c r="D583" s="104" t="s">
        <v>232</v>
      </c>
      <c r="E583" s="63">
        <v>182252</v>
      </c>
      <c r="F583" s="50">
        <v>755</v>
      </c>
      <c r="G583" s="50"/>
      <c r="H583" s="50">
        <f t="shared" si="92"/>
        <v>183007</v>
      </c>
    </row>
    <row r="584" spans="1:8" s="22" customFormat="1" ht="12" customHeight="1">
      <c r="A584" s="95"/>
      <c r="B584" s="95"/>
      <c r="C584" s="159" t="s">
        <v>42</v>
      </c>
      <c r="D584" s="114" t="s">
        <v>43</v>
      </c>
      <c r="E584" s="59">
        <v>2712</v>
      </c>
      <c r="F584" s="59">
        <v>33</v>
      </c>
      <c r="G584" s="59"/>
      <c r="H584" s="78">
        <f t="shared" si="92"/>
        <v>2745</v>
      </c>
    </row>
    <row r="585" spans="1:8" s="22" customFormat="1" ht="12" customHeight="1">
      <c r="A585" s="65"/>
      <c r="B585" s="65">
        <v>85228</v>
      </c>
      <c r="C585" s="32"/>
      <c r="D585" s="68" t="s">
        <v>582</v>
      </c>
      <c r="E585" s="59">
        <v>4809760</v>
      </c>
      <c r="F585" s="45">
        <f>SUM(F586)</f>
        <v>1554331</v>
      </c>
      <c r="G585" s="45">
        <f>SUM(G586)</f>
        <v>0</v>
      </c>
      <c r="H585" s="44">
        <f t="shared" si="92"/>
        <v>6364091</v>
      </c>
    </row>
    <row r="586" spans="1:8" s="22" customFormat="1" ht="12" customHeight="1">
      <c r="A586" s="65"/>
      <c r="B586" s="65"/>
      <c r="C586" s="32"/>
      <c r="D586" s="626" t="s">
        <v>16</v>
      </c>
      <c r="E586" s="61">
        <v>4809760</v>
      </c>
      <c r="F586" s="634">
        <f>SUM(F587:F587)</f>
        <v>1554331</v>
      </c>
      <c r="G586" s="634">
        <f>SUM(G587:G587)</f>
        <v>0</v>
      </c>
      <c r="H586" s="627">
        <f t="shared" si="92"/>
        <v>6364091</v>
      </c>
    </row>
    <row r="587" spans="1:8" s="22" customFormat="1" ht="57.75" customHeight="1">
      <c r="A587" s="65"/>
      <c r="B587" s="65"/>
      <c r="C587" s="53" t="s">
        <v>237</v>
      </c>
      <c r="D587" s="125" t="s">
        <v>238</v>
      </c>
      <c r="E587" s="63">
        <v>4809760</v>
      </c>
      <c r="F587" s="63">
        <v>1554331</v>
      </c>
      <c r="G587" s="63"/>
      <c r="H587" s="55">
        <f t="shared" si="92"/>
        <v>6364091</v>
      </c>
    </row>
    <row r="588" spans="1:8" s="22" customFormat="1" ht="12" customHeight="1" thickBot="1">
      <c r="A588" s="38">
        <v>855</v>
      </c>
      <c r="B588" s="38"/>
      <c r="C588" s="39"/>
      <c r="D588" s="40" t="s">
        <v>99</v>
      </c>
      <c r="E588" s="41">
        <v>44896140</v>
      </c>
      <c r="F588" s="36">
        <f>SUM(F591,)</f>
        <v>57000</v>
      </c>
      <c r="G588" s="36">
        <f>SUM(G591,)</f>
        <v>40000</v>
      </c>
      <c r="H588" s="36">
        <f t="shared" si="92"/>
        <v>44913140</v>
      </c>
    </row>
    <row r="589" spans="1:8" s="22" customFormat="1" ht="12" customHeight="1" thickTop="1">
      <c r="A589" s="38"/>
      <c r="B589" s="46">
        <v>85502</v>
      </c>
      <c r="C589" s="82"/>
      <c r="D589" s="160" t="s">
        <v>297</v>
      </c>
      <c r="E589" s="50"/>
      <c r="F589" s="50"/>
      <c r="G589" s="161"/>
      <c r="H589" s="55"/>
    </row>
    <row r="590" spans="1:8" s="22" customFormat="1" ht="12" customHeight="1">
      <c r="A590" s="38"/>
      <c r="B590" s="46"/>
      <c r="C590" s="82"/>
      <c r="D590" s="160" t="s">
        <v>298</v>
      </c>
      <c r="E590" s="50"/>
      <c r="F590" s="50"/>
      <c r="G590" s="161"/>
      <c r="H590" s="55"/>
    </row>
    <row r="591" spans="1:8" s="22" customFormat="1" ht="12" customHeight="1">
      <c r="A591" s="38"/>
      <c r="B591" s="46"/>
      <c r="C591" s="82"/>
      <c r="D591" s="72" t="s">
        <v>299</v>
      </c>
      <c r="E591" s="45">
        <v>44195353</v>
      </c>
      <c r="F591" s="45">
        <f>SUM(F592,F595)</f>
        <v>57000</v>
      </c>
      <c r="G591" s="45">
        <f>SUM(G592,G595)</f>
        <v>40000</v>
      </c>
      <c r="H591" s="44">
        <f t="shared" ref="H591:H596" si="93">SUM(E591+F591-G591)</f>
        <v>44212353</v>
      </c>
    </row>
    <row r="592" spans="1:8" s="22" customFormat="1" ht="12" customHeight="1">
      <c r="A592" s="38"/>
      <c r="B592" s="46"/>
      <c r="C592" s="32"/>
      <c r="D592" s="658" t="s">
        <v>231</v>
      </c>
      <c r="E592" s="634">
        <v>44167833</v>
      </c>
      <c r="F592" s="634">
        <f>SUM(F593:F594)</f>
        <v>40000</v>
      </c>
      <c r="G592" s="634">
        <f>SUM(G593:G594)</f>
        <v>40000</v>
      </c>
      <c r="H592" s="627">
        <f t="shared" si="93"/>
        <v>44167833</v>
      </c>
    </row>
    <row r="593" spans="1:8" s="22" customFormat="1" ht="12" customHeight="1">
      <c r="A593" s="38"/>
      <c r="B593" s="46"/>
      <c r="C593" s="2">
        <v>3110</v>
      </c>
      <c r="D593" s="142" t="s">
        <v>232</v>
      </c>
      <c r="E593" s="50">
        <v>38689449</v>
      </c>
      <c r="F593" s="63"/>
      <c r="G593" s="63">
        <v>40000</v>
      </c>
      <c r="H593" s="55">
        <f t="shared" si="93"/>
        <v>38649449</v>
      </c>
    </row>
    <row r="594" spans="1:8" s="22" customFormat="1" ht="12" customHeight="1">
      <c r="A594" s="38"/>
      <c r="B594" s="46"/>
      <c r="C594" s="56">
        <v>4110</v>
      </c>
      <c r="D594" s="112" t="s">
        <v>45</v>
      </c>
      <c r="E594" s="50">
        <v>4302596</v>
      </c>
      <c r="F594" s="63">
        <v>40000</v>
      </c>
      <c r="G594" s="63"/>
      <c r="H594" s="55">
        <f t="shared" si="93"/>
        <v>4342596</v>
      </c>
    </row>
    <row r="595" spans="1:8" s="22" customFormat="1" ht="23.25" customHeight="1">
      <c r="A595" s="38"/>
      <c r="B595" s="65"/>
      <c r="C595" s="32"/>
      <c r="D595" s="658" t="s">
        <v>300</v>
      </c>
      <c r="E595" s="634">
        <v>27520</v>
      </c>
      <c r="F595" s="634">
        <f>SUM(F596:F596)</f>
        <v>17000</v>
      </c>
      <c r="G595" s="634">
        <f>SUM(G596:G596)</f>
        <v>0</v>
      </c>
      <c r="H595" s="627">
        <f t="shared" si="93"/>
        <v>44520</v>
      </c>
    </row>
    <row r="596" spans="1:8" s="22" customFormat="1" ht="12" customHeight="1">
      <c r="A596" s="38"/>
      <c r="B596" s="38"/>
      <c r="C596" s="67">
        <v>3110</v>
      </c>
      <c r="D596" s="104" t="s">
        <v>232</v>
      </c>
      <c r="E596" s="50">
        <v>25520</v>
      </c>
      <c r="F596" s="63">
        <v>17000</v>
      </c>
      <c r="G596" s="63"/>
      <c r="H596" s="55">
        <f t="shared" si="93"/>
        <v>42520</v>
      </c>
    </row>
    <row r="597" spans="1:8" s="22" customFormat="1" ht="17.25" customHeight="1" thickBot="1">
      <c r="A597" s="162"/>
      <c r="B597" s="65"/>
      <c r="C597" s="67"/>
      <c r="D597" s="35" t="s">
        <v>301</v>
      </c>
      <c r="E597" s="36">
        <v>30390455.240000002</v>
      </c>
      <c r="F597" s="36">
        <f>SUM(F598,F604,F613,F618,F627)</f>
        <v>1661128.18</v>
      </c>
      <c r="G597" s="36">
        <f>SUM(G598,G604,G613,G618,G627)</f>
        <v>736970.18</v>
      </c>
      <c r="H597" s="36">
        <f>SUM(E597+F597-G597)</f>
        <v>31314613.240000002</v>
      </c>
    </row>
    <row r="598" spans="1:8" s="22" customFormat="1" ht="17.25" customHeight="1" thickTop="1" thickBot="1">
      <c r="A598" s="38">
        <v>700</v>
      </c>
      <c r="B598" s="38"/>
      <c r="C598" s="39"/>
      <c r="D598" s="40" t="s">
        <v>116</v>
      </c>
      <c r="E598" s="36">
        <v>586475</v>
      </c>
      <c r="F598" s="36">
        <f>SUM(F599)</f>
        <v>100000</v>
      </c>
      <c r="G598" s="36">
        <f>SUM(G599)</f>
        <v>0</v>
      </c>
      <c r="H598" s="36">
        <f t="shared" ref="H598:H613" si="94">SUM(E598+F598-G598)</f>
        <v>686475</v>
      </c>
    </row>
    <row r="599" spans="1:8" s="22" customFormat="1" ht="12" customHeight="1" thickTop="1">
      <c r="A599" s="38"/>
      <c r="B599" s="65">
        <v>70005</v>
      </c>
      <c r="C599" s="32"/>
      <c r="D599" s="72" t="s">
        <v>117</v>
      </c>
      <c r="E599" s="59">
        <v>586475</v>
      </c>
      <c r="F599" s="45">
        <f>SUM(F600)</f>
        <v>100000</v>
      </c>
      <c r="G599" s="45">
        <f>SUM(G600)</f>
        <v>0</v>
      </c>
      <c r="H599" s="44">
        <f t="shared" si="94"/>
        <v>686475</v>
      </c>
    </row>
    <row r="600" spans="1:8" s="22" customFormat="1" ht="12" customHeight="1">
      <c r="A600" s="38"/>
      <c r="B600" s="163"/>
      <c r="C600" s="91"/>
      <c r="D600" s="637" t="s">
        <v>137</v>
      </c>
      <c r="E600" s="61">
        <v>224000</v>
      </c>
      <c r="F600" s="634">
        <f>SUM(F601:F603)</f>
        <v>100000</v>
      </c>
      <c r="G600" s="634">
        <f>SUM(G601:G601)</f>
        <v>0</v>
      </c>
      <c r="H600" s="627">
        <f t="shared" si="94"/>
        <v>324000</v>
      </c>
    </row>
    <row r="601" spans="1:8" s="22" customFormat="1" ht="12" customHeight="1">
      <c r="A601" s="38"/>
      <c r="B601" s="4"/>
      <c r="C601" s="67">
        <v>4010</v>
      </c>
      <c r="D601" s="104" t="s">
        <v>128</v>
      </c>
      <c r="E601" s="63">
        <v>155975</v>
      </c>
      <c r="F601" s="55">
        <v>84000</v>
      </c>
      <c r="G601" s="55"/>
      <c r="H601" s="55">
        <f t="shared" si="94"/>
        <v>239975</v>
      </c>
    </row>
    <row r="602" spans="1:8" s="22" customFormat="1" ht="12" customHeight="1">
      <c r="A602" s="38"/>
      <c r="B602" s="4"/>
      <c r="C602" s="67">
        <v>4110</v>
      </c>
      <c r="D602" s="104" t="s">
        <v>45</v>
      </c>
      <c r="E602" s="63">
        <v>33901</v>
      </c>
      <c r="F602" s="55">
        <v>14000</v>
      </c>
      <c r="G602" s="55"/>
      <c r="H602" s="55">
        <f t="shared" si="94"/>
        <v>47901</v>
      </c>
    </row>
    <row r="603" spans="1:8" s="22" customFormat="1" ht="12" customHeight="1">
      <c r="A603" s="38"/>
      <c r="B603" s="4"/>
      <c r="C603" s="67">
        <v>4120</v>
      </c>
      <c r="D603" s="104" t="s">
        <v>26</v>
      </c>
      <c r="E603" s="63">
        <v>4853</v>
      </c>
      <c r="F603" s="55">
        <v>2000</v>
      </c>
      <c r="G603" s="55"/>
      <c r="H603" s="55">
        <f t="shared" si="94"/>
        <v>6853</v>
      </c>
    </row>
    <row r="604" spans="1:8" s="22" customFormat="1" ht="12" customHeight="1" thickBot="1">
      <c r="A604" s="39" t="s">
        <v>302</v>
      </c>
      <c r="B604" s="38"/>
      <c r="C604" s="39"/>
      <c r="D604" s="40" t="s">
        <v>303</v>
      </c>
      <c r="E604" s="36">
        <v>1548670</v>
      </c>
      <c r="F604" s="36">
        <f>SUM(F605)</f>
        <v>1513</v>
      </c>
      <c r="G604" s="36">
        <f>SUM(G605)</f>
        <v>1513</v>
      </c>
      <c r="H604" s="36">
        <f t="shared" si="94"/>
        <v>1548670</v>
      </c>
    </row>
    <row r="605" spans="1:8" s="22" customFormat="1" ht="12" customHeight="1" thickTop="1">
      <c r="A605" s="38"/>
      <c r="B605" s="2">
        <v>71015</v>
      </c>
      <c r="C605" s="164"/>
      <c r="D605" s="1" t="s">
        <v>304</v>
      </c>
      <c r="E605" s="59">
        <v>1052568</v>
      </c>
      <c r="F605" s="45">
        <f>SUM(F606)</f>
        <v>1513</v>
      </c>
      <c r="G605" s="45">
        <f>SUM(G606)</f>
        <v>1513</v>
      </c>
      <c r="H605" s="44">
        <f t="shared" si="94"/>
        <v>1052568</v>
      </c>
    </row>
    <row r="606" spans="1:8" s="22" customFormat="1" ht="23.25" customHeight="1">
      <c r="A606" s="38"/>
      <c r="B606" s="4"/>
      <c r="C606" s="2"/>
      <c r="D606" s="659" t="s">
        <v>305</v>
      </c>
      <c r="E606" s="61">
        <v>1052568</v>
      </c>
      <c r="F606" s="634">
        <f>SUM(F607:F612)</f>
        <v>1513</v>
      </c>
      <c r="G606" s="634">
        <f>SUM(G607:G612)</f>
        <v>1513</v>
      </c>
      <c r="H606" s="627">
        <f t="shared" si="94"/>
        <v>1052568</v>
      </c>
    </row>
    <row r="607" spans="1:8" s="22" customFormat="1" ht="12" customHeight="1">
      <c r="A607" s="38"/>
      <c r="B607" s="4"/>
      <c r="C607" s="67">
        <v>3020</v>
      </c>
      <c r="D607" s="104" t="s">
        <v>148</v>
      </c>
      <c r="E607" s="50">
        <v>500</v>
      </c>
      <c r="F607" s="55"/>
      <c r="G607" s="55">
        <v>264</v>
      </c>
      <c r="H607" s="55">
        <f t="shared" si="94"/>
        <v>236</v>
      </c>
    </row>
    <row r="608" spans="1:8" s="22" customFormat="1" ht="12" customHeight="1">
      <c r="A608" s="38"/>
      <c r="B608" s="67"/>
      <c r="C608" s="67">
        <v>4300</v>
      </c>
      <c r="D608" s="104" t="s">
        <v>18</v>
      </c>
      <c r="E608" s="50">
        <v>45050</v>
      </c>
      <c r="F608" s="50">
        <v>1313</v>
      </c>
      <c r="G608" s="50"/>
      <c r="H608" s="55">
        <f t="shared" si="94"/>
        <v>46363</v>
      </c>
    </row>
    <row r="609" spans="1:8" s="22" customFormat="1" ht="12" customHeight="1">
      <c r="A609" s="38"/>
      <c r="B609" s="67"/>
      <c r="C609" s="67">
        <v>4480</v>
      </c>
      <c r="D609" s="104" t="s">
        <v>306</v>
      </c>
      <c r="E609" s="50">
        <v>3000</v>
      </c>
      <c r="F609" s="50"/>
      <c r="G609" s="50">
        <v>260</v>
      </c>
      <c r="H609" s="55">
        <f t="shared" si="94"/>
        <v>2740</v>
      </c>
    </row>
    <row r="610" spans="1:8" s="22" customFormat="1" ht="12" customHeight="1">
      <c r="A610" s="38"/>
      <c r="B610" s="67"/>
      <c r="C610" s="67">
        <v>4510</v>
      </c>
      <c r="D610" s="104" t="s">
        <v>307</v>
      </c>
      <c r="E610" s="50">
        <v>200</v>
      </c>
      <c r="F610" s="50"/>
      <c r="G610" s="50">
        <v>85</v>
      </c>
      <c r="H610" s="55">
        <f t="shared" si="94"/>
        <v>115</v>
      </c>
    </row>
    <row r="611" spans="1:8" s="22" customFormat="1" ht="22.5" customHeight="1">
      <c r="A611" s="38"/>
      <c r="B611" s="67"/>
      <c r="C611" s="42">
        <v>4700</v>
      </c>
      <c r="D611" s="125" t="s">
        <v>176</v>
      </c>
      <c r="E611" s="50">
        <v>2000</v>
      </c>
      <c r="F611" s="50">
        <v>200</v>
      </c>
      <c r="G611" s="50"/>
      <c r="H611" s="55">
        <f t="shared" si="94"/>
        <v>2200</v>
      </c>
    </row>
    <row r="612" spans="1:8" s="22" customFormat="1" ht="12" customHeight="1">
      <c r="A612" s="38"/>
      <c r="B612" s="67"/>
      <c r="C612" s="67">
        <v>4710</v>
      </c>
      <c r="D612" s="112" t="s">
        <v>25</v>
      </c>
      <c r="E612" s="50">
        <v>904</v>
      </c>
      <c r="F612" s="50"/>
      <c r="G612" s="50">
        <v>904</v>
      </c>
      <c r="H612" s="55">
        <f t="shared" si="94"/>
        <v>0</v>
      </c>
    </row>
    <row r="613" spans="1:8" s="22" customFormat="1" ht="12" customHeight="1" thickBot="1">
      <c r="A613" s="38">
        <v>752</v>
      </c>
      <c r="B613" s="38"/>
      <c r="C613" s="39"/>
      <c r="D613" s="40" t="s">
        <v>65</v>
      </c>
      <c r="E613" s="36">
        <v>4338235</v>
      </c>
      <c r="F613" s="36">
        <f>SUM(F614)</f>
        <v>80000</v>
      </c>
      <c r="G613" s="36">
        <f>SUM(G614)</f>
        <v>80000</v>
      </c>
      <c r="H613" s="36">
        <f t="shared" si="94"/>
        <v>4338235</v>
      </c>
    </row>
    <row r="614" spans="1:8" s="22" customFormat="1" ht="12" customHeight="1" thickTop="1">
      <c r="A614" s="38"/>
      <c r="B614" s="67">
        <v>75295</v>
      </c>
      <c r="C614" s="83"/>
      <c r="D614" s="114" t="s">
        <v>66</v>
      </c>
      <c r="E614" s="44">
        <v>4290570</v>
      </c>
      <c r="F614" s="45">
        <f t="shared" ref="F614:G614" si="95">SUM(F615)</f>
        <v>80000</v>
      </c>
      <c r="G614" s="45">
        <f t="shared" si="95"/>
        <v>80000</v>
      </c>
      <c r="H614" s="44">
        <f>SUM(E614+F614-G614)</f>
        <v>4290570</v>
      </c>
    </row>
    <row r="615" spans="1:8" s="22" customFormat="1" ht="12" customHeight="1">
      <c r="A615" s="38"/>
      <c r="B615" s="83"/>
      <c r="C615" s="67"/>
      <c r="D615" s="660" t="s">
        <v>308</v>
      </c>
      <c r="E615" s="627">
        <v>4290570</v>
      </c>
      <c r="F615" s="627">
        <f>SUM(F616:F617)</f>
        <v>80000</v>
      </c>
      <c r="G615" s="627">
        <f>SUM(G616:G617)</f>
        <v>80000</v>
      </c>
      <c r="H615" s="102">
        <f>SUM(E615+F615-G615)</f>
        <v>4290570</v>
      </c>
    </row>
    <row r="616" spans="1:8" s="22" customFormat="1" ht="12" customHeight="1">
      <c r="A616" s="38"/>
      <c r="B616" s="65"/>
      <c r="C616" s="82" t="s">
        <v>42</v>
      </c>
      <c r="D616" s="112" t="s">
        <v>43</v>
      </c>
      <c r="E616" s="50">
        <v>1045570</v>
      </c>
      <c r="F616" s="50"/>
      <c r="G616" s="63">
        <v>80000</v>
      </c>
      <c r="H616" s="55">
        <f t="shared" ref="H616:H617" si="96">SUM(E616+F616-G616)</f>
        <v>965570</v>
      </c>
    </row>
    <row r="617" spans="1:8" s="22" customFormat="1" ht="12" customHeight="1">
      <c r="A617" s="38"/>
      <c r="B617" s="65"/>
      <c r="C617" s="67">
        <v>4260</v>
      </c>
      <c r="D617" s="104" t="s">
        <v>169</v>
      </c>
      <c r="E617" s="50">
        <v>0</v>
      </c>
      <c r="F617" s="50">
        <v>80000</v>
      </c>
      <c r="G617" s="63"/>
      <c r="H617" s="55">
        <f t="shared" si="96"/>
        <v>80000</v>
      </c>
    </row>
    <row r="618" spans="1:8" s="22" customFormat="1" ht="12" customHeight="1" thickBot="1">
      <c r="A618" s="38">
        <v>754</v>
      </c>
      <c r="B618" s="38"/>
      <c r="C618" s="39"/>
      <c r="D618" s="40" t="s">
        <v>309</v>
      </c>
      <c r="E618" s="36">
        <v>21993829</v>
      </c>
      <c r="F618" s="41">
        <f t="shared" ref="F618:G619" si="97">SUM(F619)</f>
        <v>1473882</v>
      </c>
      <c r="G618" s="41">
        <f t="shared" si="97"/>
        <v>649724</v>
      </c>
      <c r="H618" s="36">
        <f>SUM(E618+F618-G618)</f>
        <v>22817987</v>
      </c>
    </row>
    <row r="619" spans="1:8" s="22" customFormat="1" ht="12" customHeight="1" thickTop="1">
      <c r="A619" s="52"/>
      <c r="B619" s="67">
        <v>75411</v>
      </c>
      <c r="C619" s="83"/>
      <c r="D619" s="165" t="s">
        <v>121</v>
      </c>
      <c r="E619" s="44">
        <v>21993829</v>
      </c>
      <c r="F619" s="45">
        <f t="shared" si="97"/>
        <v>1473882</v>
      </c>
      <c r="G619" s="45">
        <f t="shared" si="97"/>
        <v>649724</v>
      </c>
      <c r="H619" s="44">
        <f>SUM(E619+F619-G619)</f>
        <v>22817987</v>
      </c>
    </row>
    <row r="620" spans="1:8" s="22" customFormat="1" ht="12" customHeight="1">
      <c r="A620" s="23"/>
      <c r="B620" s="83"/>
      <c r="C620" s="67"/>
      <c r="D620" s="660" t="s">
        <v>308</v>
      </c>
      <c r="E620" s="627">
        <v>21993829</v>
      </c>
      <c r="F620" s="627">
        <f>SUM(F621:F626)</f>
        <v>1473882</v>
      </c>
      <c r="G620" s="627">
        <f>SUM(G621:G626)</f>
        <v>649724</v>
      </c>
      <c r="H620" s="102">
        <f>SUM(E620+F620-G620)</f>
        <v>22817987</v>
      </c>
    </row>
    <row r="621" spans="1:8" s="22" customFormat="1" ht="12" customHeight="1">
      <c r="A621" s="23"/>
      <c r="B621" s="65"/>
      <c r="C621" s="67">
        <v>4050</v>
      </c>
      <c r="D621" s="166" t="s">
        <v>310</v>
      </c>
      <c r="E621" s="50">
        <v>14696232</v>
      </c>
      <c r="F621" s="50">
        <v>73712</v>
      </c>
      <c r="G621" s="63">
        <f>16004+300000</f>
        <v>316004</v>
      </c>
      <c r="H621" s="55">
        <f t="shared" ref="H621:H627" si="98">SUM(E621+F621-G621)</f>
        <v>14453940</v>
      </c>
    </row>
    <row r="622" spans="1:8" s="22" customFormat="1" ht="21.75" customHeight="1">
      <c r="A622" s="23"/>
      <c r="B622" s="65"/>
      <c r="C622" s="42">
        <v>4060</v>
      </c>
      <c r="D622" s="167" t="s">
        <v>311</v>
      </c>
      <c r="E622" s="50">
        <v>470415</v>
      </c>
      <c r="F622" s="50">
        <f>16004+1659</f>
        <v>17663</v>
      </c>
      <c r="G622" s="63">
        <v>278642</v>
      </c>
      <c r="H622" s="55">
        <f t="shared" si="98"/>
        <v>209436</v>
      </c>
    </row>
    <row r="623" spans="1:8" s="22" customFormat="1" ht="21.75" customHeight="1">
      <c r="A623" s="23"/>
      <c r="B623" s="65"/>
      <c r="C623" s="149">
        <v>4070</v>
      </c>
      <c r="D623" s="168" t="s">
        <v>312</v>
      </c>
      <c r="E623" s="50">
        <v>1191790</v>
      </c>
      <c r="F623" s="50"/>
      <c r="G623" s="63">
        <v>48848</v>
      </c>
      <c r="H623" s="55">
        <f t="shared" si="98"/>
        <v>1142942</v>
      </c>
    </row>
    <row r="624" spans="1:8" s="22" customFormat="1" ht="12" customHeight="1">
      <c r="A624" s="23"/>
      <c r="B624" s="65"/>
      <c r="C624" s="67">
        <v>4170</v>
      </c>
      <c r="D624" s="104" t="s">
        <v>22</v>
      </c>
      <c r="E624" s="50">
        <v>13660</v>
      </c>
      <c r="F624" s="50">
        <v>6230</v>
      </c>
      <c r="G624" s="63"/>
      <c r="H624" s="55">
        <f t="shared" si="98"/>
        <v>19890</v>
      </c>
    </row>
    <row r="625" spans="1:8" s="22" customFormat="1" ht="21.75" customHeight="1">
      <c r="A625" s="23"/>
      <c r="B625" s="65"/>
      <c r="C625" s="149">
        <v>4180</v>
      </c>
      <c r="D625" s="169" t="s">
        <v>313</v>
      </c>
      <c r="E625" s="50">
        <v>3200224</v>
      </c>
      <c r="F625" s="50">
        <f>748787+627490</f>
        <v>1376277</v>
      </c>
      <c r="G625" s="63"/>
      <c r="H625" s="55">
        <f t="shared" si="98"/>
        <v>4576501</v>
      </c>
    </row>
    <row r="626" spans="1:8" s="22" customFormat="1" ht="12" customHeight="1">
      <c r="A626" s="37"/>
      <c r="B626" s="65"/>
      <c r="C626" s="67">
        <v>4300</v>
      </c>
      <c r="D626" s="104" t="s">
        <v>18</v>
      </c>
      <c r="E626" s="50">
        <v>125000</v>
      </c>
      <c r="F626" s="50"/>
      <c r="G626" s="170">
        <v>6230</v>
      </c>
      <c r="H626" s="55">
        <f t="shared" si="98"/>
        <v>118770</v>
      </c>
    </row>
    <row r="627" spans="1:8" s="22" customFormat="1" ht="12" customHeight="1" thickBot="1">
      <c r="A627" s="171" t="s">
        <v>314</v>
      </c>
      <c r="B627" s="172"/>
      <c r="C627" s="91"/>
      <c r="D627" s="173" t="s">
        <v>315</v>
      </c>
      <c r="E627" s="36">
        <v>292992</v>
      </c>
      <c r="F627" s="36">
        <f t="shared" ref="F627:G627" si="99">SUM(F628)</f>
        <v>5733.18</v>
      </c>
      <c r="G627" s="36">
        <f t="shared" si="99"/>
        <v>5733.18</v>
      </c>
      <c r="H627" s="36">
        <f t="shared" si="98"/>
        <v>292992</v>
      </c>
    </row>
    <row r="628" spans="1:8" s="22" customFormat="1" ht="12" customHeight="1" thickTop="1">
      <c r="A628" s="174"/>
      <c r="B628" s="163">
        <v>75515</v>
      </c>
      <c r="C628" s="175"/>
      <c r="D628" s="97" t="s">
        <v>316</v>
      </c>
      <c r="E628" s="59">
        <v>292992</v>
      </c>
      <c r="F628" s="45">
        <f>SUM(F629)</f>
        <v>5733.18</v>
      </c>
      <c r="G628" s="45">
        <f>SUM(G629)</f>
        <v>5733.18</v>
      </c>
      <c r="H628" s="44">
        <f>SUM(E628+F628-G628)</f>
        <v>292992</v>
      </c>
    </row>
    <row r="629" spans="1:8" s="22" customFormat="1" ht="12" customHeight="1">
      <c r="A629" s="174"/>
      <c r="B629" s="163"/>
      <c r="C629" s="91"/>
      <c r="D629" s="626" t="s">
        <v>16</v>
      </c>
      <c r="E629" s="102">
        <v>292992</v>
      </c>
      <c r="F629" s="630">
        <f>SUM(F630:F632)</f>
        <v>5733.18</v>
      </c>
      <c r="G629" s="630">
        <f>SUM(G630:G632)</f>
        <v>5733.18</v>
      </c>
      <c r="H629" s="102">
        <f>SUM(E629+F629-G629)</f>
        <v>292992</v>
      </c>
    </row>
    <row r="630" spans="1:8" s="22" customFormat="1" ht="12" customHeight="1">
      <c r="A630" s="174"/>
      <c r="B630" s="163"/>
      <c r="C630" s="67">
        <v>4170</v>
      </c>
      <c r="D630" s="104" t="s">
        <v>22</v>
      </c>
      <c r="E630" s="63">
        <v>13225</v>
      </c>
      <c r="F630" s="50">
        <v>5554.5</v>
      </c>
      <c r="G630" s="50"/>
      <c r="H630" s="63">
        <f t="shared" ref="H630:H632" si="100">SUM(E630+F630-G630)</f>
        <v>18779.5</v>
      </c>
    </row>
    <row r="631" spans="1:8" s="22" customFormat="1" ht="12" customHeight="1">
      <c r="A631" s="174"/>
      <c r="B631" s="163"/>
      <c r="C631" s="91">
        <v>4300</v>
      </c>
      <c r="D631" s="176" t="s">
        <v>18</v>
      </c>
      <c r="E631" s="63">
        <v>129352.88</v>
      </c>
      <c r="F631" s="50"/>
      <c r="G631" s="50">
        <v>5733.18</v>
      </c>
      <c r="H631" s="63">
        <f t="shared" si="100"/>
        <v>123619.70000000001</v>
      </c>
    </row>
    <row r="632" spans="1:8" s="22" customFormat="1" ht="12" customHeight="1">
      <c r="A632" s="174"/>
      <c r="B632" s="163"/>
      <c r="C632" s="177">
        <v>4360</v>
      </c>
      <c r="D632" s="107" t="s">
        <v>317</v>
      </c>
      <c r="E632" s="63">
        <v>1255</v>
      </c>
      <c r="F632" s="50">
        <v>178.68</v>
      </c>
      <c r="G632" s="50"/>
      <c r="H632" s="63">
        <f t="shared" si="100"/>
        <v>1433.68</v>
      </c>
    </row>
    <row r="633" spans="1:8" s="22" customFormat="1" ht="2.25" customHeight="1">
      <c r="A633" s="178"/>
      <c r="B633" s="178"/>
      <c r="C633" s="179"/>
      <c r="D633" s="180"/>
      <c r="E633" s="44"/>
      <c r="F633" s="44"/>
      <c r="G633" s="44"/>
      <c r="H633" s="45"/>
    </row>
    <row r="634" spans="1:8" s="22" customFormat="1" ht="12.95" customHeight="1"/>
    <row r="635" spans="1:8" s="22" customFormat="1" ht="12.95" customHeight="1"/>
    <row r="636" spans="1:8" s="22" customFormat="1" ht="12.95" customHeight="1"/>
    <row r="637" spans="1:8" s="22" customFormat="1" ht="12.95" customHeight="1"/>
    <row r="638" spans="1:8" s="22" customFormat="1" ht="12.95" customHeight="1"/>
    <row r="639" spans="1:8" s="22" customFormat="1" ht="12.95" customHeight="1"/>
    <row r="640" spans="1:8" s="22" customFormat="1" ht="12.95" customHeight="1"/>
    <row r="641" s="22" customFormat="1" ht="12.95" customHeight="1"/>
    <row r="642" s="22" customFormat="1" ht="12.95" customHeight="1"/>
    <row r="643" s="22" customFormat="1" ht="12.95" customHeight="1"/>
    <row r="644" s="22" customFormat="1" ht="12.95" customHeight="1"/>
    <row r="645" s="22" customFormat="1" ht="12.95" customHeight="1"/>
    <row r="646" s="22" customFormat="1" ht="12.95" customHeight="1"/>
    <row r="647" s="22" customFormat="1" ht="12.95" customHeight="1"/>
    <row r="648" s="22" customFormat="1" ht="12.95" customHeight="1"/>
    <row r="649" s="22" customFormat="1" ht="12.95" customHeight="1"/>
    <row r="650" s="22" customFormat="1" ht="12.95" customHeight="1"/>
    <row r="651" s="22" customFormat="1" ht="12.95" customHeight="1"/>
    <row r="652" s="22" customFormat="1" ht="12.95" customHeight="1"/>
    <row r="653" s="22" customFormat="1" ht="12.95" customHeight="1"/>
    <row r="654" s="22" customFormat="1" ht="12.95" customHeight="1"/>
    <row r="655" s="22" customFormat="1" ht="12.95" customHeight="1"/>
    <row r="656" s="22" customFormat="1" ht="12.95" customHeight="1"/>
    <row r="657" s="22" customFormat="1" ht="12.95" customHeight="1"/>
    <row r="658" s="22" customFormat="1" ht="12.95" customHeight="1"/>
    <row r="659" s="22" customFormat="1" ht="12.95" customHeight="1"/>
    <row r="660" s="22" customFormat="1" ht="12.95" customHeight="1"/>
    <row r="661" s="22" customFormat="1" ht="12.95" customHeight="1"/>
    <row r="662" s="22" customFormat="1" ht="12.95" customHeight="1"/>
    <row r="663" s="22" customFormat="1" ht="12.95" customHeight="1"/>
    <row r="664" s="22" customFormat="1" ht="12.95" customHeight="1"/>
    <row r="665" s="22" customFormat="1" ht="12.95" customHeight="1"/>
    <row r="666" s="22" customFormat="1" ht="12.95" customHeight="1"/>
    <row r="667" s="22" customFormat="1" ht="12.95" customHeight="1"/>
    <row r="668" s="22" customFormat="1" ht="12.95" customHeight="1"/>
    <row r="669" s="22" customFormat="1" ht="12.95" customHeight="1"/>
    <row r="670" s="22" customFormat="1" ht="12.95" customHeight="1"/>
    <row r="671" s="22" customFormat="1" ht="12.95" customHeight="1"/>
    <row r="672" s="22" customFormat="1" ht="12.95" customHeight="1"/>
    <row r="673" s="22" customFormat="1" ht="12.95" customHeight="1"/>
    <row r="674" s="22" customFormat="1" ht="12.95" customHeight="1"/>
    <row r="675" s="22" customFormat="1" ht="12.95" customHeight="1"/>
    <row r="676" s="22" customFormat="1" ht="12.95" customHeight="1"/>
    <row r="677" s="22" customFormat="1" ht="12.95" customHeight="1"/>
    <row r="678" s="22" customFormat="1" ht="12.95" customHeight="1"/>
    <row r="679" s="22" customFormat="1" ht="12.95" customHeight="1"/>
    <row r="680" s="22" customFormat="1" ht="12.95" customHeight="1"/>
    <row r="681" s="22" customFormat="1" ht="12.95" customHeight="1"/>
    <row r="682" s="22" customFormat="1" ht="12.95" customHeight="1"/>
    <row r="683" s="22" customFormat="1" ht="12.95" customHeight="1"/>
    <row r="684" s="22" customFormat="1" ht="12.95" customHeight="1"/>
    <row r="685" s="22" customFormat="1" ht="12.95" customHeight="1"/>
    <row r="686" s="22" customFormat="1" ht="12.95" customHeight="1"/>
    <row r="687" s="22" customFormat="1" ht="12.95" customHeight="1"/>
    <row r="688" s="22" customFormat="1" ht="12.95" customHeight="1"/>
    <row r="689" s="22" customFormat="1" ht="12.95" customHeight="1"/>
    <row r="690" s="22" customFormat="1" ht="12.95" customHeight="1"/>
    <row r="691" s="22" customFormat="1" ht="12.95" customHeight="1"/>
    <row r="692" s="22" customFormat="1" ht="12.95" customHeight="1"/>
    <row r="693" s="22" customFormat="1" ht="12.95" customHeight="1"/>
    <row r="694" s="22" customFormat="1" ht="12.95" customHeight="1"/>
    <row r="695" s="22" customFormat="1" ht="12.95" customHeight="1"/>
    <row r="696" s="22" customFormat="1" ht="12.95" customHeight="1"/>
    <row r="697" s="22" customFormat="1" ht="12.95" customHeight="1"/>
    <row r="698" s="22" customFormat="1" ht="12.95" customHeight="1"/>
    <row r="699" s="22" customFormat="1" ht="12.95" customHeight="1"/>
    <row r="700" s="22" customFormat="1" ht="12.95" customHeight="1"/>
    <row r="701" s="624" customFormat="1" ht="12.95" customHeight="1"/>
    <row r="702" s="624" customFormat="1" ht="12.95" customHeight="1"/>
    <row r="703" s="624" customFormat="1" ht="12.95" customHeight="1"/>
    <row r="704" s="624" customFormat="1" ht="12.95" customHeight="1"/>
    <row r="705" s="624" customFormat="1" ht="12.95" customHeight="1"/>
    <row r="706" s="624" customFormat="1" ht="12.95" customHeight="1"/>
    <row r="707" s="624" customFormat="1" ht="12.95" customHeight="1"/>
    <row r="708" s="624" customFormat="1" ht="12.95" customHeight="1"/>
    <row r="709" s="624" customFormat="1" ht="12.95" customHeight="1"/>
    <row r="710" s="624" customFormat="1" ht="12.95" customHeight="1"/>
    <row r="711" s="624" customFormat="1" ht="12.95" customHeight="1"/>
    <row r="712" s="624" customFormat="1" ht="12.95" customHeight="1"/>
    <row r="713" s="624" customFormat="1" ht="12.75" customHeight="1"/>
    <row r="714" s="624" customFormat="1" ht="12.75" customHeight="1"/>
    <row r="715" s="624" customFormat="1" ht="12.75" customHeight="1"/>
    <row r="716" s="624" customFormat="1" ht="12.75" customHeight="1"/>
    <row r="717" s="624" customFormat="1" ht="12.75" customHeight="1"/>
    <row r="718" s="624" customFormat="1" ht="12.75" customHeight="1"/>
    <row r="719" s="624" customFormat="1" ht="12.75" customHeight="1"/>
    <row r="720" s="624" customFormat="1" ht="12.75" customHeight="1"/>
    <row r="721" s="624" customFormat="1" ht="12.75" customHeight="1"/>
    <row r="722" s="624" customFormat="1" ht="12.75" customHeight="1"/>
    <row r="723" s="624" customFormat="1" ht="12.75" customHeight="1"/>
    <row r="724" s="624" customFormat="1" ht="12.75" customHeight="1"/>
    <row r="725" s="624" customFormat="1" ht="12.75" customHeight="1"/>
    <row r="726" s="624" customFormat="1" ht="12.75" customHeight="1"/>
    <row r="727" s="624" customFormat="1" ht="12.75" customHeight="1"/>
    <row r="728" s="624" customFormat="1" ht="12.75" customHeight="1"/>
    <row r="729" s="624" customFormat="1" ht="12.75" customHeight="1"/>
    <row r="730" s="624" customFormat="1" ht="12.75" customHeight="1"/>
    <row r="731" s="624" customFormat="1" ht="12.75" customHeight="1"/>
    <row r="732" s="624" customFormat="1" ht="12.75" customHeight="1"/>
    <row r="733" s="624" customFormat="1" ht="12.75" customHeight="1"/>
    <row r="734" s="624" customFormat="1" ht="12.75" customHeight="1"/>
    <row r="735" s="624" customFormat="1" ht="12.75" customHeight="1"/>
    <row r="736" s="624" customFormat="1" ht="12.75" customHeight="1"/>
    <row r="737" s="624" customFormat="1" ht="12.75" customHeight="1"/>
    <row r="738" s="624" customFormat="1" ht="12.75" customHeight="1"/>
    <row r="739" s="624" customFormat="1" ht="12.75" customHeight="1"/>
    <row r="740" s="624" customFormat="1" ht="12.75" customHeight="1"/>
    <row r="741" s="624" customFormat="1" ht="12.75" customHeight="1"/>
    <row r="742" s="624" customFormat="1" ht="12.75" customHeight="1"/>
    <row r="743" s="624" customFormat="1" ht="12.75" customHeight="1"/>
    <row r="744" s="624" customFormat="1" ht="12.75" customHeight="1"/>
    <row r="745" s="624" customFormat="1" ht="12.75" customHeight="1"/>
    <row r="746" s="624" customFormat="1" ht="12.75" customHeight="1"/>
    <row r="747" s="624" customFormat="1" ht="12.75" customHeight="1"/>
    <row r="748" s="624" customFormat="1" ht="12.75" customHeight="1"/>
    <row r="749" s="624" customFormat="1" ht="12.75" customHeight="1"/>
    <row r="750" s="624" customFormat="1" ht="12.75" customHeight="1"/>
    <row r="751" s="624" customFormat="1" ht="12.75" customHeight="1"/>
    <row r="752" s="624" customFormat="1" ht="12.75" customHeight="1"/>
    <row r="753" s="624" customFormat="1" ht="12.75" customHeight="1"/>
    <row r="754" s="624" customFormat="1" ht="12.75" customHeight="1"/>
    <row r="755" s="624" customFormat="1" ht="12.75" customHeight="1"/>
    <row r="756" s="624" customFormat="1" ht="12.75" customHeight="1"/>
    <row r="757" s="624" customFormat="1" ht="12.75" customHeight="1"/>
    <row r="758" s="624" customFormat="1" ht="12.75" customHeight="1"/>
    <row r="759" s="624" customFormat="1" ht="12.75" customHeight="1"/>
    <row r="760" s="624" customFormat="1" ht="12.75" customHeight="1"/>
    <row r="761" s="624" customFormat="1" ht="12.75" customHeight="1"/>
    <row r="762" s="624" customFormat="1" ht="12.75" customHeight="1"/>
    <row r="763" s="624" customFormat="1" ht="12.75" customHeight="1"/>
    <row r="764" s="624" customFormat="1" ht="12.75" customHeight="1"/>
    <row r="765" s="624" customFormat="1" ht="12.75" customHeight="1"/>
    <row r="766" s="624" customFormat="1" ht="12.75" customHeight="1"/>
    <row r="767" s="624" customFormat="1" ht="12.75" customHeight="1"/>
    <row r="768" s="624" customFormat="1" ht="12.75" customHeight="1"/>
    <row r="769" s="624" customFormat="1" ht="12.75" customHeight="1"/>
    <row r="770" s="624" customFormat="1" ht="12.75" customHeight="1"/>
    <row r="771" s="624" customFormat="1" ht="12.75" customHeight="1"/>
    <row r="772" s="624" customFormat="1" ht="12.75" customHeight="1"/>
    <row r="773" s="624" customFormat="1" ht="12.75" customHeight="1"/>
    <row r="774" s="624" customFormat="1" ht="12.75" customHeight="1"/>
    <row r="775" s="624" customFormat="1" ht="12.75" customHeight="1"/>
    <row r="776" s="624" customFormat="1" ht="12.75" customHeight="1"/>
    <row r="777" s="624" customFormat="1" ht="12.75" customHeight="1"/>
    <row r="778" s="624" customFormat="1" ht="12.75" customHeight="1"/>
    <row r="779" s="624" customFormat="1" ht="12.75" customHeight="1"/>
    <row r="780" s="624" customFormat="1" ht="12.75" customHeight="1"/>
    <row r="781" s="624" customFormat="1" ht="12.75" customHeight="1"/>
    <row r="782" s="624" customFormat="1" ht="12.75" customHeight="1"/>
    <row r="783" s="624" customFormat="1" ht="12.75" customHeight="1"/>
    <row r="784" s="624" customFormat="1" ht="12.75" customHeight="1"/>
    <row r="785" s="624" customFormat="1" ht="12.75" customHeight="1"/>
    <row r="786" s="624" customFormat="1" ht="12.75" customHeight="1"/>
    <row r="787" s="624" customFormat="1" ht="12.75" customHeight="1"/>
    <row r="788" s="624" customFormat="1" ht="12.75" customHeight="1"/>
    <row r="789" s="624" customFormat="1" ht="12.75" customHeight="1"/>
    <row r="790" s="624" customFormat="1" ht="12.75" customHeight="1"/>
    <row r="791" s="624" customFormat="1" ht="12.75" customHeight="1"/>
    <row r="792" s="624" customFormat="1" ht="12.75" customHeight="1"/>
    <row r="793" s="624" customFormat="1" ht="12.75" customHeight="1"/>
    <row r="794" s="624" customFormat="1" ht="12.75" customHeight="1"/>
    <row r="795" s="624" customFormat="1" ht="12.75" customHeight="1"/>
    <row r="796" s="624" customFormat="1" ht="12.75" customHeight="1"/>
    <row r="797" s="624" customFormat="1" ht="12.75" customHeight="1"/>
    <row r="798" s="624" customFormat="1" ht="12.75" customHeight="1"/>
    <row r="799" s="624" customFormat="1" ht="12.75" customHeight="1"/>
    <row r="800" s="624" customFormat="1" ht="12.75" customHeight="1"/>
    <row r="801" s="624" customFormat="1" ht="12.75" customHeight="1"/>
    <row r="802" s="624" customFormat="1" ht="12.75" customHeight="1"/>
    <row r="803" s="624" customFormat="1" ht="12.75" customHeight="1"/>
    <row r="804" s="624" customFormat="1" ht="12.75" customHeight="1"/>
    <row r="805" s="624" customFormat="1" ht="12.75" customHeight="1"/>
    <row r="806" s="624" customFormat="1" ht="12.75" customHeight="1"/>
    <row r="807" s="624" customFormat="1" ht="12.75" customHeight="1"/>
    <row r="808" s="624" customFormat="1" ht="12.75" customHeight="1"/>
    <row r="809" s="624" customFormat="1" ht="12.75" customHeight="1"/>
    <row r="810" s="624" customFormat="1" ht="12.75" customHeight="1"/>
    <row r="811" s="624" customFormat="1" ht="12.75" customHeight="1"/>
    <row r="812" s="624" customFormat="1" ht="12.75" customHeight="1"/>
    <row r="813" s="624" customFormat="1" ht="12.75" customHeight="1"/>
    <row r="814" s="624" customFormat="1" ht="12.75" customHeight="1"/>
    <row r="815" s="624" customFormat="1" ht="12.75" customHeight="1"/>
    <row r="816" s="624" customFormat="1" ht="12.75" customHeight="1"/>
    <row r="817" s="624" customFormat="1" ht="12.75" customHeight="1"/>
    <row r="818" s="624" customFormat="1" ht="12.75" customHeight="1"/>
    <row r="819" s="624" customFormat="1" ht="12.75" customHeight="1"/>
    <row r="820" s="624" customFormat="1" ht="12.75" customHeight="1"/>
    <row r="821" s="624" customFormat="1" ht="12.75" customHeight="1"/>
    <row r="822" s="624" customFormat="1" ht="12.75" customHeight="1"/>
    <row r="823" s="624" customFormat="1" ht="12.75" customHeight="1"/>
    <row r="824" s="624" customFormat="1" ht="12.75" customHeight="1"/>
    <row r="825" s="624" customFormat="1" ht="12.75" customHeight="1"/>
    <row r="826" s="624" customFormat="1" ht="12.75" customHeight="1"/>
    <row r="827" s="624" customFormat="1" ht="12.75" customHeight="1"/>
    <row r="828" s="624" customFormat="1" ht="12.75" customHeight="1"/>
    <row r="829" s="624" customFormat="1" ht="12.75" customHeight="1"/>
    <row r="830" s="624" customFormat="1" ht="12.75" customHeight="1"/>
    <row r="831" s="624" customFormat="1" ht="12.75" customHeight="1"/>
    <row r="832" s="624" customFormat="1" ht="12.75" customHeight="1"/>
    <row r="833" s="624" customFormat="1" ht="12.75" customHeight="1"/>
    <row r="834" s="624" customFormat="1" ht="12.75" customHeight="1"/>
    <row r="835" s="624" customFormat="1" ht="12.75" customHeight="1"/>
    <row r="836" s="624" customFormat="1" ht="12.75" customHeight="1"/>
    <row r="837" s="624" customFormat="1" ht="12.75" customHeight="1"/>
    <row r="838" s="624" customFormat="1" ht="12.75" customHeight="1"/>
    <row r="839" s="624" customFormat="1" ht="12.75" customHeight="1"/>
    <row r="840" s="624" customFormat="1" ht="12.75" customHeight="1"/>
    <row r="841" s="624" customFormat="1" ht="12.75" customHeight="1"/>
    <row r="842" s="624" customFormat="1" ht="12.75" customHeight="1"/>
    <row r="843" s="624" customFormat="1" ht="12.75" customHeight="1"/>
    <row r="844" s="624" customFormat="1" ht="12.75" customHeight="1"/>
    <row r="845" s="624" customFormat="1" ht="12.75" customHeight="1"/>
    <row r="846" s="624" customFormat="1" ht="12.75" customHeight="1"/>
    <row r="847" s="624" customFormat="1" ht="12.75" customHeight="1"/>
    <row r="848" s="624" customFormat="1" ht="12.75" customHeight="1"/>
  </sheetData>
  <pageMargins left="0.11811023622047245" right="0.11811023622047245" top="0.70866141732283472" bottom="0.70866141732283472" header="0.31496062992125984" footer="0.31496062992125984"/>
  <pageSetup paperSize="9" orientation="portrait" r:id="rId1"/>
  <headerFooter>
    <oddFooter>&amp;C&amp;"Arial,Normalny"&amp;8&amp;P</oddFooter>
  </headerFooter>
  <rowBreaks count="8" manualBreakCount="8">
    <brk id="40" max="7" man="1"/>
    <brk id="76" max="7" man="1"/>
    <brk id="116" max="7" man="1"/>
    <brk id="170" max="7" man="1"/>
    <brk id="328" max="7" man="1"/>
    <brk id="486" max="7" man="1"/>
    <brk id="535" max="7" man="1"/>
    <brk id="584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1F6C4-09E9-4450-B5F8-AD18B488B03A}">
  <sheetPr>
    <tabColor rgb="FF92D050"/>
  </sheetPr>
  <dimension ref="A1:WWB39"/>
  <sheetViews>
    <sheetView zoomScaleNormal="100" workbookViewId="0">
      <pane ySplit="20" topLeftCell="A21" activePane="bottomLeft" state="frozen"/>
      <selection pane="bottomLeft" activeCell="B2" sqref="B2"/>
    </sheetView>
  </sheetViews>
  <sheetFormatPr defaultRowHeight="12.75"/>
  <cols>
    <col min="1" max="1" width="4.140625" style="335" customWidth="1"/>
    <col min="2" max="2" width="5.85546875" style="335" customWidth="1"/>
    <col min="3" max="3" width="6.85546875" style="271" hidden="1" customWidth="1"/>
    <col min="4" max="4" width="70.28515625" style="244" customWidth="1"/>
    <col min="5" max="5" width="13.140625" style="244" customWidth="1"/>
    <col min="6" max="6" width="12.28515625" style="244" customWidth="1"/>
    <col min="7" max="7" width="12.7109375" style="336" customWidth="1"/>
    <col min="8" max="9" width="12.5703125" style="336" customWidth="1"/>
    <col min="10" max="10" width="11.7109375" style="336" customWidth="1"/>
    <col min="11" max="11" width="12.140625" style="336" customWidth="1"/>
    <col min="12" max="12" width="12.140625" style="336" hidden="1" customWidth="1"/>
    <col min="13" max="13" width="11.85546875" style="336" hidden="1" customWidth="1"/>
    <col min="14" max="14" width="4.85546875" style="336" hidden="1" customWidth="1"/>
    <col min="15" max="15" width="4.42578125" style="336" hidden="1" customWidth="1"/>
    <col min="16" max="16" width="1.28515625" style="336" hidden="1" customWidth="1"/>
    <col min="17" max="17" width="11.28515625" style="336" customWidth="1"/>
    <col min="18" max="18" width="14.28515625" style="247" customWidth="1"/>
    <col min="19" max="19" width="9.140625" style="244" customWidth="1"/>
    <col min="20" max="20" width="13" style="244" customWidth="1"/>
    <col min="21" max="21" width="10.42578125" style="244" hidden="1" customWidth="1"/>
    <col min="22" max="22" width="10.140625" style="244" customWidth="1"/>
    <col min="23" max="264" width="9.140625" style="244"/>
    <col min="265" max="265" width="4.140625" style="244" customWidth="1"/>
    <col min="266" max="266" width="5.5703125" style="244" customWidth="1"/>
    <col min="267" max="267" width="59.5703125" style="244" customWidth="1"/>
    <col min="268" max="269" width="11.28515625" style="244" customWidth="1"/>
    <col min="270" max="270" width="10.5703125" style="244" customWidth="1"/>
    <col min="271" max="271" width="10.42578125" style="244" customWidth="1"/>
    <col min="272" max="272" width="10.7109375" style="244" customWidth="1"/>
    <col min="273" max="273" width="9" style="244" customWidth="1"/>
    <col min="274" max="274" width="11.5703125" style="244" customWidth="1"/>
    <col min="275" max="275" width="9.140625" style="244"/>
    <col min="276" max="276" width="13" style="244" customWidth="1"/>
    <col min="277" max="520" width="9.140625" style="244"/>
    <col min="521" max="521" width="4.140625" style="244" customWidth="1"/>
    <col min="522" max="522" width="5.5703125" style="244" customWidth="1"/>
    <col min="523" max="523" width="59.5703125" style="244" customWidth="1"/>
    <col min="524" max="525" width="11.28515625" style="244" customWidth="1"/>
    <col min="526" max="526" width="10.5703125" style="244" customWidth="1"/>
    <col min="527" max="527" width="10.42578125" style="244" customWidth="1"/>
    <col min="528" max="528" width="10.7109375" style="244" customWidth="1"/>
    <col min="529" max="529" width="9" style="244" customWidth="1"/>
    <col min="530" max="530" width="11.5703125" style="244" customWidth="1"/>
    <col min="531" max="531" width="9.140625" style="244"/>
    <col min="532" max="532" width="13" style="244" customWidth="1"/>
    <col min="533" max="776" width="9.140625" style="244"/>
    <col min="777" max="777" width="4.140625" style="244" customWidth="1"/>
    <col min="778" max="778" width="5.5703125" style="244" customWidth="1"/>
    <col min="779" max="779" width="59.5703125" style="244" customWidth="1"/>
    <col min="780" max="781" width="11.28515625" style="244" customWidth="1"/>
    <col min="782" max="782" width="10.5703125" style="244" customWidth="1"/>
    <col min="783" max="783" width="10.42578125" style="244" customWidth="1"/>
    <col min="784" max="784" width="10.7109375" style="244" customWidth="1"/>
    <col min="785" max="785" width="9" style="244" customWidth="1"/>
    <col min="786" max="786" width="11.5703125" style="244" customWidth="1"/>
    <col min="787" max="787" width="9.140625" style="244"/>
    <col min="788" max="788" width="13" style="244" customWidth="1"/>
    <col min="789" max="1032" width="9.140625" style="244"/>
    <col min="1033" max="1033" width="4.140625" style="244" customWidth="1"/>
    <col min="1034" max="1034" width="5.5703125" style="244" customWidth="1"/>
    <col min="1035" max="1035" width="59.5703125" style="244" customWidth="1"/>
    <col min="1036" max="1037" width="11.28515625" style="244" customWidth="1"/>
    <col min="1038" max="1038" width="10.5703125" style="244" customWidth="1"/>
    <col min="1039" max="1039" width="10.42578125" style="244" customWidth="1"/>
    <col min="1040" max="1040" width="10.7109375" style="244" customWidth="1"/>
    <col min="1041" max="1041" width="9" style="244" customWidth="1"/>
    <col min="1042" max="1042" width="11.5703125" style="244" customWidth="1"/>
    <col min="1043" max="1043" width="9.140625" style="244"/>
    <col min="1044" max="1044" width="13" style="244" customWidth="1"/>
    <col min="1045" max="1288" width="9.140625" style="244"/>
    <col min="1289" max="1289" width="4.140625" style="244" customWidth="1"/>
    <col min="1290" max="1290" width="5.5703125" style="244" customWidth="1"/>
    <col min="1291" max="1291" width="59.5703125" style="244" customWidth="1"/>
    <col min="1292" max="1293" width="11.28515625" style="244" customWidth="1"/>
    <col min="1294" max="1294" width="10.5703125" style="244" customWidth="1"/>
    <col min="1295" max="1295" width="10.42578125" style="244" customWidth="1"/>
    <col min="1296" max="1296" width="10.7109375" style="244" customWidth="1"/>
    <col min="1297" max="1297" width="9" style="244" customWidth="1"/>
    <col min="1298" max="1298" width="11.5703125" style="244" customWidth="1"/>
    <col min="1299" max="1299" width="9.140625" style="244"/>
    <col min="1300" max="1300" width="13" style="244" customWidth="1"/>
    <col min="1301" max="1544" width="9.140625" style="244"/>
    <col min="1545" max="1545" width="4.140625" style="244" customWidth="1"/>
    <col min="1546" max="1546" width="5.5703125" style="244" customWidth="1"/>
    <col min="1547" max="1547" width="59.5703125" style="244" customWidth="1"/>
    <col min="1548" max="1549" width="11.28515625" style="244" customWidth="1"/>
    <col min="1550" max="1550" width="10.5703125" style="244" customWidth="1"/>
    <col min="1551" max="1551" width="10.42578125" style="244" customWidth="1"/>
    <col min="1552" max="1552" width="10.7109375" style="244" customWidth="1"/>
    <col min="1553" max="1553" width="9" style="244" customWidth="1"/>
    <col min="1554" max="1554" width="11.5703125" style="244" customWidth="1"/>
    <col min="1555" max="1555" width="9.140625" style="244"/>
    <col min="1556" max="1556" width="13" style="244" customWidth="1"/>
    <col min="1557" max="1800" width="9.140625" style="244"/>
    <col min="1801" max="1801" width="4.140625" style="244" customWidth="1"/>
    <col min="1802" max="1802" width="5.5703125" style="244" customWidth="1"/>
    <col min="1803" max="1803" width="59.5703125" style="244" customWidth="1"/>
    <col min="1804" max="1805" width="11.28515625" style="244" customWidth="1"/>
    <col min="1806" max="1806" width="10.5703125" style="244" customWidth="1"/>
    <col min="1807" max="1807" width="10.42578125" style="244" customWidth="1"/>
    <col min="1808" max="1808" width="10.7109375" style="244" customWidth="1"/>
    <col min="1809" max="1809" width="9" style="244" customWidth="1"/>
    <col min="1810" max="1810" width="11.5703125" style="244" customWidth="1"/>
    <col min="1811" max="1811" width="9.140625" style="244"/>
    <col min="1812" max="1812" width="13" style="244" customWidth="1"/>
    <col min="1813" max="2056" width="9.140625" style="244"/>
    <col min="2057" max="2057" width="4.140625" style="244" customWidth="1"/>
    <col min="2058" max="2058" width="5.5703125" style="244" customWidth="1"/>
    <col min="2059" max="2059" width="59.5703125" style="244" customWidth="1"/>
    <col min="2060" max="2061" width="11.28515625" style="244" customWidth="1"/>
    <col min="2062" max="2062" width="10.5703125" style="244" customWidth="1"/>
    <col min="2063" max="2063" width="10.42578125" style="244" customWidth="1"/>
    <col min="2064" max="2064" width="10.7109375" style="244" customWidth="1"/>
    <col min="2065" max="2065" width="9" style="244" customWidth="1"/>
    <col min="2066" max="2066" width="11.5703125" style="244" customWidth="1"/>
    <col min="2067" max="2067" width="9.140625" style="244"/>
    <col min="2068" max="2068" width="13" style="244" customWidth="1"/>
    <col min="2069" max="2312" width="9.140625" style="244"/>
    <col min="2313" max="2313" width="4.140625" style="244" customWidth="1"/>
    <col min="2314" max="2314" width="5.5703125" style="244" customWidth="1"/>
    <col min="2315" max="2315" width="59.5703125" style="244" customWidth="1"/>
    <col min="2316" max="2317" width="11.28515625" style="244" customWidth="1"/>
    <col min="2318" max="2318" width="10.5703125" style="244" customWidth="1"/>
    <col min="2319" max="2319" width="10.42578125" style="244" customWidth="1"/>
    <col min="2320" max="2320" width="10.7109375" style="244" customWidth="1"/>
    <col min="2321" max="2321" width="9" style="244" customWidth="1"/>
    <col min="2322" max="2322" width="11.5703125" style="244" customWidth="1"/>
    <col min="2323" max="2323" width="9.140625" style="244"/>
    <col min="2324" max="2324" width="13" style="244" customWidth="1"/>
    <col min="2325" max="2568" width="9.140625" style="244"/>
    <col min="2569" max="2569" width="4.140625" style="244" customWidth="1"/>
    <col min="2570" max="2570" width="5.5703125" style="244" customWidth="1"/>
    <col min="2571" max="2571" width="59.5703125" style="244" customWidth="1"/>
    <col min="2572" max="2573" width="11.28515625" style="244" customWidth="1"/>
    <col min="2574" max="2574" width="10.5703125" style="244" customWidth="1"/>
    <col min="2575" max="2575" width="10.42578125" style="244" customWidth="1"/>
    <col min="2576" max="2576" width="10.7109375" style="244" customWidth="1"/>
    <col min="2577" max="2577" width="9" style="244" customWidth="1"/>
    <col min="2578" max="2578" width="11.5703125" style="244" customWidth="1"/>
    <col min="2579" max="2579" width="9.140625" style="244"/>
    <col min="2580" max="2580" width="13" style="244" customWidth="1"/>
    <col min="2581" max="2824" width="9.140625" style="244"/>
    <col min="2825" max="2825" width="4.140625" style="244" customWidth="1"/>
    <col min="2826" max="2826" width="5.5703125" style="244" customWidth="1"/>
    <col min="2827" max="2827" width="59.5703125" style="244" customWidth="1"/>
    <col min="2828" max="2829" width="11.28515625" style="244" customWidth="1"/>
    <col min="2830" max="2830" width="10.5703125" style="244" customWidth="1"/>
    <col min="2831" max="2831" width="10.42578125" style="244" customWidth="1"/>
    <col min="2832" max="2832" width="10.7109375" style="244" customWidth="1"/>
    <col min="2833" max="2833" width="9" style="244" customWidth="1"/>
    <col min="2834" max="2834" width="11.5703125" style="244" customWidth="1"/>
    <col min="2835" max="2835" width="9.140625" style="244"/>
    <col min="2836" max="2836" width="13" style="244" customWidth="1"/>
    <col min="2837" max="3080" width="9.140625" style="244"/>
    <col min="3081" max="3081" width="4.140625" style="244" customWidth="1"/>
    <col min="3082" max="3082" width="5.5703125" style="244" customWidth="1"/>
    <col min="3083" max="3083" width="59.5703125" style="244" customWidth="1"/>
    <col min="3084" max="3085" width="11.28515625" style="244" customWidth="1"/>
    <col min="3086" max="3086" width="10.5703125" style="244" customWidth="1"/>
    <col min="3087" max="3087" width="10.42578125" style="244" customWidth="1"/>
    <col min="3088" max="3088" width="10.7109375" style="244" customWidth="1"/>
    <col min="3089" max="3089" width="9" style="244" customWidth="1"/>
    <col min="3090" max="3090" width="11.5703125" style="244" customWidth="1"/>
    <col min="3091" max="3091" width="9.140625" style="244"/>
    <col min="3092" max="3092" width="13" style="244" customWidth="1"/>
    <col min="3093" max="3336" width="9.140625" style="244"/>
    <col min="3337" max="3337" width="4.140625" style="244" customWidth="1"/>
    <col min="3338" max="3338" width="5.5703125" style="244" customWidth="1"/>
    <col min="3339" max="3339" width="59.5703125" style="244" customWidth="1"/>
    <col min="3340" max="3341" width="11.28515625" style="244" customWidth="1"/>
    <col min="3342" max="3342" width="10.5703125" style="244" customWidth="1"/>
    <col min="3343" max="3343" width="10.42578125" style="244" customWidth="1"/>
    <col min="3344" max="3344" width="10.7109375" style="244" customWidth="1"/>
    <col min="3345" max="3345" width="9" style="244" customWidth="1"/>
    <col min="3346" max="3346" width="11.5703125" style="244" customWidth="1"/>
    <col min="3347" max="3347" width="9.140625" style="244"/>
    <col min="3348" max="3348" width="13" style="244" customWidth="1"/>
    <col min="3349" max="3592" width="9.140625" style="244"/>
    <col min="3593" max="3593" width="4.140625" style="244" customWidth="1"/>
    <col min="3594" max="3594" width="5.5703125" style="244" customWidth="1"/>
    <col min="3595" max="3595" width="59.5703125" style="244" customWidth="1"/>
    <col min="3596" max="3597" width="11.28515625" style="244" customWidth="1"/>
    <col min="3598" max="3598" width="10.5703125" style="244" customWidth="1"/>
    <col min="3599" max="3599" width="10.42578125" style="244" customWidth="1"/>
    <col min="3600" max="3600" width="10.7109375" style="244" customWidth="1"/>
    <col min="3601" max="3601" width="9" style="244" customWidth="1"/>
    <col min="3602" max="3602" width="11.5703125" style="244" customWidth="1"/>
    <col min="3603" max="3603" width="9.140625" style="244"/>
    <col min="3604" max="3604" width="13" style="244" customWidth="1"/>
    <col min="3605" max="3848" width="9.140625" style="244"/>
    <col min="3849" max="3849" width="4.140625" style="244" customWidth="1"/>
    <col min="3850" max="3850" width="5.5703125" style="244" customWidth="1"/>
    <col min="3851" max="3851" width="59.5703125" style="244" customWidth="1"/>
    <col min="3852" max="3853" width="11.28515625" style="244" customWidth="1"/>
    <col min="3854" max="3854" width="10.5703125" style="244" customWidth="1"/>
    <col min="3855" max="3855" width="10.42578125" style="244" customWidth="1"/>
    <col min="3856" max="3856" width="10.7109375" style="244" customWidth="1"/>
    <col min="3857" max="3857" width="9" style="244" customWidth="1"/>
    <col min="3858" max="3858" width="11.5703125" style="244" customWidth="1"/>
    <col min="3859" max="3859" width="9.140625" style="244"/>
    <col min="3860" max="3860" width="13" style="244" customWidth="1"/>
    <col min="3861" max="4104" width="9.140625" style="244"/>
    <col min="4105" max="4105" width="4.140625" style="244" customWidth="1"/>
    <col min="4106" max="4106" width="5.5703125" style="244" customWidth="1"/>
    <col min="4107" max="4107" width="59.5703125" style="244" customWidth="1"/>
    <col min="4108" max="4109" width="11.28515625" style="244" customWidth="1"/>
    <col min="4110" max="4110" width="10.5703125" style="244" customWidth="1"/>
    <col min="4111" max="4111" width="10.42578125" style="244" customWidth="1"/>
    <col min="4112" max="4112" width="10.7109375" style="244" customWidth="1"/>
    <col min="4113" max="4113" width="9" style="244" customWidth="1"/>
    <col min="4114" max="4114" width="11.5703125" style="244" customWidth="1"/>
    <col min="4115" max="4115" width="9.140625" style="244"/>
    <col min="4116" max="4116" width="13" style="244" customWidth="1"/>
    <col min="4117" max="4360" width="9.140625" style="244"/>
    <col min="4361" max="4361" width="4.140625" style="244" customWidth="1"/>
    <col min="4362" max="4362" width="5.5703125" style="244" customWidth="1"/>
    <col min="4363" max="4363" width="59.5703125" style="244" customWidth="1"/>
    <col min="4364" max="4365" width="11.28515625" style="244" customWidth="1"/>
    <col min="4366" max="4366" width="10.5703125" style="244" customWidth="1"/>
    <col min="4367" max="4367" width="10.42578125" style="244" customWidth="1"/>
    <col min="4368" max="4368" width="10.7109375" style="244" customWidth="1"/>
    <col min="4369" max="4369" width="9" style="244" customWidth="1"/>
    <col min="4370" max="4370" width="11.5703125" style="244" customWidth="1"/>
    <col min="4371" max="4371" width="9.140625" style="244"/>
    <col min="4372" max="4372" width="13" style="244" customWidth="1"/>
    <col min="4373" max="4616" width="9.140625" style="244"/>
    <col min="4617" max="4617" width="4.140625" style="244" customWidth="1"/>
    <col min="4618" max="4618" width="5.5703125" style="244" customWidth="1"/>
    <col min="4619" max="4619" width="59.5703125" style="244" customWidth="1"/>
    <col min="4620" max="4621" width="11.28515625" style="244" customWidth="1"/>
    <col min="4622" max="4622" width="10.5703125" style="244" customWidth="1"/>
    <col min="4623" max="4623" width="10.42578125" style="244" customWidth="1"/>
    <col min="4624" max="4624" width="10.7109375" style="244" customWidth="1"/>
    <col min="4625" max="4625" width="9" style="244" customWidth="1"/>
    <col min="4626" max="4626" width="11.5703125" style="244" customWidth="1"/>
    <col min="4627" max="4627" width="9.140625" style="244"/>
    <col min="4628" max="4628" width="13" style="244" customWidth="1"/>
    <col min="4629" max="4872" width="9.140625" style="244"/>
    <col min="4873" max="4873" width="4.140625" style="244" customWidth="1"/>
    <col min="4874" max="4874" width="5.5703125" style="244" customWidth="1"/>
    <col min="4875" max="4875" width="59.5703125" style="244" customWidth="1"/>
    <col min="4876" max="4877" width="11.28515625" style="244" customWidth="1"/>
    <col min="4878" max="4878" width="10.5703125" style="244" customWidth="1"/>
    <col min="4879" max="4879" width="10.42578125" style="244" customWidth="1"/>
    <col min="4880" max="4880" width="10.7109375" style="244" customWidth="1"/>
    <col min="4881" max="4881" width="9" style="244" customWidth="1"/>
    <col min="4882" max="4882" width="11.5703125" style="244" customWidth="1"/>
    <col min="4883" max="4883" width="9.140625" style="244"/>
    <col min="4884" max="4884" width="13" style="244" customWidth="1"/>
    <col min="4885" max="5128" width="9.140625" style="244"/>
    <col min="5129" max="5129" width="4.140625" style="244" customWidth="1"/>
    <col min="5130" max="5130" width="5.5703125" style="244" customWidth="1"/>
    <col min="5131" max="5131" width="59.5703125" style="244" customWidth="1"/>
    <col min="5132" max="5133" width="11.28515625" style="244" customWidth="1"/>
    <col min="5134" max="5134" width="10.5703125" style="244" customWidth="1"/>
    <col min="5135" max="5135" width="10.42578125" style="244" customWidth="1"/>
    <col min="5136" max="5136" width="10.7109375" style="244" customWidth="1"/>
    <col min="5137" max="5137" width="9" style="244" customWidth="1"/>
    <col min="5138" max="5138" width="11.5703125" style="244" customWidth="1"/>
    <col min="5139" max="5139" width="9.140625" style="244"/>
    <col min="5140" max="5140" width="13" style="244" customWidth="1"/>
    <col min="5141" max="5384" width="9.140625" style="244"/>
    <col min="5385" max="5385" width="4.140625" style="244" customWidth="1"/>
    <col min="5386" max="5386" width="5.5703125" style="244" customWidth="1"/>
    <col min="5387" max="5387" width="59.5703125" style="244" customWidth="1"/>
    <col min="5388" max="5389" width="11.28515625" style="244" customWidth="1"/>
    <col min="5390" max="5390" width="10.5703125" style="244" customWidth="1"/>
    <col min="5391" max="5391" width="10.42578125" style="244" customWidth="1"/>
    <col min="5392" max="5392" width="10.7109375" style="244" customWidth="1"/>
    <col min="5393" max="5393" width="9" style="244" customWidth="1"/>
    <col min="5394" max="5394" width="11.5703125" style="244" customWidth="1"/>
    <col min="5395" max="5395" width="9.140625" style="244"/>
    <col min="5396" max="5396" width="13" style="244" customWidth="1"/>
    <col min="5397" max="5640" width="9.140625" style="244"/>
    <col min="5641" max="5641" width="4.140625" style="244" customWidth="1"/>
    <col min="5642" max="5642" width="5.5703125" style="244" customWidth="1"/>
    <col min="5643" max="5643" width="59.5703125" style="244" customWidth="1"/>
    <col min="5644" max="5645" width="11.28515625" style="244" customWidth="1"/>
    <col min="5646" max="5646" width="10.5703125" style="244" customWidth="1"/>
    <col min="5647" max="5647" width="10.42578125" style="244" customWidth="1"/>
    <col min="5648" max="5648" width="10.7109375" style="244" customWidth="1"/>
    <col min="5649" max="5649" width="9" style="244" customWidth="1"/>
    <col min="5650" max="5650" width="11.5703125" style="244" customWidth="1"/>
    <col min="5651" max="5651" width="9.140625" style="244"/>
    <col min="5652" max="5652" width="13" style="244" customWidth="1"/>
    <col min="5653" max="5896" width="9.140625" style="244"/>
    <col min="5897" max="5897" width="4.140625" style="244" customWidth="1"/>
    <col min="5898" max="5898" width="5.5703125" style="244" customWidth="1"/>
    <col min="5899" max="5899" width="59.5703125" style="244" customWidth="1"/>
    <col min="5900" max="5901" width="11.28515625" style="244" customWidth="1"/>
    <col min="5902" max="5902" width="10.5703125" style="244" customWidth="1"/>
    <col min="5903" max="5903" width="10.42578125" style="244" customWidth="1"/>
    <col min="5904" max="5904" width="10.7109375" style="244" customWidth="1"/>
    <col min="5905" max="5905" width="9" style="244" customWidth="1"/>
    <col min="5906" max="5906" width="11.5703125" style="244" customWidth="1"/>
    <col min="5907" max="5907" width="9.140625" style="244"/>
    <col min="5908" max="5908" width="13" style="244" customWidth="1"/>
    <col min="5909" max="6152" width="9.140625" style="244"/>
    <col min="6153" max="6153" width="4.140625" style="244" customWidth="1"/>
    <col min="6154" max="6154" width="5.5703125" style="244" customWidth="1"/>
    <col min="6155" max="6155" width="59.5703125" style="244" customWidth="1"/>
    <col min="6156" max="6157" width="11.28515625" style="244" customWidth="1"/>
    <col min="6158" max="6158" width="10.5703125" style="244" customWidth="1"/>
    <col min="6159" max="6159" width="10.42578125" style="244" customWidth="1"/>
    <col min="6160" max="6160" width="10.7109375" style="244" customWidth="1"/>
    <col min="6161" max="6161" width="9" style="244" customWidth="1"/>
    <col min="6162" max="6162" width="11.5703125" style="244" customWidth="1"/>
    <col min="6163" max="6163" width="9.140625" style="244"/>
    <col min="6164" max="6164" width="13" style="244" customWidth="1"/>
    <col min="6165" max="6408" width="9.140625" style="244"/>
    <col min="6409" max="6409" width="4.140625" style="244" customWidth="1"/>
    <col min="6410" max="6410" width="5.5703125" style="244" customWidth="1"/>
    <col min="6411" max="6411" width="59.5703125" style="244" customWidth="1"/>
    <col min="6412" max="6413" width="11.28515625" style="244" customWidth="1"/>
    <col min="6414" max="6414" width="10.5703125" style="244" customWidth="1"/>
    <col min="6415" max="6415" width="10.42578125" style="244" customWidth="1"/>
    <col min="6416" max="6416" width="10.7109375" style="244" customWidth="1"/>
    <col min="6417" max="6417" width="9" style="244" customWidth="1"/>
    <col min="6418" max="6418" width="11.5703125" style="244" customWidth="1"/>
    <col min="6419" max="6419" width="9.140625" style="244"/>
    <col min="6420" max="6420" width="13" style="244" customWidth="1"/>
    <col min="6421" max="6664" width="9.140625" style="244"/>
    <col min="6665" max="6665" width="4.140625" style="244" customWidth="1"/>
    <col min="6666" max="6666" width="5.5703125" style="244" customWidth="1"/>
    <col min="6667" max="6667" width="59.5703125" style="244" customWidth="1"/>
    <col min="6668" max="6669" width="11.28515625" style="244" customWidth="1"/>
    <col min="6670" max="6670" width="10.5703125" style="244" customWidth="1"/>
    <col min="6671" max="6671" width="10.42578125" style="244" customWidth="1"/>
    <col min="6672" max="6672" width="10.7109375" style="244" customWidth="1"/>
    <col min="6673" max="6673" width="9" style="244" customWidth="1"/>
    <col min="6674" max="6674" width="11.5703125" style="244" customWidth="1"/>
    <col min="6675" max="6675" width="9.140625" style="244"/>
    <col min="6676" max="6676" width="13" style="244" customWidth="1"/>
    <col min="6677" max="6920" width="9.140625" style="244"/>
    <col min="6921" max="6921" width="4.140625" style="244" customWidth="1"/>
    <col min="6922" max="6922" width="5.5703125" style="244" customWidth="1"/>
    <col min="6923" max="6923" width="59.5703125" style="244" customWidth="1"/>
    <col min="6924" max="6925" width="11.28515625" style="244" customWidth="1"/>
    <col min="6926" max="6926" width="10.5703125" style="244" customWidth="1"/>
    <col min="6927" max="6927" width="10.42578125" style="244" customWidth="1"/>
    <col min="6928" max="6928" width="10.7109375" style="244" customWidth="1"/>
    <col min="6929" max="6929" width="9" style="244" customWidth="1"/>
    <col min="6930" max="6930" width="11.5703125" style="244" customWidth="1"/>
    <col min="6931" max="6931" width="9.140625" style="244"/>
    <col min="6932" max="6932" width="13" style="244" customWidth="1"/>
    <col min="6933" max="7176" width="9.140625" style="244"/>
    <col min="7177" max="7177" width="4.140625" style="244" customWidth="1"/>
    <col min="7178" max="7178" width="5.5703125" style="244" customWidth="1"/>
    <col min="7179" max="7179" width="59.5703125" style="244" customWidth="1"/>
    <col min="7180" max="7181" width="11.28515625" style="244" customWidth="1"/>
    <col min="7182" max="7182" width="10.5703125" style="244" customWidth="1"/>
    <col min="7183" max="7183" width="10.42578125" style="244" customWidth="1"/>
    <col min="7184" max="7184" width="10.7109375" style="244" customWidth="1"/>
    <col min="7185" max="7185" width="9" style="244" customWidth="1"/>
    <col min="7186" max="7186" width="11.5703125" style="244" customWidth="1"/>
    <col min="7187" max="7187" width="9.140625" style="244"/>
    <col min="7188" max="7188" width="13" style="244" customWidth="1"/>
    <col min="7189" max="7432" width="9.140625" style="244"/>
    <col min="7433" max="7433" width="4.140625" style="244" customWidth="1"/>
    <col min="7434" max="7434" width="5.5703125" style="244" customWidth="1"/>
    <col min="7435" max="7435" width="59.5703125" style="244" customWidth="1"/>
    <col min="7436" max="7437" width="11.28515625" style="244" customWidth="1"/>
    <col min="7438" max="7438" width="10.5703125" style="244" customWidth="1"/>
    <col min="7439" max="7439" width="10.42578125" style="244" customWidth="1"/>
    <col min="7440" max="7440" width="10.7109375" style="244" customWidth="1"/>
    <col min="7441" max="7441" width="9" style="244" customWidth="1"/>
    <col min="7442" max="7442" width="11.5703125" style="244" customWidth="1"/>
    <col min="7443" max="7443" width="9.140625" style="244"/>
    <col min="7444" max="7444" width="13" style="244" customWidth="1"/>
    <col min="7445" max="7688" width="9.140625" style="244"/>
    <col min="7689" max="7689" width="4.140625" style="244" customWidth="1"/>
    <col min="7690" max="7690" width="5.5703125" style="244" customWidth="1"/>
    <col min="7691" max="7691" width="59.5703125" style="244" customWidth="1"/>
    <col min="7692" max="7693" width="11.28515625" style="244" customWidth="1"/>
    <col min="7694" max="7694" width="10.5703125" style="244" customWidth="1"/>
    <col min="7695" max="7695" width="10.42578125" style="244" customWidth="1"/>
    <col min="7696" max="7696" width="10.7109375" style="244" customWidth="1"/>
    <col min="7697" max="7697" width="9" style="244" customWidth="1"/>
    <col min="7698" max="7698" width="11.5703125" style="244" customWidth="1"/>
    <col min="7699" max="7699" width="9.140625" style="244"/>
    <col min="7700" max="7700" width="13" style="244" customWidth="1"/>
    <col min="7701" max="7944" width="9.140625" style="244"/>
    <col min="7945" max="7945" width="4.140625" style="244" customWidth="1"/>
    <col min="7946" max="7946" width="5.5703125" style="244" customWidth="1"/>
    <col min="7947" max="7947" width="59.5703125" style="244" customWidth="1"/>
    <col min="7948" max="7949" width="11.28515625" style="244" customWidth="1"/>
    <col min="7950" max="7950" width="10.5703125" style="244" customWidth="1"/>
    <col min="7951" max="7951" width="10.42578125" style="244" customWidth="1"/>
    <col min="7952" max="7952" width="10.7109375" style="244" customWidth="1"/>
    <col min="7953" max="7953" width="9" style="244" customWidth="1"/>
    <col min="7954" max="7954" width="11.5703125" style="244" customWidth="1"/>
    <col min="7955" max="7955" width="9.140625" style="244"/>
    <col min="7956" max="7956" width="13" style="244" customWidth="1"/>
    <col min="7957" max="8200" width="9.140625" style="244"/>
    <col min="8201" max="8201" width="4.140625" style="244" customWidth="1"/>
    <col min="8202" max="8202" width="5.5703125" style="244" customWidth="1"/>
    <col min="8203" max="8203" width="59.5703125" style="244" customWidth="1"/>
    <col min="8204" max="8205" width="11.28515625" style="244" customWidth="1"/>
    <col min="8206" max="8206" width="10.5703125" style="244" customWidth="1"/>
    <col min="8207" max="8207" width="10.42578125" style="244" customWidth="1"/>
    <col min="8208" max="8208" width="10.7109375" style="244" customWidth="1"/>
    <col min="8209" max="8209" width="9" style="244" customWidth="1"/>
    <col min="8210" max="8210" width="11.5703125" style="244" customWidth="1"/>
    <col min="8211" max="8211" width="9.140625" style="244"/>
    <col min="8212" max="8212" width="13" style="244" customWidth="1"/>
    <col min="8213" max="8456" width="9.140625" style="244"/>
    <col min="8457" max="8457" width="4.140625" style="244" customWidth="1"/>
    <col min="8458" max="8458" width="5.5703125" style="244" customWidth="1"/>
    <col min="8459" max="8459" width="59.5703125" style="244" customWidth="1"/>
    <col min="8460" max="8461" width="11.28515625" style="244" customWidth="1"/>
    <col min="8462" max="8462" width="10.5703125" style="244" customWidth="1"/>
    <col min="8463" max="8463" width="10.42578125" style="244" customWidth="1"/>
    <col min="8464" max="8464" width="10.7109375" style="244" customWidth="1"/>
    <col min="8465" max="8465" width="9" style="244" customWidth="1"/>
    <col min="8466" max="8466" width="11.5703125" style="244" customWidth="1"/>
    <col min="8467" max="8467" width="9.140625" style="244"/>
    <col min="8468" max="8468" width="13" style="244" customWidth="1"/>
    <col min="8469" max="8712" width="9.140625" style="244"/>
    <col min="8713" max="8713" width="4.140625" style="244" customWidth="1"/>
    <col min="8714" max="8714" width="5.5703125" style="244" customWidth="1"/>
    <col min="8715" max="8715" width="59.5703125" style="244" customWidth="1"/>
    <col min="8716" max="8717" width="11.28515625" style="244" customWidth="1"/>
    <col min="8718" max="8718" width="10.5703125" style="244" customWidth="1"/>
    <col min="8719" max="8719" width="10.42578125" style="244" customWidth="1"/>
    <col min="8720" max="8720" width="10.7109375" style="244" customWidth="1"/>
    <col min="8721" max="8721" width="9" style="244" customWidth="1"/>
    <col min="8722" max="8722" width="11.5703125" style="244" customWidth="1"/>
    <col min="8723" max="8723" width="9.140625" style="244"/>
    <col min="8724" max="8724" width="13" style="244" customWidth="1"/>
    <col min="8725" max="8968" width="9.140625" style="244"/>
    <col min="8969" max="8969" width="4.140625" style="244" customWidth="1"/>
    <col min="8970" max="8970" width="5.5703125" style="244" customWidth="1"/>
    <col min="8971" max="8971" width="59.5703125" style="244" customWidth="1"/>
    <col min="8972" max="8973" width="11.28515625" style="244" customWidth="1"/>
    <col min="8974" max="8974" width="10.5703125" style="244" customWidth="1"/>
    <col min="8975" max="8975" width="10.42578125" style="244" customWidth="1"/>
    <col min="8976" max="8976" width="10.7109375" style="244" customWidth="1"/>
    <col min="8977" max="8977" width="9" style="244" customWidth="1"/>
    <col min="8978" max="8978" width="11.5703125" style="244" customWidth="1"/>
    <col min="8979" max="8979" width="9.140625" style="244"/>
    <col min="8980" max="8980" width="13" style="244" customWidth="1"/>
    <col min="8981" max="9224" width="9.140625" style="244"/>
    <col min="9225" max="9225" width="4.140625" style="244" customWidth="1"/>
    <col min="9226" max="9226" width="5.5703125" style="244" customWidth="1"/>
    <col min="9227" max="9227" width="59.5703125" style="244" customWidth="1"/>
    <col min="9228" max="9229" width="11.28515625" style="244" customWidth="1"/>
    <col min="9230" max="9230" width="10.5703125" style="244" customWidth="1"/>
    <col min="9231" max="9231" width="10.42578125" style="244" customWidth="1"/>
    <col min="9232" max="9232" width="10.7109375" style="244" customWidth="1"/>
    <col min="9233" max="9233" width="9" style="244" customWidth="1"/>
    <col min="9234" max="9234" width="11.5703125" style="244" customWidth="1"/>
    <col min="9235" max="9235" width="9.140625" style="244"/>
    <col min="9236" max="9236" width="13" style="244" customWidth="1"/>
    <col min="9237" max="9480" width="9.140625" style="244"/>
    <col min="9481" max="9481" width="4.140625" style="244" customWidth="1"/>
    <col min="9482" max="9482" width="5.5703125" style="244" customWidth="1"/>
    <col min="9483" max="9483" width="59.5703125" style="244" customWidth="1"/>
    <col min="9484" max="9485" width="11.28515625" style="244" customWidth="1"/>
    <col min="9486" max="9486" width="10.5703125" style="244" customWidth="1"/>
    <col min="9487" max="9487" width="10.42578125" style="244" customWidth="1"/>
    <col min="9488" max="9488" width="10.7109375" style="244" customWidth="1"/>
    <col min="9489" max="9489" width="9" style="244" customWidth="1"/>
    <col min="9490" max="9490" width="11.5703125" style="244" customWidth="1"/>
    <col min="9491" max="9491" width="9.140625" style="244"/>
    <col min="9492" max="9492" width="13" style="244" customWidth="1"/>
    <col min="9493" max="9736" width="9.140625" style="244"/>
    <col min="9737" max="9737" width="4.140625" style="244" customWidth="1"/>
    <col min="9738" max="9738" width="5.5703125" style="244" customWidth="1"/>
    <col min="9739" max="9739" width="59.5703125" style="244" customWidth="1"/>
    <col min="9740" max="9741" width="11.28515625" style="244" customWidth="1"/>
    <col min="9742" max="9742" width="10.5703125" style="244" customWidth="1"/>
    <col min="9743" max="9743" width="10.42578125" style="244" customWidth="1"/>
    <col min="9744" max="9744" width="10.7109375" style="244" customWidth="1"/>
    <col min="9745" max="9745" width="9" style="244" customWidth="1"/>
    <col min="9746" max="9746" width="11.5703125" style="244" customWidth="1"/>
    <col min="9747" max="9747" width="9.140625" style="244"/>
    <col min="9748" max="9748" width="13" style="244" customWidth="1"/>
    <col min="9749" max="9992" width="9.140625" style="244"/>
    <col min="9993" max="9993" width="4.140625" style="244" customWidth="1"/>
    <col min="9994" max="9994" width="5.5703125" style="244" customWidth="1"/>
    <col min="9995" max="9995" width="59.5703125" style="244" customWidth="1"/>
    <col min="9996" max="9997" width="11.28515625" style="244" customWidth="1"/>
    <col min="9998" max="9998" width="10.5703125" style="244" customWidth="1"/>
    <col min="9999" max="9999" width="10.42578125" style="244" customWidth="1"/>
    <col min="10000" max="10000" width="10.7109375" style="244" customWidth="1"/>
    <col min="10001" max="10001" width="9" style="244" customWidth="1"/>
    <col min="10002" max="10002" width="11.5703125" style="244" customWidth="1"/>
    <col min="10003" max="10003" width="9.140625" style="244"/>
    <col min="10004" max="10004" width="13" style="244" customWidth="1"/>
    <col min="10005" max="10248" width="9.140625" style="244"/>
    <col min="10249" max="10249" width="4.140625" style="244" customWidth="1"/>
    <col min="10250" max="10250" width="5.5703125" style="244" customWidth="1"/>
    <col min="10251" max="10251" width="59.5703125" style="244" customWidth="1"/>
    <col min="10252" max="10253" width="11.28515625" style="244" customWidth="1"/>
    <col min="10254" max="10254" width="10.5703125" style="244" customWidth="1"/>
    <col min="10255" max="10255" width="10.42578125" style="244" customWidth="1"/>
    <col min="10256" max="10256" width="10.7109375" style="244" customWidth="1"/>
    <col min="10257" max="10257" width="9" style="244" customWidth="1"/>
    <col min="10258" max="10258" width="11.5703125" style="244" customWidth="1"/>
    <col min="10259" max="10259" width="9.140625" style="244"/>
    <col min="10260" max="10260" width="13" style="244" customWidth="1"/>
    <col min="10261" max="10504" width="9.140625" style="244"/>
    <col min="10505" max="10505" width="4.140625" style="244" customWidth="1"/>
    <col min="10506" max="10506" width="5.5703125" style="244" customWidth="1"/>
    <col min="10507" max="10507" width="59.5703125" style="244" customWidth="1"/>
    <col min="10508" max="10509" width="11.28515625" style="244" customWidth="1"/>
    <col min="10510" max="10510" width="10.5703125" style="244" customWidth="1"/>
    <col min="10511" max="10511" width="10.42578125" style="244" customWidth="1"/>
    <col min="10512" max="10512" width="10.7109375" style="244" customWidth="1"/>
    <col min="10513" max="10513" width="9" style="244" customWidth="1"/>
    <col min="10514" max="10514" width="11.5703125" style="244" customWidth="1"/>
    <col min="10515" max="10515" width="9.140625" style="244"/>
    <col min="10516" max="10516" width="13" style="244" customWidth="1"/>
    <col min="10517" max="10760" width="9.140625" style="244"/>
    <col min="10761" max="10761" width="4.140625" style="244" customWidth="1"/>
    <col min="10762" max="10762" width="5.5703125" style="244" customWidth="1"/>
    <col min="10763" max="10763" width="59.5703125" style="244" customWidth="1"/>
    <col min="10764" max="10765" width="11.28515625" style="244" customWidth="1"/>
    <col min="10766" max="10766" width="10.5703125" style="244" customWidth="1"/>
    <col min="10767" max="10767" width="10.42578125" style="244" customWidth="1"/>
    <col min="10768" max="10768" width="10.7109375" style="244" customWidth="1"/>
    <col min="10769" max="10769" width="9" style="244" customWidth="1"/>
    <col min="10770" max="10770" width="11.5703125" style="244" customWidth="1"/>
    <col min="10771" max="10771" width="9.140625" style="244"/>
    <col min="10772" max="10772" width="13" style="244" customWidth="1"/>
    <col min="10773" max="11016" width="9.140625" style="244"/>
    <col min="11017" max="11017" width="4.140625" style="244" customWidth="1"/>
    <col min="11018" max="11018" width="5.5703125" style="244" customWidth="1"/>
    <col min="11019" max="11019" width="59.5703125" style="244" customWidth="1"/>
    <col min="11020" max="11021" width="11.28515625" style="244" customWidth="1"/>
    <col min="11022" max="11022" width="10.5703125" style="244" customWidth="1"/>
    <col min="11023" max="11023" width="10.42578125" style="244" customWidth="1"/>
    <col min="11024" max="11024" width="10.7109375" style="244" customWidth="1"/>
    <col min="11025" max="11025" width="9" style="244" customWidth="1"/>
    <col min="11026" max="11026" width="11.5703125" style="244" customWidth="1"/>
    <col min="11027" max="11027" width="9.140625" style="244"/>
    <col min="11028" max="11028" width="13" style="244" customWidth="1"/>
    <col min="11029" max="11272" width="9.140625" style="244"/>
    <col min="11273" max="11273" width="4.140625" style="244" customWidth="1"/>
    <col min="11274" max="11274" width="5.5703125" style="244" customWidth="1"/>
    <col min="11275" max="11275" width="59.5703125" style="244" customWidth="1"/>
    <col min="11276" max="11277" width="11.28515625" style="244" customWidth="1"/>
    <col min="11278" max="11278" width="10.5703125" style="244" customWidth="1"/>
    <col min="11279" max="11279" width="10.42578125" style="244" customWidth="1"/>
    <col min="11280" max="11280" width="10.7109375" style="244" customWidth="1"/>
    <col min="11281" max="11281" width="9" style="244" customWidth="1"/>
    <col min="11282" max="11282" width="11.5703125" style="244" customWidth="1"/>
    <col min="11283" max="11283" width="9.140625" style="244"/>
    <col min="11284" max="11284" width="13" style="244" customWidth="1"/>
    <col min="11285" max="11528" width="9.140625" style="244"/>
    <col min="11529" max="11529" width="4.140625" style="244" customWidth="1"/>
    <col min="11530" max="11530" width="5.5703125" style="244" customWidth="1"/>
    <col min="11531" max="11531" width="59.5703125" style="244" customWidth="1"/>
    <col min="11532" max="11533" width="11.28515625" style="244" customWidth="1"/>
    <col min="11534" max="11534" width="10.5703125" style="244" customWidth="1"/>
    <col min="11535" max="11535" width="10.42578125" style="244" customWidth="1"/>
    <col min="11536" max="11536" width="10.7109375" style="244" customWidth="1"/>
    <col min="11537" max="11537" width="9" style="244" customWidth="1"/>
    <col min="11538" max="11538" width="11.5703125" style="244" customWidth="1"/>
    <col min="11539" max="11539" width="9.140625" style="244"/>
    <col min="11540" max="11540" width="13" style="244" customWidth="1"/>
    <col min="11541" max="11784" width="9.140625" style="244"/>
    <col min="11785" max="11785" width="4.140625" style="244" customWidth="1"/>
    <col min="11786" max="11786" width="5.5703125" style="244" customWidth="1"/>
    <col min="11787" max="11787" width="59.5703125" style="244" customWidth="1"/>
    <col min="11788" max="11789" width="11.28515625" style="244" customWidth="1"/>
    <col min="11790" max="11790" width="10.5703125" style="244" customWidth="1"/>
    <col min="11791" max="11791" width="10.42578125" style="244" customWidth="1"/>
    <col min="11792" max="11792" width="10.7109375" style="244" customWidth="1"/>
    <col min="11793" max="11793" width="9" style="244" customWidth="1"/>
    <col min="11794" max="11794" width="11.5703125" style="244" customWidth="1"/>
    <col min="11795" max="11795" width="9.140625" style="244"/>
    <col min="11796" max="11796" width="13" style="244" customWidth="1"/>
    <col min="11797" max="12040" width="9.140625" style="244"/>
    <col min="12041" max="12041" width="4.140625" style="244" customWidth="1"/>
    <col min="12042" max="12042" width="5.5703125" style="244" customWidth="1"/>
    <col min="12043" max="12043" width="59.5703125" style="244" customWidth="1"/>
    <col min="12044" max="12045" width="11.28515625" style="244" customWidth="1"/>
    <col min="12046" max="12046" width="10.5703125" style="244" customWidth="1"/>
    <col min="12047" max="12047" width="10.42578125" style="244" customWidth="1"/>
    <col min="12048" max="12048" width="10.7109375" style="244" customWidth="1"/>
    <col min="12049" max="12049" width="9" style="244" customWidth="1"/>
    <col min="12050" max="12050" width="11.5703125" style="244" customWidth="1"/>
    <col min="12051" max="12051" width="9.140625" style="244"/>
    <col min="12052" max="12052" width="13" style="244" customWidth="1"/>
    <col min="12053" max="12296" width="9.140625" style="244"/>
    <col min="12297" max="12297" width="4.140625" style="244" customWidth="1"/>
    <col min="12298" max="12298" width="5.5703125" style="244" customWidth="1"/>
    <col min="12299" max="12299" width="59.5703125" style="244" customWidth="1"/>
    <col min="12300" max="12301" width="11.28515625" style="244" customWidth="1"/>
    <col min="12302" max="12302" width="10.5703125" style="244" customWidth="1"/>
    <col min="12303" max="12303" width="10.42578125" style="244" customWidth="1"/>
    <col min="12304" max="12304" width="10.7109375" style="244" customWidth="1"/>
    <col min="12305" max="12305" width="9" style="244" customWidth="1"/>
    <col min="12306" max="12306" width="11.5703125" style="244" customWidth="1"/>
    <col min="12307" max="12307" width="9.140625" style="244"/>
    <col min="12308" max="12308" width="13" style="244" customWidth="1"/>
    <col min="12309" max="12552" width="9.140625" style="244"/>
    <col min="12553" max="12553" width="4.140625" style="244" customWidth="1"/>
    <col min="12554" max="12554" width="5.5703125" style="244" customWidth="1"/>
    <col min="12555" max="12555" width="59.5703125" style="244" customWidth="1"/>
    <col min="12556" max="12557" width="11.28515625" style="244" customWidth="1"/>
    <col min="12558" max="12558" width="10.5703125" style="244" customWidth="1"/>
    <col min="12559" max="12559" width="10.42578125" style="244" customWidth="1"/>
    <col min="12560" max="12560" width="10.7109375" style="244" customWidth="1"/>
    <col min="12561" max="12561" width="9" style="244" customWidth="1"/>
    <col min="12562" max="12562" width="11.5703125" style="244" customWidth="1"/>
    <col min="12563" max="12563" width="9.140625" style="244"/>
    <col min="12564" max="12564" width="13" style="244" customWidth="1"/>
    <col min="12565" max="12808" width="9.140625" style="244"/>
    <col min="12809" max="12809" width="4.140625" style="244" customWidth="1"/>
    <col min="12810" max="12810" width="5.5703125" style="244" customWidth="1"/>
    <col min="12811" max="12811" width="59.5703125" style="244" customWidth="1"/>
    <col min="12812" max="12813" width="11.28515625" style="244" customWidth="1"/>
    <col min="12814" max="12814" width="10.5703125" style="244" customWidth="1"/>
    <col min="12815" max="12815" width="10.42578125" style="244" customWidth="1"/>
    <col min="12816" max="12816" width="10.7109375" style="244" customWidth="1"/>
    <col min="12817" max="12817" width="9" style="244" customWidth="1"/>
    <col min="12818" max="12818" width="11.5703125" style="244" customWidth="1"/>
    <col min="12819" max="12819" width="9.140625" style="244"/>
    <col min="12820" max="12820" width="13" style="244" customWidth="1"/>
    <col min="12821" max="13064" width="9.140625" style="244"/>
    <col min="13065" max="13065" width="4.140625" style="244" customWidth="1"/>
    <col min="13066" max="13066" width="5.5703125" style="244" customWidth="1"/>
    <col min="13067" max="13067" width="59.5703125" style="244" customWidth="1"/>
    <col min="13068" max="13069" width="11.28515625" style="244" customWidth="1"/>
    <col min="13070" max="13070" width="10.5703125" style="244" customWidth="1"/>
    <col min="13071" max="13071" width="10.42578125" style="244" customWidth="1"/>
    <col min="13072" max="13072" width="10.7109375" style="244" customWidth="1"/>
    <col min="13073" max="13073" width="9" style="244" customWidth="1"/>
    <col min="13074" max="13074" width="11.5703125" style="244" customWidth="1"/>
    <col min="13075" max="13075" width="9.140625" style="244"/>
    <col min="13076" max="13076" width="13" style="244" customWidth="1"/>
    <col min="13077" max="13320" width="9.140625" style="244"/>
    <col min="13321" max="13321" width="4.140625" style="244" customWidth="1"/>
    <col min="13322" max="13322" width="5.5703125" style="244" customWidth="1"/>
    <col min="13323" max="13323" width="59.5703125" style="244" customWidth="1"/>
    <col min="13324" max="13325" width="11.28515625" style="244" customWidth="1"/>
    <col min="13326" max="13326" width="10.5703125" style="244" customWidth="1"/>
    <col min="13327" max="13327" width="10.42578125" style="244" customWidth="1"/>
    <col min="13328" max="13328" width="10.7109375" style="244" customWidth="1"/>
    <col min="13329" max="13329" width="9" style="244" customWidth="1"/>
    <col min="13330" max="13330" width="11.5703125" style="244" customWidth="1"/>
    <col min="13331" max="13331" width="9.140625" style="244"/>
    <col min="13332" max="13332" width="13" style="244" customWidth="1"/>
    <col min="13333" max="13576" width="9.140625" style="244"/>
    <col min="13577" max="13577" width="4.140625" style="244" customWidth="1"/>
    <col min="13578" max="13578" width="5.5703125" style="244" customWidth="1"/>
    <col min="13579" max="13579" width="59.5703125" style="244" customWidth="1"/>
    <col min="13580" max="13581" width="11.28515625" style="244" customWidth="1"/>
    <col min="13582" max="13582" width="10.5703125" style="244" customWidth="1"/>
    <col min="13583" max="13583" width="10.42578125" style="244" customWidth="1"/>
    <col min="13584" max="13584" width="10.7109375" style="244" customWidth="1"/>
    <col min="13585" max="13585" width="9" style="244" customWidth="1"/>
    <col min="13586" max="13586" width="11.5703125" style="244" customWidth="1"/>
    <col min="13587" max="13587" width="9.140625" style="244"/>
    <col min="13588" max="13588" width="13" style="244" customWidth="1"/>
    <col min="13589" max="13832" width="9.140625" style="244"/>
    <col min="13833" max="13833" width="4.140625" style="244" customWidth="1"/>
    <col min="13834" max="13834" width="5.5703125" style="244" customWidth="1"/>
    <col min="13835" max="13835" width="59.5703125" style="244" customWidth="1"/>
    <col min="13836" max="13837" width="11.28515625" style="244" customWidth="1"/>
    <col min="13838" max="13838" width="10.5703125" style="244" customWidth="1"/>
    <col min="13839" max="13839" width="10.42578125" style="244" customWidth="1"/>
    <col min="13840" max="13840" width="10.7109375" style="244" customWidth="1"/>
    <col min="13841" max="13841" width="9" style="244" customWidth="1"/>
    <col min="13842" max="13842" width="11.5703125" style="244" customWidth="1"/>
    <col min="13843" max="13843" width="9.140625" style="244"/>
    <col min="13844" max="13844" width="13" style="244" customWidth="1"/>
    <col min="13845" max="14088" width="9.140625" style="244"/>
    <col min="14089" max="14089" width="4.140625" style="244" customWidth="1"/>
    <col min="14090" max="14090" width="5.5703125" style="244" customWidth="1"/>
    <col min="14091" max="14091" width="59.5703125" style="244" customWidth="1"/>
    <col min="14092" max="14093" width="11.28515625" style="244" customWidth="1"/>
    <col min="14094" max="14094" width="10.5703125" style="244" customWidth="1"/>
    <col min="14095" max="14095" width="10.42578125" style="244" customWidth="1"/>
    <col min="14096" max="14096" width="10.7109375" style="244" customWidth="1"/>
    <col min="14097" max="14097" width="9" style="244" customWidth="1"/>
    <col min="14098" max="14098" width="11.5703125" style="244" customWidth="1"/>
    <col min="14099" max="14099" width="9.140625" style="244"/>
    <col min="14100" max="14100" width="13" style="244" customWidth="1"/>
    <col min="14101" max="14344" width="9.140625" style="244"/>
    <col min="14345" max="14345" width="4.140625" style="244" customWidth="1"/>
    <col min="14346" max="14346" width="5.5703125" style="244" customWidth="1"/>
    <col min="14347" max="14347" width="59.5703125" style="244" customWidth="1"/>
    <col min="14348" max="14349" width="11.28515625" style="244" customWidth="1"/>
    <col min="14350" max="14350" width="10.5703125" style="244" customWidth="1"/>
    <col min="14351" max="14351" width="10.42578125" style="244" customWidth="1"/>
    <col min="14352" max="14352" width="10.7109375" style="244" customWidth="1"/>
    <col min="14353" max="14353" width="9" style="244" customWidth="1"/>
    <col min="14354" max="14354" width="11.5703125" style="244" customWidth="1"/>
    <col min="14355" max="14355" width="9.140625" style="244"/>
    <col min="14356" max="14356" width="13" style="244" customWidth="1"/>
    <col min="14357" max="14600" width="9.140625" style="244"/>
    <col min="14601" max="14601" width="4.140625" style="244" customWidth="1"/>
    <col min="14602" max="14602" width="5.5703125" style="244" customWidth="1"/>
    <col min="14603" max="14603" width="59.5703125" style="244" customWidth="1"/>
    <col min="14604" max="14605" width="11.28515625" style="244" customWidth="1"/>
    <col min="14606" max="14606" width="10.5703125" style="244" customWidth="1"/>
    <col min="14607" max="14607" width="10.42578125" style="244" customWidth="1"/>
    <col min="14608" max="14608" width="10.7109375" style="244" customWidth="1"/>
    <col min="14609" max="14609" width="9" style="244" customWidth="1"/>
    <col min="14610" max="14610" width="11.5703125" style="244" customWidth="1"/>
    <col min="14611" max="14611" width="9.140625" style="244"/>
    <col min="14612" max="14612" width="13" style="244" customWidth="1"/>
    <col min="14613" max="14856" width="9.140625" style="244"/>
    <col min="14857" max="14857" width="4.140625" style="244" customWidth="1"/>
    <col min="14858" max="14858" width="5.5703125" style="244" customWidth="1"/>
    <col min="14859" max="14859" width="59.5703125" style="244" customWidth="1"/>
    <col min="14860" max="14861" width="11.28515625" style="244" customWidth="1"/>
    <col min="14862" max="14862" width="10.5703125" style="244" customWidth="1"/>
    <col min="14863" max="14863" width="10.42578125" style="244" customWidth="1"/>
    <col min="14864" max="14864" width="10.7109375" style="244" customWidth="1"/>
    <col min="14865" max="14865" width="9" style="244" customWidth="1"/>
    <col min="14866" max="14866" width="11.5703125" style="244" customWidth="1"/>
    <col min="14867" max="14867" width="9.140625" style="244"/>
    <col min="14868" max="14868" width="13" style="244" customWidth="1"/>
    <col min="14869" max="15112" width="9.140625" style="244"/>
    <col min="15113" max="15113" width="4.140625" style="244" customWidth="1"/>
    <col min="15114" max="15114" width="5.5703125" style="244" customWidth="1"/>
    <col min="15115" max="15115" width="59.5703125" style="244" customWidth="1"/>
    <col min="15116" max="15117" width="11.28515625" style="244" customWidth="1"/>
    <col min="15118" max="15118" width="10.5703125" style="244" customWidth="1"/>
    <col min="15119" max="15119" width="10.42578125" style="244" customWidth="1"/>
    <col min="15120" max="15120" width="10.7109375" style="244" customWidth="1"/>
    <col min="15121" max="15121" width="9" style="244" customWidth="1"/>
    <col min="15122" max="15122" width="11.5703125" style="244" customWidth="1"/>
    <col min="15123" max="15123" width="9.140625" style="244"/>
    <col min="15124" max="15124" width="13" style="244" customWidth="1"/>
    <col min="15125" max="15368" width="9.140625" style="244"/>
    <col min="15369" max="15369" width="4.140625" style="244" customWidth="1"/>
    <col min="15370" max="15370" width="5.5703125" style="244" customWidth="1"/>
    <col min="15371" max="15371" width="59.5703125" style="244" customWidth="1"/>
    <col min="15372" max="15373" width="11.28515625" style="244" customWidth="1"/>
    <col min="15374" max="15374" width="10.5703125" style="244" customWidth="1"/>
    <col min="15375" max="15375" width="10.42578125" style="244" customWidth="1"/>
    <col min="15376" max="15376" width="10.7109375" style="244" customWidth="1"/>
    <col min="15377" max="15377" width="9" style="244" customWidth="1"/>
    <col min="15378" max="15378" width="11.5703125" style="244" customWidth="1"/>
    <col min="15379" max="15379" width="9.140625" style="244"/>
    <col min="15380" max="15380" width="13" style="244" customWidth="1"/>
    <col min="15381" max="15624" width="9.140625" style="244"/>
    <col min="15625" max="15625" width="4.140625" style="244" customWidth="1"/>
    <col min="15626" max="15626" width="5.5703125" style="244" customWidth="1"/>
    <col min="15627" max="15627" width="59.5703125" style="244" customWidth="1"/>
    <col min="15628" max="15629" width="11.28515625" style="244" customWidth="1"/>
    <col min="15630" max="15630" width="10.5703125" style="244" customWidth="1"/>
    <col min="15631" max="15631" width="10.42578125" style="244" customWidth="1"/>
    <col min="15632" max="15632" width="10.7109375" style="244" customWidth="1"/>
    <col min="15633" max="15633" width="9" style="244" customWidth="1"/>
    <col min="15634" max="15634" width="11.5703125" style="244" customWidth="1"/>
    <col min="15635" max="15635" width="9.140625" style="244"/>
    <col min="15636" max="15636" width="13" style="244" customWidth="1"/>
    <col min="15637" max="15880" width="9.140625" style="244"/>
    <col min="15881" max="15881" width="4.140625" style="244" customWidth="1"/>
    <col min="15882" max="15882" width="5.5703125" style="244" customWidth="1"/>
    <col min="15883" max="15883" width="59.5703125" style="244" customWidth="1"/>
    <col min="15884" max="15885" width="11.28515625" style="244" customWidth="1"/>
    <col min="15886" max="15886" width="10.5703125" style="244" customWidth="1"/>
    <col min="15887" max="15887" width="10.42578125" style="244" customWidth="1"/>
    <col min="15888" max="15888" width="10.7109375" style="244" customWidth="1"/>
    <col min="15889" max="15889" width="9" style="244" customWidth="1"/>
    <col min="15890" max="15890" width="11.5703125" style="244" customWidth="1"/>
    <col min="15891" max="15891" width="9.140625" style="244"/>
    <col min="15892" max="15892" width="13" style="244" customWidth="1"/>
    <col min="15893" max="16136" width="9.140625" style="244"/>
    <col min="16137" max="16137" width="4.140625" style="244" customWidth="1"/>
    <col min="16138" max="16138" width="5.5703125" style="244" customWidth="1"/>
    <col min="16139" max="16139" width="59.5703125" style="244" customWidth="1"/>
    <col min="16140" max="16141" width="11.28515625" style="244" customWidth="1"/>
    <col min="16142" max="16142" width="10.5703125" style="244" customWidth="1"/>
    <col min="16143" max="16143" width="10.42578125" style="244" customWidth="1"/>
    <col min="16144" max="16144" width="10.7109375" style="244" customWidth="1"/>
    <col min="16145" max="16145" width="9" style="244" customWidth="1"/>
    <col min="16146" max="16146" width="11.5703125" style="244" customWidth="1"/>
    <col min="16147" max="16147" width="9.140625" style="244"/>
    <col min="16148" max="16148" width="13" style="244" customWidth="1"/>
    <col min="16149" max="16384" width="9.140625" style="244"/>
  </cols>
  <sheetData>
    <row r="1" spans="1:23" ht="12" customHeight="1">
      <c r="A1" s="238"/>
      <c r="B1" s="238"/>
      <c r="C1" s="239"/>
      <c r="D1" s="240"/>
      <c r="E1" s="240"/>
      <c r="F1" s="240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2" t="s">
        <v>28</v>
      </c>
      <c r="R1" s="243"/>
      <c r="V1" s="245"/>
    </row>
    <row r="2" spans="1:23" ht="12" customHeight="1">
      <c r="A2" s="238"/>
      <c r="B2" s="238"/>
      <c r="C2" s="239"/>
      <c r="D2" s="240"/>
      <c r="E2" s="240"/>
      <c r="F2" s="240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6" t="s">
        <v>318</v>
      </c>
      <c r="T2" s="8"/>
      <c r="U2" s="248"/>
      <c r="V2" s="249"/>
      <c r="W2" s="248"/>
    </row>
    <row r="3" spans="1:23" ht="12" customHeight="1">
      <c r="A3" s="238"/>
      <c r="B3" s="238"/>
      <c r="C3" s="239"/>
      <c r="D3" s="240"/>
      <c r="E3" s="240"/>
      <c r="F3" s="240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6" t="s">
        <v>377</v>
      </c>
      <c r="T3" s="8"/>
      <c r="U3" s="248"/>
      <c r="V3" s="249"/>
      <c r="W3" s="248"/>
    </row>
    <row r="4" spans="1:23" ht="12" customHeight="1">
      <c r="A4" s="238"/>
      <c r="B4" s="238"/>
      <c r="C4" s="239"/>
      <c r="D4" s="240"/>
      <c r="E4" s="240"/>
      <c r="F4" s="240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6" t="s">
        <v>319</v>
      </c>
      <c r="T4" s="250"/>
      <c r="U4" s="248"/>
      <c r="V4" s="249"/>
      <c r="W4" s="248"/>
    </row>
    <row r="5" spans="1:23" ht="12" customHeight="1">
      <c r="A5" s="238"/>
      <c r="B5" s="238"/>
      <c r="C5" s="239"/>
      <c r="D5" s="240"/>
      <c r="E5" s="240"/>
      <c r="F5" s="240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T5" s="250"/>
      <c r="U5" s="248"/>
      <c r="V5" s="249"/>
      <c r="W5" s="248"/>
    </row>
    <row r="6" spans="1:23" ht="12" customHeight="1">
      <c r="A6" s="238"/>
      <c r="B6" s="238"/>
      <c r="C6" s="239"/>
      <c r="D6" s="240"/>
      <c r="E6" s="240"/>
      <c r="F6" s="240"/>
      <c r="G6" s="241"/>
      <c r="H6" s="241"/>
      <c r="I6" s="241"/>
      <c r="J6" s="241"/>
      <c r="K6" s="241"/>
      <c r="L6" s="241"/>
      <c r="M6" s="241"/>
      <c r="N6" s="241"/>
      <c r="O6" s="241"/>
      <c r="P6" s="241"/>
      <c r="Q6" s="241"/>
      <c r="T6" s="250"/>
      <c r="U6" s="248"/>
      <c r="V6" s="245"/>
    </row>
    <row r="7" spans="1:23" ht="12" customHeight="1">
      <c r="A7" s="238"/>
      <c r="B7" s="238"/>
      <c r="C7" s="239"/>
      <c r="D7" s="240"/>
      <c r="E7" s="240"/>
      <c r="F7" s="240"/>
      <c r="G7" s="241"/>
      <c r="H7" s="241"/>
      <c r="I7" s="241"/>
      <c r="J7" s="241"/>
      <c r="K7" s="241"/>
      <c r="L7" s="241"/>
      <c r="M7" s="241"/>
      <c r="N7" s="241"/>
      <c r="O7" s="241"/>
      <c r="P7" s="241"/>
      <c r="Q7" s="241"/>
      <c r="T7" s="250"/>
      <c r="U7" s="248"/>
      <c r="V7" s="245"/>
    </row>
    <row r="8" spans="1:23" ht="12" customHeight="1">
      <c r="A8" s="238"/>
      <c r="B8" s="238"/>
      <c r="C8" s="239"/>
      <c r="D8" s="240"/>
      <c r="E8" s="240"/>
      <c r="F8" s="240"/>
      <c r="G8" s="241"/>
      <c r="H8" s="241"/>
      <c r="I8" s="241"/>
      <c r="J8" s="241"/>
      <c r="K8" s="241"/>
      <c r="L8" s="241"/>
      <c r="M8" s="241"/>
      <c r="N8" s="241"/>
      <c r="O8" s="241"/>
      <c r="P8" s="241"/>
      <c r="Q8" s="241"/>
      <c r="R8" s="251"/>
      <c r="S8" s="248"/>
      <c r="T8" s="249"/>
      <c r="U8" s="248"/>
    </row>
    <row r="9" spans="1:23" ht="14.25" customHeight="1">
      <c r="A9" s="252" t="s">
        <v>378</v>
      </c>
      <c r="B9" s="252"/>
      <c r="C9" s="252"/>
      <c r="D9" s="252"/>
      <c r="E9" s="252"/>
      <c r="F9" s="252"/>
      <c r="G9" s="252"/>
      <c r="H9" s="252"/>
      <c r="I9" s="252"/>
      <c r="J9" s="252"/>
      <c r="K9" s="252"/>
      <c r="L9" s="252"/>
      <c r="M9" s="252"/>
      <c r="N9" s="252"/>
      <c r="O9" s="252"/>
      <c r="P9" s="252"/>
      <c r="Q9" s="252"/>
      <c r="R9" s="253"/>
      <c r="S9" s="254"/>
      <c r="T9" s="255"/>
      <c r="U9" s="256"/>
      <c r="V9" s="257"/>
      <c r="W9" s="258"/>
    </row>
    <row r="10" spans="1:23" ht="14.25" customHeight="1">
      <c r="A10" s="238"/>
      <c r="B10" s="238"/>
      <c r="C10" s="238"/>
      <c r="D10" s="238"/>
      <c r="E10" s="238"/>
      <c r="F10" s="238"/>
      <c r="G10" s="238"/>
      <c r="H10" s="238"/>
      <c r="I10" s="238"/>
      <c r="J10" s="238"/>
      <c r="K10" s="238"/>
      <c r="L10" s="238"/>
      <c r="M10" s="238"/>
      <c r="N10" s="238"/>
      <c r="O10" s="238"/>
      <c r="P10" s="238"/>
      <c r="Q10" s="238"/>
      <c r="R10" s="253"/>
      <c r="S10" s="254"/>
      <c r="T10" s="255"/>
      <c r="U10" s="256"/>
      <c r="V10" s="257"/>
      <c r="W10" s="259"/>
    </row>
    <row r="11" spans="1:23" ht="11.25" customHeight="1">
      <c r="A11" s="238"/>
      <c r="B11" s="238"/>
      <c r="C11" s="239"/>
      <c r="D11" s="260"/>
      <c r="E11" s="260"/>
      <c r="F11" s="260"/>
      <c r="G11" s="241"/>
      <c r="H11" s="241"/>
      <c r="I11" s="241"/>
      <c r="J11" s="241"/>
      <c r="K11" s="241"/>
      <c r="L11" s="241"/>
      <c r="M11" s="241"/>
      <c r="N11" s="241"/>
      <c r="O11" s="241"/>
      <c r="P11" s="241"/>
      <c r="Q11" s="241" t="s">
        <v>2</v>
      </c>
      <c r="R11" s="261"/>
      <c r="T11" s="249"/>
      <c r="U11" s="248"/>
      <c r="V11" s="245"/>
    </row>
    <row r="12" spans="1:23" s="271" customFormat="1" ht="12" customHeight="1">
      <c r="A12" s="262"/>
      <c r="B12" s="262"/>
      <c r="C12" s="263"/>
      <c r="D12" s="264"/>
      <c r="E12" s="264"/>
      <c r="F12" s="264"/>
      <c r="G12" s="262"/>
      <c r="H12" s="265" t="s">
        <v>379</v>
      </c>
      <c r="I12" s="266"/>
      <c r="J12" s="267"/>
      <c r="K12" s="268"/>
      <c r="L12" s="269"/>
      <c r="M12" s="262"/>
      <c r="N12" s="262"/>
      <c r="O12" s="262"/>
      <c r="P12" s="262"/>
      <c r="Q12" s="270" t="s">
        <v>380</v>
      </c>
      <c r="R12" s="262" t="s">
        <v>381</v>
      </c>
      <c r="T12" s="272"/>
      <c r="U12" s="273"/>
      <c r="V12" s="274"/>
      <c r="W12" s="275"/>
    </row>
    <row r="13" spans="1:23" s="271" customFormat="1" ht="12.75" customHeight="1">
      <c r="A13" s="276"/>
      <c r="B13" s="277"/>
      <c r="C13" s="278"/>
      <c r="D13" s="279"/>
      <c r="E13" s="279"/>
      <c r="F13" s="279"/>
      <c r="G13" s="277" t="s">
        <v>382</v>
      </c>
      <c r="H13" s="280" t="s">
        <v>383</v>
      </c>
      <c r="I13" s="281"/>
      <c r="J13" s="281" t="s">
        <v>384</v>
      </c>
      <c r="K13" s="282"/>
      <c r="L13" s="283"/>
      <c r="M13" s="284"/>
      <c r="N13" s="284"/>
      <c r="O13" s="284"/>
      <c r="P13" s="284"/>
      <c r="Q13" s="280" t="s">
        <v>385</v>
      </c>
      <c r="R13" s="276" t="s">
        <v>386</v>
      </c>
      <c r="T13" s="285"/>
      <c r="U13" s="286"/>
      <c r="V13" s="274"/>
      <c r="W13" s="287"/>
    </row>
    <row r="14" spans="1:23" s="271" customFormat="1">
      <c r="A14" s="276" t="s">
        <v>387</v>
      </c>
      <c r="B14" s="277" t="s">
        <v>5</v>
      </c>
      <c r="C14" s="277" t="s">
        <v>6</v>
      </c>
      <c r="D14" s="279" t="s">
        <v>388</v>
      </c>
      <c r="E14" s="288" t="s">
        <v>9</v>
      </c>
      <c r="F14" s="288" t="s">
        <v>10</v>
      </c>
      <c r="G14" s="277" t="s">
        <v>389</v>
      </c>
      <c r="H14" s="280" t="s">
        <v>390</v>
      </c>
      <c r="I14" s="276"/>
      <c r="J14" s="270" t="s">
        <v>391</v>
      </c>
      <c r="K14" s="277" t="s">
        <v>391</v>
      </c>
      <c r="L14" s="280"/>
      <c r="M14" s="276"/>
      <c r="N14" s="276"/>
      <c r="O14" s="276"/>
      <c r="P14" s="276"/>
      <c r="Q14" s="277" t="s">
        <v>392</v>
      </c>
      <c r="R14" s="276" t="s">
        <v>393</v>
      </c>
      <c r="T14" s="285"/>
      <c r="U14" s="289"/>
      <c r="V14" s="274"/>
      <c r="W14" s="275"/>
    </row>
    <row r="15" spans="1:23" s="271" customFormat="1">
      <c r="A15" s="276"/>
      <c r="B15" s="277"/>
      <c r="C15" s="278"/>
      <c r="D15" s="279"/>
      <c r="E15" s="279"/>
      <c r="F15" s="279"/>
      <c r="G15" s="277" t="s">
        <v>394</v>
      </c>
      <c r="H15" s="280">
        <v>2025</v>
      </c>
      <c r="I15" s="276" t="s">
        <v>391</v>
      </c>
      <c r="J15" s="277" t="s">
        <v>395</v>
      </c>
      <c r="K15" s="277" t="s">
        <v>396</v>
      </c>
      <c r="L15" s="280">
        <v>2026</v>
      </c>
      <c r="M15" s="276">
        <v>2027</v>
      </c>
      <c r="N15" s="276">
        <v>2028</v>
      </c>
      <c r="O15" s="276">
        <v>2029</v>
      </c>
      <c r="P15" s="276">
        <v>2030</v>
      </c>
      <c r="Q15" s="280" t="s">
        <v>397</v>
      </c>
      <c r="R15" s="276" t="s">
        <v>398</v>
      </c>
      <c r="T15" s="285"/>
      <c r="U15" s="289"/>
      <c r="V15" s="274"/>
      <c r="W15" s="275"/>
    </row>
    <row r="16" spans="1:23" s="271" customFormat="1">
      <c r="A16" s="276"/>
      <c r="B16" s="277"/>
      <c r="C16" s="278"/>
      <c r="D16" s="279"/>
      <c r="E16" s="279"/>
      <c r="F16" s="279"/>
      <c r="G16" s="277"/>
      <c r="H16" s="280" t="s">
        <v>399</v>
      </c>
      <c r="I16" s="276" t="s">
        <v>400</v>
      </c>
      <c r="J16" s="277" t="s">
        <v>401</v>
      </c>
      <c r="K16" s="277" t="s">
        <v>402</v>
      </c>
      <c r="L16" s="280"/>
      <c r="M16" s="276"/>
      <c r="N16" s="276"/>
      <c r="O16" s="276"/>
      <c r="P16" s="276"/>
      <c r="Q16" s="280" t="s">
        <v>403</v>
      </c>
      <c r="R16" s="276" t="s">
        <v>404</v>
      </c>
      <c r="T16" s="285"/>
      <c r="U16" s="289"/>
      <c r="V16" s="274"/>
      <c r="W16" s="287"/>
    </row>
    <row r="17" spans="1:23" s="271" customFormat="1" ht="9.75" customHeight="1">
      <c r="A17" s="276"/>
      <c r="B17" s="277"/>
      <c r="C17" s="278"/>
      <c r="D17" s="279"/>
      <c r="E17" s="279"/>
      <c r="F17" s="279"/>
      <c r="G17" s="277"/>
      <c r="H17" s="280"/>
      <c r="I17" s="276"/>
      <c r="J17" s="277" t="s">
        <v>405</v>
      </c>
      <c r="K17" s="276" t="s">
        <v>406</v>
      </c>
      <c r="L17" s="280"/>
      <c r="M17" s="276"/>
      <c r="N17" s="276"/>
      <c r="O17" s="276"/>
      <c r="P17" s="276"/>
      <c r="Q17" s="280" t="s">
        <v>407</v>
      </c>
      <c r="R17" s="276" t="s">
        <v>408</v>
      </c>
      <c r="T17" s="285"/>
      <c r="U17" s="289"/>
      <c r="V17" s="274"/>
      <c r="W17" s="287"/>
    </row>
    <row r="18" spans="1:23" s="271" customFormat="1" ht="9.75" customHeight="1">
      <c r="A18" s="290"/>
      <c r="B18" s="291"/>
      <c r="C18" s="292"/>
      <c r="D18" s="293"/>
      <c r="E18" s="293"/>
      <c r="F18" s="293"/>
      <c r="G18" s="291"/>
      <c r="H18" s="280"/>
      <c r="I18" s="290"/>
      <c r="J18" s="291"/>
      <c r="K18" s="291"/>
      <c r="L18" s="280"/>
      <c r="M18" s="290"/>
      <c r="N18" s="290"/>
      <c r="O18" s="290"/>
      <c r="P18" s="290"/>
      <c r="Q18" s="280"/>
      <c r="R18" s="276" t="s">
        <v>409</v>
      </c>
      <c r="T18" s="285"/>
      <c r="U18" s="289"/>
      <c r="V18" s="274"/>
      <c r="W18" s="287"/>
    </row>
    <row r="19" spans="1:23" ht="10.5" customHeight="1">
      <c r="A19" s="294">
        <v>1</v>
      </c>
      <c r="B19" s="294">
        <v>2</v>
      </c>
      <c r="C19" s="294">
        <v>3</v>
      </c>
      <c r="D19" s="295">
        <v>3</v>
      </c>
      <c r="E19" s="295">
        <v>4</v>
      </c>
      <c r="F19" s="295">
        <v>5</v>
      </c>
      <c r="G19" s="294">
        <v>6</v>
      </c>
      <c r="H19" s="296">
        <v>7</v>
      </c>
      <c r="I19" s="294">
        <v>8</v>
      </c>
      <c r="J19" s="297">
        <v>9</v>
      </c>
      <c r="K19" s="298">
        <v>10</v>
      </c>
      <c r="L19" s="299">
        <v>10</v>
      </c>
      <c r="M19" s="294">
        <v>11</v>
      </c>
      <c r="N19" s="294">
        <v>12</v>
      </c>
      <c r="O19" s="294">
        <v>13</v>
      </c>
      <c r="P19" s="294">
        <v>14</v>
      </c>
      <c r="Q19" s="294">
        <v>11</v>
      </c>
      <c r="R19" s="294">
        <v>12</v>
      </c>
      <c r="T19" s="249"/>
      <c r="U19" s="248"/>
      <c r="V19" s="274"/>
      <c r="W19" s="287"/>
    </row>
    <row r="20" spans="1:23" s="258" customFormat="1">
      <c r="A20" s="661"/>
      <c r="B20" s="661"/>
      <c r="C20" s="662"/>
      <c r="D20" s="661" t="s">
        <v>410</v>
      </c>
      <c r="E20" s="663">
        <v>2774656</v>
      </c>
      <c r="F20" s="663">
        <v>0</v>
      </c>
      <c r="G20" s="663">
        <v>658614562.40999997</v>
      </c>
      <c r="H20" s="663">
        <v>275450853.88999999</v>
      </c>
      <c r="I20" s="663">
        <v>139150394.52999997</v>
      </c>
      <c r="J20" s="663">
        <v>90032839.700000003</v>
      </c>
      <c r="K20" s="663">
        <v>46267619.659999996</v>
      </c>
      <c r="L20" s="663">
        <v>206548030.05999997</v>
      </c>
      <c r="M20" s="663">
        <v>54293706.469999999</v>
      </c>
      <c r="N20" s="663">
        <v>1000000</v>
      </c>
      <c r="O20" s="663">
        <v>1000000</v>
      </c>
      <c r="P20" s="663">
        <v>1000000</v>
      </c>
      <c r="Q20" s="663">
        <v>0</v>
      </c>
      <c r="R20" s="664" t="s">
        <v>330</v>
      </c>
      <c r="T20" s="665"/>
      <c r="U20" s="257"/>
      <c r="V20" s="300"/>
      <c r="W20" s="287"/>
    </row>
    <row r="21" spans="1:23">
      <c r="A21" s="301">
        <v>752</v>
      </c>
      <c r="B21" s="301"/>
      <c r="C21" s="302"/>
      <c r="D21" s="303" t="s">
        <v>65</v>
      </c>
      <c r="E21" s="304">
        <v>2774656</v>
      </c>
      <c r="F21" s="305">
        <v>0</v>
      </c>
      <c r="G21" s="304">
        <v>5404656</v>
      </c>
      <c r="H21" s="304">
        <v>5404656</v>
      </c>
      <c r="I21" s="305">
        <v>0</v>
      </c>
      <c r="J21" s="304">
        <v>5404656</v>
      </c>
      <c r="K21" s="305">
        <v>0</v>
      </c>
      <c r="L21" s="305">
        <v>0</v>
      </c>
      <c r="M21" s="305">
        <v>0</v>
      </c>
      <c r="N21" s="305">
        <v>0</v>
      </c>
      <c r="O21" s="305">
        <v>0</v>
      </c>
      <c r="P21" s="305">
        <v>0</v>
      </c>
      <c r="Q21" s="305">
        <v>0</v>
      </c>
      <c r="R21" s="666"/>
      <c r="S21" s="287"/>
      <c r="U21" s="286"/>
    </row>
    <row r="22" spans="1:23">
      <c r="A22" s="301"/>
      <c r="B22" s="301">
        <v>75295</v>
      </c>
      <c r="C22" s="302"/>
      <c r="D22" s="306" t="s">
        <v>66</v>
      </c>
      <c r="E22" s="304">
        <v>2774656</v>
      </c>
      <c r="F22" s="305">
        <v>0</v>
      </c>
      <c r="G22" s="304">
        <v>5404656</v>
      </c>
      <c r="H22" s="304">
        <v>5404656</v>
      </c>
      <c r="I22" s="305">
        <v>0</v>
      </c>
      <c r="J22" s="304">
        <v>5404656</v>
      </c>
      <c r="K22" s="305">
        <v>0</v>
      </c>
      <c r="L22" s="305">
        <v>0</v>
      </c>
      <c r="M22" s="305">
        <v>0</v>
      </c>
      <c r="N22" s="305">
        <v>0</v>
      </c>
      <c r="O22" s="305">
        <v>0</v>
      </c>
      <c r="P22" s="305">
        <v>0</v>
      </c>
      <c r="Q22" s="305">
        <v>0</v>
      </c>
      <c r="R22" s="667"/>
      <c r="S22" s="287"/>
      <c r="U22" s="286"/>
    </row>
    <row r="23" spans="1:23" ht="11.25" customHeight="1">
      <c r="A23" s="264"/>
      <c r="B23" s="307"/>
      <c r="C23" s="307"/>
      <c r="D23" s="668" t="s">
        <v>411</v>
      </c>
      <c r="E23" s="308"/>
      <c r="F23" s="309"/>
      <c r="G23" s="310"/>
      <c r="H23" s="310"/>
      <c r="I23" s="311"/>
      <c r="J23" s="312"/>
      <c r="K23" s="312"/>
      <c r="L23" s="313"/>
      <c r="M23" s="313"/>
      <c r="N23" s="313"/>
      <c r="O23" s="313"/>
      <c r="P23" s="313"/>
      <c r="Q23" s="314"/>
      <c r="R23" s="669"/>
      <c r="S23" s="287"/>
      <c r="U23" s="286"/>
    </row>
    <row r="24" spans="1:23" ht="24" customHeight="1">
      <c r="A24" s="301"/>
      <c r="B24" s="315" t="s">
        <v>412</v>
      </c>
      <c r="C24" s="315"/>
      <c r="D24" s="316" t="s">
        <v>413</v>
      </c>
      <c r="E24" s="317">
        <v>122650</v>
      </c>
      <c r="F24" s="318"/>
      <c r="G24" s="319">
        <v>122650</v>
      </c>
      <c r="H24" s="319">
        <v>122650</v>
      </c>
      <c r="I24" s="320"/>
      <c r="J24" s="321">
        <v>122650</v>
      </c>
      <c r="K24" s="321"/>
      <c r="L24" s="322"/>
      <c r="M24" s="322"/>
      <c r="N24" s="322"/>
      <c r="O24" s="322"/>
      <c r="P24" s="322"/>
      <c r="Q24" s="323"/>
      <c r="R24" s="667" t="s">
        <v>150</v>
      </c>
      <c r="S24" s="287"/>
      <c r="U24" s="286"/>
    </row>
    <row r="25" spans="1:23" ht="9.75" customHeight="1">
      <c r="A25" s="264"/>
      <c r="B25" s="307"/>
      <c r="C25" s="307"/>
      <c r="D25" s="668" t="s">
        <v>411</v>
      </c>
      <c r="E25" s="308"/>
      <c r="F25" s="309"/>
      <c r="G25" s="310"/>
      <c r="H25" s="310"/>
      <c r="I25" s="311"/>
      <c r="J25" s="312"/>
      <c r="K25" s="312"/>
      <c r="L25" s="313"/>
      <c r="M25" s="313"/>
      <c r="N25" s="313"/>
      <c r="O25" s="313"/>
      <c r="P25" s="313"/>
      <c r="Q25" s="314"/>
      <c r="R25" s="669"/>
      <c r="S25" s="287"/>
      <c r="U25" s="286"/>
    </row>
    <row r="26" spans="1:23" ht="38.25" customHeight="1">
      <c r="A26" s="301"/>
      <c r="B26" s="315" t="s">
        <v>412</v>
      </c>
      <c r="C26" s="315"/>
      <c r="D26" s="324" t="s">
        <v>414</v>
      </c>
      <c r="E26" s="317">
        <v>1126352</v>
      </c>
      <c r="F26" s="318"/>
      <c r="G26" s="319">
        <v>1126352</v>
      </c>
      <c r="H26" s="319">
        <v>1126352</v>
      </c>
      <c r="I26" s="320"/>
      <c r="J26" s="321">
        <v>1126352</v>
      </c>
      <c r="K26" s="321"/>
      <c r="L26" s="322"/>
      <c r="M26" s="322"/>
      <c r="N26" s="322"/>
      <c r="O26" s="322"/>
      <c r="P26" s="322"/>
      <c r="Q26" s="323"/>
      <c r="R26" s="667" t="s">
        <v>415</v>
      </c>
      <c r="S26" s="287"/>
      <c r="U26" s="286"/>
    </row>
    <row r="27" spans="1:23" ht="9" customHeight="1">
      <c r="A27" s="264"/>
      <c r="B27" s="307"/>
      <c r="C27" s="307"/>
      <c r="D27" s="668" t="s">
        <v>411</v>
      </c>
      <c r="E27" s="308"/>
      <c r="F27" s="309"/>
      <c r="G27" s="310"/>
      <c r="H27" s="310"/>
      <c r="I27" s="311"/>
      <c r="J27" s="312"/>
      <c r="K27" s="312"/>
      <c r="L27" s="313"/>
      <c r="M27" s="313"/>
      <c r="N27" s="313"/>
      <c r="O27" s="313"/>
      <c r="P27" s="313"/>
      <c r="Q27" s="314"/>
      <c r="R27" s="669"/>
      <c r="S27" s="287"/>
      <c r="U27" s="286"/>
    </row>
    <row r="28" spans="1:23" ht="45.75" customHeight="1">
      <c r="A28" s="301"/>
      <c r="B28" s="315" t="s">
        <v>412</v>
      </c>
      <c r="C28" s="315"/>
      <c r="D28" s="324" t="s">
        <v>416</v>
      </c>
      <c r="E28" s="317">
        <v>300000</v>
      </c>
      <c r="F28" s="318"/>
      <c r="G28" s="319">
        <v>300000</v>
      </c>
      <c r="H28" s="319">
        <v>300000</v>
      </c>
      <c r="I28" s="320"/>
      <c r="J28" s="321">
        <v>300000</v>
      </c>
      <c r="K28" s="321"/>
      <c r="L28" s="322"/>
      <c r="M28" s="322"/>
      <c r="N28" s="322"/>
      <c r="O28" s="322"/>
      <c r="P28" s="322"/>
      <c r="Q28" s="323"/>
      <c r="R28" s="667" t="s">
        <v>417</v>
      </c>
      <c r="S28" s="287"/>
      <c r="U28" s="286"/>
    </row>
    <row r="29" spans="1:23" ht="10.5" customHeight="1">
      <c r="A29" s="264"/>
      <c r="B29" s="307"/>
      <c r="C29" s="307"/>
      <c r="D29" s="668" t="s">
        <v>411</v>
      </c>
      <c r="E29" s="308"/>
      <c r="F29" s="309"/>
      <c r="G29" s="310"/>
      <c r="H29" s="310"/>
      <c r="I29" s="311"/>
      <c r="J29" s="312"/>
      <c r="K29" s="312"/>
      <c r="L29" s="313"/>
      <c r="M29" s="313"/>
      <c r="N29" s="313"/>
      <c r="O29" s="313"/>
      <c r="P29" s="313"/>
      <c r="Q29" s="314"/>
      <c r="R29" s="669"/>
      <c r="S29" s="287"/>
      <c r="U29" s="286"/>
    </row>
    <row r="30" spans="1:23" ht="27" customHeight="1">
      <c r="A30" s="301"/>
      <c r="B30" s="315" t="s">
        <v>412</v>
      </c>
      <c r="C30" s="315"/>
      <c r="D30" s="316" t="s">
        <v>418</v>
      </c>
      <c r="E30" s="317">
        <v>266000</v>
      </c>
      <c r="F30" s="318"/>
      <c r="G30" s="319">
        <v>266000</v>
      </c>
      <c r="H30" s="319">
        <v>266000</v>
      </c>
      <c r="I30" s="320"/>
      <c r="J30" s="321">
        <v>266000</v>
      </c>
      <c r="K30" s="321"/>
      <c r="L30" s="322"/>
      <c r="M30" s="322"/>
      <c r="N30" s="322"/>
      <c r="O30" s="322"/>
      <c r="P30" s="322"/>
      <c r="Q30" s="323"/>
      <c r="R30" s="667" t="s">
        <v>419</v>
      </c>
      <c r="S30" s="287"/>
      <c r="U30" s="286"/>
    </row>
    <row r="31" spans="1:23" ht="10.5" customHeight="1">
      <c r="A31" s="325"/>
      <c r="B31" s="326"/>
      <c r="C31" s="326"/>
      <c r="D31" s="670" t="s">
        <v>411</v>
      </c>
      <c r="E31" s="327"/>
      <c r="F31" s="328"/>
      <c r="G31" s="329"/>
      <c r="H31" s="329"/>
      <c r="I31" s="330"/>
      <c r="J31" s="331"/>
      <c r="K31" s="331"/>
      <c r="L31" s="332"/>
      <c r="M31" s="332"/>
      <c r="N31" s="332"/>
      <c r="O31" s="332"/>
      <c r="P31" s="332"/>
      <c r="Q31" s="333"/>
      <c r="R31" s="671"/>
      <c r="S31" s="287"/>
      <c r="U31" s="286"/>
    </row>
    <row r="32" spans="1:23" ht="36.75" customHeight="1">
      <c r="A32" s="325"/>
      <c r="B32" s="326" t="s">
        <v>420</v>
      </c>
      <c r="C32" s="326"/>
      <c r="D32" s="334" t="s">
        <v>421</v>
      </c>
      <c r="E32" s="327">
        <v>800000</v>
      </c>
      <c r="F32" s="328"/>
      <c r="G32" s="329">
        <v>800000</v>
      </c>
      <c r="H32" s="329">
        <v>800000</v>
      </c>
      <c r="I32" s="330"/>
      <c r="J32" s="331">
        <v>800000</v>
      </c>
      <c r="K32" s="331"/>
      <c r="L32" s="332"/>
      <c r="M32" s="332"/>
      <c r="N32" s="332"/>
      <c r="O32" s="332"/>
      <c r="P32" s="332"/>
      <c r="Q32" s="333"/>
      <c r="R32" s="671" t="s">
        <v>419</v>
      </c>
      <c r="S32" s="287"/>
      <c r="U32" s="286"/>
    </row>
    <row r="33" spans="1:16148" ht="8.25" customHeight="1">
      <c r="A33" s="264"/>
      <c r="B33" s="307"/>
      <c r="C33" s="307"/>
      <c r="D33" s="668" t="s">
        <v>411</v>
      </c>
      <c r="E33" s="308"/>
      <c r="F33" s="309"/>
      <c r="G33" s="310"/>
      <c r="H33" s="310"/>
      <c r="I33" s="311"/>
      <c r="J33" s="312"/>
      <c r="K33" s="312"/>
      <c r="L33" s="313"/>
      <c r="M33" s="313"/>
      <c r="N33" s="313"/>
      <c r="O33" s="313"/>
      <c r="P33" s="313"/>
      <c r="Q33" s="314"/>
      <c r="R33" s="669"/>
      <c r="S33" s="287"/>
      <c r="U33" s="286"/>
    </row>
    <row r="34" spans="1:16148" ht="36" customHeight="1">
      <c r="A34" s="301"/>
      <c r="B34" s="315" t="s">
        <v>420</v>
      </c>
      <c r="C34" s="315"/>
      <c r="D34" s="316" t="s">
        <v>422</v>
      </c>
      <c r="E34" s="317">
        <v>159654</v>
      </c>
      <c r="F34" s="318"/>
      <c r="G34" s="319">
        <v>159654</v>
      </c>
      <c r="H34" s="319">
        <v>159654</v>
      </c>
      <c r="I34" s="320"/>
      <c r="J34" s="321">
        <v>159654</v>
      </c>
      <c r="K34" s="321"/>
      <c r="L34" s="322"/>
      <c r="M34" s="322"/>
      <c r="N34" s="322"/>
      <c r="O34" s="322"/>
      <c r="P34" s="322"/>
      <c r="Q34" s="323"/>
      <c r="R34" s="667" t="s">
        <v>423</v>
      </c>
      <c r="S34" s="287"/>
      <c r="U34" s="286"/>
    </row>
    <row r="39" spans="1:16148" s="335" customFormat="1" ht="32.25" customHeight="1">
      <c r="C39" s="271"/>
      <c r="D39" s="244"/>
      <c r="E39" s="244"/>
      <c r="F39" s="244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247"/>
      <c r="S39" s="244"/>
      <c r="T39" s="244"/>
      <c r="U39" s="244"/>
      <c r="V39" s="244"/>
      <c r="W39" s="244"/>
      <c r="X39" s="244"/>
      <c r="Y39" s="244"/>
      <c r="Z39" s="244"/>
      <c r="AA39" s="244"/>
      <c r="AB39" s="244"/>
      <c r="AC39" s="244"/>
      <c r="AD39" s="244"/>
      <c r="AE39" s="244"/>
      <c r="AF39" s="244"/>
      <c r="AG39" s="244"/>
      <c r="AH39" s="244"/>
      <c r="AI39" s="244"/>
      <c r="AJ39" s="244"/>
      <c r="AK39" s="244"/>
      <c r="AL39" s="244"/>
      <c r="AM39" s="244"/>
      <c r="AN39" s="244"/>
      <c r="AO39" s="244"/>
      <c r="AP39" s="244"/>
      <c r="AQ39" s="244"/>
      <c r="AR39" s="244"/>
      <c r="AS39" s="244"/>
      <c r="AT39" s="244"/>
      <c r="AU39" s="244"/>
      <c r="AV39" s="244"/>
      <c r="AW39" s="244"/>
      <c r="AX39" s="244"/>
      <c r="AY39" s="244"/>
      <c r="AZ39" s="244"/>
      <c r="BA39" s="244"/>
      <c r="BB39" s="244"/>
      <c r="BC39" s="244"/>
      <c r="BD39" s="244"/>
      <c r="BE39" s="244"/>
      <c r="BF39" s="244"/>
      <c r="BG39" s="244"/>
      <c r="BH39" s="244"/>
      <c r="BI39" s="244"/>
      <c r="BJ39" s="244"/>
      <c r="BK39" s="244"/>
      <c r="BL39" s="244"/>
      <c r="BM39" s="244"/>
      <c r="BN39" s="244"/>
      <c r="BO39" s="244"/>
      <c r="BP39" s="244"/>
      <c r="BQ39" s="244"/>
      <c r="BR39" s="244"/>
      <c r="BS39" s="244"/>
      <c r="BT39" s="244"/>
      <c r="BU39" s="244"/>
      <c r="BV39" s="244"/>
      <c r="BW39" s="244"/>
      <c r="BX39" s="244"/>
      <c r="BY39" s="244"/>
      <c r="BZ39" s="244"/>
      <c r="CA39" s="244"/>
      <c r="CB39" s="244"/>
      <c r="CC39" s="244"/>
      <c r="CD39" s="244"/>
      <c r="CE39" s="244"/>
      <c r="CF39" s="244"/>
      <c r="CG39" s="244"/>
      <c r="CH39" s="244"/>
      <c r="CI39" s="244"/>
      <c r="CJ39" s="244"/>
      <c r="CK39" s="244"/>
      <c r="CL39" s="244"/>
      <c r="CM39" s="244"/>
      <c r="CN39" s="244"/>
      <c r="CO39" s="244"/>
      <c r="CP39" s="244"/>
      <c r="CQ39" s="244"/>
      <c r="CR39" s="244"/>
      <c r="CS39" s="244"/>
      <c r="CT39" s="244"/>
      <c r="CU39" s="244"/>
      <c r="CV39" s="244"/>
      <c r="CW39" s="244"/>
      <c r="CX39" s="244"/>
      <c r="CY39" s="244"/>
      <c r="CZ39" s="244"/>
      <c r="DA39" s="244"/>
      <c r="DB39" s="244"/>
      <c r="DC39" s="244"/>
      <c r="DD39" s="244"/>
      <c r="DE39" s="244"/>
      <c r="DF39" s="244"/>
      <c r="DG39" s="244"/>
      <c r="DH39" s="244"/>
      <c r="DI39" s="244"/>
      <c r="DJ39" s="244"/>
      <c r="DK39" s="244"/>
      <c r="DL39" s="244"/>
      <c r="DM39" s="244"/>
      <c r="DN39" s="244"/>
      <c r="DO39" s="244"/>
      <c r="DP39" s="244"/>
      <c r="DQ39" s="244"/>
      <c r="DR39" s="244"/>
      <c r="DS39" s="244"/>
      <c r="DT39" s="244"/>
      <c r="DU39" s="244"/>
      <c r="DV39" s="244"/>
      <c r="DW39" s="244"/>
      <c r="DX39" s="244"/>
      <c r="DY39" s="244"/>
      <c r="DZ39" s="244"/>
      <c r="EA39" s="244"/>
      <c r="EB39" s="244"/>
      <c r="EC39" s="244"/>
      <c r="ED39" s="244"/>
      <c r="EE39" s="244"/>
      <c r="EF39" s="244"/>
      <c r="EG39" s="244"/>
      <c r="EH39" s="244"/>
      <c r="EI39" s="244"/>
      <c r="EJ39" s="244"/>
      <c r="EK39" s="244"/>
      <c r="EL39" s="244"/>
      <c r="EM39" s="244"/>
      <c r="EN39" s="244"/>
      <c r="EO39" s="244"/>
      <c r="EP39" s="244"/>
      <c r="EQ39" s="244"/>
      <c r="ER39" s="244"/>
      <c r="ES39" s="244"/>
      <c r="ET39" s="244"/>
      <c r="EU39" s="244"/>
      <c r="EV39" s="244"/>
      <c r="EW39" s="244"/>
      <c r="EX39" s="244"/>
      <c r="EY39" s="244"/>
      <c r="EZ39" s="244"/>
      <c r="FA39" s="244"/>
      <c r="FB39" s="244"/>
      <c r="FC39" s="244"/>
      <c r="FD39" s="244"/>
      <c r="FE39" s="244"/>
      <c r="FF39" s="244"/>
      <c r="FG39" s="244"/>
      <c r="FH39" s="244"/>
      <c r="FI39" s="244"/>
      <c r="FJ39" s="244"/>
      <c r="FK39" s="244"/>
      <c r="FL39" s="244"/>
      <c r="FM39" s="244"/>
      <c r="FN39" s="244"/>
      <c r="FO39" s="244"/>
      <c r="FP39" s="244"/>
      <c r="FQ39" s="244"/>
      <c r="FR39" s="244"/>
      <c r="FS39" s="244"/>
      <c r="FT39" s="244"/>
      <c r="FU39" s="244"/>
      <c r="FV39" s="244"/>
      <c r="FW39" s="244"/>
      <c r="FX39" s="244"/>
      <c r="FY39" s="244"/>
      <c r="FZ39" s="244"/>
      <c r="GA39" s="244"/>
      <c r="GB39" s="244"/>
      <c r="GC39" s="244"/>
      <c r="GD39" s="244"/>
      <c r="GE39" s="244"/>
      <c r="GF39" s="244"/>
      <c r="GG39" s="244"/>
      <c r="GH39" s="244"/>
      <c r="GI39" s="244"/>
      <c r="GJ39" s="244"/>
      <c r="GK39" s="244"/>
      <c r="GL39" s="244"/>
      <c r="GM39" s="244"/>
      <c r="GN39" s="244"/>
      <c r="GO39" s="244"/>
      <c r="GP39" s="244"/>
      <c r="GQ39" s="244"/>
      <c r="GR39" s="244"/>
      <c r="GS39" s="244"/>
      <c r="GT39" s="244"/>
      <c r="GU39" s="244"/>
      <c r="GV39" s="244"/>
      <c r="GW39" s="244"/>
      <c r="GX39" s="244"/>
      <c r="GY39" s="244"/>
      <c r="GZ39" s="244"/>
      <c r="HA39" s="244"/>
      <c r="HB39" s="244"/>
      <c r="HC39" s="244"/>
      <c r="HD39" s="244"/>
      <c r="HE39" s="244"/>
      <c r="HF39" s="244"/>
      <c r="HG39" s="244"/>
      <c r="HH39" s="244"/>
      <c r="HI39" s="244"/>
      <c r="HJ39" s="244"/>
      <c r="HK39" s="244"/>
      <c r="HL39" s="244"/>
      <c r="HM39" s="244"/>
      <c r="HN39" s="244"/>
      <c r="HO39" s="244"/>
      <c r="HP39" s="244"/>
      <c r="HQ39" s="244"/>
      <c r="HR39" s="244"/>
      <c r="HS39" s="244"/>
      <c r="HT39" s="244"/>
      <c r="HU39" s="244"/>
      <c r="HV39" s="244"/>
      <c r="HW39" s="244"/>
      <c r="HX39" s="244"/>
      <c r="HY39" s="244"/>
      <c r="HZ39" s="244"/>
      <c r="IA39" s="244"/>
      <c r="IB39" s="244"/>
      <c r="IC39" s="244"/>
      <c r="ID39" s="244"/>
      <c r="IE39" s="244"/>
      <c r="IF39" s="244"/>
      <c r="IG39" s="244"/>
      <c r="IH39" s="244"/>
      <c r="II39" s="244"/>
      <c r="IJ39" s="244"/>
      <c r="IK39" s="244"/>
      <c r="IL39" s="244"/>
      <c r="IM39" s="244"/>
      <c r="IN39" s="244"/>
      <c r="IO39" s="244"/>
      <c r="IP39" s="244"/>
      <c r="IQ39" s="244"/>
      <c r="IR39" s="244"/>
      <c r="IS39" s="244"/>
      <c r="IT39" s="244"/>
      <c r="IU39" s="244"/>
      <c r="IV39" s="244"/>
      <c r="IW39" s="244"/>
      <c r="IX39" s="244"/>
      <c r="IY39" s="244"/>
      <c r="IZ39" s="244"/>
      <c r="JA39" s="244"/>
      <c r="JB39" s="244"/>
      <c r="JC39" s="244"/>
      <c r="JD39" s="244"/>
      <c r="JE39" s="244"/>
      <c r="JF39" s="244"/>
      <c r="JG39" s="244"/>
      <c r="JH39" s="244"/>
      <c r="JI39" s="244"/>
      <c r="JJ39" s="244"/>
      <c r="JK39" s="244"/>
      <c r="JL39" s="244"/>
      <c r="JM39" s="244"/>
      <c r="JN39" s="244"/>
      <c r="JO39" s="244"/>
      <c r="JP39" s="244"/>
      <c r="JQ39" s="244"/>
      <c r="JR39" s="244"/>
      <c r="JS39" s="244"/>
      <c r="JT39" s="244"/>
      <c r="JU39" s="244"/>
      <c r="JV39" s="244"/>
      <c r="JW39" s="244"/>
      <c r="JX39" s="244"/>
      <c r="JY39" s="244"/>
      <c r="JZ39" s="244"/>
      <c r="KA39" s="244"/>
      <c r="KB39" s="244"/>
      <c r="KC39" s="244"/>
      <c r="KD39" s="244"/>
      <c r="KE39" s="244"/>
      <c r="KF39" s="244"/>
      <c r="KG39" s="244"/>
      <c r="KH39" s="244"/>
      <c r="KI39" s="244"/>
      <c r="KJ39" s="244"/>
      <c r="KK39" s="244"/>
      <c r="KL39" s="244"/>
      <c r="KM39" s="244"/>
      <c r="KN39" s="244"/>
      <c r="KO39" s="244"/>
      <c r="KP39" s="244"/>
      <c r="KQ39" s="244"/>
      <c r="KR39" s="244"/>
      <c r="KS39" s="244"/>
      <c r="KT39" s="244"/>
      <c r="KU39" s="244"/>
      <c r="KV39" s="244"/>
      <c r="KW39" s="244"/>
      <c r="KX39" s="244"/>
      <c r="KY39" s="244"/>
      <c r="KZ39" s="244"/>
      <c r="LA39" s="244"/>
      <c r="LB39" s="244"/>
      <c r="LC39" s="244"/>
      <c r="LD39" s="244"/>
      <c r="LE39" s="244"/>
      <c r="LF39" s="244"/>
      <c r="LG39" s="244"/>
      <c r="LH39" s="244"/>
      <c r="LI39" s="244"/>
      <c r="LJ39" s="244"/>
      <c r="LK39" s="244"/>
      <c r="LL39" s="244"/>
      <c r="LM39" s="244"/>
      <c r="LN39" s="244"/>
      <c r="LO39" s="244"/>
      <c r="LP39" s="244"/>
      <c r="LQ39" s="244"/>
      <c r="LR39" s="244"/>
      <c r="LS39" s="244"/>
      <c r="LT39" s="244"/>
      <c r="LU39" s="244"/>
      <c r="LV39" s="244"/>
      <c r="LW39" s="244"/>
      <c r="LX39" s="244"/>
      <c r="LY39" s="244"/>
      <c r="LZ39" s="244"/>
      <c r="MA39" s="244"/>
      <c r="MB39" s="244"/>
      <c r="MC39" s="244"/>
      <c r="MD39" s="244"/>
      <c r="ME39" s="244"/>
      <c r="MF39" s="244"/>
      <c r="MG39" s="244"/>
      <c r="MH39" s="244"/>
      <c r="MI39" s="244"/>
      <c r="MJ39" s="244"/>
      <c r="MK39" s="244"/>
      <c r="ML39" s="244"/>
      <c r="MM39" s="244"/>
      <c r="MN39" s="244"/>
      <c r="MO39" s="244"/>
      <c r="MP39" s="244"/>
      <c r="MQ39" s="244"/>
      <c r="MR39" s="244"/>
      <c r="MS39" s="244"/>
      <c r="MT39" s="244"/>
      <c r="MU39" s="244"/>
      <c r="MV39" s="244"/>
      <c r="MW39" s="244"/>
      <c r="MX39" s="244"/>
      <c r="MY39" s="244"/>
      <c r="MZ39" s="244"/>
      <c r="NA39" s="244"/>
      <c r="NB39" s="244"/>
      <c r="NC39" s="244"/>
      <c r="ND39" s="244"/>
      <c r="NE39" s="244"/>
      <c r="NF39" s="244"/>
      <c r="NG39" s="244"/>
      <c r="NH39" s="244"/>
      <c r="NI39" s="244"/>
      <c r="NJ39" s="244"/>
      <c r="NK39" s="244"/>
      <c r="NL39" s="244"/>
      <c r="NM39" s="244"/>
      <c r="NN39" s="244"/>
      <c r="NO39" s="244"/>
      <c r="NP39" s="244"/>
      <c r="NQ39" s="244"/>
      <c r="NR39" s="244"/>
      <c r="NS39" s="244"/>
      <c r="NT39" s="244"/>
      <c r="NU39" s="244"/>
      <c r="NV39" s="244"/>
      <c r="NW39" s="244"/>
      <c r="NX39" s="244"/>
      <c r="NY39" s="244"/>
      <c r="NZ39" s="244"/>
      <c r="OA39" s="244"/>
      <c r="OB39" s="244"/>
      <c r="OC39" s="244"/>
      <c r="OD39" s="244"/>
      <c r="OE39" s="244"/>
      <c r="OF39" s="244"/>
      <c r="OG39" s="244"/>
      <c r="OH39" s="244"/>
      <c r="OI39" s="244"/>
      <c r="OJ39" s="244"/>
      <c r="OK39" s="244"/>
      <c r="OL39" s="244"/>
      <c r="OM39" s="244"/>
      <c r="ON39" s="244"/>
      <c r="OO39" s="244"/>
      <c r="OP39" s="244"/>
      <c r="OQ39" s="244"/>
      <c r="OR39" s="244"/>
      <c r="OS39" s="244"/>
      <c r="OT39" s="244"/>
      <c r="OU39" s="244"/>
      <c r="OV39" s="244"/>
      <c r="OW39" s="244"/>
      <c r="OX39" s="244"/>
      <c r="OY39" s="244"/>
      <c r="OZ39" s="244"/>
      <c r="PA39" s="244"/>
      <c r="PB39" s="244"/>
      <c r="PC39" s="244"/>
      <c r="PD39" s="244"/>
      <c r="PE39" s="244"/>
      <c r="PF39" s="244"/>
      <c r="PG39" s="244"/>
      <c r="PH39" s="244"/>
      <c r="PI39" s="244"/>
      <c r="PJ39" s="244"/>
      <c r="PK39" s="244"/>
      <c r="PL39" s="244"/>
      <c r="PM39" s="244"/>
      <c r="PN39" s="244"/>
      <c r="PO39" s="244"/>
      <c r="PP39" s="244"/>
      <c r="PQ39" s="244"/>
      <c r="PR39" s="244"/>
      <c r="PS39" s="244"/>
      <c r="PT39" s="244"/>
      <c r="PU39" s="244"/>
      <c r="PV39" s="244"/>
      <c r="PW39" s="244"/>
      <c r="PX39" s="244"/>
      <c r="PY39" s="244"/>
      <c r="PZ39" s="244"/>
      <c r="QA39" s="244"/>
      <c r="QB39" s="244"/>
      <c r="QC39" s="244"/>
      <c r="QD39" s="244"/>
      <c r="QE39" s="244"/>
      <c r="QF39" s="244"/>
      <c r="QG39" s="244"/>
      <c r="QH39" s="244"/>
      <c r="QI39" s="244"/>
      <c r="QJ39" s="244"/>
      <c r="QK39" s="244"/>
      <c r="QL39" s="244"/>
      <c r="QM39" s="244"/>
      <c r="QN39" s="244"/>
      <c r="QO39" s="244"/>
      <c r="QP39" s="244"/>
      <c r="QQ39" s="244"/>
      <c r="QR39" s="244"/>
      <c r="QS39" s="244"/>
      <c r="QT39" s="244"/>
      <c r="QU39" s="244"/>
      <c r="QV39" s="244"/>
      <c r="QW39" s="244"/>
      <c r="QX39" s="244"/>
      <c r="QY39" s="244"/>
      <c r="QZ39" s="244"/>
      <c r="RA39" s="244"/>
      <c r="RB39" s="244"/>
      <c r="RC39" s="244"/>
      <c r="RD39" s="244"/>
      <c r="RE39" s="244"/>
      <c r="RF39" s="244"/>
      <c r="RG39" s="244"/>
      <c r="RH39" s="244"/>
      <c r="RI39" s="244"/>
      <c r="RJ39" s="244"/>
      <c r="RK39" s="244"/>
      <c r="RL39" s="244"/>
      <c r="RM39" s="244"/>
      <c r="RN39" s="244"/>
      <c r="RO39" s="244"/>
      <c r="RP39" s="244"/>
      <c r="RQ39" s="244"/>
      <c r="RR39" s="244"/>
      <c r="RS39" s="244"/>
      <c r="RT39" s="244"/>
      <c r="RU39" s="244"/>
      <c r="RV39" s="244"/>
      <c r="RW39" s="244"/>
      <c r="RX39" s="244"/>
      <c r="RY39" s="244"/>
      <c r="RZ39" s="244"/>
      <c r="SA39" s="244"/>
      <c r="SB39" s="244"/>
      <c r="SC39" s="244"/>
      <c r="SD39" s="244"/>
      <c r="SE39" s="244"/>
      <c r="SF39" s="244"/>
      <c r="SG39" s="244"/>
      <c r="SH39" s="244"/>
      <c r="SI39" s="244"/>
      <c r="SJ39" s="244"/>
      <c r="SK39" s="244"/>
      <c r="SL39" s="244"/>
      <c r="SM39" s="244"/>
      <c r="SN39" s="244"/>
      <c r="SO39" s="244"/>
      <c r="SP39" s="244"/>
      <c r="SQ39" s="244"/>
      <c r="SR39" s="244"/>
      <c r="SS39" s="244"/>
      <c r="ST39" s="244"/>
      <c r="SU39" s="244"/>
      <c r="SV39" s="244"/>
      <c r="SW39" s="244"/>
      <c r="SX39" s="244"/>
      <c r="SY39" s="244"/>
      <c r="SZ39" s="244"/>
      <c r="TA39" s="244"/>
      <c r="TB39" s="244"/>
      <c r="TC39" s="244"/>
      <c r="TD39" s="244"/>
      <c r="TE39" s="244"/>
      <c r="TF39" s="244"/>
      <c r="TG39" s="244"/>
      <c r="TH39" s="244"/>
      <c r="TI39" s="244"/>
      <c r="TJ39" s="244"/>
      <c r="TK39" s="244"/>
      <c r="TL39" s="244"/>
      <c r="TM39" s="244"/>
      <c r="TN39" s="244"/>
      <c r="TO39" s="244"/>
      <c r="TP39" s="244"/>
      <c r="TQ39" s="244"/>
      <c r="TR39" s="244"/>
      <c r="TS39" s="244"/>
      <c r="TT39" s="244"/>
      <c r="TU39" s="244"/>
      <c r="TV39" s="244"/>
      <c r="TW39" s="244"/>
      <c r="TX39" s="244"/>
      <c r="TY39" s="244"/>
      <c r="TZ39" s="244"/>
      <c r="UA39" s="244"/>
      <c r="UB39" s="244"/>
      <c r="UC39" s="244"/>
      <c r="UD39" s="244"/>
      <c r="UE39" s="244"/>
      <c r="UF39" s="244"/>
      <c r="UG39" s="244"/>
      <c r="UH39" s="244"/>
      <c r="UI39" s="244"/>
      <c r="UJ39" s="244"/>
      <c r="UK39" s="244"/>
      <c r="UL39" s="244"/>
      <c r="UM39" s="244"/>
      <c r="UN39" s="244"/>
      <c r="UO39" s="244"/>
      <c r="UP39" s="244"/>
      <c r="UQ39" s="244"/>
      <c r="UR39" s="244"/>
      <c r="US39" s="244"/>
      <c r="UT39" s="244"/>
      <c r="UU39" s="244"/>
      <c r="UV39" s="244"/>
      <c r="UW39" s="244"/>
      <c r="UX39" s="244"/>
      <c r="UY39" s="244"/>
      <c r="UZ39" s="244"/>
      <c r="VA39" s="244"/>
      <c r="VB39" s="244"/>
      <c r="VC39" s="244"/>
      <c r="VD39" s="244"/>
      <c r="VE39" s="244"/>
      <c r="VF39" s="244"/>
      <c r="VG39" s="244"/>
      <c r="VH39" s="244"/>
      <c r="VI39" s="244"/>
      <c r="VJ39" s="244"/>
      <c r="VK39" s="244"/>
      <c r="VL39" s="244"/>
      <c r="VM39" s="244"/>
      <c r="VN39" s="244"/>
      <c r="VO39" s="244"/>
      <c r="VP39" s="244"/>
      <c r="VQ39" s="244"/>
      <c r="VR39" s="244"/>
      <c r="VS39" s="244"/>
      <c r="VT39" s="244"/>
      <c r="VU39" s="244"/>
      <c r="VV39" s="244"/>
      <c r="VW39" s="244"/>
      <c r="VX39" s="244"/>
      <c r="VY39" s="244"/>
      <c r="VZ39" s="244"/>
      <c r="WA39" s="244"/>
      <c r="WB39" s="244"/>
      <c r="WC39" s="244"/>
      <c r="WD39" s="244"/>
      <c r="WE39" s="244"/>
      <c r="WF39" s="244"/>
      <c r="WG39" s="244"/>
      <c r="WH39" s="244"/>
      <c r="WI39" s="244"/>
      <c r="WJ39" s="244"/>
      <c r="WK39" s="244"/>
      <c r="WL39" s="244"/>
      <c r="WM39" s="244"/>
      <c r="WN39" s="244"/>
      <c r="WO39" s="244"/>
      <c r="WP39" s="244"/>
      <c r="WQ39" s="244"/>
      <c r="WR39" s="244"/>
      <c r="WS39" s="244"/>
      <c r="WT39" s="244"/>
      <c r="WU39" s="244"/>
      <c r="WV39" s="244"/>
      <c r="WW39" s="244"/>
      <c r="WX39" s="244"/>
      <c r="WY39" s="244"/>
      <c r="WZ39" s="244"/>
      <c r="XA39" s="244"/>
      <c r="XB39" s="244"/>
      <c r="XC39" s="244"/>
      <c r="XD39" s="244"/>
      <c r="XE39" s="244"/>
      <c r="XF39" s="244"/>
      <c r="XG39" s="244"/>
      <c r="XH39" s="244"/>
      <c r="XI39" s="244"/>
      <c r="XJ39" s="244"/>
      <c r="XK39" s="244"/>
      <c r="XL39" s="244"/>
      <c r="XM39" s="244"/>
      <c r="XN39" s="244"/>
      <c r="XO39" s="244"/>
      <c r="XP39" s="244"/>
      <c r="XQ39" s="244"/>
      <c r="XR39" s="244"/>
      <c r="XS39" s="244"/>
      <c r="XT39" s="244"/>
      <c r="XU39" s="244"/>
      <c r="XV39" s="244"/>
      <c r="XW39" s="244"/>
      <c r="XX39" s="244"/>
      <c r="XY39" s="244"/>
      <c r="XZ39" s="244"/>
      <c r="YA39" s="244"/>
      <c r="YB39" s="244"/>
      <c r="YC39" s="244"/>
      <c r="YD39" s="244"/>
      <c r="YE39" s="244"/>
      <c r="YF39" s="244"/>
      <c r="YG39" s="244"/>
      <c r="YH39" s="244"/>
      <c r="YI39" s="244"/>
      <c r="YJ39" s="244"/>
      <c r="YK39" s="244"/>
      <c r="YL39" s="244"/>
      <c r="YM39" s="244"/>
      <c r="YN39" s="244"/>
      <c r="YO39" s="244"/>
      <c r="YP39" s="244"/>
      <c r="YQ39" s="244"/>
      <c r="YR39" s="244"/>
      <c r="YS39" s="244"/>
      <c r="YT39" s="244"/>
      <c r="YU39" s="244"/>
      <c r="YV39" s="244"/>
      <c r="YW39" s="244"/>
      <c r="YX39" s="244"/>
      <c r="YY39" s="244"/>
      <c r="YZ39" s="244"/>
      <c r="ZA39" s="244"/>
      <c r="ZB39" s="244"/>
      <c r="ZC39" s="244"/>
      <c r="ZD39" s="244"/>
      <c r="ZE39" s="244"/>
      <c r="ZF39" s="244"/>
      <c r="ZG39" s="244"/>
      <c r="ZH39" s="244"/>
      <c r="ZI39" s="244"/>
      <c r="ZJ39" s="244"/>
      <c r="ZK39" s="244"/>
      <c r="ZL39" s="244"/>
      <c r="ZM39" s="244"/>
      <c r="ZN39" s="244"/>
      <c r="ZO39" s="244"/>
      <c r="ZP39" s="244"/>
      <c r="ZQ39" s="244"/>
      <c r="ZR39" s="244"/>
      <c r="ZS39" s="244"/>
      <c r="ZT39" s="244"/>
      <c r="ZU39" s="244"/>
      <c r="ZV39" s="244"/>
      <c r="ZW39" s="244"/>
      <c r="ZX39" s="244"/>
      <c r="ZY39" s="244"/>
      <c r="ZZ39" s="244"/>
      <c r="AAA39" s="244"/>
      <c r="AAB39" s="244"/>
      <c r="AAC39" s="244"/>
      <c r="AAD39" s="244"/>
      <c r="AAE39" s="244"/>
      <c r="AAF39" s="244"/>
      <c r="AAG39" s="244"/>
      <c r="AAH39" s="244"/>
      <c r="AAI39" s="244"/>
      <c r="AAJ39" s="244"/>
      <c r="AAK39" s="244"/>
      <c r="AAL39" s="244"/>
      <c r="AAM39" s="244"/>
      <c r="AAN39" s="244"/>
      <c r="AAO39" s="244"/>
      <c r="AAP39" s="244"/>
      <c r="AAQ39" s="244"/>
      <c r="AAR39" s="244"/>
      <c r="AAS39" s="244"/>
      <c r="AAT39" s="244"/>
      <c r="AAU39" s="244"/>
      <c r="AAV39" s="244"/>
      <c r="AAW39" s="244"/>
      <c r="AAX39" s="244"/>
      <c r="AAY39" s="244"/>
      <c r="AAZ39" s="244"/>
      <c r="ABA39" s="244"/>
      <c r="ABB39" s="244"/>
      <c r="ABC39" s="244"/>
      <c r="ABD39" s="244"/>
      <c r="ABE39" s="244"/>
      <c r="ABF39" s="244"/>
      <c r="ABG39" s="244"/>
      <c r="ABH39" s="244"/>
      <c r="ABI39" s="244"/>
      <c r="ABJ39" s="244"/>
      <c r="ABK39" s="244"/>
      <c r="ABL39" s="244"/>
      <c r="ABM39" s="244"/>
      <c r="ABN39" s="244"/>
      <c r="ABO39" s="244"/>
      <c r="ABP39" s="244"/>
      <c r="ABQ39" s="244"/>
      <c r="ABR39" s="244"/>
      <c r="ABS39" s="244"/>
      <c r="ABT39" s="244"/>
      <c r="ABU39" s="244"/>
      <c r="ABV39" s="244"/>
      <c r="ABW39" s="244"/>
      <c r="ABX39" s="244"/>
      <c r="ABY39" s="244"/>
      <c r="ABZ39" s="244"/>
      <c r="ACA39" s="244"/>
      <c r="ACB39" s="244"/>
      <c r="ACC39" s="244"/>
      <c r="ACD39" s="244"/>
      <c r="ACE39" s="244"/>
      <c r="ACF39" s="244"/>
      <c r="ACG39" s="244"/>
      <c r="ACH39" s="244"/>
      <c r="ACI39" s="244"/>
      <c r="ACJ39" s="244"/>
      <c r="ACK39" s="244"/>
      <c r="ACL39" s="244"/>
      <c r="ACM39" s="244"/>
      <c r="ACN39" s="244"/>
      <c r="ACO39" s="244"/>
      <c r="ACP39" s="244"/>
      <c r="ACQ39" s="244"/>
      <c r="ACR39" s="244"/>
      <c r="ACS39" s="244"/>
      <c r="ACT39" s="244"/>
      <c r="ACU39" s="244"/>
      <c r="ACV39" s="244"/>
      <c r="ACW39" s="244"/>
      <c r="ACX39" s="244"/>
      <c r="ACY39" s="244"/>
      <c r="ACZ39" s="244"/>
      <c r="ADA39" s="244"/>
      <c r="ADB39" s="244"/>
      <c r="ADC39" s="244"/>
      <c r="ADD39" s="244"/>
      <c r="ADE39" s="244"/>
      <c r="ADF39" s="244"/>
      <c r="ADG39" s="244"/>
      <c r="ADH39" s="244"/>
      <c r="ADI39" s="244"/>
      <c r="ADJ39" s="244"/>
      <c r="ADK39" s="244"/>
      <c r="ADL39" s="244"/>
      <c r="ADM39" s="244"/>
      <c r="ADN39" s="244"/>
      <c r="ADO39" s="244"/>
      <c r="ADP39" s="244"/>
      <c r="ADQ39" s="244"/>
      <c r="ADR39" s="244"/>
      <c r="ADS39" s="244"/>
      <c r="ADT39" s="244"/>
      <c r="ADU39" s="244"/>
      <c r="ADV39" s="244"/>
      <c r="ADW39" s="244"/>
      <c r="ADX39" s="244"/>
      <c r="ADY39" s="244"/>
      <c r="ADZ39" s="244"/>
      <c r="AEA39" s="244"/>
      <c r="AEB39" s="244"/>
      <c r="AEC39" s="244"/>
      <c r="AED39" s="244"/>
      <c r="AEE39" s="244"/>
      <c r="AEF39" s="244"/>
      <c r="AEG39" s="244"/>
      <c r="AEH39" s="244"/>
      <c r="AEI39" s="244"/>
      <c r="AEJ39" s="244"/>
      <c r="AEK39" s="244"/>
      <c r="AEL39" s="244"/>
      <c r="AEM39" s="244"/>
      <c r="AEN39" s="244"/>
      <c r="AEO39" s="244"/>
      <c r="AEP39" s="244"/>
      <c r="AEQ39" s="244"/>
      <c r="AER39" s="244"/>
      <c r="AES39" s="244"/>
      <c r="AET39" s="244"/>
      <c r="AEU39" s="244"/>
      <c r="AEV39" s="244"/>
      <c r="AEW39" s="244"/>
      <c r="AEX39" s="244"/>
      <c r="AEY39" s="244"/>
      <c r="AEZ39" s="244"/>
      <c r="AFA39" s="244"/>
      <c r="AFB39" s="244"/>
      <c r="AFC39" s="244"/>
      <c r="AFD39" s="244"/>
      <c r="AFE39" s="244"/>
      <c r="AFF39" s="244"/>
      <c r="AFG39" s="244"/>
      <c r="AFH39" s="244"/>
      <c r="AFI39" s="244"/>
      <c r="AFJ39" s="244"/>
      <c r="AFK39" s="244"/>
      <c r="AFL39" s="244"/>
      <c r="AFM39" s="244"/>
      <c r="AFN39" s="244"/>
      <c r="AFO39" s="244"/>
      <c r="AFP39" s="244"/>
      <c r="AFQ39" s="244"/>
      <c r="AFR39" s="244"/>
      <c r="AFS39" s="244"/>
      <c r="AFT39" s="244"/>
      <c r="AFU39" s="244"/>
      <c r="AFV39" s="244"/>
      <c r="AFW39" s="244"/>
      <c r="AFX39" s="244"/>
      <c r="AFY39" s="244"/>
      <c r="AFZ39" s="244"/>
      <c r="AGA39" s="244"/>
      <c r="AGB39" s="244"/>
      <c r="AGC39" s="244"/>
      <c r="AGD39" s="244"/>
      <c r="AGE39" s="244"/>
      <c r="AGF39" s="244"/>
      <c r="AGG39" s="244"/>
      <c r="AGH39" s="244"/>
      <c r="AGI39" s="244"/>
      <c r="AGJ39" s="244"/>
      <c r="AGK39" s="244"/>
      <c r="AGL39" s="244"/>
      <c r="AGM39" s="244"/>
      <c r="AGN39" s="244"/>
      <c r="AGO39" s="244"/>
      <c r="AGP39" s="244"/>
      <c r="AGQ39" s="244"/>
      <c r="AGR39" s="244"/>
      <c r="AGS39" s="244"/>
      <c r="AGT39" s="244"/>
      <c r="AGU39" s="244"/>
      <c r="AGV39" s="244"/>
      <c r="AGW39" s="244"/>
      <c r="AGX39" s="244"/>
      <c r="AGY39" s="244"/>
      <c r="AGZ39" s="244"/>
      <c r="AHA39" s="244"/>
      <c r="AHB39" s="244"/>
      <c r="AHC39" s="244"/>
      <c r="AHD39" s="244"/>
      <c r="AHE39" s="244"/>
      <c r="AHF39" s="244"/>
      <c r="AHG39" s="244"/>
      <c r="AHH39" s="244"/>
      <c r="AHI39" s="244"/>
      <c r="AHJ39" s="244"/>
      <c r="AHK39" s="244"/>
      <c r="AHL39" s="244"/>
      <c r="AHM39" s="244"/>
      <c r="AHN39" s="244"/>
      <c r="AHO39" s="244"/>
      <c r="AHP39" s="244"/>
      <c r="AHQ39" s="244"/>
      <c r="AHR39" s="244"/>
      <c r="AHS39" s="244"/>
      <c r="AHT39" s="244"/>
      <c r="AHU39" s="244"/>
      <c r="AHV39" s="244"/>
      <c r="AHW39" s="244"/>
      <c r="AHX39" s="244"/>
      <c r="AHY39" s="244"/>
      <c r="AHZ39" s="244"/>
      <c r="AIA39" s="244"/>
      <c r="AIB39" s="244"/>
      <c r="AIC39" s="244"/>
      <c r="AID39" s="244"/>
      <c r="AIE39" s="244"/>
      <c r="AIF39" s="244"/>
      <c r="AIG39" s="244"/>
      <c r="AIH39" s="244"/>
      <c r="AII39" s="244"/>
      <c r="AIJ39" s="244"/>
      <c r="AIK39" s="244"/>
      <c r="AIL39" s="244"/>
      <c r="AIM39" s="244"/>
      <c r="AIN39" s="244"/>
      <c r="AIO39" s="244"/>
      <c r="AIP39" s="244"/>
      <c r="AIQ39" s="244"/>
      <c r="AIR39" s="244"/>
      <c r="AIS39" s="244"/>
      <c r="AIT39" s="244"/>
      <c r="AIU39" s="244"/>
      <c r="AIV39" s="244"/>
      <c r="AIW39" s="244"/>
      <c r="AIX39" s="244"/>
      <c r="AIY39" s="244"/>
      <c r="AIZ39" s="244"/>
      <c r="AJA39" s="244"/>
      <c r="AJB39" s="244"/>
      <c r="AJC39" s="244"/>
      <c r="AJD39" s="244"/>
      <c r="AJE39" s="244"/>
      <c r="AJF39" s="244"/>
      <c r="AJG39" s="244"/>
      <c r="AJH39" s="244"/>
      <c r="AJI39" s="244"/>
      <c r="AJJ39" s="244"/>
      <c r="AJK39" s="244"/>
      <c r="AJL39" s="244"/>
      <c r="AJM39" s="244"/>
      <c r="AJN39" s="244"/>
      <c r="AJO39" s="244"/>
      <c r="AJP39" s="244"/>
      <c r="AJQ39" s="244"/>
      <c r="AJR39" s="244"/>
      <c r="AJS39" s="244"/>
      <c r="AJT39" s="244"/>
      <c r="AJU39" s="244"/>
      <c r="AJV39" s="244"/>
      <c r="AJW39" s="244"/>
      <c r="AJX39" s="244"/>
      <c r="AJY39" s="244"/>
      <c r="AJZ39" s="244"/>
      <c r="AKA39" s="244"/>
      <c r="AKB39" s="244"/>
      <c r="AKC39" s="244"/>
      <c r="AKD39" s="244"/>
      <c r="AKE39" s="244"/>
      <c r="AKF39" s="244"/>
      <c r="AKG39" s="244"/>
      <c r="AKH39" s="244"/>
      <c r="AKI39" s="244"/>
      <c r="AKJ39" s="244"/>
      <c r="AKK39" s="244"/>
      <c r="AKL39" s="244"/>
      <c r="AKM39" s="244"/>
      <c r="AKN39" s="244"/>
      <c r="AKO39" s="244"/>
      <c r="AKP39" s="244"/>
      <c r="AKQ39" s="244"/>
      <c r="AKR39" s="244"/>
      <c r="AKS39" s="244"/>
      <c r="AKT39" s="244"/>
      <c r="AKU39" s="244"/>
      <c r="AKV39" s="244"/>
      <c r="AKW39" s="244"/>
      <c r="AKX39" s="244"/>
      <c r="AKY39" s="244"/>
      <c r="AKZ39" s="244"/>
      <c r="ALA39" s="244"/>
      <c r="ALB39" s="244"/>
      <c r="ALC39" s="244"/>
      <c r="ALD39" s="244"/>
      <c r="ALE39" s="244"/>
      <c r="ALF39" s="244"/>
      <c r="ALG39" s="244"/>
      <c r="ALH39" s="244"/>
      <c r="ALI39" s="244"/>
      <c r="ALJ39" s="244"/>
      <c r="ALK39" s="244"/>
      <c r="ALL39" s="244"/>
      <c r="ALM39" s="244"/>
      <c r="ALN39" s="244"/>
      <c r="ALO39" s="244"/>
      <c r="ALP39" s="244"/>
      <c r="ALQ39" s="244"/>
      <c r="ALR39" s="244"/>
      <c r="ALS39" s="244"/>
      <c r="ALT39" s="244"/>
      <c r="ALU39" s="244"/>
      <c r="ALV39" s="244"/>
      <c r="ALW39" s="244"/>
      <c r="ALX39" s="244"/>
      <c r="ALY39" s="244"/>
      <c r="ALZ39" s="244"/>
      <c r="AMA39" s="244"/>
      <c r="AMB39" s="244"/>
      <c r="AMC39" s="244"/>
      <c r="AMD39" s="244"/>
      <c r="AME39" s="244"/>
      <c r="AMF39" s="244"/>
      <c r="AMG39" s="244"/>
      <c r="AMH39" s="244"/>
      <c r="AMI39" s="244"/>
      <c r="AMJ39" s="244"/>
      <c r="AMK39" s="244"/>
      <c r="AML39" s="244"/>
      <c r="AMM39" s="244"/>
      <c r="AMN39" s="244"/>
      <c r="AMO39" s="244"/>
      <c r="AMP39" s="244"/>
      <c r="AMQ39" s="244"/>
      <c r="AMR39" s="244"/>
      <c r="AMS39" s="244"/>
      <c r="AMT39" s="244"/>
      <c r="AMU39" s="244"/>
      <c r="AMV39" s="244"/>
      <c r="AMW39" s="244"/>
      <c r="AMX39" s="244"/>
      <c r="AMY39" s="244"/>
      <c r="AMZ39" s="244"/>
      <c r="ANA39" s="244"/>
      <c r="ANB39" s="244"/>
      <c r="ANC39" s="244"/>
      <c r="AND39" s="244"/>
      <c r="ANE39" s="244"/>
      <c r="ANF39" s="244"/>
      <c r="ANG39" s="244"/>
      <c r="ANH39" s="244"/>
      <c r="ANI39" s="244"/>
      <c r="ANJ39" s="244"/>
      <c r="ANK39" s="244"/>
      <c r="ANL39" s="244"/>
      <c r="ANM39" s="244"/>
      <c r="ANN39" s="244"/>
      <c r="ANO39" s="244"/>
      <c r="ANP39" s="244"/>
      <c r="ANQ39" s="244"/>
      <c r="ANR39" s="244"/>
      <c r="ANS39" s="244"/>
      <c r="ANT39" s="244"/>
      <c r="ANU39" s="244"/>
      <c r="ANV39" s="244"/>
      <c r="ANW39" s="244"/>
      <c r="ANX39" s="244"/>
      <c r="ANY39" s="244"/>
      <c r="ANZ39" s="244"/>
      <c r="AOA39" s="244"/>
      <c r="AOB39" s="244"/>
      <c r="AOC39" s="244"/>
      <c r="AOD39" s="244"/>
      <c r="AOE39" s="244"/>
      <c r="AOF39" s="244"/>
      <c r="AOG39" s="244"/>
      <c r="AOH39" s="244"/>
      <c r="AOI39" s="244"/>
      <c r="AOJ39" s="244"/>
      <c r="AOK39" s="244"/>
      <c r="AOL39" s="244"/>
      <c r="AOM39" s="244"/>
      <c r="AON39" s="244"/>
      <c r="AOO39" s="244"/>
      <c r="AOP39" s="244"/>
      <c r="AOQ39" s="244"/>
      <c r="AOR39" s="244"/>
      <c r="AOS39" s="244"/>
      <c r="AOT39" s="244"/>
      <c r="AOU39" s="244"/>
      <c r="AOV39" s="244"/>
      <c r="AOW39" s="244"/>
      <c r="AOX39" s="244"/>
      <c r="AOY39" s="244"/>
      <c r="AOZ39" s="244"/>
      <c r="APA39" s="244"/>
      <c r="APB39" s="244"/>
      <c r="APC39" s="244"/>
      <c r="APD39" s="244"/>
      <c r="APE39" s="244"/>
      <c r="APF39" s="244"/>
      <c r="APG39" s="244"/>
      <c r="APH39" s="244"/>
      <c r="API39" s="244"/>
      <c r="APJ39" s="244"/>
      <c r="APK39" s="244"/>
      <c r="APL39" s="244"/>
      <c r="APM39" s="244"/>
      <c r="APN39" s="244"/>
      <c r="APO39" s="244"/>
      <c r="APP39" s="244"/>
      <c r="APQ39" s="244"/>
      <c r="APR39" s="244"/>
      <c r="APS39" s="244"/>
      <c r="APT39" s="244"/>
      <c r="APU39" s="244"/>
      <c r="APV39" s="244"/>
      <c r="APW39" s="244"/>
      <c r="APX39" s="244"/>
      <c r="APY39" s="244"/>
      <c r="APZ39" s="244"/>
      <c r="AQA39" s="244"/>
      <c r="AQB39" s="244"/>
      <c r="AQC39" s="244"/>
      <c r="AQD39" s="244"/>
      <c r="AQE39" s="244"/>
      <c r="AQF39" s="244"/>
      <c r="AQG39" s="244"/>
      <c r="AQH39" s="244"/>
      <c r="AQI39" s="244"/>
      <c r="AQJ39" s="244"/>
      <c r="AQK39" s="244"/>
      <c r="AQL39" s="244"/>
      <c r="AQM39" s="244"/>
      <c r="AQN39" s="244"/>
      <c r="AQO39" s="244"/>
      <c r="AQP39" s="244"/>
      <c r="AQQ39" s="244"/>
      <c r="AQR39" s="244"/>
      <c r="AQS39" s="244"/>
      <c r="AQT39" s="244"/>
      <c r="AQU39" s="244"/>
      <c r="AQV39" s="244"/>
      <c r="AQW39" s="244"/>
      <c r="AQX39" s="244"/>
      <c r="AQY39" s="244"/>
      <c r="AQZ39" s="244"/>
      <c r="ARA39" s="244"/>
      <c r="ARB39" s="244"/>
      <c r="ARC39" s="244"/>
      <c r="ARD39" s="244"/>
      <c r="ARE39" s="244"/>
      <c r="ARF39" s="244"/>
      <c r="ARG39" s="244"/>
      <c r="ARH39" s="244"/>
      <c r="ARI39" s="244"/>
      <c r="ARJ39" s="244"/>
      <c r="ARK39" s="244"/>
      <c r="ARL39" s="244"/>
      <c r="ARM39" s="244"/>
      <c r="ARN39" s="244"/>
      <c r="ARO39" s="244"/>
      <c r="ARP39" s="244"/>
      <c r="ARQ39" s="244"/>
      <c r="ARR39" s="244"/>
      <c r="ARS39" s="244"/>
      <c r="ART39" s="244"/>
      <c r="ARU39" s="244"/>
      <c r="ARV39" s="244"/>
      <c r="ARW39" s="244"/>
      <c r="ARX39" s="244"/>
      <c r="ARY39" s="244"/>
      <c r="ARZ39" s="244"/>
      <c r="ASA39" s="244"/>
      <c r="ASB39" s="244"/>
      <c r="ASC39" s="244"/>
      <c r="ASD39" s="244"/>
      <c r="ASE39" s="244"/>
      <c r="ASF39" s="244"/>
      <c r="ASG39" s="244"/>
      <c r="ASH39" s="244"/>
      <c r="ASI39" s="244"/>
      <c r="ASJ39" s="244"/>
      <c r="ASK39" s="244"/>
      <c r="ASL39" s="244"/>
      <c r="ASM39" s="244"/>
      <c r="ASN39" s="244"/>
      <c r="ASO39" s="244"/>
      <c r="ASP39" s="244"/>
      <c r="ASQ39" s="244"/>
      <c r="ASR39" s="244"/>
      <c r="ASS39" s="244"/>
      <c r="AST39" s="244"/>
      <c r="ASU39" s="244"/>
      <c r="ASV39" s="244"/>
      <c r="ASW39" s="244"/>
      <c r="ASX39" s="244"/>
      <c r="ASY39" s="244"/>
      <c r="ASZ39" s="244"/>
      <c r="ATA39" s="244"/>
      <c r="ATB39" s="244"/>
      <c r="ATC39" s="244"/>
      <c r="ATD39" s="244"/>
      <c r="ATE39" s="244"/>
      <c r="ATF39" s="244"/>
      <c r="ATG39" s="244"/>
      <c r="ATH39" s="244"/>
      <c r="ATI39" s="244"/>
      <c r="ATJ39" s="244"/>
      <c r="ATK39" s="244"/>
      <c r="ATL39" s="244"/>
      <c r="ATM39" s="244"/>
      <c r="ATN39" s="244"/>
      <c r="ATO39" s="244"/>
      <c r="ATP39" s="244"/>
      <c r="ATQ39" s="244"/>
      <c r="ATR39" s="244"/>
      <c r="ATS39" s="244"/>
      <c r="ATT39" s="244"/>
      <c r="ATU39" s="244"/>
      <c r="ATV39" s="244"/>
      <c r="ATW39" s="244"/>
      <c r="ATX39" s="244"/>
      <c r="ATY39" s="244"/>
      <c r="ATZ39" s="244"/>
      <c r="AUA39" s="244"/>
      <c r="AUB39" s="244"/>
      <c r="AUC39" s="244"/>
      <c r="AUD39" s="244"/>
      <c r="AUE39" s="244"/>
      <c r="AUF39" s="244"/>
      <c r="AUG39" s="244"/>
      <c r="AUH39" s="244"/>
      <c r="AUI39" s="244"/>
      <c r="AUJ39" s="244"/>
      <c r="AUK39" s="244"/>
      <c r="AUL39" s="244"/>
      <c r="AUM39" s="244"/>
      <c r="AUN39" s="244"/>
      <c r="AUO39" s="244"/>
      <c r="AUP39" s="244"/>
      <c r="AUQ39" s="244"/>
      <c r="AUR39" s="244"/>
      <c r="AUS39" s="244"/>
      <c r="AUT39" s="244"/>
      <c r="AUU39" s="244"/>
      <c r="AUV39" s="244"/>
      <c r="AUW39" s="244"/>
      <c r="AUX39" s="244"/>
      <c r="AUY39" s="244"/>
      <c r="AUZ39" s="244"/>
      <c r="AVA39" s="244"/>
      <c r="AVB39" s="244"/>
      <c r="AVC39" s="244"/>
      <c r="AVD39" s="244"/>
      <c r="AVE39" s="244"/>
      <c r="AVF39" s="244"/>
      <c r="AVG39" s="244"/>
      <c r="AVH39" s="244"/>
      <c r="AVI39" s="244"/>
      <c r="AVJ39" s="244"/>
      <c r="AVK39" s="244"/>
      <c r="AVL39" s="244"/>
      <c r="AVM39" s="244"/>
      <c r="AVN39" s="244"/>
      <c r="AVO39" s="244"/>
      <c r="AVP39" s="244"/>
      <c r="AVQ39" s="244"/>
      <c r="AVR39" s="244"/>
      <c r="AVS39" s="244"/>
      <c r="AVT39" s="244"/>
      <c r="AVU39" s="244"/>
      <c r="AVV39" s="244"/>
      <c r="AVW39" s="244"/>
      <c r="AVX39" s="244"/>
      <c r="AVY39" s="244"/>
      <c r="AVZ39" s="244"/>
      <c r="AWA39" s="244"/>
      <c r="AWB39" s="244"/>
      <c r="AWC39" s="244"/>
      <c r="AWD39" s="244"/>
      <c r="AWE39" s="244"/>
      <c r="AWF39" s="244"/>
      <c r="AWG39" s="244"/>
      <c r="AWH39" s="244"/>
      <c r="AWI39" s="244"/>
      <c r="AWJ39" s="244"/>
      <c r="AWK39" s="244"/>
      <c r="AWL39" s="244"/>
      <c r="AWM39" s="244"/>
      <c r="AWN39" s="244"/>
      <c r="AWO39" s="244"/>
      <c r="AWP39" s="244"/>
      <c r="AWQ39" s="244"/>
      <c r="AWR39" s="244"/>
      <c r="AWS39" s="244"/>
      <c r="AWT39" s="244"/>
      <c r="AWU39" s="244"/>
      <c r="AWV39" s="244"/>
      <c r="AWW39" s="244"/>
      <c r="AWX39" s="244"/>
      <c r="AWY39" s="244"/>
      <c r="AWZ39" s="244"/>
      <c r="AXA39" s="244"/>
      <c r="AXB39" s="244"/>
      <c r="AXC39" s="244"/>
      <c r="AXD39" s="244"/>
      <c r="AXE39" s="244"/>
      <c r="AXF39" s="244"/>
      <c r="AXG39" s="244"/>
      <c r="AXH39" s="244"/>
      <c r="AXI39" s="244"/>
      <c r="AXJ39" s="244"/>
      <c r="AXK39" s="244"/>
      <c r="AXL39" s="244"/>
      <c r="AXM39" s="244"/>
      <c r="AXN39" s="244"/>
      <c r="AXO39" s="244"/>
      <c r="AXP39" s="244"/>
      <c r="AXQ39" s="244"/>
      <c r="AXR39" s="244"/>
      <c r="AXS39" s="244"/>
      <c r="AXT39" s="244"/>
      <c r="AXU39" s="244"/>
      <c r="AXV39" s="244"/>
      <c r="AXW39" s="244"/>
      <c r="AXX39" s="244"/>
      <c r="AXY39" s="244"/>
      <c r="AXZ39" s="244"/>
      <c r="AYA39" s="244"/>
      <c r="AYB39" s="244"/>
      <c r="AYC39" s="244"/>
      <c r="AYD39" s="244"/>
      <c r="AYE39" s="244"/>
      <c r="AYF39" s="244"/>
      <c r="AYG39" s="244"/>
      <c r="AYH39" s="244"/>
      <c r="AYI39" s="244"/>
      <c r="AYJ39" s="244"/>
      <c r="AYK39" s="244"/>
      <c r="AYL39" s="244"/>
      <c r="AYM39" s="244"/>
      <c r="AYN39" s="244"/>
      <c r="AYO39" s="244"/>
      <c r="AYP39" s="244"/>
      <c r="AYQ39" s="244"/>
      <c r="AYR39" s="244"/>
      <c r="AYS39" s="244"/>
      <c r="AYT39" s="244"/>
      <c r="AYU39" s="244"/>
      <c r="AYV39" s="244"/>
      <c r="AYW39" s="244"/>
      <c r="AYX39" s="244"/>
      <c r="AYY39" s="244"/>
      <c r="AYZ39" s="244"/>
      <c r="AZA39" s="244"/>
      <c r="AZB39" s="244"/>
      <c r="AZC39" s="244"/>
      <c r="AZD39" s="244"/>
      <c r="AZE39" s="244"/>
      <c r="AZF39" s="244"/>
      <c r="AZG39" s="244"/>
      <c r="AZH39" s="244"/>
      <c r="AZI39" s="244"/>
      <c r="AZJ39" s="244"/>
      <c r="AZK39" s="244"/>
      <c r="AZL39" s="244"/>
      <c r="AZM39" s="244"/>
      <c r="AZN39" s="244"/>
      <c r="AZO39" s="244"/>
      <c r="AZP39" s="244"/>
      <c r="AZQ39" s="244"/>
      <c r="AZR39" s="244"/>
      <c r="AZS39" s="244"/>
      <c r="AZT39" s="244"/>
      <c r="AZU39" s="244"/>
      <c r="AZV39" s="244"/>
      <c r="AZW39" s="244"/>
      <c r="AZX39" s="244"/>
      <c r="AZY39" s="244"/>
      <c r="AZZ39" s="244"/>
      <c r="BAA39" s="244"/>
      <c r="BAB39" s="244"/>
      <c r="BAC39" s="244"/>
      <c r="BAD39" s="244"/>
      <c r="BAE39" s="244"/>
      <c r="BAF39" s="244"/>
      <c r="BAG39" s="244"/>
      <c r="BAH39" s="244"/>
      <c r="BAI39" s="244"/>
      <c r="BAJ39" s="244"/>
      <c r="BAK39" s="244"/>
      <c r="BAL39" s="244"/>
      <c r="BAM39" s="244"/>
      <c r="BAN39" s="244"/>
      <c r="BAO39" s="244"/>
      <c r="BAP39" s="244"/>
      <c r="BAQ39" s="244"/>
      <c r="BAR39" s="244"/>
      <c r="BAS39" s="244"/>
      <c r="BAT39" s="244"/>
      <c r="BAU39" s="244"/>
      <c r="BAV39" s="244"/>
      <c r="BAW39" s="244"/>
      <c r="BAX39" s="244"/>
      <c r="BAY39" s="244"/>
      <c r="BAZ39" s="244"/>
      <c r="BBA39" s="244"/>
      <c r="BBB39" s="244"/>
      <c r="BBC39" s="244"/>
      <c r="BBD39" s="244"/>
      <c r="BBE39" s="244"/>
      <c r="BBF39" s="244"/>
      <c r="BBG39" s="244"/>
      <c r="BBH39" s="244"/>
      <c r="BBI39" s="244"/>
      <c r="BBJ39" s="244"/>
      <c r="BBK39" s="244"/>
      <c r="BBL39" s="244"/>
      <c r="BBM39" s="244"/>
      <c r="BBN39" s="244"/>
      <c r="BBO39" s="244"/>
      <c r="BBP39" s="244"/>
      <c r="BBQ39" s="244"/>
      <c r="BBR39" s="244"/>
      <c r="BBS39" s="244"/>
      <c r="BBT39" s="244"/>
      <c r="BBU39" s="244"/>
      <c r="BBV39" s="244"/>
      <c r="BBW39" s="244"/>
      <c r="BBX39" s="244"/>
      <c r="BBY39" s="244"/>
      <c r="BBZ39" s="244"/>
      <c r="BCA39" s="244"/>
      <c r="BCB39" s="244"/>
      <c r="BCC39" s="244"/>
      <c r="BCD39" s="244"/>
      <c r="BCE39" s="244"/>
      <c r="BCF39" s="244"/>
      <c r="BCG39" s="244"/>
      <c r="BCH39" s="244"/>
      <c r="BCI39" s="244"/>
      <c r="BCJ39" s="244"/>
      <c r="BCK39" s="244"/>
      <c r="BCL39" s="244"/>
      <c r="BCM39" s="244"/>
      <c r="BCN39" s="244"/>
      <c r="BCO39" s="244"/>
      <c r="BCP39" s="244"/>
      <c r="BCQ39" s="244"/>
      <c r="BCR39" s="244"/>
      <c r="BCS39" s="244"/>
      <c r="BCT39" s="244"/>
      <c r="BCU39" s="244"/>
      <c r="BCV39" s="244"/>
      <c r="BCW39" s="244"/>
      <c r="BCX39" s="244"/>
      <c r="BCY39" s="244"/>
      <c r="BCZ39" s="244"/>
      <c r="BDA39" s="244"/>
      <c r="BDB39" s="244"/>
      <c r="BDC39" s="244"/>
      <c r="BDD39" s="244"/>
      <c r="BDE39" s="244"/>
      <c r="BDF39" s="244"/>
      <c r="BDG39" s="244"/>
      <c r="BDH39" s="244"/>
      <c r="BDI39" s="244"/>
      <c r="BDJ39" s="244"/>
      <c r="BDK39" s="244"/>
      <c r="BDL39" s="244"/>
      <c r="BDM39" s="244"/>
      <c r="BDN39" s="244"/>
      <c r="BDO39" s="244"/>
      <c r="BDP39" s="244"/>
      <c r="BDQ39" s="244"/>
      <c r="BDR39" s="244"/>
      <c r="BDS39" s="244"/>
      <c r="BDT39" s="244"/>
      <c r="BDU39" s="244"/>
      <c r="BDV39" s="244"/>
      <c r="BDW39" s="244"/>
      <c r="BDX39" s="244"/>
      <c r="BDY39" s="244"/>
      <c r="BDZ39" s="244"/>
      <c r="BEA39" s="244"/>
      <c r="BEB39" s="244"/>
      <c r="BEC39" s="244"/>
      <c r="BED39" s="244"/>
      <c r="BEE39" s="244"/>
      <c r="BEF39" s="244"/>
      <c r="BEG39" s="244"/>
      <c r="BEH39" s="244"/>
      <c r="BEI39" s="244"/>
      <c r="BEJ39" s="244"/>
      <c r="BEK39" s="244"/>
      <c r="BEL39" s="244"/>
      <c r="BEM39" s="244"/>
      <c r="BEN39" s="244"/>
      <c r="BEO39" s="244"/>
      <c r="BEP39" s="244"/>
      <c r="BEQ39" s="244"/>
      <c r="BER39" s="244"/>
      <c r="BES39" s="244"/>
      <c r="BET39" s="244"/>
      <c r="BEU39" s="244"/>
      <c r="BEV39" s="244"/>
      <c r="BEW39" s="244"/>
      <c r="BEX39" s="244"/>
      <c r="BEY39" s="244"/>
      <c r="BEZ39" s="244"/>
      <c r="BFA39" s="244"/>
      <c r="BFB39" s="244"/>
      <c r="BFC39" s="244"/>
      <c r="BFD39" s="244"/>
      <c r="BFE39" s="244"/>
      <c r="BFF39" s="244"/>
      <c r="BFG39" s="244"/>
      <c r="BFH39" s="244"/>
      <c r="BFI39" s="244"/>
      <c r="BFJ39" s="244"/>
      <c r="BFK39" s="244"/>
      <c r="BFL39" s="244"/>
      <c r="BFM39" s="244"/>
      <c r="BFN39" s="244"/>
      <c r="BFO39" s="244"/>
      <c r="BFP39" s="244"/>
      <c r="BFQ39" s="244"/>
      <c r="BFR39" s="244"/>
      <c r="BFS39" s="244"/>
      <c r="BFT39" s="244"/>
      <c r="BFU39" s="244"/>
      <c r="BFV39" s="244"/>
      <c r="BFW39" s="244"/>
      <c r="BFX39" s="244"/>
      <c r="BFY39" s="244"/>
      <c r="BFZ39" s="244"/>
      <c r="BGA39" s="244"/>
      <c r="BGB39" s="244"/>
      <c r="BGC39" s="244"/>
      <c r="BGD39" s="244"/>
      <c r="BGE39" s="244"/>
      <c r="BGF39" s="244"/>
      <c r="BGG39" s="244"/>
      <c r="BGH39" s="244"/>
      <c r="BGI39" s="244"/>
      <c r="BGJ39" s="244"/>
      <c r="BGK39" s="244"/>
      <c r="BGL39" s="244"/>
      <c r="BGM39" s="244"/>
      <c r="BGN39" s="244"/>
      <c r="BGO39" s="244"/>
      <c r="BGP39" s="244"/>
      <c r="BGQ39" s="244"/>
      <c r="BGR39" s="244"/>
      <c r="BGS39" s="244"/>
      <c r="BGT39" s="244"/>
      <c r="BGU39" s="244"/>
      <c r="BGV39" s="244"/>
      <c r="BGW39" s="244"/>
      <c r="BGX39" s="244"/>
      <c r="BGY39" s="244"/>
      <c r="BGZ39" s="244"/>
      <c r="BHA39" s="244"/>
      <c r="BHB39" s="244"/>
      <c r="BHC39" s="244"/>
      <c r="BHD39" s="244"/>
      <c r="BHE39" s="244"/>
      <c r="BHF39" s="244"/>
      <c r="BHG39" s="244"/>
      <c r="BHH39" s="244"/>
      <c r="BHI39" s="244"/>
      <c r="BHJ39" s="244"/>
      <c r="BHK39" s="244"/>
      <c r="BHL39" s="244"/>
      <c r="BHM39" s="244"/>
      <c r="BHN39" s="244"/>
      <c r="BHO39" s="244"/>
      <c r="BHP39" s="244"/>
      <c r="BHQ39" s="244"/>
      <c r="BHR39" s="244"/>
      <c r="BHS39" s="244"/>
      <c r="BHT39" s="244"/>
      <c r="BHU39" s="244"/>
      <c r="BHV39" s="244"/>
      <c r="BHW39" s="244"/>
      <c r="BHX39" s="244"/>
      <c r="BHY39" s="244"/>
      <c r="BHZ39" s="244"/>
      <c r="BIA39" s="244"/>
      <c r="BIB39" s="244"/>
      <c r="BIC39" s="244"/>
      <c r="BID39" s="244"/>
      <c r="BIE39" s="244"/>
      <c r="BIF39" s="244"/>
      <c r="BIG39" s="244"/>
      <c r="BIH39" s="244"/>
      <c r="BII39" s="244"/>
      <c r="BIJ39" s="244"/>
      <c r="BIK39" s="244"/>
      <c r="BIL39" s="244"/>
      <c r="BIM39" s="244"/>
      <c r="BIN39" s="244"/>
      <c r="BIO39" s="244"/>
      <c r="BIP39" s="244"/>
      <c r="BIQ39" s="244"/>
      <c r="BIR39" s="244"/>
      <c r="BIS39" s="244"/>
      <c r="BIT39" s="244"/>
      <c r="BIU39" s="244"/>
      <c r="BIV39" s="244"/>
      <c r="BIW39" s="244"/>
      <c r="BIX39" s="244"/>
      <c r="BIY39" s="244"/>
      <c r="BIZ39" s="244"/>
      <c r="BJA39" s="244"/>
      <c r="BJB39" s="244"/>
      <c r="BJC39" s="244"/>
      <c r="BJD39" s="244"/>
      <c r="BJE39" s="244"/>
      <c r="BJF39" s="244"/>
      <c r="BJG39" s="244"/>
      <c r="BJH39" s="244"/>
      <c r="BJI39" s="244"/>
      <c r="BJJ39" s="244"/>
      <c r="BJK39" s="244"/>
      <c r="BJL39" s="244"/>
      <c r="BJM39" s="244"/>
      <c r="BJN39" s="244"/>
      <c r="BJO39" s="244"/>
      <c r="BJP39" s="244"/>
      <c r="BJQ39" s="244"/>
      <c r="BJR39" s="244"/>
      <c r="BJS39" s="244"/>
      <c r="BJT39" s="244"/>
      <c r="BJU39" s="244"/>
      <c r="BJV39" s="244"/>
      <c r="BJW39" s="244"/>
      <c r="BJX39" s="244"/>
      <c r="BJY39" s="244"/>
      <c r="BJZ39" s="244"/>
      <c r="BKA39" s="244"/>
      <c r="BKB39" s="244"/>
      <c r="BKC39" s="244"/>
      <c r="BKD39" s="244"/>
      <c r="BKE39" s="244"/>
      <c r="BKF39" s="244"/>
      <c r="BKG39" s="244"/>
      <c r="BKH39" s="244"/>
      <c r="BKI39" s="244"/>
      <c r="BKJ39" s="244"/>
      <c r="BKK39" s="244"/>
      <c r="BKL39" s="244"/>
      <c r="BKM39" s="244"/>
      <c r="BKN39" s="244"/>
      <c r="BKO39" s="244"/>
      <c r="BKP39" s="244"/>
      <c r="BKQ39" s="244"/>
      <c r="BKR39" s="244"/>
      <c r="BKS39" s="244"/>
      <c r="BKT39" s="244"/>
      <c r="BKU39" s="244"/>
      <c r="BKV39" s="244"/>
      <c r="BKW39" s="244"/>
      <c r="BKX39" s="244"/>
      <c r="BKY39" s="244"/>
      <c r="BKZ39" s="244"/>
      <c r="BLA39" s="244"/>
      <c r="BLB39" s="244"/>
      <c r="BLC39" s="244"/>
      <c r="BLD39" s="244"/>
      <c r="BLE39" s="244"/>
      <c r="BLF39" s="244"/>
      <c r="BLG39" s="244"/>
      <c r="BLH39" s="244"/>
      <c r="BLI39" s="244"/>
      <c r="BLJ39" s="244"/>
      <c r="BLK39" s="244"/>
      <c r="BLL39" s="244"/>
      <c r="BLM39" s="244"/>
      <c r="BLN39" s="244"/>
      <c r="BLO39" s="244"/>
      <c r="BLP39" s="244"/>
      <c r="BLQ39" s="244"/>
      <c r="BLR39" s="244"/>
      <c r="BLS39" s="244"/>
      <c r="BLT39" s="244"/>
      <c r="BLU39" s="244"/>
      <c r="BLV39" s="244"/>
      <c r="BLW39" s="244"/>
      <c r="BLX39" s="244"/>
      <c r="BLY39" s="244"/>
      <c r="BLZ39" s="244"/>
      <c r="BMA39" s="244"/>
      <c r="BMB39" s="244"/>
      <c r="BMC39" s="244"/>
      <c r="BMD39" s="244"/>
      <c r="BME39" s="244"/>
      <c r="BMF39" s="244"/>
      <c r="BMG39" s="244"/>
      <c r="BMH39" s="244"/>
      <c r="BMI39" s="244"/>
      <c r="BMJ39" s="244"/>
      <c r="BMK39" s="244"/>
      <c r="BML39" s="244"/>
      <c r="BMM39" s="244"/>
      <c r="BMN39" s="244"/>
      <c r="BMO39" s="244"/>
      <c r="BMP39" s="244"/>
      <c r="BMQ39" s="244"/>
      <c r="BMR39" s="244"/>
      <c r="BMS39" s="244"/>
      <c r="BMT39" s="244"/>
      <c r="BMU39" s="244"/>
      <c r="BMV39" s="244"/>
      <c r="BMW39" s="244"/>
      <c r="BMX39" s="244"/>
      <c r="BMY39" s="244"/>
      <c r="BMZ39" s="244"/>
      <c r="BNA39" s="244"/>
      <c r="BNB39" s="244"/>
      <c r="BNC39" s="244"/>
      <c r="BND39" s="244"/>
      <c r="BNE39" s="244"/>
      <c r="BNF39" s="244"/>
      <c r="BNG39" s="244"/>
      <c r="BNH39" s="244"/>
      <c r="BNI39" s="244"/>
      <c r="BNJ39" s="244"/>
      <c r="BNK39" s="244"/>
      <c r="BNL39" s="244"/>
      <c r="BNM39" s="244"/>
      <c r="BNN39" s="244"/>
      <c r="BNO39" s="244"/>
      <c r="BNP39" s="244"/>
      <c r="BNQ39" s="244"/>
      <c r="BNR39" s="244"/>
      <c r="BNS39" s="244"/>
      <c r="BNT39" s="244"/>
      <c r="BNU39" s="244"/>
      <c r="BNV39" s="244"/>
      <c r="BNW39" s="244"/>
      <c r="BNX39" s="244"/>
      <c r="BNY39" s="244"/>
      <c r="BNZ39" s="244"/>
      <c r="BOA39" s="244"/>
      <c r="BOB39" s="244"/>
      <c r="BOC39" s="244"/>
      <c r="BOD39" s="244"/>
      <c r="BOE39" s="244"/>
      <c r="BOF39" s="244"/>
      <c r="BOG39" s="244"/>
      <c r="BOH39" s="244"/>
      <c r="BOI39" s="244"/>
      <c r="BOJ39" s="244"/>
      <c r="BOK39" s="244"/>
      <c r="BOL39" s="244"/>
      <c r="BOM39" s="244"/>
      <c r="BON39" s="244"/>
      <c r="BOO39" s="244"/>
      <c r="BOP39" s="244"/>
      <c r="BOQ39" s="244"/>
      <c r="BOR39" s="244"/>
      <c r="BOS39" s="244"/>
      <c r="BOT39" s="244"/>
      <c r="BOU39" s="244"/>
      <c r="BOV39" s="244"/>
      <c r="BOW39" s="244"/>
      <c r="BOX39" s="244"/>
      <c r="BOY39" s="244"/>
      <c r="BOZ39" s="244"/>
      <c r="BPA39" s="244"/>
      <c r="BPB39" s="244"/>
      <c r="BPC39" s="244"/>
      <c r="BPD39" s="244"/>
      <c r="BPE39" s="244"/>
      <c r="BPF39" s="244"/>
      <c r="BPG39" s="244"/>
      <c r="BPH39" s="244"/>
      <c r="BPI39" s="244"/>
      <c r="BPJ39" s="244"/>
      <c r="BPK39" s="244"/>
      <c r="BPL39" s="244"/>
      <c r="BPM39" s="244"/>
      <c r="BPN39" s="244"/>
      <c r="BPO39" s="244"/>
      <c r="BPP39" s="244"/>
      <c r="BPQ39" s="244"/>
      <c r="BPR39" s="244"/>
      <c r="BPS39" s="244"/>
      <c r="BPT39" s="244"/>
      <c r="BPU39" s="244"/>
      <c r="BPV39" s="244"/>
      <c r="BPW39" s="244"/>
      <c r="BPX39" s="244"/>
      <c r="BPY39" s="244"/>
      <c r="BPZ39" s="244"/>
      <c r="BQA39" s="244"/>
      <c r="BQB39" s="244"/>
      <c r="BQC39" s="244"/>
      <c r="BQD39" s="244"/>
      <c r="BQE39" s="244"/>
      <c r="BQF39" s="244"/>
      <c r="BQG39" s="244"/>
      <c r="BQH39" s="244"/>
      <c r="BQI39" s="244"/>
      <c r="BQJ39" s="244"/>
      <c r="BQK39" s="244"/>
      <c r="BQL39" s="244"/>
      <c r="BQM39" s="244"/>
      <c r="BQN39" s="244"/>
      <c r="BQO39" s="244"/>
      <c r="BQP39" s="244"/>
      <c r="BQQ39" s="244"/>
      <c r="BQR39" s="244"/>
      <c r="BQS39" s="244"/>
      <c r="BQT39" s="244"/>
      <c r="BQU39" s="244"/>
      <c r="BQV39" s="244"/>
      <c r="BQW39" s="244"/>
      <c r="BQX39" s="244"/>
      <c r="BQY39" s="244"/>
      <c r="BQZ39" s="244"/>
      <c r="BRA39" s="244"/>
      <c r="BRB39" s="244"/>
      <c r="BRC39" s="244"/>
      <c r="BRD39" s="244"/>
      <c r="BRE39" s="244"/>
      <c r="BRF39" s="244"/>
      <c r="BRG39" s="244"/>
      <c r="BRH39" s="244"/>
      <c r="BRI39" s="244"/>
      <c r="BRJ39" s="244"/>
      <c r="BRK39" s="244"/>
      <c r="BRL39" s="244"/>
      <c r="BRM39" s="244"/>
      <c r="BRN39" s="244"/>
      <c r="BRO39" s="244"/>
      <c r="BRP39" s="244"/>
      <c r="BRQ39" s="244"/>
      <c r="BRR39" s="244"/>
      <c r="BRS39" s="244"/>
      <c r="BRT39" s="244"/>
      <c r="BRU39" s="244"/>
      <c r="BRV39" s="244"/>
      <c r="BRW39" s="244"/>
      <c r="BRX39" s="244"/>
      <c r="BRY39" s="244"/>
      <c r="BRZ39" s="244"/>
      <c r="BSA39" s="244"/>
      <c r="BSB39" s="244"/>
      <c r="BSC39" s="244"/>
      <c r="BSD39" s="244"/>
      <c r="BSE39" s="244"/>
      <c r="BSF39" s="244"/>
      <c r="BSG39" s="244"/>
      <c r="BSH39" s="244"/>
      <c r="BSI39" s="244"/>
      <c r="BSJ39" s="244"/>
      <c r="BSK39" s="244"/>
      <c r="BSL39" s="244"/>
      <c r="BSM39" s="244"/>
      <c r="BSN39" s="244"/>
      <c r="BSO39" s="244"/>
      <c r="BSP39" s="244"/>
      <c r="BSQ39" s="244"/>
      <c r="BSR39" s="244"/>
      <c r="BSS39" s="244"/>
      <c r="BST39" s="244"/>
      <c r="BSU39" s="244"/>
      <c r="BSV39" s="244"/>
      <c r="BSW39" s="244"/>
      <c r="BSX39" s="244"/>
      <c r="BSY39" s="244"/>
      <c r="BSZ39" s="244"/>
      <c r="BTA39" s="244"/>
      <c r="BTB39" s="244"/>
      <c r="BTC39" s="244"/>
      <c r="BTD39" s="244"/>
      <c r="BTE39" s="244"/>
      <c r="BTF39" s="244"/>
      <c r="BTG39" s="244"/>
      <c r="BTH39" s="244"/>
      <c r="BTI39" s="244"/>
      <c r="BTJ39" s="244"/>
      <c r="BTK39" s="244"/>
      <c r="BTL39" s="244"/>
      <c r="BTM39" s="244"/>
      <c r="BTN39" s="244"/>
      <c r="BTO39" s="244"/>
      <c r="BTP39" s="244"/>
      <c r="BTQ39" s="244"/>
      <c r="BTR39" s="244"/>
      <c r="BTS39" s="244"/>
      <c r="BTT39" s="244"/>
      <c r="BTU39" s="244"/>
      <c r="BTV39" s="244"/>
      <c r="BTW39" s="244"/>
      <c r="BTX39" s="244"/>
      <c r="BTY39" s="244"/>
      <c r="BTZ39" s="244"/>
      <c r="BUA39" s="244"/>
      <c r="BUB39" s="244"/>
      <c r="BUC39" s="244"/>
      <c r="BUD39" s="244"/>
      <c r="BUE39" s="244"/>
      <c r="BUF39" s="244"/>
      <c r="BUG39" s="244"/>
      <c r="BUH39" s="244"/>
      <c r="BUI39" s="244"/>
      <c r="BUJ39" s="244"/>
      <c r="BUK39" s="244"/>
      <c r="BUL39" s="244"/>
      <c r="BUM39" s="244"/>
      <c r="BUN39" s="244"/>
      <c r="BUO39" s="244"/>
      <c r="BUP39" s="244"/>
      <c r="BUQ39" s="244"/>
      <c r="BUR39" s="244"/>
      <c r="BUS39" s="244"/>
      <c r="BUT39" s="244"/>
      <c r="BUU39" s="244"/>
      <c r="BUV39" s="244"/>
      <c r="BUW39" s="244"/>
      <c r="BUX39" s="244"/>
      <c r="BUY39" s="244"/>
      <c r="BUZ39" s="244"/>
      <c r="BVA39" s="244"/>
      <c r="BVB39" s="244"/>
      <c r="BVC39" s="244"/>
      <c r="BVD39" s="244"/>
      <c r="BVE39" s="244"/>
      <c r="BVF39" s="244"/>
      <c r="BVG39" s="244"/>
      <c r="BVH39" s="244"/>
      <c r="BVI39" s="244"/>
      <c r="BVJ39" s="244"/>
      <c r="BVK39" s="244"/>
      <c r="BVL39" s="244"/>
      <c r="BVM39" s="244"/>
      <c r="BVN39" s="244"/>
      <c r="BVO39" s="244"/>
      <c r="BVP39" s="244"/>
      <c r="BVQ39" s="244"/>
      <c r="BVR39" s="244"/>
      <c r="BVS39" s="244"/>
      <c r="BVT39" s="244"/>
      <c r="BVU39" s="244"/>
      <c r="BVV39" s="244"/>
      <c r="BVW39" s="244"/>
      <c r="BVX39" s="244"/>
      <c r="BVY39" s="244"/>
      <c r="BVZ39" s="244"/>
      <c r="BWA39" s="244"/>
      <c r="BWB39" s="244"/>
      <c r="BWC39" s="244"/>
      <c r="BWD39" s="244"/>
      <c r="BWE39" s="244"/>
      <c r="BWF39" s="244"/>
      <c r="BWG39" s="244"/>
      <c r="BWH39" s="244"/>
      <c r="BWI39" s="244"/>
      <c r="BWJ39" s="244"/>
      <c r="BWK39" s="244"/>
      <c r="BWL39" s="244"/>
      <c r="BWM39" s="244"/>
      <c r="BWN39" s="244"/>
      <c r="BWO39" s="244"/>
      <c r="BWP39" s="244"/>
      <c r="BWQ39" s="244"/>
      <c r="BWR39" s="244"/>
      <c r="BWS39" s="244"/>
      <c r="BWT39" s="244"/>
      <c r="BWU39" s="244"/>
      <c r="BWV39" s="244"/>
      <c r="BWW39" s="244"/>
      <c r="BWX39" s="244"/>
      <c r="BWY39" s="244"/>
      <c r="BWZ39" s="244"/>
      <c r="BXA39" s="244"/>
      <c r="BXB39" s="244"/>
      <c r="BXC39" s="244"/>
      <c r="BXD39" s="244"/>
      <c r="BXE39" s="244"/>
      <c r="BXF39" s="244"/>
      <c r="BXG39" s="244"/>
      <c r="BXH39" s="244"/>
      <c r="BXI39" s="244"/>
      <c r="BXJ39" s="244"/>
      <c r="BXK39" s="244"/>
      <c r="BXL39" s="244"/>
      <c r="BXM39" s="244"/>
      <c r="BXN39" s="244"/>
      <c r="BXO39" s="244"/>
      <c r="BXP39" s="244"/>
      <c r="BXQ39" s="244"/>
      <c r="BXR39" s="244"/>
      <c r="BXS39" s="244"/>
      <c r="BXT39" s="244"/>
      <c r="BXU39" s="244"/>
      <c r="BXV39" s="244"/>
      <c r="BXW39" s="244"/>
      <c r="BXX39" s="244"/>
      <c r="BXY39" s="244"/>
      <c r="BXZ39" s="244"/>
      <c r="BYA39" s="244"/>
      <c r="BYB39" s="244"/>
      <c r="BYC39" s="244"/>
      <c r="BYD39" s="244"/>
      <c r="BYE39" s="244"/>
      <c r="BYF39" s="244"/>
      <c r="BYG39" s="244"/>
      <c r="BYH39" s="244"/>
      <c r="BYI39" s="244"/>
      <c r="BYJ39" s="244"/>
      <c r="BYK39" s="244"/>
      <c r="BYL39" s="244"/>
      <c r="BYM39" s="244"/>
      <c r="BYN39" s="244"/>
      <c r="BYO39" s="244"/>
      <c r="BYP39" s="244"/>
      <c r="BYQ39" s="244"/>
      <c r="BYR39" s="244"/>
      <c r="BYS39" s="244"/>
      <c r="BYT39" s="244"/>
      <c r="BYU39" s="244"/>
      <c r="BYV39" s="244"/>
      <c r="BYW39" s="244"/>
      <c r="BYX39" s="244"/>
      <c r="BYY39" s="244"/>
      <c r="BYZ39" s="244"/>
      <c r="BZA39" s="244"/>
      <c r="BZB39" s="244"/>
      <c r="BZC39" s="244"/>
      <c r="BZD39" s="244"/>
      <c r="BZE39" s="244"/>
      <c r="BZF39" s="244"/>
      <c r="BZG39" s="244"/>
      <c r="BZH39" s="244"/>
      <c r="BZI39" s="244"/>
      <c r="BZJ39" s="244"/>
      <c r="BZK39" s="244"/>
      <c r="BZL39" s="244"/>
      <c r="BZM39" s="244"/>
      <c r="BZN39" s="244"/>
      <c r="BZO39" s="244"/>
      <c r="BZP39" s="244"/>
      <c r="BZQ39" s="244"/>
      <c r="BZR39" s="244"/>
      <c r="BZS39" s="244"/>
      <c r="BZT39" s="244"/>
      <c r="BZU39" s="244"/>
      <c r="BZV39" s="244"/>
      <c r="BZW39" s="244"/>
      <c r="BZX39" s="244"/>
      <c r="BZY39" s="244"/>
      <c r="BZZ39" s="244"/>
      <c r="CAA39" s="244"/>
      <c r="CAB39" s="244"/>
      <c r="CAC39" s="244"/>
      <c r="CAD39" s="244"/>
      <c r="CAE39" s="244"/>
      <c r="CAF39" s="244"/>
      <c r="CAG39" s="244"/>
      <c r="CAH39" s="244"/>
      <c r="CAI39" s="244"/>
      <c r="CAJ39" s="244"/>
      <c r="CAK39" s="244"/>
      <c r="CAL39" s="244"/>
      <c r="CAM39" s="244"/>
      <c r="CAN39" s="244"/>
      <c r="CAO39" s="244"/>
      <c r="CAP39" s="244"/>
      <c r="CAQ39" s="244"/>
      <c r="CAR39" s="244"/>
      <c r="CAS39" s="244"/>
      <c r="CAT39" s="244"/>
      <c r="CAU39" s="244"/>
      <c r="CAV39" s="244"/>
      <c r="CAW39" s="244"/>
      <c r="CAX39" s="244"/>
      <c r="CAY39" s="244"/>
      <c r="CAZ39" s="244"/>
      <c r="CBA39" s="244"/>
      <c r="CBB39" s="244"/>
      <c r="CBC39" s="244"/>
      <c r="CBD39" s="244"/>
      <c r="CBE39" s="244"/>
      <c r="CBF39" s="244"/>
      <c r="CBG39" s="244"/>
      <c r="CBH39" s="244"/>
      <c r="CBI39" s="244"/>
      <c r="CBJ39" s="244"/>
      <c r="CBK39" s="244"/>
      <c r="CBL39" s="244"/>
      <c r="CBM39" s="244"/>
      <c r="CBN39" s="244"/>
      <c r="CBO39" s="244"/>
      <c r="CBP39" s="244"/>
      <c r="CBQ39" s="244"/>
      <c r="CBR39" s="244"/>
      <c r="CBS39" s="244"/>
      <c r="CBT39" s="244"/>
      <c r="CBU39" s="244"/>
      <c r="CBV39" s="244"/>
      <c r="CBW39" s="244"/>
      <c r="CBX39" s="244"/>
      <c r="CBY39" s="244"/>
      <c r="CBZ39" s="244"/>
      <c r="CCA39" s="244"/>
      <c r="CCB39" s="244"/>
      <c r="CCC39" s="244"/>
      <c r="CCD39" s="244"/>
      <c r="CCE39" s="244"/>
      <c r="CCF39" s="244"/>
      <c r="CCG39" s="244"/>
      <c r="CCH39" s="244"/>
      <c r="CCI39" s="244"/>
      <c r="CCJ39" s="244"/>
      <c r="CCK39" s="244"/>
      <c r="CCL39" s="244"/>
      <c r="CCM39" s="244"/>
      <c r="CCN39" s="244"/>
      <c r="CCO39" s="244"/>
      <c r="CCP39" s="244"/>
      <c r="CCQ39" s="244"/>
      <c r="CCR39" s="244"/>
      <c r="CCS39" s="244"/>
      <c r="CCT39" s="244"/>
      <c r="CCU39" s="244"/>
      <c r="CCV39" s="244"/>
      <c r="CCW39" s="244"/>
      <c r="CCX39" s="244"/>
      <c r="CCY39" s="244"/>
      <c r="CCZ39" s="244"/>
      <c r="CDA39" s="244"/>
      <c r="CDB39" s="244"/>
      <c r="CDC39" s="244"/>
      <c r="CDD39" s="244"/>
      <c r="CDE39" s="244"/>
      <c r="CDF39" s="244"/>
      <c r="CDG39" s="244"/>
      <c r="CDH39" s="244"/>
      <c r="CDI39" s="244"/>
      <c r="CDJ39" s="244"/>
      <c r="CDK39" s="244"/>
      <c r="CDL39" s="244"/>
      <c r="CDM39" s="244"/>
      <c r="CDN39" s="244"/>
      <c r="CDO39" s="244"/>
      <c r="CDP39" s="244"/>
      <c r="CDQ39" s="244"/>
      <c r="CDR39" s="244"/>
      <c r="CDS39" s="244"/>
      <c r="CDT39" s="244"/>
      <c r="CDU39" s="244"/>
      <c r="CDV39" s="244"/>
      <c r="CDW39" s="244"/>
      <c r="CDX39" s="244"/>
      <c r="CDY39" s="244"/>
      <c r="CDZ39" s="244"/>
      <c r="CEA39" s="244"/>
      <c r="CEB39" s="244"/>
      <c r="CEC39" s="244"/>
      <c r="CED39" s="244"/>
      <c r="CEE39" s="244"/>
      <c r="CEF39" s="244"/>
      <c r="CEG39" s="244"/>
      <c r="CEH39" s="244"/>
      <c r="CEI39" s="244"/>
      <c r="CEJ39" s="244"/>
      <c r="CEK39" s="244"/>
      <c r="CEL39" s="244"/>
      <c r="CEM39" s="244"/>
      <c r="CEN39" s="244"/>
      <c r="CEO39" s="244"/>
      <c r="CEP39" s="244"/>
      <c r="CEQ39" s="244"/>
      <c r="CER39" s="244"/>
      <c r="CES39" s="244"/>
      <c r="CET39" s="244"/>
      <c r="CEU39" s="244"/>
      <c r="CEV39" s="244"/>
      <c r="CEW39" s="244"/>
      <c r="CEX39" s="244"/>
      <c r="CEY39" s="244"/>
      <c r="CEZ39" s="244"/>
      <c r="CFA39" s="244"/>
      <c r="CFB39" s="244"/>
      <c r="CFC39" s="244"/>
      <c r="CFD39" s="244"/>
      <c r="CFE39" s="244"/>
      <c r="CFF39" s="244"/>
      <c r="CFG39" s="244"/>
      <c r="CFH39" s="244"/>
      <c r="CFI39" s="244"/>
      <c r="CFJ39" s="244"/>
      <c r="CFK39" s="244"/>
      <c r="CFL39" s="244"/>
      <c r="CFM39" s="244"/>
      <c r="CFN39" s="244"/>
      <c r="CFO39" s="244"/>
      <c r="CFP39" s="244"/>
      <c r="CFQ39" s="244"/>
      <c r="CFR39" s="244"/>
      <c r="CFS39" s="244"/>
      <c r="CFT39" s="244"/>
      <c r="CFU39" s="244"/>
      <c r="CFV39" s="244"/>
      <c r="CFW39" s="244"/>
      <c r="CFX39" s="244"/>
      <c r="CFY39" s="244"/>
      <c r="CFZ39" s="244"/>
      <c r="CGA39" s="244"/>
      <c r="CGB39" s="244"/>
      <c r="CGC39" s="244"/>
      <c r="CGD39" s="244"/>
      <c r="CGE39" s="244"/>
      <c r="CGF39" s="244"/>
      <c r="CGG39" s="244"/>
      <c r="CGH39" s="244"/>
      <c r="CGI39" s="244"/>
      <c r="CGJ39" s="244"/>
      <c r="CGK39" s="244"/>
      <c r="CGL39" s="244"/>
      <c r="CGM39" s="244"/>
      <c r="CGN39" s="244"/>
      <c r="CGO39" s="244"/>
      <c r="CGP39" s="244"/>
      <c r="CGQ39" s="244"/>
      <c r="CGR39" s="244"/>
      <c r="CGS39" s="244"/>
      <c r="CGT39" s="244"/>
      <c r="CGU39" s="244"/>
      <c r="CGV39" s="244"/>
      <c r="CGW39" s="244"/>
      <c r="CGX39" s="244"/>
      <c r="CGY39" s="244"/>
      <c r="CGZ39" s="244"/>
      <c r="CHA39" s="244"/>
      <c r="CHB39" s="244"/>
      <c r="CHC39" s="244"/>
      <c r="CHD39" s="244"/>
      <c r="CHE39" s="244"/>
      <c r="CHF39" s="244"/>
      <c r="CHG39" s="244"/>
      <c r="CHH39" s="244"/>
      <c r="CHI39" s="244"/>
      <c r="CHJ39" s="244"/>
      <c r="CHK39" s="244"/>
      <c r="CHL39" s="244"/>
      <c r="CHM39" s="244"/>
      <c r="CHN39" s="244"/>
      <c r="CHO39" s="244"/>
      <c r="CHP39" s="244"/>
      <c r="CHQ39" s="244"/>
      <c r="CHR39" s="244"/>
      <c r="CHS39" s="244"/>
      <c r="CHT39" s="244"/>
      <c r="CHU39" s="244"/>
      <c r="CHV39" s="244"/>
      <c r="CHW39" s="244"/>
      <c r="CHX39" s="244"/>
      <c r="CHY39" s="244"/>
      <c r="CHZ39" s="244"/>
      <c r="CIA39" s="244"/>
      <c r="CIB39" s="244"/>
      <c r="CIC39" s="244"/>
      <c r="CID39" s="244"/>
      <c r="CIE39" s="244"/>
      <c r="CIF39" s="244"/>
      <c r="CIG39" s="244"/>
      <c r="CIH39" s="244"/>
      <c r="CII39" s="244"/>
      <c r="CIJ39" s="244"/>
      <c r="CIK39" s="244"/>
      <c r="CIL39" s="244"/>
      <c r="CIM39" s="244"/>
      <c r="CIN39" s="244"/>
      <c r="CIO39" s="244"/>
      <c r="CIP39" s="244"/>
      <c r="CIQ39" s="244"/>
      <c r="CIR39" s="244"/>
      <c r="CIS39" s="244"/>
      <c r="CIT39" s="244"/>
      <c r="CIU39" s="244"/>
      <c r="CIV39" s="244"/>
      <c r="CIW39" s="244"/>
      <c r="CIX39" s="244"/>
      <c r="CIY39" s="244"/>
      <c r="CIZ39" s="244"/>
      <c r="CJA39" s="244"/>
      <c r="CJB39" s="244"/>
      <c r="CJC39" s="244"/>
      <c r="CJD39" s="244"/>
      <c r="CJE39" s="244"/>
      <c r="CJF39" s="244"/>
      <c r="CJG39" s="244"/>
      <c r="CJH39" s="244"/>
      <c r="CJI39" s="244"/>
      <c r="CJJ39" s="244"/>
      <c r="CJK39" s="244"/>
      <c r="CJL39" s="244"/>
      <c r="CJM39" s="244"/>
      <c r="CJN39" s="244"/>
      <c r="CJO39" s="244"/>
      <c r="CJP39" s="244"/>
      <c r="CJQ39" s="244"/>
      <c r="CJR39" s="244"/>
      <c r="CJS39" s="244"/>
      <c r="CJT39" s="244"/>
      <c r="CJU39" s="244"/>
      <c r="CJV39" s="244"/>
      <c r="CJW39" s="244"/>
      <c r="CJX39" s="244"/>
      <c r="CJY39" s="244"/>
      <c r="CJZ39" s="244"/>
      <c r="CKA39" s="244"/>
      <c r="CKB39" s="244"/>
      <c r="CKC39" s="244"/>
      <c r="CKD39" s="244"/>
      <c r="CKE39" s="244"/>
      <c r="CKF39" s="244"/>
      <c r="CKG39" s="244"/>
      <c r="CKH39" s="244"/>
      <c r="CKI39" s="244"/>
      <c r="CKJ39" s="244"/>
      <c r="CKK39" s="244"/>
      <c r="CKL39" s="244"/>
      <c r="CKM39" s="244"/>
      <c r="CKN39" s="244"/>
      <c r="CKO39" s="244"/>
      <c r="CKP39" s="244"/>
      <c r="CKQ39" s="244"/>
      <c r="CKR39" s="244"/>
      <c r="CKS39" s="244"/>
      <c r="CKT39" s="244"/>
      <c r="CKU39" s="244"/>
      <c r="CKV39" s="244"/>
      <c r="CKW39" s="244"/>
      <c r="CKX39" s="244"/>
      <c r="CKY39" s="244"/>
      <c r="CKZ39" s="244"/>
      <c r="CLA39" s="244"/>
      <c r="CLB39" s="244"/>
      <c r="CLC39" s="244"/>
      <c r="CLD39" s="244"/>
      <c r="CLE39" s="244"/>
      <c r="CLF39" s="244"/>
      <c r="CLG39" s="244"/>
      <c r="CLH39" s="244"/>
      <c r="CLI39" s="244"/>
      <c r="CLJ39" s="244"/>
      <c r="CLK39" s="244"/>
      <c r="CLL39" s="244"/>
      <c r="CLM39" s="244"/>
      <c r="CLN39" s="244"/>
      <c r="CLO39" s="244"/>
      <c r="CLP39" s="244"/>
      <c r="CLQ39" s="244"/>
      <c r="CLR39" s="244"/>
      <c r="CLS39" s="244"/>
      <c r="CLT39" s="244"/>
      <c r="CLU39" s="244"/>
      <c r="CLV39" s="244"/>
      <c r="CLW39" s="244"/>
      <c r="CLX39" s="244"/>
      <c r="CLY39" s="244"/>
      <c r="CLZ39" s="244"/>
      <c r="CMA39" s="244"/>
      <c r="CMB39" s="244"/>
      <c r="CMC39" s="244"/>
      <c r="CMD39" s="244"/>
      <c r="CME39" s="244"/>
      <c r="CMF39" s="244"/>
      <c r="CMG39" s="244"/>
      <c r="CMH39" s="244"/>
      <c r="CMI39" s="244"/>
      <c r="CMJ39" s="244"/>
      <c r="CMK39" s="244"/>
      <c r="CML39" s="244"/>
      <c r="CMM39" s="244"/>
      <c r="CMN39" s="244"/>
      <c r="CMO39" s="244"/>
      <c r="CMP39" s="244"/>
      <c r="CMQ39" s="244"/>
      <c r="CMR39" s="244"/>
      <c r="CMS39" s="244"/>
      <c r="CMT39" s="244"/>
      <c r="CMU39" s="244"/>
      <c r="CMV39" s="244"/>
      <c r="CMW39" s="244"/>
      <c r="CMX39" s="244"/>
      <c r="CMY39" s="244"/>
      <c r="CMZ39" s="244"/>
      <c r="CNA39" s="244"/>
      <c r="CNB39" s="244"/>
      <c r="CNC39" s="244"/>
      <c r="CND39" s="244"/>
      <c r="CNE39" s="244"/>
      <c r="CNF39" s="244"/>
      <c r="CNG39" s="244"/>
      <c r="CNH39" s="244"/>
      <c r="CNI39" s="244"/>
      <c r="CNJ39" s="244"/>
      <c r="CNK39" s="244"/>
      <c r="CNL39" s="244"/>
      <c r="CNM39" s="244"/>
      <c r="CNN39" s="244"/>
      <c r="CNO39" s="244"/>
      <c r="CNP39" s="244"/>
      <c r="CNQ39" s="244"/>
      <c r="CNR39" s="244"/>
      <c r="CNS39" s="244"/>
      <c r="CNT39" s="244"/>
      <c r="CNU39" s="244"/>
      <c r="CNV39" s="244"/>
      <c r="CNW39" s="244"/>
      <c r="CNX39" s="244"/>
      <c r="CNY39" s="244"/>
      <c r="CNZ39" s="244"/>
      <c r="COA39" s="244"/>
      <c r="COB39" s="244"/>
      <c r="COC39" s="244"/>
      <c r="COD39" s="244"/>
      <c r="COE39" s="244"/>
      <c r="COF39" s="244"/>
      <c r="COG39" s="244"/>
      <c r="COH39" s="244"/>
      <c r="COI39" s="244"/>
      <c r="COJ39" s="244"/>
      <c r="COK39" s="244"/>
      <c r="COL39" s="244"/>
      <c r="COM39" s="244"/>
      <c r="CON39" s="244"/>
      <c r="COO39" s="244"/>
      <c r="COP39" s="244"/>
      <c r="COQ39" s="244"/>
      <c r="COR39" s="244"/>
      <c r="COS39" s="244"/>
      <c r="COT39" s="244"/>
      <c r="COU39" s="244"/>
      <c r="COV39" s="244"/>
      <c r="COW39" s="244"/>
      <c r="COX39" s="244"/>
      <c r="COY39" s="244"/>
      <c r="COZ39" s="244"/>
      <c r="CPA39" s="244"/>
      <c r="CPB39" s="244"/>
      <c r="CPC39" s="244"/>
      <c r="CPD39" s="244"/>
      <c r="CPE39" s="244"/>
      <c r="CPF39" s="244"/>
      <c r="CPG39" s="244"/>
      <c r="CPH39" s="244"/>
      <c r="CPI39" s="244"/>
      <c r="CPJ39" s="244"/>
      <c r="CPK39" s="244"/>
      <c r="CPL39" s="244"/>
      <c r="CPM39" s="244"/>
      <c r="CPN39" s="244"/>
      <c r="CPO39" s="244"/>
      <c r="CPP39" s="244"/>
      <c r="CPQ39" s="244"/>
      <c r="CPR39" s="244"/>
      <c r="CPS39" s="244"/>
      <c r="CPT39" s="244"/>
      <c r="CPU39" s="244"/>
      <c r="CPV39" s="244"/>
      <c r="CPW39" s="244"/>
      <c r="CPX39" s="244"/>
      <c r="CPY39" s="244"/>
      <c r="CPZ39" s="244"/>
      <c r="CQA39" s="244"/>
      <c r="CQB39" s="244"/>
      <c r="CQC39" s="244"/>
      <c r="CQD39" s="244"/>
      <c r="CQE39" s="244"/>
      <c r="CQF39" s="244"/>
      <c r="CQG39" s="244"/>
      <c r="CQH39" s="244"/>
      <c r="CQI39" s="244"/>
      <c r="CQJ39" s="244"/>
      <c r="CQK39" s="244"/>
      <c r="CQL39" s="244"/>
      <c r="CQM39" s="244"/>
      <c r="CQN39" s="244"/>
      <c r="CQO39" s="244"/>
      <c r="CQP39" s="244"/>
      <c r="CQQ39" s="244"/>
      <c r="CQR39" s="244"/>
      <c r="CQS39" s="244"/>
      <c r="CQT39" s="244"/>
      <c r="CQU39" s="244"/>
      <c r="CQV39" s="244"/>
      <c r="CQW39" s="244"/>
      <c r="CQX39" s="244"/>
      <c r="CQY39" s="244"/>
      <c r="CQZ39" s="244"/>
      <c r="CRA39" s="244"/>
      <c r="CRB39" s="244"/>
      <c r="CRC39" s="244"/>
      <c r="CRD39" s="244"/>
      <c r="CRE39" s="244"/>
      <c r="CRF39" s="244"/>
      <c r="CRG39" s="244"/>
      <c r="CRH39" s="244"/>
      <c r="CRI39" s="244"/>
      <c r="CRJ39" s="244"/>
      <c r="CRK39" s="244"/>
      <c r="CRL39" s="244"/>
      <c r="CRM39" s="244"/>
      <c r="CRN39" s="244"/>
      <c r="CRO39" s="244"/>
      <c r="CRP39" s="244"/>
      <c r="CRQ39" s="244"/>
      <c r="CRR39" s="244"/>
      <c r="CRS39" s="244"/>
      <c r="CRT39" s="244"/>
      <c r="CRU39" s="244"/>
      <c r="CRV39" s="244"/>
      <c r="CRW39" s="244"/>
      <c r="CRX39" s="244"/>
      <c r="CRY39" s="244"/>
      <c r="CRZ39" s="244"/>
      <c r="CSA39" s="244"/>
      <c r="CSB39" s="244"/>
      <c r="CSC39" s="244"/>
      <c r="CSD39" s="244"/>
      <c r="CSE39" s="244"/>
      <c r="CSF39" s="244"/>
      <c r="CSG39" s="244"/>
      <c r="CSH39" s="244"/>
      <c r="CSI39" s="244"/>
      <c r="CSJ39" s="244"/>
      <c r="CSK39" s="244"/>
      <c r="CSL39" s="244"/>
      <c r="CSM39" s="244"/>
      <c r="CSN39" s="244"/>
      <c r="CSO39" s="244"/>
      <c r="CSP39" s="244"/>
      <c r="CSQ39" s="244"/>
      <c r="CSR39" s="244"/>
      <c r="CSS39" s="244"/>
      <c r="CST39" s="244"/>
      <c r="CSU39" s="244"/>
      <c r="CSV39" s="244"/>
      <c r="CSW39" s="244"/>
      <c r="CSX39" s="244"/>
      <c r="CSY39" s="244"/>
      <c r="CSZ39" s="244"/>
      <c r="CTA39" s="244"/>
      <c r="CTB39" s="244"/>
      <c r="CTC39" s="244"/>
      <c r="CTD39" s="244"/>
      <c r="CTE39" s="244"/>
      <c r="CTF39" s="244"/>
      <c r="CTG39" s="244"/>
      <c r="CTH39" s="244"/>
      <c r="CTI39" s="244"/>
      <c r="CTJ39" s="244"/>
      <c r="CTK39" s="244"/>
      <c r="CTL39" s="244"/>
      <c r="CTM39" s="244"/>
      <c r="CTN39" s="244"/>
      <c r="CTO39" s="244"/>
      <c r="CTP39" s="244"/>
      <c r="CTQ39" s="244"/>
      <c r="CTR39" s="244"/>
      <c r="CTS39" s="244"/>
      <c r="CTT39" s="244"/>
      <c r="CTU39" s="244"/>
      <c r="CTV39" s="244"/>
      <c r="CTW39" s="244"/>
      <c r="CTX39" s="244"/>
      <c r="CTY39" s="244"/>
      <c r="CTZ39" s="244"/>
      <c r="CUA39" s="244"/>
      <c r="CUB39" s="244"/>
      <c r="CUC39" s="244"/>
      <c r="CUD39" s="244"/>
      <c r="CUE39" s="244"/>
      <c r="CUF39" s="244"/>
      <c r="CUG39" s="244"/>
      <c r="CUH39" s="244"/>
      <c r="CUI39" s="244"/>
      <c r="CUJ39" s="244"/>
      <c r="CUK39" s="244"/>
      <c r="CUL39" s="244"/>
      <c r="CUM39" s="244"/>
      <c r="CUN39" s="244"/>
      <c r="CUO39" s="244"/>
      <c r="CUP39" s="244"/>
      <c r="CUQ39" s="244"/>
      <c r="CUR39" s="244"/>
      <c r="CUS39" s="244"/>
      <c r="CUT39" s="244"/>
      <c r="CUU39" s="244"/>
      <c r="CUV39" s="244"/>
      <c r="CUW39" s="244"/>
      <c r="CUX39" s="244"/>
      <c r="CUY39" s="244"/>
      <c r="CUZ39" s="244"/>
      <c r="CVA39" s="244"/>
      <c r="CVB39" s="244"/>
      <c r="CVC39" s="244"/>
      <c r="CVD39" s="244"/>
      <c r="CVE39" s="244"/>
      <c r="CVF39" s="244"/>
      <c r="CVG39" s="244"/>
      <c r="CVH39" s="244"/>
      <c r="CVI39" s="244"/>
      <c r="CVJ39" s="244"/>
      <c r="CVK39" s="244"/>
      <c r="CVL39" s="244"/>
      <c r="CVM39" s="244"/>
      <c r="CVN39" s="244"/>
      <c r="CVO39" s="244"/>
      <c r="CVP39" s="244"/>
      <c r="CVQ39" s="244"/>
      <c r="CVR39" s="244"/>
      <c r="CVS39" s="244"/>
      <c r="CVT39" s="244"/>
      <c r="CVU39" s="244"/>
      <c r="CVV39" s="244"/>
      <c r="CVW39" s="244"/>
      <c r="CVX39" s="244"/>
      <c r="CVY39" s="244"/>
      <c r="CVZ39" s="244"/>
      <c r="CWA39" s="244"/>
      <c r="CWB39" s="244"/>
      <c r="CWC39" s="244"/>
      <c r="CWD39" s="244"/>
      <c r="CWE39" s="244"/>
      <c r="CWF39" s="244"/>
      <c r="CWG39" s="244"/>
      <c r="CWH39" s="244"/>
      <c r="CWI39" s="244"/>
      <c r="CWJ39" s="244"/>
      <c r="CWK39" s="244"/>
      <c r="CWL39" s="244"/>
      <c r="CWM39" s="244"/>
      <c r="CWN39" s="244"/>
      <c r="CWO39" s="244"/>
      <c r="CWP39" s="244"/>
      <c r="CWQ39" s="244"/>
      <c r="CWR39" s="244"/>
      <c r="CWS39" s="244"/>
      <c r="CWT39" s="244"/>
      <c r="CWU39" s="244"/>
      <c r="CWV39" s="244"/>
      <c r="CWW39" s="244"/>
      <c r="CWX39" s="244"/>
      <c r="CWY39" s="244"/>
      <c r="CWZ39" s="244"/>
      <c r="CXA39" s="244"/>
      <c r="CXB39" s="244"/>
      <c r="CXC39" s="244"/>
      <c r="CXD39" s="244"/>
      <c r="CXE39" s="244"/>
      <c r="CXF39" s="244"/>
      <c r="CXG39" s="244"/>
      <c r="CXH39" s="244"/>
      <c r="CXI39" s="244"/>
      <c r="CXJ39" s="244"/>
      <c r="CXK39" s="244"/>
      <c r="CXL39" s="244"/>
      <c r="CXM39" s="244"/>
      <c r="CXN39" s="244"/>
      <c r="CXO39" s="244"/>
      <c r="CXP39" s="244"/>
      <c r="CXQ39" s="244"/>
      <c r="CXR39" s="244"/>
      <c r="CXS39" s="244"/>
      <c r="CXT39" s="244"/>
      <c r="CXU39" s="244"/>
      <c r="CXV39" s="244"/>
      <c r="CXW39" s="244"/>
      <c r="CXX39" s="244"/>
      <c r="CXY39" s="244"/>
      <c r="CXZ39" s="244"/>
      <c r="CYA39" s="244"/>
      <c r="CYB39" s="244"/>
      <c r="CYC39" s="244"/>
      <c r="CYD39" s="244"/>
      <c r="CYE39" s="244"/>
      <c r="CYF39" s="244"/>
      <c r="CYG39" s="244"/>
      <c r="CYH39" s="244"/>
      <c r="CYI39" s="244"/>
      <c r="CYJ39" s="244"/>
      <c r="CYK39" s="244"/>
      <c r="CYL39" s="244"/>
      <c r="CYM39" s="244"/>
      <c r="CYN39" s="244"/>
      <c r="CYO39" s="244"/>
      <c r="CYP39" s="244"/>
      <c r="CYQ39" s="244"/>
      <c r="CYR39" s="244"/>
      <c r="CYS39" s="244"/>
      <c r="CYT39" s="244"/>
      <c r="CYU39" s="244"/>
      <c r="CYV39" s="244"/>
      <c r="CYW39" s="244"/>
      <c r="CYX39" s="244"/>
      <c r="CYY39" s="244"/>
      <c r="CYZ39" s="244"/>
      <c r="CZA39" s="244"/>
      <c r="CZB39" s="244"/>
      <c r="CZC39" s="244"/>
      <c r="CZD39" s="244"/>
      <c r="CZE39" s="244"/>
      <c r="CZF39" s="244"/>
      <c r="CZG39" s="244"/>
      <c r="CZH39" s="244"/>
      <c r="CZI39" s="244"/>
      <c r="CZJ39" s="244"/>
      <c r="CZK39" s="244"/>
      <c r="CZL39" s="244"/>
      <c r="CZM39" s="244"/>
      <c r="CZN39" s="244"/>
      <c r="CZO39" s="244"/>
      <c r="CZP39" s="244"/>
      <c r="CZQ39" s="244"/>
      <c r="CZR39" s="244"/>
      <c r="CZS39" s="244"/>
      <c r="CZT39" s="244"/>
      <c r="CZU39" s="244"/>
      <c r="CZV39" s="244"/>
      <c r="CZW39" s="244"/>
      <c r="CZX39" s="244"/>
      <c r="CZY39" s="244"/>
      <c r="CZZ39" s="244"/>
      <c r="DAA39" s="244"/>
      <c r="DAB39" s="244"/>
      <c r="DAC39" s="244"/>
      <c r="DAD39" s="244"/>
      <c r="DAE39" s="244"/>
      <c r="DAF39" s="244"/>
      <c r="DAG39" s="244"/>
      <c r="DAH39" s="244"/>
      <c r="DAI39" s="244"/>
      <c r="DAJ39" s="244"/>
      <c r="DAK39" s="244"/>
      <c r="DAL39" s="244"/>
      <c r="DAM39" s="244"/>
      <c r="DAN39" s="244"/>
      <c r="DAO39" s="244"/>
      <c r="DAP39" s="244"/>
      <c r="DAQ39" s="244"/>
      <c r="DAR39" s="244"/>
      <c r="DAS39" s="244"/>
      <c r="DAT39" s="244"/>
      <c r="DAU39" s="244"/>
      <c r="DAV39" s="244"/>
      <c r="DAW39" s="244"/>
      <c r="DAX39" s="244"/>
      <c r="DAY39" s="244"/>
      <c r="DAZ39" s="244"/>
      <c r="DBA39" s="244"/>
      <c r="DBB39" s="244"/>
      <c r="DBC39" s="244"/>
      <c r="DBD39" s="244"/>
      <c r="DBE39" s="244"/>
      <c r="DBF39" s="244"/>
      <c r="DBG39" s="244"/>
      <c r="DBH39" s="244"/>
      <c r="DBI39" s="244"/>
      <c r="DBJ39" s="244"/>
      <c r="DBK39" s="244"/>
      <c r="DBL39" s="244"/>
      <c r="DBM39" s="244"/>
      <c r="DBN39" s="244"/>
      <c r="DBO39" s="244"/>
      <c r="DBP39" s="244"/>
      <c r="DBQ39" s="244"/>
      <c r="DBR39" s="244"/>
      <c r="DBS39" s="244"/>
      <c r="DBT39" s="244"/>
      <c r="DBU39" s="244"/>
      <c r="DBV39" s="244"/>
      <c r="DBW39" s="244"/>
      <c r="DBX39" s="244"/>
      <c r="DBY39" s="244"/>
      <c r="DBZ39" s="244"/>
      <c r="DCA39" s="244"/>
      <c r="DCB39" s="244"/>
      <c r="DCC39" s="244"/>
      <c r="DCD39" s="244"/>
      <c r="DCE39" s="244"/>
      <c r="DCF39" s="244"/>
      <c r="DCG39" s="244"/>
      <c r="DCH39" s="244"/>
      <c r="DCI39" s="244"/>
      <c r="DCJ39" s="244"/>
      <c r="DCK39" s="244"/>
      <c r="DCL39" s="244"/>
      <c r="DCM39" s="244"/>
      <c r="DCN39" s="244"/>
      <c r="DCO39" s="244"/>
      <c r="DCP39" s="244"/>
      <c r="DCQ39" s="244"/>
      <c r="DCR39" s="244"/>
      <c r="DCS39" s="244"/>
      <c r="DCT39" s="244"/>
      <c r="DCU39" s="244"/>
      <c r="DCV39" s="244"/>
      <c r="DCW39" s="244"/>
      <c r="DCX39" s="244"/>
      <c r="DCY39" s="244"/>
      <c r="DCZ39" s="244"/>
      <c r="DDA39" s="244"/>
      <c r="DDB39" s="244"/>
      <c r="DDC39" s="244"/>
      <c r="DDD39" s="244"/>
      <c r="DDE39" s="244"/>
      <c r="DDF39" s="244"/>
      <c r="DDG39" s="244"/>
      <c r="DDH39" s="244"/>
      <c r="DDI39" s="244"/>
      <c r="DDJ39" s="244"/>
      <c r="DDK39" s="244"/>
      <c r="DDL39" s="244"/>
      <c r="DDM39" s="244"/>
      <c r="DDN39" s="244"/>
      <c r="DDO39" s="244"/>
      <c r="DDP39" s="244"/>
      <c r="DDQ39" s="244"/>
      <c r="DDR39" s="244"/>
      <c r="DDS39" s="244"/>
      <c r="DDT39" s="244"/>
      <c r="DDU39" s="244"/>
      <c r="DDV39" s="244"/>
      <c r="DDW39" s="244"/>
      <c r="DDX39" s="244"/>
      <c r="DDY39" s="244"/>
      <c r="DDZ39" s="244"/>
      <c r="DEA39" s="244"/>
      <c r="DEB39" s="244"/>
      <c r="DEC39" s="244"/>
      <c r="DED39" s="244"/>
      <c r="DEE39" s="244"/>
      <c r="DEF39" s="244"/>
      <c r="DEG39" s="244"/>
      <c r="DEH39" s="244"/>
      <c r="DEI39" s="244"/>
      <c r="DEJ39" s="244"/>
      <c r="DEK39" s="244"/>
      <c r="DEL39" s="244"/>
      <c r="DEM39" s="244"/>
      <c r="DEN39" s="244"/>
      <c r="DEO39" s="244"/>
      <c r="DEP39" s="244"/>
      <c r="DEQ39" s="244"/>
      <c r="DER39" s="244"/>
      <c r="DES39" s="244"/>
      <c r="DET39" s="244"/>
      <c r="DEU39" s="244"/>
      <c r="DEV39" s="244"/>
      <c r="DEW39" s="244"/>
      <c r="DEX39" s="244"/>
      <c r="DEY39" s="244"/>
      <c r="DEZ39" s="244"/>
      <c r="DFA39" s="244"/>
      <c r="DFB39" s="244"/>
      <c r="DFC39" s="244"/>
      <c r="DFD39" s="244"/>
      <c r="DFE39" s="244"/>
      <c r="DFF39" s="244"/>
      <c r="DFG39" s="244"/>
      <c r="DFH39" s="244"/>
      <c r="DFI39" s="244"/>
      <c r="DFJ39" s="244"/>
      <c r="DFK39" s="244"/>
      <c r="DFL39" s="244"/>
      <c r="DFM39" s="244"/>
      <c r="DFN39" s="244"/>
      <c r="DFO39" s="244"/>
      <c r="DFP39" s="244"/>
      <c r="DFQ39" s="244"/>
      <c r="DFR39" s="244"/>
      <c r="DFS39" s="244"/>
      <c r="DFT39" s="244"/>
      <c r="DFU39" s="244"/>
      <c r="DFV39" s="244"/>
      <c r="DFW39" s="244"/>
      <c r="DFX39" s="244"/>
      <c r="DFY39" s="244"/>
      <c r="DFZ39" s="244"/>
      <c r="DGA39" s="244"/>
      <c r="DGB39" s="244"/>
      <c r="DGC39" s="244"/>
      <c r="DGD39" s="244"/>
      <c r="DGE39" s="244"/>
      <c r="DGF39" s="244"/>
      <c r="DGG39" s="244"/>
      <c r="DGH39" s="244"/>
      <c r="DGI39" s="244"/>
      <c r="DGJ39" s="244"/>
      <c r="DGK39" s="244"/>
      <c r="DGL39" s="244"/>
      <c r="DGM39" s="244"/>
      <c r="DGN39" s="244"/>
      <c r="DGO39" s="244"/>
      <c r="DGP39" s="244"/>
      <c r="DGQ39" s="244"/>
      <c r="DGR39" s="244"/>
      <c r="DGS39" s="244"/>
      <c r="DGT39" s="244"/>
      <c r="DGU39" s="244"/>
      <c r="DGV39" s="244"/>
      <c r="DGW39" s="244"/>
      <c r="DGX39" s="244"/>
      <c r="DGY39" s="244"/>
      <c r="DGZ39" s="244"/>
      <c r="DHA39" s="244"/>
      <c r="DHB39" s="244"/>
      <c r="DHC39" s="244"/>
      <c r="DHD39" s="244"/>
      <c r="DHE39" s="244"/>
      <c r="DHF39" s="244"/>
      <c r="DHG39" s="244"/>
      <c r="DHH39" s="244"/>
      <c r="DHI39" s="244"/>
      <c r="DHJ39" s="244"/>
      <c r="DHK39" s="244"/>
      <c r="DHL39" s="244"/>
      <c r="DHM39" s="244"/>
      <c r="DHN39" s="244"/>
      <c r="DHO39" s="244"/>
      <c r="DHP39" s="244"/>
      <c r="DHQ39" s="244"/>
      <c r="DHR39" s="244"/>
      <c r="DHS39" s="244"/>
      <c r="DHT39" s="244"/>
      <c r="DHU39" s="244"/>
      <c r="DHV39" s="244"/>
      <c r="DHW39" s="244"/>
      <c r="DHX39" s="244"/>
      <c r="DHY39" s="244"/>
      <c r="DHZ39" s="244"/>
      <c r="DIA39" s="244"/>
      <c r="DIB39" s="244"/>
      <c r="DIC39" s="244"/>
      <c r="DID39" s="244"/>
      <c r="DIE39" s="244"/>
      <c r="DIF39" s="244"/>
      <c r="DIG39" s="244"/>
      <c r="DIH39" s="244"/>
      <c r="DII39" s="244"/>
      <c r="DIJ39" s="244"/>
      <c r="DIK39" s="244"/>
      <c r="DIL39" s="244"/>
      <c r="DIM39" s="244"/>
      <c r="DIN39" s="244"/>
      <c r="DIO39" s="244"/>
      <c r="DIP39" s="244"/>
      <c r="DIQ39" s="244"/>
      <c r="DIR39" s="244"/>
      <c r="DIS39" s="244"/>
      <c r="DIT39" s="244"/>
      <c r="DIU39" s="244"/>
      <c r="DIV39" s="244"/>
      <c r="DIW39" s="244"/>
      <c r="DIX39" s="244"/>
      <c r="DIY39" s="244"/>
      <c r="DIZ39" s="244"/>
      <c r="DJA39" s="244"/>
      <c r="DJB39" s="244"/>
      <c r="DJC39" s="244"/>
      <c r="DJD39" s="244"/>
      <c r="DJE39" s="244"/>
      <c r="DJF39" s="244"/>
      <c r="DJG39" s="244"/>
      <c r="DJH39" s="244"/>
      <c r="DJI39" s="244"/>
      <c r="DJJ39" s="244"/>
      <c r="DJK39" s="244"/>
      <c r="DJL39" s="244"/>
      <c r="DJM39" s="244"/>
      <c r="DJN39" s="244"/>
      <c r="DJO39" s="244"/>
      <c r="DJP39" s="244"/>
      <c r="DJQ39" s="244"/>
      <c r="DJR39" s="244"/>
      <c r="DJS39" s="244"/>
      <c r="DJT39" s="244"/>
      <c r="DJU39" s="244"/>
      <c r="DJV39" s="244"/>
      <c r="DJW39" s="244"/>
      <c r="DJX39" s="244"/>
      <c r="DJY39" s="244"/>
      <c r="DJZ39" s="244"/>
      <c r="DKA39" s="244"/>
      <c r="DKB39" s="244"/>
      <c r="DKC39" s="244"/>
      <c r="DKD39" s="244"/>
      <c r="DKE39" s="244"/>
      <c r="DKF39" s="244"/>
      <c r="DKG39" s="244"/>
      <c r="DKH39" s="244"/>
      <c r="DKI39" s="244"/>
      <c r="DKJ39" s="244"/>
      <c r="DKK39" s="244"/>
      <c r="DKL39" s="244"/>
      <c r="DKM39" s="244"/>
      <c r="DKN39" s="244"/>
      <c r="DKO39" s="244"/>
      <c r="DKP39" s="244"/>
      <c r="DKQ39" s="244"/>
      <c r="DKR39" s="244"/>
      <c r="DKS39" s="244"/>
      <c r="DKT39" s="244"/>
      <c r="DKU39" s="244"/>
      <c r="DKV39" s="244"/>
      <c r="DKW39" s="244"/>
      <c r="DKX39" s="244"/>
      <c r="DKY39" s="244"/>
      <c r="DKZ39" s="244"/>
      <c r="DLA39" s="244"/>
      <c r="DLB39" s="244"/>
      <c r="DLC39" s="244"/>
      <c r="DLD39" s="244"/>
      <c r="DLE39" s="244"/>
      <c r="DLF39" s="244"/>
      <c r="DLG39" s="244"/>
      <c r="DLH39" s="244"/>
      <c r="DLI39" s="244"/>
      <c r="DLJ39" s="244"/>
      <c r="DLK39" s="244"/>
      <c r="DLL39" s="244"/>
      <c r="DLM39" s="244"/>
      <c r="DLN39" s="244"/>
      <c r="DLO39" s="244"/>
      <c r="DLP39" s="244"/>
      <c r="DLQ39" s="244"/>
      <c r="DLR39" s="244"/>
      <c r="DLS39" s="244"/>
      <c r="DLT39" s="244"/>
      <c r="DLU39" s="244"/>
      <c r="DLV39" s="244"/>
      <c r="DLW39" s="244"/>
      <c r="DLX39" s="244"/>
      <c r="DLY39" s="244"/>
      <c r="DLZ39" s="244"/>
      <c r="DMA39" s="244"/>
      <c r="DMB39" s="244"/>
      <c r="DMC39" s="244"/>
      <c r="DMD39" s="244"/>
      <c r="DME39" s="244"/>
      <c r="DMF39" s="244"/>
      <c r="DMG39" s="244"/>
      <c r="DMH39" s="244"/>
      <c r="DMI39" s="244"/>
      <c r="DMJ39" s="244"/>
      <c r="DMK39" s="244"/>
      <c r="DML39" s="244"/>
      <c r="DMM39" s="244"/>
      <c r="DMN39" s="244"/>
      <c r="DMO39" s="244"/>
      <c r="DMP39" s="244"/>
      <c r="DMQ39" s="244"/>
      <c r="DMR39" s="244"/>
      <c r="DMS39" s="244"/>
      <c r="DMT39" s="244"/>
      <c r="DMU39" s="244"/>
      <c r="DMV39" s="244"/>
      <c r="DMW39" s="244"/>
      <c r="DMX39" s="244"/>
      <c r="DMY39" s="244"/>
      <c r="DMZ39" s="244"/>
      <c r="DNA39" s="244"/>
      <c r="DNB39" s="244"/>
      <c r="DNC39" s="244"/>
      <c r="DND39" s="244"/>
      <c r="DNE39" s="244"/>
      <c r="DNF39" s="244"/>
      <c r="DNG39" s="244"/>
      <c r="DNH39" s="244"/>
      <c r="DNI39" s="244"/>
      <c r="DNJ39" s="244"/>
      <c r="DNK39" s="244"/>
      <c r="DNL39" s="244"/>
      <c r="DNM39" s="244"/>
      <c r="DNN39" s="244"/>
      <c r="DNO39" s="244"/>
      <c r="DNP39" s="244"/>
      <c r="DNQ39" s="244"/>
      <c r="DNR39" s="244"/>
      <c r="DNS39" s="244"/>
      <c r="DNT39" s="244"/>
      <c r="DNU39" s="244"/>
      <c r="DNV39" s="244"/>
      <c r="DNW39" s="244"/>
      <c r="DNX39" s="244"/>
      <c r="DNY39" s="244"/>
      <c r="DNZ39" s="244"/>
      <c r="DOA39" s="244"/>
      <c r="DOB39" s="244"/>
      <c r="DOC39" s="244"/>
      <c r="DOD39" s="244"/>
      <c r="DOE39" s="244"/>
      <c r="DOF39" s="244"/>
      <c r="DOG39" s="244"/>
      <c r="DOH39" s="244"/>
      <c r="DOI39" s="244"/>
      <c r="DOJ39" s="244"/>
      <c r="DOK39" s="244"/>
      <c r="DOL39" s="244"/>
      <c r="DOM39" s="244"/>
      <c r="DON39" s="244"/>
      <c r="DOO39" s="244"/>
      <c r="DOP39" s="244"/>
      <c r="DOQ39" s="244"/>
      <c r="DOR39" s="244"/>
      <c r="DOS39" s="244"/>
      <c r="DOT39" s="244"/>
      <c r="DOU39" s="244"/>
      <c r="DOV39" s="244"/>
      <c r="DOW39" s="244"/>
      <c r="DOX39" s="244"/>
      <c r="DOY39" s="244"/>
      <c r="DOZ39" s="244"/>
      <c r="DPA39" s="244"/>
      <c r="DPB39" s="244"/>
      <c r="DPC39" s="244"/>
      <c r="DPD39" s="244"/>
      <c r="DPE39" s="244"/>
      <c r="DPF39" s="244"/>
      <c r="DPG39" s="244"/>
      <c r="DPH39" s="244"/>
      <c r="DPI39" s="244"/>
      <c r="DPJ39" s="244"/>
      <c r="DPK39" s="244"/>
      <c r="DPL39" s="244"/>
      <c r="DPM39" s="244"/>
      <c r="DPN39" s="244"/>
      <c r="DPO39" s="244"/>
      <c r="DPP39" s="244"/>
      <c r="DPQ39" s="244"/>
      <c r="DPR39" s="244"/>
      <c r="DPS39" s="244"/>
      <c r="DPT39" s="244"/>
      <c r="DPU39" s="244"/>
      <c r="DPV39" s="244"/>
      <c r="DPW39" s="244"/>
      <c r="DPX39" s="244"/>
      <c r="DPY39" s="244"/>
      <c r="DPZ39" s="244"/>
      <c r="DQA39" s="244"/>
      <c r="DQB39" s="244"/>
      <c r="DQC39" s="244"/>
      <c r="DQD39" s="244"/>
      <c r="DQE39" s="244"/>
      <c r="DQF39" s="244"/>
      <c r="DQG39" s="244"/>
      <c r="DQH39" s="244"/>
      <c r="DQI39" s="244"/>
      <c r="DQJ39" s="244"/>
      <c r="DQK39" s="244"/>
      <c r="DQL39" s="244"/>
      <c r="DQM39" s="244"/>
      <c r="DQN39" s="244"/>
      <c r="DQO39" s="244"/>
      <c r="DQP39" s="244"/>
      <c r="DQQ39" s="244"/>
      <c r="DQR39" s="244"/>
      <c r="DQS39" s="244"/>
      <c r="DQT39" s="244"/>
      <c r="DQU39" s="244"/>
      <c r="DQV39" s="244"/>
      <c r="DQW39" s="244"/>
      <c r="DQX39" s="244"/>
      <c r="DQY39" s="244"/>
      <c r="DQZ39" s="244"/>
      <c r="DRA39" s="244"/>
      <c r="DRB39" s="244"/>
      <c r="DRC39" s="244"/>
      <c r="DRD39" s="244"/>
      <c r="DRE39" s="244"/>
      <c r="DRF39" s="244"/>
      <c r="DRG39" s="244"/>
      <c r="DRH39" s="244"/>
      <c r="DRI39" s="244"/>
      <c r="DRJ39" s="244"/>
      <c r="DRK39" s="244"/>
      <c r="DRL39" s="244"/>
      <c r="DRM39" s="244"/>
      <c r="DRN39" s="244"/>
      <c r="DRO39" s="244"/>
      <c r="DRP39" s="244"/>
      <c r="DRQ39" s="244"/>
      <c r="DRR39" s="244"/>
      <c r="DRS39" s="244"/>
      <c r="DRT39" s="244"/>
      <c r="DRU39" s="244"/>
      <c r="DRV39" s="244"/>
      <c r="DRW39" s="244"/>
      <c r="DRX39" s="244"/>
      <c r="DRY39" s="244"/>
      <c r="DRZ39" s="244"/>
      <c r="DSA39" s="244"/>
      <c r="DSB39" s="244"/>
      <c r="DSC39" s="244"/>
      <c r="DSD39" s="244"/>
      <c r="DSE39" s="244"/>
      <c r="DSF39" s="244"/>
      <c r="DSG39" s="244"/>
      <c r="DSH39" s="244"/>
      <c r="DSI39" s="244"/>
      <c r="DSJ39" s="244"/>
      <c r="DSK39" s="244"/>
      <c r="DSL39" s="244"/>
      <c r="DSM39" s="244"/>
      <c r="DSN39" s="244"/>
      <c r="DSO39" s="244"/>
      <c r="DSP39" s="244"/>
      <c r="DSQ39" s="244"/>
      <c r="DSR39" s="244"/>
      <c r="DSS39" s="244"/>
      <c r="DST39" s="244"/>
      <c r="DSU39" s="244"/>
      <c r="DSV39" s="244"/>
      <c r="DSW39" s="244"/>
      <c r="DSX39" s="244"/>
      <c r="DSY39" s="244"/>
      <c r="DSZ39" s="244"/>
      <c r="DTA39" s="244"/>
      <c r="DTB39" s="244"/>
      <c r="DTC39" s="244"/>
      <c r="DTD39" s="244"/>
      <c r="DTE39" s="244"/>
      <c r="DTF39" s="244"/>
      <c r="DTG39" s="244"/>
      <c r="DTH39" s="244"/>
      <c r="DTI39" s="244"/>
      <c r="DTJ39" s="244"/>
      <c r="DTK39" s="244"/>
      <c r="DTL39" s="244"/>
      <c r="DTM39" s="244"/>
      <c r="DTN39" s="244"/>
      <c r="DTO39" s="244"/>
      <c r="DTP39" s="244"/>
      <c r="DTQ39" s="244"/>
      <c r="DTR39" s="244"/>
      <c r="DTS39" s="244"/>
      <c r="DTT39" s="244"/>
      <c r="DTU39" s="244"/>
      <c r="DTV39" s="244"/>
      <c r="DTW39" s="244"/>
      <c r="DTX39" s="244"/>
      <c r="DTY39" s="244"/>
      <c r="DTZ39" s="244"/>
      <c r="DUA39" s="244"/>
      <c r="DUB39" s="244"/>
      <c r="DUC39" s="244"/>
      <c r="DUD39" s="244"/>
      <c r="DUE39" s="244"/>
      <c r="DUF39" s="244"/>
      <c r="DUG39" s="244"/>
      <c r="DUH39" s="244"/>
      <c r="DUI39" s="244"/>
      <c r="DUJ39" s="244"/>
      <c r="DUK39" s="244"/>
      <c r="DUL39" s="244"/>
      <c r="DUM39" s="244"/>
      <c r="DUN39" s="244"/>
      <c r="DUO39" s="244"/>
      <c r="DUP39" s="244"/>
      <c r="DUQ39" s="244"/>
      <c r="DUR39" s="244"/>
      <c r="DUS39" s="244"/>
      <c r="DUT39" s="244"/>
      <c r="DUU39" s="244"/>
      <c r="DUV39" s="244"/>
      <c r="DUW39" s="244"/>
      <c r="DUX39" s="244"/>
      <c r="DUY39" s="244"/>
      <c r="DUZ39" s="244"/>
      <c r="DVA39" s="244"/>
      <c r="DVB39" s="244"/>
      <c r="DVC39" s="244"/>
      <c r="DVD39" s="244"/>
      <c r="DVE39" s="244"/>
      <c r="DVF39" s="244"/>
      <c r="DVG39" s="244"/>
      <c r="DVH39" s="244"/>
      <c r="DVI39" s="244"/>
      <c r="DVJ39" s="244"/>
      <c r="DVK39" s="244"/>
      <c r="DVL39" s="244"/>
      <c r="DVM39" s="244"/>
      <c r="DVN39" s="244"/>
      <c r="DVO39" s="244"/>
      <c r="DVP39" s="244"/>
      <c r="DVQ39" s="244"/>
      <c r="DVR39" s="244"/>
      <c r="DVS39" s="244"/>
      <c r="DVT39" s="244"/>
      <c r="DVU39" s="244"/>
      <c r="DVV39" s="244"/>
      <c r="DVW39" s="244"/>
      <c r="DVX39" s="244"/>
      <c r="DVY39" s="244"/>
      <c r="DVZ39" s="244"/>
      <c r="DWA39" s="244"/>
      <c r="DWB39" s="244"/>
      <c r="DWC39" s="244"/>
      <c r="DWD39" s="244"/>
      <c r="DWE39" s="244"/>
      <c r="DWF39" s="244"/>
      <c r="DWG39" s="244"/>
      <c r="DWH39" s="244"/>
      <c r="DWI39" s="244"/>
      <c r="DWJ39" s="244"/>
      <c r="DWK39" s="244"/>
      <c r="DWL39" s="244"/>
      <c r="DWM39" s="244"/>
      <c r="DWN39" s="244"/>
      <c r="DWO39" s="244"/>
      <c r="DWP39" s="244"/>
      <c r="DWQ39" s="244"/>
      <c r="DWR39" s="244"/>
      <c r="DWS39" s="244"/>
      <c r="DWT39" s="244"/>
      <c r="DWU39" s="244"/>
      <c r="DWV39" s="244"/>
      <c r="DWW39" s="244"/>
      <c r="DWX39" s="244"/>
      <c r="DWY39" s="244"/>
      <c r="DWZ39" s="244"/>
      <c r="DXA39" s="244"/>
      <c r="DXB39" s="244"/>
      <c r="DXC39" s="244"/>
      <c r="DXD39" s="244"/>
      <c r="DXE39" s="244"/>
      <c r="DXF39" s="244"/>
      <c r="DXG39" s="244"/>
      <c r="DXH39" s="244"/>
      <c r="DXI39" s="244"/>
      <c r="DXJ39" s="244"/>
      <c r="DXK39" s="244"/>
      <c r="DXL39" s="244"/>
      <c r="DXM39" s="244"/>
      <c r="DXN39" s="244"/>
      <c r="DXO39" s="244"/>
      <c r="DXP39" s="244"/>
      <c r="DXQ39" s="244"/>
      <c r="DXR39" s="244"/>
      <c r="DXS39" s="244"/>
      <c r="DXT39" s="244"/>
      <c r="DXU39" s="244"/>
      <c r="DXV39" s="244"/>
      <c r="DXW39" s="244"/>
      <c r="DXX39" s="244"/>
      <c r="DXY39" s="244"/>
      <c r="DXZ39" s="244"/>
      <c r="DYA39" s="244"/>
      <c r="DYB39" s="244"/>
      <c r="DYC39" s="244"/>
      <c r="DYD39" s="244"/>
      <c r="DYE39" s="244"/>
      <c r="DYF39" s="244"/>
      <c r="DYG39" s="244"/>
      <c r="DYH39" s="244"/>
      <c r="DYI39" s="244"/>
      <c r="DYJ39" s="244"/>
      <c r="DYK39" s="244"/>
      <c r="DYL39" s="244"/>
      <c r="DYM39" s="244"/>
      <c r="DYN39" s="244"/>
      <c r="DYO39" s="244"/>
      <c r="DYP39" s="244"/>
      <c r="DYQ39" s="244"/>
      <c r="DYR39" s="244"/>
      <c r="DYS39" s="244"/>
      <c r="DYT39" s="244"/>
      <c r="DYU39" s="244"/>
      <c r="DYV39" s="244"/>
      <c r="DYW39" s="244"/>
      <c r="DYX39" s="244"/>
      <c r="DYY39" s="244"/>
      <c r="DYZ39" s="244"/>
      <c r="DZA39" s="244"/>
      <c r="DZB39" s="244"/>
      <c r="DZC39" s="244"/>
      <c r="DZD39" s="244"/>
      <c r="DZE39" s="244"/>
      <c r="DZF39" s="244"/>
      <c r="DZG39" s="244"/>
      <c r="DZH39" s="244"/>
      <c r="DZI39" s="244"/>
      <c r="DZJ39" s="244"/>
      <c r="DZK39" s="244"/>
      <c r="DZL39" s="244"/>
      <c r="DZM39" s="244"/>
      <c r="DZN39" s="244"/>
      <c r="DZO39" s="244"/>
      <c r="DZP39" s="244"/>
      <c r="DZQ39" s="244"/>
      <c r="DZR39" s="244"/>
      <c r="DZS39" s="244"/>
      <c r="DZT39" s="244"/>
      <c r="DZU39" s="244"/>
      <c r="DZV39" s="244"/>
      <c r="DZW39" s="244"/>
      <c r="DZX39" s="244"/>
      <c r="DZY39" s="244"/>
      <c r="DZZ39" s="244"/>
      <c r="EAA39" s="244"/>
      <c r="EAB39" s="244"/>
      <c r="EAC39" s="244"/>
      <c r="EAD39" s="244"/>
      <c r="EAE39" s="244"/>
      <c r="EAF39" s="244"/>
      <c r="EAG39" s="244"/>
      <c r="EAH39" s="244"/>
      <c r="EAI39" s="244"/>
      <c r="EAJ39" s="244"/>
      <c r="EAK39" s="244"/>
      <c r="EAL39" s="244"/>
      <c r="EAM39" s="244"/>
      <c r="EAN39" s="244"/>
      <c r="EAO39" s="244"/>
      <c r="EAP39" s="244"/>
      <c r="EAQ39" s="244"/>
      <c r="EAR39" s="244"/>
      <c r="EAS39" s="244"/>
      <c r="EAT39" s="244"/>
      <c r="EAU39" s="244"/>
      <c r="EAV39" s="244"/>
      <c r="EAW39" s="244"/>
      <c r="EAX39" s="244"/>
      <c r="EAY39" s="244"/>
      <c r="EAZ39" s="244"/>
      <c r="EBA39" s="244"/>
      <c r="EBB39" s="244"/>
      <c r="EBC39" s="244"/>
      <c r="EBD39" s="244"/>
      <c r="EBE39" s="244"/>
      <c r="EBF39" s="244"/>
      <c r="EBG39" s="244"/>
      <c r="EBH39" s="244"/>
      <c r="EBI39" s="244"/>
      <c r="EBJ39" s="244"/>
      <c r="EBK39" s="244"/>
      <c r="EBL39" s="244"/>
      <c r="EBM39" s="244"/>
      <c r="EBN39" s="244"/>
      <c r="EBO39" s="244"/>
      <c r="EBP39" s="244"/>
      <c r="EBQ39" s="244"/>
      <c r="EBR39" s="244"/>
      <c r="EBS39" s="244"/>
      <c r="EBT39" s="244"/>
      <c r="EBU39" s="244"/>
      <c r="EBV39" s="244"/>
      <c r="EBW39" s="244"/>
      <c r="EBX39" s="244"/>
      <c r="EBY39" s="244"/>
      <c r="EBZ39" s="244"/>
      <c r="ECA39" s="244"/>
      <c r="ECB39" s="244"/>
      <c r="ECC39" s="244"/>
      <c r="ECD39" s="244"/>
      <c r="ECE39" s="244"/>
      <c r="ECF39" s="244"/>
      <c r="ECG39" s="244"/>
      <c r="ECH39" s="244"/>
      <c r="ECI39" s="244"/>
      <c r="ECJ39" s="244"/>
      <c r="ECK39" s="244"/>
      <c r="ECL39" s="244"/>
      <c r="ECM39" s="244"/>
      <c r="ECN39" s="244"/>
      <c r="ECO39" s="244"/>
      <c r="ECP39" s="244"/>
      <c r="ECQ39" s="244"/>
      <c r="ECR39" s="244"/>
      <c r="ECS39" s="244"/>
      <c r="ECT39" s="244"/>
      <c r="ECU39" s="244"/>
      <c r="ECV39" s="244"/>
      <c r="ECW39" s="244"/>
      <c r="ECX39" s="244"/>
      <c r="ECY39" s="244"/>
      <c r="ECZ39" s="244"/>
      <c r="EDA39" s="244"/>
      <c r="EDB39" s="244"/>
      <c r="EDC39" s="244"/>
      <c r="EDD39" s="244"/>
      <c r="EDE39" s="244"/>
      <c r="EDF39" s="244"/>
      <c r="EDG39" s="244"/>
      <c r="EDH39" s="244"/>
      <c r="EDI39" s="244"/>
      <c r="EDJ39" s="244"/>
      <c r="EDK39" s="244"/>
      <c r="EDL39" s="244"/>
      <c r="EDM39" s="244"/>
      <c r="EDN39" s="244"/>
      <c r="EDO39" s="244"/>
      <c r="EDP39" s="244"/>
      <c r="EDQ39" s="244"/>
      <c r="EDR39" s="244"/>
      <c r="EDS39" s="244"/>
      <c r="EDT39" s="244"/>
      <c r="EDU39" s="244"/>
      <c r="EDV39" s="244"/>
      <c r="EDW39" s="244"/>
      <c r="EDX39" s="244"/>
      <c r="EDY39" s="244"/>
      <c r="EDZ39" s="244"/>
      <c r="EEA39" s="244"/>
      <c r="EEB39" s="244"/>
      <c r="EEC39" s="244"/>
      <c r="EED39" s="244"/>
      <c r="EEE39" s="244"/>
      <c r="EEF39" s="244"/>
      <c r="EEG39" s="244"/>
      <c r="EEH39" s="244"/>
      <c r="EEI39" s="244"/>
      <c r="EEJ39" s="244"/>
      <c r="EEK39" s="244"/>
      <c r="EEL39" s="244"/>
      <c r="EEM39" s="244"/>
      <c r="EEN39" s="244"/>
      <c r="EEO39" s="244"/>
      <c r="EEP39" s="244"/>
      <c r="EEQ39" s="244"/>
      <c r="EER39" s="244"/>
      <c r="EES39" s="244"/>
      <c r="EET39" s="244"/>
      <c r="EEU39" s="244"/>
      <c r="EEV39" s="244"/>
      <c r="EEW39" s="244"/>
      <c r="EEX39" s="244"/>
      <c r="EEY39" s="244"/>
      <c r="EEZ39" s="244"/>
      <c r="EFA39" s="244"/>
      <c r="EFB39" s="244"/>
      <c r="EFC39" s="244"/>
      <c r="EFD39" s="244"/>
      <c r="EFE39" s="244"/>
      <c r="EFF39" s="244"/>
      <c r="EFG39" s="244"/>
      <c r="EFH39" s="244"/>
      <c r="EFI39" s="244"/>
      <c r="EFJ39" s="244"/>
      <c r="EFK39" s="244"/>
      <c r="EFL39" s="244"/>
      <c r="EFM39" s="244"/>
      <c r="EFN39" s="244"/>
      <c r="EFO39" s="244"/>
      <c r="EFP39" s="244"/>
      <c r="EFQ39" s="244"/>
      <c r="EFR39" s="244"/>
      <c r="EFS39" s="244"/>
      <c r="EFT39" s="244"/>
      <c r="EFU39" s="244"/>
      <c r="EFV39" s="244"/>
      <c r="EFW39" s="244"/>
      <c r="EFX39" s="244"/>
      <c r="EFY39" s="244"/>
      <c r="EFZ39" s="244"/>
      <c r="EGA39" s="244"/>
      <c r="EGB39" s="244"/>
      <c r="EGC39" s="244"/>
      <c r="EGD39" s="244"/>
      <c r="EGE39" s="244"/>
      <c r="EGF39" s="244"/>
      <c r="EGG39" s="244"/>
      <c r="EGH39" s="244"/>
      <c r="EGI39" s="244"/>
      <c r="EGJ39" s="244"/>
      <c r="EGK39" s="244"/>
      <c r="EGL39" s="244"/>
      <c r="EGM39" s="244"/>
      <c r="EGN39" s="244"/>
      <c r="EGO39" s="244"/>
      <c r="EGP39" s="244"/>
      <c r="EGQ39" s="244"/>
      <c r="EGR39" s="244"/>
      <c r="EGS39" s="244"/>
      <c r="EGT39" s="244"/>
      <c r="EGU39" s="244"/>
      <c r="EGV39" s="244"/>
      <c r="EGW39" s="244"/>
      <c r="EGX39" s="244"/>
      <c r="EGY39" s="244"/>
      <c r="EGZ39" s="244"/>
      <c r="EHA39" s="244"/>
      <c r="EHB39" s="244"/>
      <c r="EHC39" s="244"/>
      <c r="EHD39" s="244"/>
      <c r="EHE39" s="244"/>
      <c r="EHF39" s="244"/>
      <c r="EHG39" s="244"/>
      <c r="EHH39" s="244"/>
      <c r="EHI39" s="244"/>
      <c r="EHJ39" s="244"/>
      <c r="EHK39" s="244"/>
      <c r="EHL39" s="244"/>
      <c r="EHM39" s="244"/>
      <c r="EHN39" s="244"/>
      <c r="EHO39" s="244"/>
      <c r="EHP39" s="244"/>
      <c r="EHQ39" s="244"/>
      <c r="EHR39" s="244"/>
      <c r="EHS39" s="244"/>
      <c r="EHT39" s="244"/>
      <c r="EHU39" s="244"/>
      <c r="EHV39" s="244"/>
      <c r="EHW39" s="244"/>
      <c r="EHX39" s="244"/>
      <c r="EHY39" s="244"/>
      <c r="EHZ39" s="244"/>
      <c r="EIA39" s="244"/>
      <c r="EIB39" s="244"/>
      <c r="EIC39" s="244"/>
      <c r="EID39" s="244"/>
      <c r="EIE39" s="244"/>
      <c r="EIF39" s="244"/>
      <c r="EIG39" s="244"/>
      <c r="EIH39" s="244"/>
      <c r="EII39" s="244"/>
      <c r="EIJ39" s="244"/>
      <c r="EIK39" s="244"/>
      <c r="EIL39" s="244"/>
      <c r="EIM39" s="244"/>
      <c r="EIN39" s="244"/>
      <c r="EIO39" s="244"/>
      <c r="EIP39" s="244"/>
      <c r="EIQ39" s="244"/>
      <c r="EIR39" s="244"/>
      <c r="EIS39" s="244"/>
      <c r="EIT39" s="244"/>
      <c r="EIU39" s="244"/>
      <c r="EIV39" s="244"/>
      <c r="EIW39" s="244"/>
      <c r="EIX39" s="244"/>
      <c r="EIY39" s="244"/>
      <c r="EIZ39" s="244"/>
      <c r="EJA39" s="244"/>
      <c r="EJB39" s="244"/>
      <c r="EJC39" s="244"/>
      <c r="EJD39" s="244"/>
      <c r="EJE39" s="244"/>
      <c r="EJF39" s="244"/>
      <c r="EJG39" s="244"/>
      <c r="EJH39" s="244"/>
      <c r="EJI39" s="244"/>
      <c r="EJJ39" s="244"/>
      <c r="EJK39" s="244"/>
      <c r="EJL39" s="244"/>
      <c r="EJM39" s="244"/>
      <c r="EJN39" s="244"/>
      <c r="EJO39" s="244"/>
      <c r="EJP39" s="244"/>
      <c r="EJQ39" s="244"/>
      <c r="EJR39" s="244"/>
      <c r="EJS39" s="244"/>
      <c r="EJT39" s="244"/>
      <c r="EJU39" s="244"/>
      <c r="EJV39" s="244"/>
      <c r="EJW39" s="244"/>
      <c r="EJX39" s="244"/>
      <c r="EJY39" s="244"/>
      <c r="EJZ39" s="244"/>
      <c r="EKA39" s="244"/>
      <c r="EKB39" s="244"/>
      <c r="EKC39" s="244"/>
      <c r="EKD39" s="244"/>
      <c r="EKE39" s="244"/>
      <c r="EKF39" s="244"/>
      <c r="EKG39" s="244"/>
      <c r="EKH39" s="244"/>
      <c r="EKI39" s="244"/>
      <c r="EKJ39" s="244"/>
      <c r="EKK39" s="244"/>
      <c r="EKL39" s="244"/>
      <c r="EKM39" s="244"/>
      <c r="EKN39" s="244"/>
      <c r="EKO39" s="244"/>
      <c r="EKP39" s="244"/>
      <c r="EKQ39" s="244"/>
      <c r="EKR39" s="244"/>
      <c r="EKS39" s="244"/>
      <c r="EKT39" s="244"/>
      <c r="EKU39" s="244"/>
      <c r="EKV39" s="244"/>
      <c r="EKW39" s="244"/>
      <c r="EKX39" s="244"/>
      <c r="EKY39" s="244"/>
      <c r="EKZ39" s="244"/>
      <c r="ELA39" s="244"/>
      <c r="ELB39" s="244"/>
      <c r="ELC39" s="244"/>
      <c r="ELD39" s="244"/>
      <c r="ELE39" s="244"/>
      <c r="ELF39" s="244"/>
      <c r="ELG39" s="244"/>
      <c r="ELH39" s="244"/>
      <c r="ELI39" s="244"/>
      <c r="ELJ39" s="244"/>
      <c r="ELK39" s="244"/>
      <c r="ELL39" s="244"/>
      <c r="ELM39" s="244"/>
      <c r="ELN39" s="244"/>
      <c r="ELO39" s="244"/>
      <c r="ELP39" s="244"/>
      <c r="ELQ39" s="244"/>
      <c r="ELR39" s="244"/>
      <c r="ELS39" s="244"/>
      <c r="ELT39" s="244"/>
      <c r="ELU39" s="244"/>
      <c r="ELV39" s="244"/>
      <c r="ELW39" s="244"/>
      <c r="ELX39" s="244"/>
      <c r="ELY39" s="244"/>
      <c r="ELZ39" s="244"/>
      <c r="EMA39" s="244"/>
      <c r="EMB39" s="244"/>
      <c r="EMC39" s="244"/>
      <c r="EMD39" s="244"/>
      <c r="EME39" s="244"/>
      <c r="EMF39" s="244"/>
      <c r="EMG39" s="244"/>
      <c r="EMH39" s="244"/>
      <c r="EMI39" s="244"/>
      <c r="EMJ39" s="244"/>
      <c r="EMK39" s="244"/>
      <c r="EML39" s="244"/>
      <c r="EMM39" s="244"/>
      <c r="EMN39" s="244"/>
      <c r="EMO39" s="244"/>
      <c r="EMP39" s="244"/>
      <c r="EMQ39" s="244"/>
      <c r="EMR39" s="244"/>
      <c r="EMS39" s="244"/>
      <c r="EMT39" s="244"/>
      <c r="EMU39" s="244"/>
      <c r="EMV39" s="244"/>
      <c r="EMW39" s="244"/>
      <c r="EMX39" s="244"/>
      <c r="EMY39" s="244"/>
      <c r="EMZ39" s="244"/>
      <c r="ENA39" s="244"/>
      <c r="ENB39" s="244"/>
      <c r="ENC39" s="244"/>
      <c r="END39" s="244"/>
      <c r="ENE39" s="244"/>
      <c r="ENF39" s="244"/>
      <c r="ENG39" s="244"/>
      <c r="ENH39" s="244"/>
      <c r="ENI39" s="244"/>
      <c r="ENJ39" s="244"/>
      <c r="ENK39" s="244"/>
      <c r="ENL39" s="244"/>
      <c r="ENM39" s="244"/>
      <c r="ENN39" s="244"/>
      <c r="ENO39" s="244"/>
      <c r="ENP39" s="244"/>
      <c r="ENQ39" s="244"/>
      <c r="ENR39" s="244"/>
      <c r="ENS39" s="244"/>
      <c r="ENT39" s="244"/>
      <c r="ENU39" s="244"/>
      <c r="ENV39" s="244"/>
      <c r="ENW39" s="244"/>
      <c r="ENX39" s="244"/>
      <c r="ENY39" s="244"/>
      <c r="ENZ39" s="244"/>
      <c r="EOA39" s="244"/>
      <c r="EOB39" s="244"/>
      <c r="EOC39" s="244"/>
      <c r="EOD39" s="244"/>
      <c r="EOE39" s="244"/>
      <c r="EOF39" s="244"/>
      <c r="EOG39" s="244"/>
      <c r="EOH39" s="244"/>
      <c r="EOI39" s="244"/>
      <c r="EOJ39" s="244"/>
      <c r="EOK39" s="244"/>
      <c r="EOL39" s="244"/>
      <c r="EOM39" s="244"/>
      <c r="EON39" s="244"/>
      <c r="EOO39" s="244"/>
      <c r="EOP39" s="244"/>
      <c r="EOQ39" s="244"/>
      <c r="EOR39" s="244"/>
      <c r="EOS39" s="244"/>
      <c r="EOT39" s="244"/>
      <c r="EOU39" s="244"/>
      <c r="EOV39" s="244"/>
      <c r="EOW39" s="244"/>
      <c r="EOX39" s="244"/>
      <c r="EOY39" s="244"/>
      <c r="EOZ39" s="244"/>
      <c r="EPA39" s="244"/>
      <c r="EPB39" s="244"/>
      <c r="EPC39" s="244"/>
      <c r="EPD39" s="244"/>
      <c r="EPE39" s="244"/>
      <c r="EPF39" s="244"/>
      <c r="EPG39" s="244"/>
      <c r="EPH39" s="244"/>
      <c r="EPI39" s="244"/>
      <c r="EPJ39" s="244"/>
      <c r="EPK39" s="244"/>
      <c r="EPL39" s="244"/>
      <c r="EPM39" s="244"/>
      <c r="EPN39" s="244"/>
      <c r="EPO39" s="244"/>
      <c r="EPP39" s="244"/>
      <c r="EPQ39" s="244"/>
      <c r="EPR39" s="244"/>
      <c r="EPS39" s="244"/>
      <c r="EPT39" s="244"/>
      <c r="EPU39" s="244"/>
      <c r="EPV39" s="244"/>
      <c r="EPW39" s="244"/>
      <c r="EPX39" s="244"/>
      <c r="EPY39" s="244"/>
      <c r="EPZ39" s="244"/>
      <c r="EQA39" s="244"/>
      <c r="EQB39" s="244"/>
      <c r="EQC39" s="244"/>
      <c r="EQD39" s="244"/>
      <c r="EQE39" s="244"/>
      <c r="EQF39" s="244"/>
      <c r="EQG39" s="244"/>
      <c r="EQH39" s="244"/>
      <c r="EQI39" s="244"/>
      <c r="EQJ39" s="244"/>
      <c r="EQK39" s="244"/>
      <c r="EQL39" s="244"/>
      <c r="EQM39" s="244"/>
      <c r="EQN39" s="244"/>
      <c r="EQO39" s="244"/>
      <c r="EQP39" s="244"/>
      <c r="EQQ39" s="244"/>
      <c r="EQR39" s="244"/>
      <c r="EQS39" s="244"/>
      <c r="EQT39" s="244"/>
      <c r="EQU39" s="244"/>
      <c r="EQV39" s="244"/>
      <c r="EQW39" s="244"/>
      <c r="EQX39" s="244"/>
      <c r="EQY39" s="244"/>
      <c r="EQZ39" s="244"/>
      <c r="ERA39" s="244"/>
      <c r="ERB39" s="244"/>
      <c r="ERC39" s="244"/>
      <c r="ERD39" s="244"/>
      <c r="ERE39" s="244"/>
      <c r="ERF39" s="244"/>
      <c r="ERG39" s="244"/>
      <c r="ERH39" s="244"/>
      <c r="ERI39" s="244"/>
      <c r="ERJ39" s="244"/>
      <c r="ERK39" s="244"/>
      <c r="ERL39" s="244"/>
      <c r="ERM39" s="244"/>
      <c r="ERN39" s="244"/>
      <c r="ERO39" s="244"/>
      <c r="ERP39" s="244"/>
      <c r="ERQ39" s="244"/>
      <c r="ERR39" s="244"/>
      <c r="ERS39" s="244"/>
      <c r="ERT39" s="244"/>
      <c r="ERU39" s="244"/>
      <c r="ERV39" s="244"/>
      <c r="ERW39" s="244"/>
      <c r="ERX39" s="244"/>
      <c r="ERY39" s="244"/>
      <c r="ERZ39" s="244"/>
      <c r="ESA39" s="244"/>
      <c r="ESB39" s="244"/>
      <c r="ESC39" s="244"/>
      <c r="ESD39" s="244"/>
      <c r="ESE39" s="244"/>
      <c r="ESF39" s="244"/>
      <c r="ESG39" s="244"/>
      <c r="ESH39" s="244"/>
      <c r="ESI39" s="244"/>
      <c r="ESJ39" s="244"/>
      <c r="ESK39" s="244"/>
      <c r="ESL39" s="244"/>
      <c r="ESM39" s="244"/>
      <c r="ESN39" s="244"/>
      <c r="ESO39" s="244"/>
      <c r="ESP39" s="244"/>
      <c r="ESQ39" s="244"/>
      <c r="ESR39" s="244"/>
      <c r="ESS39" s="244"/>
      <c r="EST39" s="244"/>
      <c r="ESU39" s="244"/>
      <c r="ESV39" s="244"/>
      <c r="ESW39" s="244"/>
      <c r="ESX39" s="244"/>
      <c r="ESY39" s="244"/>
      <c r="ESZ39" s="244"/>
      <c r="ETA39" s="244"/>
      <c r="ETB39" s="244"/>
      <c r="ETC39" s="244"/>
      <c r="ETD39" s="244"/>
      <c r="ETE39" s="244"/>
      <c r="ETF39" s="244"/>
      <c r="ETG39" s="244"/>
      <c r="ETH39" s="244"/>
      <c r="ETI39" s="244"/>
      <c r="ETJ39" s="244"/>
      <c r="ETK39" s="244"/>
      <c r="ETL39" s="244"/>
      <c r="ETM39" s="244"/>
      <c r="ETN39" s="244"/>
      <c r="ETO39" s="244"/>
      <c r="ETP39" s="244"/>
      <c r="ETQ39" s="244"/>
      <c r="ETR39" s="244"/>
      <c r="ETS39" s="244"/>
      <c r="ETT39" s="244"/>
      <c r="ETU39" s="244"/>
      <c r="ETV39" s="244"/>
      <c r="ETW39" s="244"/>
      <c r="ETX39" s="244"/>
      <c r="ETY39" s="244"/>
      <c r="ETZ39" s="244"/>
      <c r="EUA39" s="244"/>
      <c r="EUB39" s="244"/>
      <c r="EUC39" s="244"/>
      <c r="EUD39" s="244"/>
      <c r="EUE39" s="244"/>
      <c r="EUF39" s="244"/>
      <c r="EUG39" s="244"/>
      <c r="EUH39" s="244"/>
      <c r="EUI39" s="244"/>
      <c r="EUJ39" s="244"/>
      <c r="EUK39" s="244"/>
      <c r="EUL39" s="244"/>
      <c r="EUM39" s="244"/>
      <c r="EUN39" s="244"/>
      <c r="EUO39" s="244"/>
      <c r="EUP39" s="244"/>
      <c r="EUQ39" s="244"/>
      <c r="EUR39" s="244"/>
      <c r="EUS39" s="244"/>
      <c r="EUT39" s="244"/>
      <c r="EUU39" s="244"/>
      <c r="EUV39" s="244"/>
      <c r="EUW39" s="244"/>
      <c r="EUX39" s="244"/>
      <c r="EUY39" s="244"/>
      <c r="EUZ39" s="244"/>
      <c r="EVA39" s="244"/>
      <c r="EVB39" s="244"/>
      <c r="EVC39" s="244"/>
      <c r="EVD39" s="244"/>
      <c r="EVE39" s="244"/>
      <c r="EVF39" s="244"/>
      <c r="EVG39" s="244"/>
      <c r="EVH39" s="244"/>
      <c r="EVI39" s="244"/>
      <c r="EVJ39" s="244"/>
      <c r="EVK39" s="244"/>
      <c r="EVL39" s="244"/>
      <c r="EVM39" s="244"/>
      <c r="EVN39" s="244"/>
      <c r="EVO39" s="244"/>
      <c r="EVP39" s="244"/>
      <c r="EVQ39" s="244"/>
      <c r="EVR39" s="244"/>
      <c r="EVS39" s="244"/>
      <c r="EVT39" s="244"/>
      <c r="EVU39" s="244"/>
      <c r="EVV39" s="244"/>
      <c r="EVW39" s="244"/>
      <c r="EVX39" s="244"/>
      <c r="EVY39" s="244"/>
      <c r="EVZ39" s="244"/>
      <c r="EWA39" s="244"/>
      <c r="EWB39" s="244"/>
      <c r="EWC39" s="244"/>
      <c r="EWD39" s="244"/>
      <c r="EWE39" s="244"/>
      <c r="EWF39" s="244"/>
      <c r="EWG39" s="244"/>
      <c r="EWH39" s="244"/>
      <c r="EWI39" s="244"/>
      <c r="EWJ39" s="244"/>
      <c r="EWK39" s="244"/>
      <c r="EWL39" s="244"/>
      <c r="EWM39" s="244"/>
      <c r="EWN39" s="244"/>
      <c r="EWO39" s="244"/>
      <c r="EWP39" s="244"/>
      <c r="EWQ39" s="244"/>
      <c r="EWR39" s="244"/>
      <c r="EWS39" s="244"/>
      <c r="EWT39" s="244"/>
      <c r="EWU39" s="244"/>
      <c r="EWV39" s="244"/>
      <c r="EWW39" s="244"/>
      <c r="EWX39" s="244"/>
      <c r="EWY39" s="244"/>
      <c r="EWZ39" s="244"/>
      <c r="EXA39" s="244"/>
      <c r="EXB39" s="244"/>
      <c r="EXC39" s="244"/>
      <c r="EXD39" s="244"/>
      <c r="EXE39" s="244"/>
      <c r="EXF39" s="244"/>
      <c r="EXG39" s="244"/>
      <c r="EXH39" s="244"/>
      <c r="EXI39" s="244"/>
      <c r="EXJ39" s="244"/>
      <c r="EXK39" s="244"/>
      <c r="EXL39" s="244"/>
      <c r="EXM39" s="244"/>
      <c r="EXN39" s="244"/>
      <c r="EXO39" s="244"/>
      <c r="EXP39" s="244"/>
      <c r="EXQ39" s="244"/>
      <c r="EXR39" s="244"/>
      <c r="EXS39" s="244"/>
      <c r="EXT39" s="244"/>
      <c r="EXU39" s="244"/>
      <c r="EXV39" s="244"/>
      <c r="EXW39" s="244"/>
      <c r="EXX39" s="244"/>
      <c r="EXY39" s="244"/>
      <c r="EXZ39" s="244"/>
      <c r="EYA39" s="244"/>
      <c r="EYB39" s="244"/>
      <c r="EYC39" s="244"/>
      <c r="EYD39" s="244"/>
      <c r="EYE39" s="244"/>
      <c r="EYF39" s="244"/>
      <c r="EYG39" s="244"/>
      <c r="EYH39" s="244"/>
      <c r="EYI39" s="244"/>
      <c r="EYJ39" s="244"/>
      <c r="EYK39" s="244"/>
      <c r="EYL39" s="244"/>
      <c r="EYM39" s="244"/>
      <c r="EYN39" s="244"/>
      <c r="EYO39" s="244"/>
      <c r="EYP39" s="244"/>
      <c r="EYQ39" s="244"/>
      <c r="EYR39" s="244"/>
      <c r="EYS39" s="244"/>
      <c r="EYT39" s="244"/>
      <c r="EYU39" s="244"/>
      <c r="EYV39" s="244"/>
      <c r="EYW39" s="244"/>
      <c r="EYX39" s="244"/>
      <c r="EYY39" s="244"/>
      <c r="EYZ39" s="244"/>
      <c r="EZA39" s="244"/>
      <c r="EZB39" s="244"/>
      <c r="EZC39" s="244"/>
      <c r="EZD39" s="244"/>
      <c r="EZE39" s="244"/>
      <c r="EZF39" s="244"/>
      <c r="EZG39" s="244"/>
      <c r="EZH39" s="244"/>
      <c r="EZI39" s="244"/>
      <c r="EZJ39" s="244"/>
      <c r="EZK39" s="244"/>
      <c r="EZL39" s="244"/>
      <c r="EZM39" s="244"/>
      <c r="EZN39" s="244"/>
      <c r="EZO39" s="244"/>
      <c r="EZP39" s="244"/>
      <c r="EZQ39" s="244"/>
      <c r="EZR39" s="244"/>
      <c r="EZS39" s="244"/>
      <c r="EZT39" s="244"/>
      <c r="EZU39" s="244"/>
      <c r="EZV39" s="244"/>
      <c r="EZW39" s="244"/>
      <c r="EZX39" s="244"/>
      <c r="EZY39" s="244"/>
      <c r="EZZ39" s="244"/>
      <c r="FAA39" s="244"/>
      <c r="FAB39" s="244"/>
      <c r="FAC39" s="244"/>
      <c r="FAD39" s="244"/>
      <c r="FAE39" s="244"/>
      <c r="FAF39" s="244"/>
      <c r="FAG39" s="244"/>
      <c r="FAH39" s="244"/>
      <c r="FAI39" s="244"/>
      <c r="FAJ39" s="244"/>
      <c r="FAK39" s="244"/>
      <c r="FAL39" s="244"/>
      <c r="FAM39" s="244"/>
      <c r="FAN39" s="244"/>
      <c r="FAO39" s="244"/>
      <c r="FAP39" s="244"/>
      <c r="FAQ39" s="244"/>
      <c r="FAR39" s="244"/>
      <c r="FAS39" s="244"/>
      <c r="FAT39" s="244"/>
      <c r="FAU39" s="244"/>
      <c r="FAV39" s="244"/>
      <c r="FAW39" s="244"/>
      <c r="FAX39" s="244"/>
      <c r="FAY39" s="244"/>
      <c r="FAZ39" s="244"/>
      <c r="FBA39" s="244"/>
      <c r="FBB39" s="244"/>
      <c r="FBC39" s="244"/>
      <c r="FBD39" s="244"/>
      <c r="FBE39" s="244"/>
      <c r="FBF39" s="244"/>
      <c r="FBG39" s="244"/>
      <c r="FBH39" s="244"/>
      <c r="FBI39" s="244"/>
      <c r="FBJ39" s="244"/>
      <c r="FBK39" s="244"/>
      <c r="FBL39" s="244"/>
      <c r="FBM39" s="244"/>
      <c r="FBN39" s="244"/>
      <c r="FBO39" s="244"/>
      <c r="FBP39" s="244"/>
      <c r="FBQ39" s="244"/>
      <c r="FBR39" s="244"/>
      <c r="FBS39" s="244"/>
      <c r="FBT39" s="244"/>
      <c r="FBU39" s="244"/>
      <c r="FBV39" s="244"/>
      <c r="FBW39" s="244"/>
      <c r="FBX39" s="244"/>
      <c r="FBY39" s="244"/>
      <c r="FBZ39" s="244"/>
      <c r="FCA39" s="244"/>
      <c r="FCB39" s="244"/>
      <c r="FCC39" s="244"/>
      <c r="FCD39" s="244"/>
      <c r="FCE39" s="244"/>
      <c r="FCF39" s="244"/>
      <c r="FCG39" s="244"/>
      <c r="FCH39" s="244"/>
      <c r="FCI39" s="244"/>
      <c r="FCJ39" s="244"/>
      <c r="FCK39" s="244"/>
      <c r="FCL39" s="244"/>
      <c r="FCM39" s="244"/>
      <c r="FCN39" s="244"/>
      <c r="FCO39" s="244"/>
      <c r="FCP39" s="244"/>
      <c r="FCQ39" s="244"/>
      <c r="FCR39" s="244"/>
      <c r="FCS39" s="244"/>
      <c r="FCT39" s="244"/>
      <c r="FCU39" s="244"/>
      <c r="FCV39" s="244"/>
      <c r="FCW39" s="244"/>
      <c r="FCX39" s="244"/>
      <c r="FCY39" s="244"/>
      <c r="FCZ39" s="244"/>
      <c r="FDA39" s="244"/>
      <c r="FDB39" s="244"/>
      <c r="FDC39" s="244"/>
      <c r="FDD39" s="244"/>
      <c r="FDE39" s="244"/>
      <c r="FDF39" s="244"/>
      <c r="FDG39" s="244"/>
      <c r="FDH39" s="244"/>
      <c r="FDI39" s="244"/>
      <c r="FDJ39" s="244"/>
      <c r="FDK39" s="244"/>
      <c r="FDL39" s="244"/>
      <c r="FDM39" s="244"/>
      <c r="FDN39" s="244"/>
      <c r="FDO39" s="244"/>
      <c r="FDP39" s="244"/>
      <c r="FDQ39" s="244"/>
      <c r="FDR39" s="244"/>
      <c r="FDS39" s="244"/>
      <c r="FDT39" s="244"/>
      <c r="FDU39" s="244"/>
      <c r="FDV39" s="244"/>
      <c r="FDW39" s="244"/>
      <c r="FDX39" s="244"/>
      <c r="FDY39" s="244"/>
      <c r="FDZ39" s="244"/>
      <c r="FEA39" s="244"/>
      <c r="FEB39" s="244"/>
      <c r="FEC39" s="244"/>
      <c r="FED39" s="244"/>
      <c r="FEE39" s="244"/>
      <c r="FEF39" s="244"/>
      <c r="FEG39" s="244"/>
      <c r="FEH39" s="244"/>
      <c r="FEI39" s="244"/>
      <c r="FEJ39" s="244"/>
      <c r="FEK39" s="244"/>
      <c r="FEL39" s="244"/>
      <c r="FEM39" s="244"/>
      <c r="FEN39" s="244"/>
      <c r="FEO39" s="244"/>
      <c r="FEP39" s="244"/>
      <c r="FEQ39" s="244"/>
      <c r="FER39" s="244"/>
      <c r="FES39" s="244"/>
      <c r="FET39" s="244"/>
      <c r="FEU39" s="244"/>
      <c r="FEV39" s="244"/>
      <c r="FEW39" s="244"/>
      <c r="FEX39" s="244"/>
      <c r="FEY39" s="244"/>
      <c r="FEZ39" s="244"/>
      <c r="FFA39" s="244"/>
      <c r="FFB39" s="244"/>
      <c r="FFC39" s="244"/>
      <c r="FFD39" s="244"/>
      <c r="FFE39" s="244"/>
      <c r="FFF39" s="244"/>
      <c r="FFG39" s="244"/>
      <c r="FFH39" s="244"/>
      <c r="FFI39" s="244"/>
      <c r="FFJ39" s="244"/>
      <c r="FFK39" s="244"/>
      <c r="FFL39" s="244"/>
      <c r="FFM39" s="244"/>
      <c r="FFN39" s="244"/>
      <c r="FFO39" s="244"/>
      <c r="FFP39" s="244"/>
      <c r="FFQ39" s="244"/>
      <c r="FFR39" s="244"/>
      <c r="FFS39" s="244"/>
      <c r="FFT39" s="244"/>
      <c r="FFU39" s="244"/>
      <c r="FFV39" s="244"/>
      <c r="FFW39" s="244"/>
      <c r="FFX39" s="244"/>
      <c r="FFY39" s="244"/>
      <c r="FFZ39" s="244"/>
      <c r="FGA39" s="244"/>
      <c r="FGB39" s="244"/>
      <c r="FGC39" s="244"/>
      <c r="FGD39" s="244"/>
      <c r="FGE39" s="244"/>
      <c r="FGF39" s="244"/>
      <c r="FGG39" s="244"/>
      <c r="FGH39" s="244"/>
      <c r="FGI39" s="244"/>
      <c r="FGJ39" s="244"/>
      <c r="FGK39" s="244"/>
      <c r="FGL39" s="244"/>
      <c r="FGM39" s="244"/>
      <c r="FGN39" s="244"/>
      <c r="FGO39" s="244"/>
      <c r="FGP39" s="244"/>
      <c r="FGQ39" s="244"/>
      <c r="FGR39" s="244"/>
      <c r="FGS39" s="244"/>
      <c r="FGT39" s="244"/>
      <c r="FGU39" s="244"/>
      <c r="FGV39" s="244"/>
      <c r="FGW39" s="244"/>
      <c r="FGX39" s="244"/>
      <c r="FGY39" s="244"/>
      <c r="FGZ39" s="244"/>
      <c r="FHA39" s="244"/>
      <c r="FHB39" s="244"/>
      <c r="FHC39" s="244"/>
      <c r="FHD39" s="244"/>
      <c r="FHE39" s="244"/>
      <c r="FHF39" s="244"/>
      <c r="FHG39" s="244"/>
      <c r="FHH39" s="244"/>
      <c r="FHI39" s="244"/>
      <c r="FHJ39" s="244"/>
      <c r="FHK39" s="244"/>
      <c r="FHL39" s="244"/>
      <c r="FHM39" s="244"/>
      <c r="FHN39" s="244"/>
      <c r="FHO39" s="244"/>
      <c r="FHP39" s="244"/>
      <c r="FHQ39" s="244"/>
      <c r="FHR39" s="244"/>
      <c r="FHS39" s="244"/>
      <c r="FHT39" s="244"/>
      <c r="FHU39" s="244"/>
      <c r="FHV39" s="244"/>
      <c r="FHW39" s="244"/>
      <c r="FHX39" s="244"/>
      <c r="FHY39" s="244"/>
      <c r="FHZ39" s="244"/>
      <c r="FIA39" s="244"/>
      <c r="FIB39" s="244"/>
      <c r="FIC39" s="244"/>
      <c r="FID39" s="244"/>
      <c r="FIE39" s="244"/>
      <c r="FIF39" s="244"/>
      <c r="FIG39" s="244"/>
      <c r="FIH39" s="244"/>
      <c r="FII39" s="244"/>
      <c r="FIJ39" s="244"/>
      <c r="FIK39" s="244"/>
      <c r="FIL39" s="244"/>
      <c r="FIM39" s="244"/>
      <c r="FIN39" s="244"/>
      <c r="FIO39" s="244"/>
      <c r="FIP39" s="244"/>
      <c r="FIQ39" s="244"/>
      <c r="FIR39" s="244"/>
      <c r="FIS39" s="244"/>
      <c r="FIT39" s="244"/>
      <c r="FIU39" s="244"/>
      <c r="FIV39" s="244"/>
      <c r="FIW39" s="244"/>
      <c r="FIX39" s="244"/>
      <c r="FIY39" s="244"/>
      <c r="FIZ39" s="244"/>
      <c r="FJA39" s="244"/>
      <c r="FJB39" s="244"/>
      <c r="FJC39" s="244"/>
      <c r="FJD39" s="244"/>
      <c r="FJE39" s="244"/>
      <c r="FJF39" s="244"/>
      <c r="FJG39" s="244"/>
      <c r="FJH39" s="244"/>
      <c r="FJI39" s="244"/>
      <c r="FJJ39" s="244"/>
      <c r="FJK39" s="244"/>
      <c r="FJL39" s="244"/>
      <c r="FJM39" s="244"/>
      <c r="FJN39" s="244"/>
      <c r="FJO39" s="244"/>
      <c r="FJP39" s="244"/>
      <c r="FJQ39" s="244"/>
      <c r="FJR39" s="244"/>
      <c r="FJS39" s="244"/>
      <c r="FJT39" s="244"/>
      <c r="FJU39" s="244"/>
      <c r="FJV39" s="244"/>
      <c r="FJW39" s="244"/>
      <c r="FJX39" s="244"/>
      <c r="FJY39" s="244"/>
      <c r="FJZ39" s="244"/>
      <c r="FKA39" s="244"/>
      <c r="FKB39" s="244"/>
      <c r="FKC39" s="244"/>
      <c r="FKD39" s="244"/>
      <c r="FKE39" s="244"/>
      <c r="FKF39" s="244"/>
      <c r="FKG39" s="244"/>
      <c r="FKH39" s="244"/>
      <c r="FKI39" s="244"/>
      <c r="FKJ39" s="244"/>
      <c r="FKK39" s="244"/>
      <c r="FKL39" s="244"/>
      <c r="FKM39" s="244"/>
      <c r="FKN39" s="244"/>
      <c r="FKO39" s="244"/>
      <c r="FKP39" s="244"/>
      <c r="FKQ39" s="244"/>
      <c r="FKR39" s="244"/>
      <c r="FKS39" s="244"/>
      <c r="FKT39" s="244"/>
      <c r="FKU39" s="244"/>
      <c r="FKV39" s="244"/>
      <c r="FKW39" s="244"/>
      <c r="FKX39" s="244"/>
      <c r="FKY39" s="244"/>
      <c r="FKZ39" s="244"/>
      <c r="FLA39" s="244"/>
      <c r="FLB39" s="244"/>
      <c r="FLC39" s="244"/>
      <c r="FLD39" s="244"/>
      <c r="FLE39" s="244"/>
      <c r="FLF39" s="244"/>
      <c r="FLG39" s="244"/>
      <c r="FLH39" s="244"/>
      <c r="FLI39" s="244"/>
      <c r="FLJ39" s="244"/>
      <c r="FLK39" s="244"/>
      <c r="FLL39" s="244"/>
      <c r="FLM39" s="244"/>
      <c r="FLN39" s="244"/>
      <c r="FLO39" s="244"/>
      <c r="FLP39" s="244"/>
      <c r="FLQ39" s="244"/>
      <c r="FLR39" s="244"/>
      <c r="FLS39" s="244"/>
      <c r="FLT39" s="244"/>
      <c r="FLU39" s="244"/>
      <c r="FLV39" s="244"/>
      <c r="FLW39" s="244"/>
      <c r="FLX39" s="244"/>
      <c r="FLY39" s="244"/>
      <c r="FLZ39" s="244"/>
      <c r="FMA39" s="244"/>
      <c r="FMB39" s="244"/>
      <c r="FMC39" s="244"/>
      <c r="FMD39" s="244"/>
      <c r="FME39" s="244"/>
      <c r="FMF39" s="244"/>
      <c r="FMG39" s="244"/>
      <c r="FMH39" s="244"/>
      <c r="FMI39" s="244"/>
      <c r="FMJ39" s="244"/>
      <c r="FMK39" s="244"/>
      <c r="FML39" s="244"/>
      <c r="FMM39" s="244"/>
      <c r="FMN39" s="244"/>
      <c r="FMO39" s="244"/>
      <c r="FMP39" s="244"/>
      <c r="FMQ39" s="244"/>
      <c r="FMR39" s="244"/>
      <c r="FMS39" s="244"/>
      <c r="FMT39" s="244"/>
      <c r="FMU39" s="244"/>
      <c r="FMV39" s="244"/>
      <c r="FMW39" s="244"/>
      <c r="FMX39" s="244"/>
      <c r="FMY39" s="244"/>
      <c r="FMZ39" s="244"/>
      <c r="FNA39" s="244"/>
      <c r="FNB39" s="244"/>
      <c r="FNC39" s="244"/>
      <c r="FND39" s="244"/>
      <c r="FNE39" s="244"/>
      <c r="FNF39" s="244"/>
      <c r="FNG39" s="244"/>
      <c r="FNH39" s="244"/>
      <c r="FNI39" s="244"/>
      <c r="FNJ39" s="244"/>
      <c r="FNK39" s="244"/>
      <c r="FNL39" s="244"/>
      <c r="FNM39" s="244"/>
      <c r="FNN39" s="244"/>
      <c r="FNO39" s="244"/>
      <c r="FNP39" s="244"/>
      <c r="FNQ39" s="244"/>
      <c r="FNR39" s="244"/>
      <c r="FNS39" s="244"/>
      <c r="FNT39" s="244"/>
      <c r="FNU39" s="244"/>
      <c r="FNV39" s="244"/>
      <c r="FNW39" s="244"/>
      <c r="FNX39" s="244"/>
      <c r="FNY39" s="244"/>
      <c r="FNZ39" s="244"/>
      <c r="FOA39" s="244"/>
      <c r="FOB39" s="244"/>
      <c r="FOC39" s="244"/>
      <c r="FOD39" s="244"/>
      <c r="FOE39" s="244"/>
      <c r="FOF39" s="244"/>
      <c r="FOG39" s="244"/>
      <c r="FOH39" s="244"/>
      <c r="FOI39" s="244"/>
      <c r="FOJ39" s="244"/>
      <c r="FOK39" s="244"/>
      <c r="FOL39" s="244"/>
      <c r="FOM39" s="244"/>
      <c r="FON39" s="244"/>
      <c r="FOO39" s="244"/>
      <c r="FOP39" s="244"/>
      <c r="FOQ39" s="244"/>
      <c r="FOR39" s="244"/>
      <c r="FOS39" s="244"/>
      <c r="FOT39" s="244"/>
      <c r="FOU39" s="244"/>
      <c r="FOV39" s="244"/>
      <c r="FOW39" s="244"/>
      <c r="FOX39" s="244"/>
      <c r="FOY39" s="244"/>
      <c r="FOZ39" s="244"/>
      <c r="FPA39" s="244"/>
      <c r="FPB39" s="244"/>
      <c r="FPC39" s="244"/>
      <c r="FPD39" s="244"/>
      <c r="FPE39" s="244"/>
      <c r="FPF39" s="244"/>
      <c r="FPG39" s="244"/>
      <c r="FPH39" s="244"/>
      <c r="FPI39" s="244"/>
      <c r="FPJ39" s="244"/>
      <c r="FPK39" s="244"/>
      <c r="FPL39" s="244"/>
      <c r="FPM39" s="244"/>
      <c r="FPN39" s="244"/>
      <c r="FPO39" s="244"/>
      <c r="FPP39" s="244"/>
      <c r="FPQ39" s="244"/>
      <c r="FPR39" s="244"/>
      <c r="FPS39" s="244"/>
      <c r="FPT39" s="244"/>
      <c r="FPU39" s="244"/>
      <c r="FPV39" s="244"/>
      <c r="FPW39" s="244"/>
      <c r="FPX39" s="244"/>
      <c r="FPY39" s="244"/>
      <c r="FPZ39" s="244"/>
      <c r="FQA39" s="244"/>
      <c r="FQB39" s="244"/>
      <c r="FQC39" s="244"/>
      <c r="FQD39" s="244"/>
      <c r="FQE39" s="244"/>
      <c r="FQF39" s="244"/>
      <c r="FQG39" s="244"/>
      <c r="FQH39" s="244"/>
      <c r="FQI39" s="244"/>
      <c r="FQJ39" s="244"/>
      <c r="FQK39" s="244"/>
      <c r="FQL39" s="244"/>
      <c r="FQM39" s="244"/>
      <c r="FQN39" s="244"/>
      <c r="FQO39" s="244"/>
      <c r="FQP39" s="244"/>
      <c r="FQQ39" s="244"/>
      <c r="FQR39" s="244"/>
      <c r="FQS39" s="244"/>
      <c r="FQT39" s="244"/>
      <c r="FQU39" s="244"/>
      <c r="FQV39" s="244"/>
      <c r="FQW39" s="244"/>
      <c r="FQX39" s="244"/>
      <c r="FQY39" s="244"/>
      <c r="FQZ39" s="244"/>
      <c r="FRA39" s="244"/>
      <c r="FRB39" s="244"/>
      <c r="FRC39" s="244"/>
      <c r="FRD39" s="244"/>
      <c r="FRE39" s="244"/>
      <c r="FRF39" s="244"/>
      <c r="FRG39" s="244"/>
      <c r="FRH39" s="244"/>
      <c r="FRI39" s="244"/>
      <c r="FRJ39" s="244"/>
      <c r="FRK39" s="244"/>
      <c r="FRL39" s="244"/>
      <c r="FRM39" s="244"/>
      <c r="FRN39" s="244"/>
      <c r="FRO39" s="244"/>
      <c r="FRP39" s="244"/>
      <c r="FRQ39" s="244"/>
      <c r="FRR39" s="244"/>
      <c r="FRS39" s="244"/>
      <c r="FRT39" s="244"/>
      <c r="FRU39" s="244"/>
      <c r="FRV39" s="244"/>
      <c r="FRW39" s="244"/>
      <c r="FRX39" s="244"/>
      <c r="FRY39" s="244"/>
      <c r="FRZ39" s="244"/>
      <c r="FSA39" s="244"/>
      <c r="FSB39" s="244"/>
      <c r="FSC39" s="244"/>
      <c r="FSD39" s="244"/>
      <c r="FSE39" s="244"/>
      <c r="FSF39" s="244"/>
      <c r="FSG39" s="244"/>
      <c r="FSH39" s="244"/>
      <c r="FSI39" s="244"/>
      <c r="FSJ39" s="244"/>
      <c r="FSK39" s="244"/>
      <c r="FSL39" s="244"/>
      <c r="FSM39" s="244"/>
      <c r="FSN39" s="244"/>
      <c r="FSO39" s="244"/>
      <c r="FSP39" s="244"/>
      <c r="FSQ39" s="244"/>
      <c r="FSR39" s="244"/>
      <c r="FSS39" s="244"/>
      <c r="FST39" s="244"/>
      <c r="FSU39" s="244"/>
      <c r="FSV39" s="244"/>
      <c r="FSW39" s="244"/>
      <c r="FSX39" s="244"/>
      <c r="FSY39" s="244"/>
      <c r="FSZ39" s="244"/>
      <c r="FTA39" s="244"/>
      <c r="FTB39" s="244"/>
      <c r="FTC39" s="244"/>
      <c r="FTD39" s="244"/>
      <c r="FTE39" s="244"/>
      <c r="FTF39" s="244"/>
      <c r="FTG39" s="244"/>
      <c r="FTH39" s="244"/>
      <c r="FTI39" s="244"/>
      <c r="FTJ39" s="244"/>
      <c r="FTK39" s="244"/>
      <c r="FTL39" s="244"/>
      <c r="FTM39" s="244"/>
      <c r="FTN39" s="244"/>
      <c r="FTO39" s="244"/>
      <c r="FTP39" s="244"/>
      <c r="FTQ39" s="244"/>
      <c r="FTR39" s="244"/>
      <c r="FTS39" s="244"/>
      <c r="FTT39" s="244"/>
      <c r="FTU39" s="244"/>
      <c r="FTV39" s="244"/>
      <c r="FTW39" s="244"/>
      <c r="FTX39" s="244"/>
      <c r="FTY39" s="244"/>
      <c r="FTZ39" s="244"/>
      <c r="FUA39" s="244"/>
      <c r="FUB39" s="244"/>
      <c r="FUC39" s="244"/>
      <c r="FUD39" s="244"/>
      <c r="FUE39" s="244"/>
      <c r="FUF39" s="244"/>
      <c r="FUG39" s="244"/>
      <c r="FUH39" s="244"/>
      <c r="FUI39" s="244"/>
      <c r="FUJ39" s="244"/>
      <c r="FUK39" s="244"/>
      <c r="FUL39" s="244"/>
      <c r="FUM39" s="244"/>
      <c r="FUN39" s="244"/>
      <c r="FUO39" s="244"/>
      <c r="FUP39" s="244"/>
      <c r="FUQ39" s="244"/>
      <c r="FUR39" s="244"/>
      <c r="FUS39" s="244"/>
      <c r="FUT39" s="244"/>
      <c r="FUU39" s="244"/>
      <c r="FUV39" s="244"/>
      <c r="FUW39" s="244"/>
      <c r="FUX39" s="244"/>
      <c r="FUY39" s="244"/>
      <c r="FUZ39" s="244"/>
      <c r="FVA39" s="244"/>
      <c r="FVB39" s="244"/>
      <c r="FVC39" s="244"/>
      <c r="FVD39" s="244"/>
      <c r="FVE39" s="244"/>
      <c r="FVF39" s="244"/>
      <c r="FVG39" s="244"/>
      <c r="FVH39" s="244"/>
      <c r="FVI39" s="244"/>
      <c r="FVJ39" s="244"/>
      <c r="FVK39" s="244"/>
      <c r="FVL39" s="244"/>
      <c r="FVM39" s="244"/>
      <c r="FVN39" s="244"/>
      <c r="FVO39" s="244"/>
      <c r="FVP39" s="244"/>
      <c r="FVQ39" s="244"/>
      <c r="FVR39" s="244"/>
      <c r="FVS39" s="244"/>
      <c r="FVT39" s="244"/>
      <c r="FVU39" s="244"/>
      <c r="FVV39" s="244"/>
      <c r="FVW39" s="244"/>
      <c r="FVX39" s="244"/>
      <c r="FVY39" s="244"/>
      <c r="FVZ39" s="244"/>
      <c r="FWA39" s="244"/>
      <c r="FWB39" s="244"/>
      <c r="FWC39" s="244"/>
      <c r="FWD39" s="244"/>
      <c r="FWE39" s="244"/>
      <c r="FWF39" s="244"/>
      <c r="FWG39" s="244"/>
      <c r="FWH39" s="244"/>
      <c r="FWI39" s="244"/>
      <c r="FWJ39" s="244"/>
      <c r="FWK39" s="244"/>
      <c r="FWL39" s="244"/>
      <c r="FWM39" s="244"/>
      <c r="FWN39" s="244"/>
      <c r="FWO39" s="244"/>
      <c r="FWP39" s="244"/>
      <c r="FWQ39" s="244"/>
      <c r="FWR39" s="244"/>
      <c r="FWS39" s="244"/>
      <c r="FWT39" s="244"/>
      <c r="FWU39" s="244"/>
      <c r="FWV39" s="244"/>
      <c r="FWW39" s="244"/>
      <c r="FWX39" s="244"/>
      <c r="FWY39" s="244"/>
      <c r="FWZ39" s="244"/>
      <c r="FXA39" s="244"/>
      <c r="FXB39" s="244"/>
      <c r="FXC39" s="244"/>
      <c r="FXD39" s="244"/>
      <c r="FXE39" s="244"/>
      <c r="FXF39" s="244"/>
      <c r="FXG39" s="244"/>
      <c r="FXH39" s="244"/>
      <c r="FXI39" s="244"/>
      <c r="FXJ39" s="244"/>
      <c r="FXK39" s="244"/>
      <c r="FXL39" s="244"/>
      <c r="FXM39" s="244"/>
      <c r="FXN39" s="244"/>
      <c r="FXO39" s="244"/>
      <c r="FXP39" s="244"/>
      <c r="FXQ39" s="244"/>
      <c r="FXR39" s="244"/>
      <c r="FXS39" s="244"/>
      <c r="FXT39" s="244"/>
      <c r="FXU39" s="244"/>
      <c r="FXV39" s="244"/>
      <c r="FXW39" s="244"/>
      <c r="FXX39" s="244"/>
      <c r="FXY39" s="244"/>
      <c r="FXZ39" s="244"/>
      <c r="FYA39" s="244"/>
      <c r="FYB39" s="244"/>
      <c r="FYC39" s="244"/>
      <c r="FYD39" s="244"/>
      <c r="FYE39" s="244"/>
      <c r="FYF39" s="244"/>
      <c r="FYG39" s="244"/>
      <c r="FYH39" s="244"/>
      <c r="FYI39" s="244"/>
      <c r="FYJ39" s="244"/>
      <c r="FYK39" s="244"/>
      <c r="FYL39" s="244"/>
      <c r="FYM39" s="244"/>
      <c r="FYN39" s="244"/>
      <c r="FYO39" s="244"/>
      <c r="FYP39" s="244"/>
      <c r="FYQ39" s="244"/>
      <c r="FYR39" s="244"/>
      <c r="FYS39" s="244"/>
      <c r="FYT39" s="244"/>
      <c r="FYU39" s="244"/>
      <c r="FYV39" s="244"/>
      <c r="FYW39" s="244"/>
      <c r="FYX39" s="244"/>
      <c r="FYY39" s="244"/>
      <c r="FYZ39" s="244"/>
      <c r="FZA39" s="244"/>
      <c r="FZB39" s="244"/>
      <c r="FZC39" s="244"/>
      <c r="FZD39" s="244"/>
      <c r="FZE39" s="244"/>
      <c r="FZF39" s="244"/>
      <c r="FZG39" s="244"/>
      <c r="FZH39" s="244"/>
      <c r="FZI39" s="244"/>
      <c r="FZJ39" s="244"/>
      <c r="FZK39" s="244"/>
      <c r="FZL39" s="244"/>
      <c r="FZM39" s="244"/>
      <c r="FZN39" s="244"/>
      <c r="FZO39" s="244"/>
      <c r="FZP39" s="244"/>
      <c r="FZQ39" s="244"/>
      <c r="FZR39" s="244"/>
      <c r="FZS39" s="244"/>
      <c r="FZT39" s="244"/>
      <c r="FZU39" s="244"/>
      <c r="FZV39" s="244"/>
      <c r="FZW39" s="244"/>
      <c r="FZX39" s="244"/>
      <c r="FZY39" s="244"/>
      <c r="FZZ39" s="244"/>
      <c r="GAA39" s="244"/>
      <c r="GAB39" s="244"/>
      <c r="GAC39" s="244"/>
      <c r="GAD39" s="244"/>
      <c r="GAE39" s="244"/>
      <c r="GAF39" s="244"/>
      <c r="GAG39" s="244"/>
      <c r="GAH39" s="244"/>
      <c r="GAI39" s="244"/>
      <c r="GAJ39" s="244"/>
      <c r="GAK39" s="244"/>
      <c r="GAL39" s="244"/>
      <c r="GAM39" s="244"/>
      <c r="GAN39" s="244"/>
      <c r="GAO39" s="244"/>
      <c r="GAP39" s="244"/>
      <c r="GAQ39" s="244"/>
      <c r="GAR39" s="244"/>
      <c r="GAS39" s="244"/>
      <c r="GAT39" s="244"/>
      <c r="GAU39" s="244"/>
      <c r="GAV39" s="244"/>
      <c r="GAW39" s="244"/>
      <c r="GAX39" s="244"/>
      <c r="GAY39" s="244"/>
      <c r="GAZ39" s="244"/>
      <c r="GBA39" s="244"/>
      <c r="GBB39" s="244"/>
      <c r="GBC39" s="244"/>
      <c r="GBD39" s="244"/>
      <c r="GBE39" s="244"/>
      <c r="GBF39" s="244"/>
      <c r="GBG39" s="244"/>
      <c r="GBH39" s="244"/>
      <c r="GBI39" s="244"/>
      <c r="GBJ39" s="244"/>
      <c r="GBK39" s="244"/>
      <c r="GBL39" s="244"/>
      <c r="GBM39" s="244"/>
      <c r="GBN39" s="244"/>
      <c r="GBO39" s="244"/>
      <c r="GBP39" s="244"/>
      <c r="GBQ39" s="244"/>
      <c r="GBR39" s="244"/>
      <c r="GBS39" s="244"/>
      <c r="GBT39" s="244"/>
      <c r="GBU39" s="244"/>
      <c r="GBV39" s="244"/>
      <c r="GBW39" s="244"/>
      <c r="GBX39" s="244"/>
      <c r="GBY39" s="244"/>
      <c r="GBZ39" s="244"/>
      <c r="GCA39" s="244"/>
      <c r="GCB39" s="244"/>
      <c r="GCC39" s="244"/>
      <c r="GCD39" s="244"/>
      <c r="GCE39" s="244"/>
      <c r="GCF39" s="244"/>
      <c r="GCG39" s="244"/>
      <c r="GCH39" s="244"/>
      <c r="GCI39" s="244"/>
      <c r="GCJ39" s="244"/>
      <c r="GCK39" s="244"/>
      <c r="GCL39" s="244"/>
      <c r="GCM39" s="244"/>
      <c r="GCN39" s="244"/>
      <c r="GCO39" s="244"/>
      <c r="GCP39" s="244"/>
      <c r="GCQ39" s="244"/>
      <c r="GCR39" s="244"/>
      <c r="GCS39" s="244"/>
      <c r="GCT39" s="244"/>
      <c r="GCU39" s="244"/>
      <c r="GCV39" s="244"/>
      <c r="GCW39" s="244"/>
      <c r="GCX39" s="244"/>
      <c r="GCY39" s="244"/>
      <c r="GCZ39" s="244"/>
      <c r="GDA39" s="244"/>
      <c r="GDB39" s="244"/>
      <c r="GDC39" s="244"/>
      <c r="GDD39" s="244"/>
      <c r="GDE39" s="244"/>
      <c r="GDF39" s="244"/>
      <c r="GDG39" s="244"/>
      <c r="GDH39" s="244"/>
      <c r="GDI39" s="244"/>
      <c r="GDJ39" s="244"/>
      <c r="GDK39" s="244"/>
      <c r="GDL39" s="244"/>
      <c r="GDM39" s="244"/>
      <c r="GDN39" s="244"/>
      <c r="GDO39" s="244"/>
      <c r="GDP39" s="244"/>
      <c r="GDQ39" s="244"/>
      <c r="GDR39" s="244"/>
      <c r="GDS39" s="244"/>
      <c r="GDT39" s="244"/>
      <c r="GDU39" s="244"/>
      <c r="GDV39" s="244"/>
      <c r="GDW39" s="244"/>
      <c r="GDX39" s="244"/>
      <c r="GDY39" s="244"/>
      <c r="GDZ39" s="244"/>
      <c r="GEA39" s="244"/>
      <c r="GEB39" s="244"/>
      <c r="GEC39" s="244"/>
      <c r="GED39" s="244"/>
      <c r="GEE39" s="244"/>
      <c r="GEF39" s="244"/>
      <c r="GEG39" s="244"/>
      <c r="GEH39" s="244"/>
      <c r="GEI39" s="244"/>
      <c r="GEJ39" s="244"/>
      <c r="GEK39" s="244"/>
      <c r="GEL39" s="244"/>
      <c r="GEM39" s="244"/>
      <c r="GEN39" s="244"/>
      <c r="GEO39" s="244"/>
      <c r="GEP39" s="244"/>
      <c r="GEQ39" s="244"/>
      <c r="GER39" s="244"/>
      <c r="GES39" s="244"/>
      <c r="GET39" s="244"/>
      <c r="GEU39" s="244"/>
      <c r="GEV39" s="244"/>
      <c r="GEW39" s="244"/>
      <c r="GEX39" s="244"/>
      <c r="GEY39" s="244"/>
      <c r="GEZ39" s="244"/>
      <c r="GFA39" s="244"/>
      <c r="GFB39" s="244"/>
      <c r="GFC39" s="244"/>
      <c r="GFD39" s="244"/>
      <c r="GFE39" s="244"/>
      <c r="GFF39" s="244"/>
      <c r="GFG39" s="244"/>
      <c r="GFH39" s="244"/>
      <c r="GFI39" s="244"/>
      <c r="GFJ39" s="244"/>
      <c r="GFK39" s="244"/>
      <c r="GFL39" s="244"/>
      <c r="GFM39" s="244"/>
      <c r="GFN39" s="244"/>
      <c r="GFO39" s="244"/>
      <c r="GFP39" s="244"/>
      <c r="GFQ39" s="244"/>
      <c r="GFR39" s="244"/>
      <c r="GFS39" s="244"/>
      <c r="GFT39" s="244"/>
      <c r="GFU39" s="244"/>
      <c r="GFV39" s="244"/>
      <c r="GFW39" s="244"/>
      <c r="GFX39" s="244"/>
      <c r="GFY39" s="244"/>
      <c r="GFZ39" s="244"/>
      <c r="GGA39" s="244"/>
      <c r="GGB39" s="244"/>
      <c r="GGC39" s="244"/>
      <c r="GGD39" s="244"/>
      <c r="GGE39" s="244"/>
      <c r="GGF39" s="244"/>
      <c r="GGG39" s="244"/>
      <c r="GGH39" s="244"/>
      <c r="GGI39" s="244"/>
      <c r="GGJ39" s="244"/>
      <c r="GGK39" s="244"/>
      <c r="GGL39" s="244"/>
      <c r="GGM39" s="244"/>
      <c r="GGN39" s="244"/>
      <c r="GGO39" s="244"/>
      <c r="GGP39" s="244"/>
      <c r="GGQ39" s="244"/>
      <c r="GGR39" s="244"/>
      <c r="GGS39" s="244"/>
      <c r="GGT39" s="244"/>
      <c r="GGU39" s="244"/>
      <c r="GGV39" s="244"/>
      <c r="GGW39" s="244"/>
      <c r="GGX39" s="244"/>
      <c r="GGY39" s="244"/>
      <c r="GGZ39" s="244"/>
      <c r="GHA39" s="244"/>
      <c r="GHB39" s="244"/>
      <c r="GHC39" s="244"/>
      <c r="GHD39" s="244"/>
      <c r="GHE39" s="244"/>
      <c r="GHF39" s="244"/>
      <c r="GHG39" s="244"/>
      <c r="GHH39" s="244"/>
      <c r="GHI39" s="244"/>
      <c r="GHJ39" s="244"/>
      <c r="GHK39" s="244"/>
      <c r="GHL39" s="244"/>
      <c r="GHM39" s="244"/>
      <c r="GHN39" s="244"/>
      <c r="GHO39" s="244"/>
      <c r="GHP39" s="244"/>
      <c r="GHQ39" s="244"/>
      <c r="GHR39" s="244"/>
      <c r="GHS39" s="244"/>
      <c r="GHT39" s="244"/>
      <c r="GHU39" s="244"/>
      <c r="GHV39" s="244"/>
      <c r="GHW39" s="244"/>
      <c r="GHX39" s="244"/>
      <c r="GHY39" s="244"/>
      <c r="GHZ39" s="244"/>
      <c r="GIA39" s="244"/>
      <c r="GIB39" s="244"/>
      <c r="GIC39" s="244"/>
      <c r="GID39" s="244"/>
      <c r="GIE39" s="244"/>
      <c r="GIF39" s="244"/>
      <c r="GIG39" s="244"/>
      <c r="GIH39" s="244"/>
      <c r="GII39" s="244"/>
      <c r="GIJ39" s="244"/>
      <c r="GIK39" s="244"/>
      <c r="GIL39" s="244"/>
      <c r="GIM39" s="244"/>
      <c r="GIN39" s="244"/>
      <c r="GIO39" s="244"/>
      <c r="GIP39" s="244"/>
      <c r="GIQ39" s="244"/>
      <c r="GIR39" s="244"/>
      <c r="GIS39" s="244"/>
      <c r="GIT39" s="244"/>
      <c r="GIU39" s="244"/>
      <c r="GIV39" s="244"/>
      <c r="GIW39" s="244"/>
      <c r="GIX39" s="244"/>
      <c r="GIY39" s="244"/>
      <c r="GIZ39" s="244"/>
      <c r="GJA39" s="244"/>
      <c r="GJB39" s="244"/>
      <c r="GJC39" s="244"/>
      <c r="GJD39" s="244"/>
      <c r="GJE39" s="244"/>
      <c r="GJF39" s="244"/>
      <c r="GJG39" s="244"/>
      <c r="GJH39" s="244"/>
      <c r="GJI39" s="244"/>
      <c r="GJJ39" s="244"/>
      <c r="GJK39" s="244"/>
      <c r="GJL39" s="244"/>
      <c r="GJM39" s="244"/>
      <c r="GJN39" s="244"/>
      <c r="GJO39" s="244"/>
      <c r="GJP39" s="244"/>
      <c r="GJQ39" s="244"/>
      <c r="GJR39" s="244"/>
      <c r="GJS39" s="244"/>
      <c r="GJT39" s="244"/>
      <c r="GJU39" s="244"/>
      <c r="GJV39" s="244"/>
      <c r="GJW39" s="244"/>
      <c r="GJX39" s="244"/>
      <c r="GJY39" s="244"/>
      <c r="GJZ39" s="244"/>
      <c r="GKA39" s="244"/>
      <c r="GKB39" s="244"/>
      <c r="GKC39" s="244"/>
      <c r="GKD39" s="244"/>
      <c r="GKE39" s="244"/>
      <c r="GKF39" s="244"/>
      <c r="GKG39" s="244"/>
      <c r="GKH39" s="244"/>
      <c r="GKI39" s="244"/>
      <c r="GKJ39" s="244"/>
      <c r="GKK39" s="244"/>
      <c r="GKL39" s="244"/>
      <c r="GKM39" s="244"/>
      <c r="GKN39" s="244"/>
      <c r="GKO39" s="244"/>
      <c r="GKP39" s="244"/>
      <c r="GKQ39" s="244"/>
      <c r="GKR39" s="244"/>
      <c r="GKS39" s="244"/>
      <c r="GKT39" s="244"/>
      <c r="GKU39" s="244"/>
      <c r="GKV39" s="244"/>
      <c r="GKW39" s="244"/>
      <c r="GKX39" s="244"/>
      <c r="GKY39" s="244"/>
      <c r="GKZ39" s="244"/>
      <c r="GLA39" s="244"/>
      <c r="GLB39" s="244"/>
      <c r="GLC39" s="244"/>
      <c r="GLD39" s="244"/>
      <c r="GLE39" s="244"/>
      <c r="GLF39" s="244"/>
      <c r="GLG39" s="244"/>
      <c r="GLH39" s="244"/>
      <c r="GLI39" s="244"/>
      <c r="GLJ39" s="244"/>
      <c r="GLK39" s="244"/>
      <c r="GLL39" s="244"/>
      <c r="GLM39" s="244"/>
      <c r="GLN39" s="244"/>
      <c r="GLO39" s="244"/>
      <c r="GLP39" s="244"/>
      <c r="GLQ39" s="244"/>
      <c r="GLR39" s="244"/>
      <c r="GLS39" s="244"/>
      <c r="GLT39" s="244"/>
      <c r="GLU39" s="244"/>
      <c r="GLV39" s="244"/>
      <c r="GLW39" s="244"/>
      <c r="GLX39" s="244"/>
      <c r="GLY39" s="244"/>
      <c r="GLZ39" s="244"/>
      <c r="GMA39" s="244"/>
      <c r="GMB39" s="244"/>
      <c r="GMC39" s="244"/>
      <c r="GMD39" s="244"/>
      <c r="GME39" s="244"/>
      <c r="GMF39" s="244"/>
      <c r="GMG39" s="244"/>
      <c r="GMH39" s="244"/>
      <c r="GMI39" s="244"/>
      <c r="GMJ39" s="244"/>
      <c r="GMK39" s="244"/>
      <c r="GML39" s="244"/>
      <c r="GMM39" s="244"/>
      <c r="GMN39" s="244"/>
      <c r="GMO39" s="244"/>
      <c r="GMP39" s="244"/>
      <c r="GMQ39" s="244"/>
      <c r="GMR39" s="244"/>
      <c r="GMS39" s="244"/>
      <c r="GMT39" s="244"/>
      <c r="GMU39" s="244"/>
      <c r="GMV39" s="244"/>
      <c r="GMW39" s="244"/>
      <c r="GMX39" s="244"/>
      <c r="GMY39" s="244"/>
      <c r="GMZ39" s="244"/>
      <c r="GNA39" s="244"/>
      <c r="GNB39" s="244"/>
      <c r="GNC39" s="244"/>
      <c r="GND39" s="244"/>
      <c r="GNE39" s="244"/>
      <c r="GNF39" s="244"/>
      <c r="GNG39" s="244"/>
      <c r="GNH39" s="244"/>
      <c r="GNI39" s="244"/>
      <c r="GNJ39" s="244"/>
      <c r="GNK39" s="244"/>
      <c r="GNL39" s="244"/>
      <c r="GNM39" s="244"/>
      <c r="GNN39" s="244"/>
      <c r="GNO39" s="244"/>
      <c r="GNP39" s="244"/>
      <c r="GNQ39" s="244"/>
      <c r="GNR39" s="244"/>
      <c r="GNS39" s="244"/>
      <c r="GNT39" s="244"/>
      <c r="GNU39" s="244"/>
      <c r="GNV39" s="244"/>
      <c r="GNW39" s="244"/>
      <c r="GNX39" s="244"/>
      <c r="GNY39" s="244"/>
      <c r="GNZ39" s="244"/>
      <c r="GOA39" s="244"/>
      <c r="GOB39" s="244"/>
      <c r="GOC39" s="244"/>
      <c r="GOD39" s="244"/>
      <c r="GOE39" s="244"/>
      <c r="GOF39" s="244"/>
      <c r="GOG39" s="244"/>
      <c r="GOH39" s="244"/>
      <c r="GOI39" s="244"/>
      <c r="GOJ39" s="244"/>
      <c r="GOK39" s="244"/>
      <c r="GOL39" s="244"/>
      <c r="GOM39" s="244"/>
      <c r="GON39" s="244"/>
      <c r="GOO39" s="244"/>
      <c r="GOP39" s="244"/>
      <c r="GOQ39" s="244"/>
      <c r="GOR39" s="244"/>
      <c r="GOS39" s="244"/>
      <c r="GOT39" s="244"/>
      <c r="GOU39" s="244"/>
      <c r="GOV39" s="244"/>
      <c r="GOW39" s="244"/>
      <c r="GOX39" s="244"/>
      <c r="GOY39" s="244"/>
      <c r="GOZ39" s="244"/>
      <c r="GPA39" s="244"/>
      <c r="GPB39" s="244"/>
      <c r="GPC39" s="244"/>
      <c r="GPD39" s="244"/>
      <c r="GPE39" s="244"/>
      <c r="GPF39" s="244"/>
      <c r="GPG39" s="244"/>
      <c r="GPH39" s="244"/>
      <c r="GPI39" s="244"/>
      <c r="GPJ39" s="244"/>
      <c r="GPK39" s="244"/>
      <c r="GPL39" s="244"/>
      <c r="GPM39" s="244"/>
      <c r="GPN39" s="244"/>
      <c r="GPO39" s="244"/>
      <c r="GPP39" s="244"/>
      <c r="GPQ39" s="244"/>
      <c r="GPR39" s="244"/>
      <c r="GPS39" s="244"/>
      <c r="GPT39" s="244"/>
      <c r="GPU39" s="244"/>
      <c r="GPV39" s="244"/>
      <c r="GPW39" s="244"/>
      <c r="GPX39" s="244"/>
      <c r="GPY39" s="244"/>
      <c r="GPZ39" s="244"/>
      <c r="GQA39" s="244"/>
      <c r="GQB39" s="244"/>
      <c r="GQC39" s="244"/>
      <c r="GQD39" s="244"/>
      <c r="GQE39" s="244"/>
      <c r="GQF39" s="244"/>
      <c r="GQG39" s="244"/>
      <c r="GQH39" s="244"/>
      <c r="GQI39" s="244"/>
      <c r="GQJ39" s="244"/>
      <c r="GQK39" s="244"/>
      <c r="GQL39" s="244"/>
      <c r="GQM39" s="244"/>
      <c r="GQN39" s="244"/>
      <c r="GQO39" s="244"/>
      <c r="GQP39" s="244"/>
      <c r="GQQ39" s="244"/>
      <c r="GQR39" s="244"/>
      <c r="GQS39" s="244"/>
      <c r="GQT39" s="244"/>
      <c r="GQU39" s="244"/>
      <c r="GQV39" s="244"/>
      <c r="GQW39" s="244"/>
      <c r="GQX39" s="244"/>
      <c r="GQY39" s="244"/>
      <c r="GQZ39" s="244"/>
      <c r="GRA39" s="244"/>
      <c r="GRB39" s="244"/>
      <c r="GRC39" s="244"/>
      <c r="GRD39" s="244"/>
      <c r="GRE39" s="244"/>
      <c r="GRF39" s="244"/>
      <c r="GRG39" s="244"/>
      <c r="GRH39" s="244"/>
      <c r="GRI39" s="244"/>
      <c r="GRJ39" s="244"/>
      <c r="GRK39" s="244"/>
      <c r="GRL39" s="244"/>
      <c r="GRM39" s="244"/>
      <c r="GRN39" s="244"/>
      <c r="GRO39" s="244"/>
      <c r="GRP39" s="244"/>
      <c r="GRQ39" s="244"/>
      <c r="GRR39" s="244"/>
      <c r="GRS39" s="244"/>
      <c r="GRT39" s="244"/>
      <c r="GRU39" s="244"/>
      <c r="GRV39" s="244"/>
      <c r="GRW39" s="244"/>
      <c r="GRX39" s="244"/>
      <c r="GRY39" s="244"/>
      <c r="GRZ39" s="244"/>
      <c r="GSA39" s="244"/>
      <c r="GSB39" s="244"/>
      <c r="GSC39" s="244"/>
      <c r="GSD39" s="244"/>
      <c r="GSE39" s="244"/>
      <c r="GSF39" s="244"/>
      <c r="GSG39" s="244"/>
      <c r="GSH39" s="244"/>
      <c r="GSI39" s="244"/>
      <c r="GSJ39" s="244"/>
      <c r="GSK39" s="244"/>
      <c r="GSL39" s="244"/>
      <c r="GSM39" s="244"/>
      <c r="GSN39" s="244"/>
      <c r="GSO39" s="244"/>
      <c r="GSP39" s="244"/>
      <c r="GSQ39" s="244"/>
      <c r="GSR39" s="244"/>
      <c r="GSS39" s="244"/>
      <c r="GST39" s="244"/>
      <c r="GSU39" s="244"/>
      <c r="GSV39" s="244"/>
      <c r="GSW39" s="244"/>
      <c r="GSX39" s="244"/>
      <c r="GSY39" s="244"/>
      <c r="GSZ39" s="244"/>
      <c r="GTA39" s="244"/>
      <c r="GTB39" s="244"/>
      <c r="GTC39" s="244"/>
      <c r="GTD39" s="244"/>
      <c r="GTE39" s="244"/>
      <c r="GTF39" s="244"/>
      <c r="GTG39" s="244"/>
      <c r="GTH39" s="244"/>
      <c r="GTI39" s="244"/>
      <c r="GTJ39" s="244"/>
      <c r="GTK39" s="244"/>
      <c r="GTL39" s="244"/>
      <c r="GTM39" s="244"/>
      <c r="GTN39" s="244"/>
      <c r="GTO39" s="244"/>
      <c r="GTP39" s="244"/>
      <c r="GTQ39" s="244"/>
      <c r="GTR39" s="244"/>
      <c r="GTS39" s="244"/>
      <c r="GTT39" s="244"/>
      <c r="GTU39" s="244"/>
      <c r="GTV39" s="244"/>
      <c r="GTW39" s="244"/>
      <c r="GTX39" s="244"/>
      <c r="GTY39" s="244"/>
      <c r="GTZ39" s="244"/>
      <c r="GUA39" s="244"/>
      <c r="GUB39" s="244"/>
      <c r="GUC39" s="244"/>
      <c r="GUD39" s="244"/>
      <c r="GUE39" s="244"/>
      <c r="GUF39" s="244"/>
      <c r="GUG39" s="244"/>
      <c r="GUH39" s="244"/>
      <c r="GUI39" s="244"/>
      <c r="GUJ39" s="244"/>
      <c r="GUK39" s="244"/>
      <c r="GUL39" s="244"/>
      <c r="GUM39" s="244"/>
      <c r="GUN39" s="244"/>
      <c r="GUO39" s="244"/>
      <c r="GUP39" s="244"/>
      <c r="GUQ39" s="244"/>
      <c r="GUR39" s="244"/>
      <c r="GUS39" s="244"/>
      <c r="GUT39" s="244"/>
      <c r="GUU39" s="244"/>
      <c r="GUV39" s="244"/>
      <c r="GUW39" s="244"/>
      <c r="GUX39" s="244"/>
      <c r="GUY39" s="244"/>
      <c r="GUZ39" s="244"/>
      <c r="GVA39" s="244"/>
      <c r="GVB39" s="244"/>
      <c r="GVC39" s="244"/>
      <c r="GVD39" s="244"/>
      <c r="GVE39" s="244"/>
      <c r="GVF39" s="244"/>
      <c r="GVG39" s="244"/>
      <c r="GVH39" s="244"/>
      <c r="GVI39" s="244"/>
      <c r="GVJ39" s="244"/>
      <c r="GVK39" s="244"/>
      <c r="GVL39" s="244"/>
      <c r="GVM39" s="244"/>
      <c r="GVN39" s="244"/>
      <c r="GVO39" s="244"/>
      <c r="GVP39" s="244"/>
      <c r="GVQ39" s="244"/>
      <c r="GVR39" s="244"/>
      <c r="GVS39" s="244"/>
      <c r="GVT39" s="244"/>
      <c r="GVU39" s="244"/>
      <c r="GVV39" s="244"/>
      <c r="GVW39" s="244"/>
      <c r="GVX39" s="244"/>
      <c r="GVY39" s="244"/>
      <c r="GVZ39" s="244"/>
      <c r="GWA39" s="244"/>
      <c r="GWB39" s="244"/>
      <c r="GWC39" s="244"/>
      <c r="GWD39" s="244"/>
      <c r="GWE39" s="244"/>
      <c r="GWF39" s="244"/>
      <c r="GWG39" s="244"/>
      <c r="GWH39" s="244"/>
      <c r="GWI39" s="244"/>
      <c r="GWJ39" s="244"/>
      <c r="GWK39" s="244"/>
      <c r="GWL39" s="244"/>
      <c r="GWM39" s="244"/>
      <c r="GWN39" s="244"/>
      <c r="GWO39" s="244"/>
      <c r="GWP39" s="244"/>
      <c r="GWQ39" s="244"/>
      <c r="GWR39" s="244"/>
      <c r="GWS39" s="244"/>
      <c r="GWT39" s="244"/>
      <c r="GWU39" s="244"/>
      <c r="GWV39" s="244"/>
      <c r="GWW39" s="244"/>
      <c r="GWX39" s="244"/>
      <c r="GWY39" s="244"/>
      <c r="GWZ39" s="244"/>
      <c r="GXA39" s="244"/>
      <c r="GXB39" s="244"/>
      <c r="GXC39" s="244"/>
      <c r="GXD39" s="244"/>
      <c r="GXE39" s="244"/>
      <c r="GXF39" s="244"/>
      <c r="GXG39" s="244"/>
      <c r="GXH39" s="244"/>
      <c r="GXI39" s="244"/>
      <c r="GXJ39" s="244"/>
      <c r="GXK39" s="244"/>
      <c r="GXL39" s="244"/>
      <c r="GXM39" s="244"/>
      <c r="GXN39" s="244"/>
      <c r="GXO39" s="244"/>
      <c r="GXP39" s="244"/>
      <c r="GXQ39" s="244"/>
      <c r="GXR39" s="244"/>
      <c r="GXS39" s="244"/>
      <c r="GXT39" s="244"/>
      <c r="GXU39" s="244"/>
      <c r="GXV39" s="244"/>
      <c r="GXW39" s="244"/>
      <c r="GXX39" s="244"/>
      <c r="GXY39" s="244"/>
      <c r="GXZ39" s="244"/>
      <c r="GYA39" s="244"/>
      <c r="GYB39" s="244"/>
      <c r="GYC39" s="244"/>
      <c r="GYD39" s="244"/>
      <c r="GYE39" s="244"/>
      <c r="GYF39" s="244"/>
      <c r="GYG39" s="244"/>
      <c r="GYH39" s="244"/>
      <c r="GYI39" s="244"/>
      <c r="GYJ39" s="244"/>
      <c r="GYK39" s="244"/>
      <c r="GYL39" s="244"/>
      <c r="GYM39" s="244"/>
      <c r="GYN39" s="244"/>
      <c r="GYO39" s="244"/>
      <c r="GYP39" s="244"/>
      <c r="GYQ39" s="244"/>
      <c r="GYR39" s="244"/>
      <c r="GYS39" s="244"/>
      <c r="GYT39" s="244"/>
      <c r="GYU39" s="244"/>
      <c r="GYV39" s="244"/>
      <c r="GYW39" s="244"/>
      <c r="GYX39" s="244"/>
      <c r="GYY39" s="244"/>
      <c r="GYZ39" s="244"/>
      <c r="GZA39" s="244"/>
      <c r="GZB39" s="244"/>
      <c r="GZC39" s="244"/>
      <c r="GZD39" s="244"/>
      <c r="GZE39" s="244"/>
      <c r="GZF39" s="244"/>
      <c r="GZG39" s="244"/>
      <c r="GZH39" s="244"/>
      <c r="GZI39" s="244"/>
      <c r="GZJ39" s="244"/>
      <c r="GZK39" s="244"/>
      <c r="GZL39" s="244"/>
      <c r="GZM39" s="244"/>
      <c r="GZN39" s="244"/>
      <c r="GZO39" s="244"/>
      <c r="GZP39" s="244"/>
      <c r="GZQ39" s="244"/>
      <c r="GZR39" s="244"/>
      <c r="GZS39" s="244"/>
      <c r="GZT39" s="244"/>
      <c r="GZU39" s="244"/>
      <c r="GZV39" s="244"/>
      <c r="GZW39" s="244"/>
      <c r="GZX39" s="244"/>
      <c r="GZY39" s="244"/>
      <c r="GZZ39" s="244"/>
      <c r="HAA39" s="244"/>
      <c r="HAB39" s="244"/>
      <c r="HAC39" s="244"/>
      <c r="HAD39" s="244"/>
      <c r="HAE39" s="244"/>
      <c r="HAF39" s="244"/>
      <c r="HAG39" s="244"/>
      <c r="HAH39" s="244"/>
      <c r="HAI39" s="244"/>
      <c r="HAJ39" s="244"/>
      <c r="HAK39" s="244"/>
      <c r="HAL39" s="244"/>
      <c r="HAM39" s="244"/>
      <c r="HAN39" s="244"/>
      <c r="HAO39" s="244"/>
      <c r="HAP39" s="244"/>
      <c r="HAQ39" s="244"/>
      <c r="HAR39" s="244"/>
      <c r="HAS39" s="244"/>
      <c r="HAT39" s="244"/>
      <c r="HAU39" s="244"/>
      <c r="HAV39" s="244"/>
      <c r="HAW39" s="244"/>
      <c r="HAX39" s="244"/>
      <c r="HAY39" s="244"/>
      <c r="HAZ39" s="244"/>
      <c r="HBA39" s="244"/>
      <c r="HBB39" s="244"/>
      <c r="HBC39" s="244"/>
      <c r="HBD39" s="244"/>
      <c r="HBE39" s="244"/>
      <c r="HBF39" s="244"/>
      <c r="HBG39" s="244"/>
      <c r="HBH39" s="244"/>
      <c r="HBI39" s="244"/>
      <c r="HBJ39" s="244"/>
      <c r="HBK39" s="244"/>
      <c r="HBL39" s="244"/>
      <c r="HBM39" s="244"/>
      <c r="HBN39" s="244"/>
      <c r="HBO39" s="244"/>
      <c r="HBP39" s="244"/>
      <c r="HBQ39" s="244"/>
      <c r="HBR39" s="244"/>
      <c r="HBS39" s="244"/>
      <c r="HBT39" s="244"/>
      <c r="HBU39" s="244"/>
      <c r="HBV39" s="244"/>
      <c r="HBW39" s="244"/>
      <c r="HBX39" s="244"/>
      <c r="HBY39" s="244"/>
      <c r="HBZ39" s="244"/>
      <c r="HCA39" s="244"/>
      <c r="HCB39" s="244"/>
      <c r="HCC39" s="244"/>
      <c r="HCD39" s="244"/>
      <c r="HCE39" s="244"/>
      <c r="HCF39" s="244"/>
      <c r="HCG39" s="244"/>
      <c r="HCH39" s="244"/>
      <c r="HCI39" s="244"/>
      <c r="HCJ39" s="244"/>
      <c r="HCK39" s="244"/>
      <c r="HCL39" s="244"/>
      <c r="HCM39" s="244"/>
      <c r="HCN39" s="244"/>
      <c r="HCO39" s="244"/>
      <c r="HCP39" s="244"/>
      <c r="HCQ39" s="244"/>
      <c r="HCR39" s="244"/>
      <c r="HCS39" s="244"/>
      <c r="HCT39" s="244"/>
      <c r="HCU39" s="244"/>
      <c r="HCV39" s="244"/>
      <c r="HCW39" s="244"/>
      <c r="HCX39" s="244"/>
      <c r="HCY39" s="244"/>
      <c r="HCZ39" s="244"/>
      <c r="HDA39" s="244"/>
      <c r="HDB39" s="244"/>
      <c r="HDC39" s="244"/>
      <c r="HDD39" s="244"/>
      <c r="HDE39" s="244"/>
      <c r="HDF39" s="244"/>
      <c r="HDG39" s="244"/>
      <c r="HDH39" s="244"/>
      <c r="HDI39" s="244"/>
      <c r="HDJ39" s="244"/>
      <c r="HDK39" s="244"/>
      <c r="HDL39" s="244"/>
      <c r="HDM39" s="244"/>
      <c r="HDN39" s="244"/>
      <c r="HDO39" s="244"/>
      <c r="HDP39" s="244"/>
      <c r="HDQ39" s="244"/>
      <c r="HDR39" s="244"/>
      <c r="HDS39" s="244"/>
      <c r="HDT39" s="244"/>
      <c r="HDU39" s="244"/>
      <c r="HDV39" s="244"/>
      <c r="HDW39" s="244"/>
      <c r="HDX39" s="244"/>
      <c r="HDY39" s="244"/>
      <c r="HDZ39" s="244"/>
      <c r="HEA39" s="244"/>
      <c r="HEB39" s="244"/>
      <c r="HEC39" s="244"/>
      <c r="HED39" s="244"/>
      <c r="HEE39" s="244"/>
      <c r="HEF39" s="244"/>
      <c r="HEG39" s="244"/>
      <c r="HEH39" s="244"/>
      <c r="HEI39" s="244"/>
      <c r="HEJ39" s="244"/>
      <c r="HEK39" s="244"/>
      <c r="HEL39" s="244"/>
      <c r="HEM39" s="244"/>
      <c r="HEN39" s="244"/>
      <c r="HEO39" s="244"/>
      <c r="HEP39" s="244"/>
      <c r="HEQ39" s="244"/>
      <c r="HER39" s="244"/>
      <c r="HES39" s="244"/>
      <c r="HET39" s="244"/>
      <c r="HEU39" s="244"/>
      <c r="HEV39" s="244"/>
      <c r="HEW39" s="244"/>
      <c r="HEX39" s="244"/>
      <c r="HEY39" s="244"/>
      <c r="HEZ39" s="244"/>
      <c r="HFA39" s="244"/>
      <c r="HFB39" s="244"/>
      <c r="HFC39" s="244"/>
      <c r="HFD39" s="244"/>
      <c r="HFE39" s="244"/>
      <c r="HFF39" s="244"/>
      <c r="HFG39" s="244"/>
      <c r="HFH39" s="244"/>
      <c r="HFI39" s="244"/>
      <c r="HFJ39" s="244"/>
      <c r="HFK39" s="244"/>
      <c r="HFL39" s="244"/>
      <c r="HFM39" s="244"/>
      <c r="HFN39" s="244"/>
      <c r="HFO39" s="244"/>
      <c r="HFP39" s="244"/>
      <c r="HFQ39" s="244"/>
      <c r="HFR39" s="244"/>
      <c r="HFS39" s="244"/>
      <c r="HFT39" s="244"/>
      <c r="HFU39" s="244"/>
      <c r="HFV39" s="244"/>
      <c r="HFW39" s="244"/>
      <c r="HFX39" s="244"/>
      <c r="HFY39" s="244"/>
      <c r="HFZ39" s="244"/>
      <c r="HGA39" s="244"/>
      <c r="HGB39" s="244"/>
      <c r="HGC39" s="244"/>
      <c r="HGD39" s="244"/>
      <c r="HGE39" s="244"/>
      <c r="HGF39" s="244"/>
      <c r="HGG39" s="244"/>
      <c r="HGH39" s="244"/>
      <c r="HGI39" s="244"/>
      <c r="HGJ39" s="244"/>
      <c r="HGK39" s="244"/>
      <c r="HGL39" s="244"/>
      <c r="HGM39" s="244"/>
      <c r="HGN39" s="244"/>
      <c r="HGO39" s="244"/>
      <c r="HGP39" s="244"/>
      <c r="HGQ39" s="244"/>
      <c r="HGR39" s="244"/>
      <c r="HGS39" s="244"/>
      <c r="HGT39" s="244"/>
      <c r="HGU39" s="244"/>
      <c r="HGV39" s="244"/>
      <c r="HGW39" s="244"/>
      <c r="HGX39" s="244"/>
      <c r="HGY39" s="244"/>
      <c r="HGZ39" s="244"/>
      <c r="HHA39" s="244"/>
      <c r="HHB39" s="244"/>
      <c r="HHC39" s="244"/>
      <c r="HHD39" s="244"/>
      <c r="HHE39" s="244"/>
      <c r="HHF39" s="244"/>
      <c r="HHG39" s="244"/>
      <c r="HHH39" s="244"/>
      <c r="HHI39" s="244"/>
      <c r="HHJ39" s="244"/>
      <c r="HHK39" s="244"/>
      <c r="HHL39" s="244"/>
      <c r="HHM39" s="244"/>
      <c r="HHN39" s="244"/>
      <c r="HHO39" s="244"/>
      <c r="HHP39" s="244"/>
      <c r="HHQ39" s="244"/>
      <c r="HHR39" s="244"/>
      <c r="HHS39" s="244"/>
      <c r="HHT39" s="244"/>
      <c r="HHU39" s="244"/>
      <c r="HHV39" s="244"/>
      <c r="HHW39" s="244"/>
      <c r="HHX39" s="244"/>
      <c r="HHY39" s="244"/>
      <c r="HHZ39" s="244"/>
      <c r="HIA39" s="244"/>
      <c r="HIB39" s="244"/>
      <c r="HIC39" s="244"/>
      <c r="HID39" s="244"/>
      <c r="HIE39" s="244"/>
      <c r="HIF39" s="244"/>
      <c r="HIG39" s="244"/>
      <c r="HIH39" s="244"/>
      <c r="HII39" s="244"/>
      <c r="HIJ39" s="244"/>
      <c r="HIK39" s="244"/>
      <c r="HIL39" s="244"/>
      <c r="HIM39" s="244"/>
      <c r="HIN39" s="244"/>
      <c r="HIO39" s="244"/>
      <c r="HIP39" s="244"/>
      <c r="HIQ39" s="244"/>
      <c r="HIR39" s="244"/>
      <c r="HIS39" s="244"/>
      <c r="HIT39" s="244"/>
      <c r="HIU39" s="244"/>
      <c r="HIV39" s="244"/>
      <c r="HIW39" s="244"/>
      <c r="HIX39" s="244"/>
      <c r="HIY39" s="244"/>
      <c r="HIZ39" s="244"/>
      <c r="HJA39" s="244"/>
      <c r="HJB39" s="244"/>
      <c r="HJC39" s="244"/>
      <c r="HJD39" s="244"/>
      <c r="HJE39" s="244"/>
      <c r="HJF39" s="244"/>
      <c r="HJG39" s="244"/>
      <c r="HJH39" s="244"/>
      <c r="HJI39" s="244"/>
      <c r="HJJ39" s="244"/>
      <c r="HJK39" s="244"/>
      <c r="HJL39" s="244"/>
      <c r="HJM39" s="244"/>
      <c r="HJN39" s="244"/>
      <c r="HJO39" s="244"/>
      <c r="HJP39" s="244"/>
      <c r="HJQ39" s="244"/>
      <c r="HJR39" s="244"/>
      <c r="HJS39" s="244"/>
      <c r="HJT39" s="244"/>
      <c r="HJU39" s="244"/>
      <c r="HJV39" s="244"/>
      <c r="HJW39" s="244"/>
      <c r="HJX39" s="244"/>
      <c r="HJY39" s="244"/>
      <c r="HJZ39" s="244"/>
      <c r="HKA39" s="244"/>
      <c r="HKB39" s="244"/>
      <c r="HKC39" s="244"/>
      <c r="HKD39" s="244"/>
      <c r="HKE39" s="244"/>
      <c r="HKF39" s="244"/>
      <c r="HKG39" s="244"/>
      <c r="HKH39" s="244"/>
      <c r="HKI39" s="244"/>
      <c r="HKJ39" s="244"/>
      <c r="HKK39" s="244"/>
      <c r="HKL39" s="244"/>
      <c r="HKM39" s="244"/>
      <c r="HKN39" s="244"/>
      <c r="HKO39" s="244"/>
      <c r="HKP39" s="244"/>
      <c r="HKQ39" s="244"/>
      <c r="HKR39" s="244"/>
      <c r="HKS39" s="244"/>
      <c r="HKT39" s="244"/>
      <c r="HKU39" s="244"/>
      <c r="HKV39" s="244"/>
      <c r="HKW39" s="244"/>
      <c r="HKX39" s="244"/>
      <c r="HKY39" s="244"/>
      <c r="HKZ39" s="244"/>
      <c r="HLA39" s="244"/>
      <c r="HLB39" s="244"/>
      <c r="HLC39" s="244"/>
      <c r="HLD39" s="244"/>
      <c r="HLE39" s="244"/>
      <c r="HLF39" s="244"/>
      <c r="HLG39" s="244"/>
      <c r="HLH39" s="244"/>
      <c r="HLI39" s="244"/>
      <c r="HLJ39" s="244"/>
      <c r="HLK39" s="244"/>
      <c r="HLL39" s="244"/>
      <c r="HLM39" s="244"/>
      <c r="HLN39" s="244"/>
      <c r="HLO39" s="244"/>
      <c r="HLP39" s="244"/>
      <c r="HLQ39" s="244"/>
      <c r="HLR39" s="244"/>
      <c r="HLS39" s="244"/>
      <c r="HLT39" s="244"/>
      <c r="HLU39" s="244"/>
      <c r="HLV39" s="244"/>
      <c r="HLW39" s="244"/>
      <c r="HLX39" s="244"/>
      <c r="HLY39" s="244"/>
      <c r="HLZ39" s="244"/>
      <c r="HMA39" s="244"/>
      <c r="HMB39" s="244"/>
      <c r="HMC39" s="244"/>
      <c r="HMD39" s="244"/>
      <c r="HME39" s="244"/>
      <c r="HMF39" s="244"/>
      <c r="HMG39" s="244"/>
      <c r="HMH39" s="244"/>
      <c r="HMI39" s="244"/>
      <c r="HMJ39" s="244"/>
      <c r="HMK39" s="244"/>
      <c r="HML39" s="244"/>
      <c r="HMM39" s="244"/>
      <c r="HMN39" s="244"/>
      <c r="HMO39" s="244"/>
      <c r="HMP39" s="244"/>
      <c r="HMQ39" s="244"/>
      <c r="HMR39" s="244"/>
      <c r="HMS39" s="244"/>
      <c r="HMT39" s="244"/>
      <c r="HMU39" s="244"/>
      <c r="HMV39" s="244"/>
      <c r="HMW39" s="244"/>
      <c r="HMX39" s="244"/>
      <c r="HMY39" s="244"/>
      <c r="HMZ39" s="244"/>
      <c r="HNA39" s="244"/>
      <c r="HNB39" s="244"/>
      <c r="HNC39" s="244"/>
      <c r="HND39" s="244"/>
      <c r="HNE39" s="244"/>
      <c r="HNF39" s="244"/>
      <c r="HNG39" s="244"/>
      <c r="HNH39" s="244"/>
      <c r="HNI39" s="244"/>
      <c r="HNJ39" s="244"/>
      <c r="HNK39" s="244"/>
      <c r="HNL39" s="244"/>
      <c r="HNM39" s="244"/>
      <c r="HNN39" s="244"/>
      <c r="HNO39" s="244"/>
      <c r="HNP39" s="244"/>
      <c r="HNQ39" s="244"/>
      <c r="HNR39" s="244"/>
      <c r="HNS39" s="244"/>
      <c r="HNT39" s="244"/>
      <c r="HNU39" s="244"/>
      <c r="HNV39" s="244"/>
      <c r="HNW39" s="244"/>
      <c r="HNX39" s="244"/>
      <c r="HNY39" s="244"/>
      <c r="HNZ39" s="244"/>
      <c r="HOA39" s="244"/>
      <c r="HOB39" s="244"/>
      <c r="HOC39" s="244"/>
      <c r="HOD39" s="244"/>
      <c r="HOE39" s="244"/>
      <c r="HOF39" s="244"/>
      <c r="HOG39" s="244"/>
      <c r="HOH39" s="244"/>
      <c r="HOI39" s="244"/>
      <c r="HOJ39" s="244"/>
      <c r="HOK39" s="244"/>
      <c r="HOL39" s="244"/>
      <c r="HOM39" s="244"/>
      <c r="HON39" s="244"/>
      <c r="HOO39" s="244"/>
      <c r="HOP39" s="244"/>
      <c r="HOQ39" s="244"/>
      <c r="HOR39" s="244"/>
      <c r="HOS39" s="244"/>
      <c r="HOT39" s="244"/>
      <c r="HOU39" s="244"/>
      <c r="HOV39" s="244"/>
      <c r="HOW39" s="244"/>
      <c r="HOX39" s="244"/>
      <c r="HOY39" s="244"/>
      <c r="HOZ39" s="244"/>
      <c r="HPA39" s="244"/>
      <c r="HPB39" s="244"/>
      <c r="HPC39" s="244"/>
      <c r="HPD39" s="244"/>
      <c r="HPE39" s="244"/>
      <c r="HPF39" s="244"/>
      <c r="HPG39" s="244"/>
      <c r="HPH39" s="244"/>
      <c r="HPI39" s="244"/>
      <c r="HPJ39" s="244"/>
      <c r="HPK39" s="244"/>
      <c r="HPL39" s="244"/>
      <c r="HPM39" s="244"/>
      <c r="HPN39" s="244"/>
      <c r="HPO39" s="244"/>
      <c r="HPP39" s="244"/>
      <c r="HPQ39" s="244"/>
      <c r="HPR39" s="244"/>
      <c r="HPS39" s="244"/>
      <c r="HPT39" s="244"/>
      <c r="HPU39" s="244"/>
      <c r="HPV39" s="244"/>
      <c r="HPW39" s="244"/>
      <c r="HPX39" s="244"/>
      <c r="HPY39" s="244"/>
      <c r="HPZ39" s="244"/>
      <c r="HQA39" s="244"/>
      <c r="HQB39" s="244"/>
      <c r="HQC39" s="244"/>
      <c r="HQD39" s="244"/>
      <c r="HQE39" s="244"/>
      <c r="HQF39" s="244"/>
      <c r="HQG39" s="244"/>
      <c r="HQH39" s="244"/>
      <c r="HQI39" s="244"/>
      <c r="HQJ39" s="244"/>
      <c r="HQK39" s="244"/>
      <c r="HQL39" s="244"/>
      <c r="HQM39" s="244"/>
      <c r="HQN39" s="244"/>
      <c r="HQO39" s="244"/>
      <c r="HQP39" s="244"/>
      <c r="HQQ39" s="244"/>
      <c r="HQR39" s="244"/>
      <c r="HQS39" s="244"/>
      <c r="HQT39" s="244"/>
      <c r="HQU39" s="244"/>
      <c r="HQV39" s="244"/>
      <c r="HQW39" s="244"/>
      <c r="HQX39" s="244"/>
      <c r="HQY39" s="244"/>
      <c r="HQZ39" s="244"/>
      <c r="HRA39" s="244"/>
      <c r="HRB39" s="244"/>
      <c r="HRC39" s="244"/>
      <c r="HRD39" s="244"/>
      <c r="HRE39" s="244"/>
      <c r="HRF39" s="244"/>
      <c r="HRG39" s="244"/>
      <c r="HRH39" s="244"/>
      <c r="HRI39" s="244"/>
      <c r="HRJ39" s="244"/>
      <c r="HRK39" s="244"/>
      <c r="HRL39" s="244"/>
      <c r="HRM39" s="244"/>
      <c r="HRN39" s="244"/>
      <c r="HRO39" s="244"/>
      <c r="HRP39" s="244"/>
      <c r="HRQ39" s="244"/>
      <c r="HRR39" s="244"/>
      <c r="HRS39" s="244"/>
      <c r="HRT39" s="244"/>
      <c r="HRU39" s="244"/>
      <c r="HRV39" s="244"/>
      <c r="HRW39" s="244"/>
      <c r="HRX39" s="244"/>
      <c r="HRY39" s="244"/>
      <c r="HRZ39" s="244"/>
      <c r="HSA39" s="244"/>
      <c r="HSB39" s="244"/>
      <c r="HSC39" s="244"/>
      <c r="HSD39" s="244"/>
      <c r="HSE39" s="244"/>
      <c r="HSF39" s="244"/>
      <c r="HSG39" s="244"/>
      <c r="HSH39" s="244"/>
      <c r="HSI39" s="244"/>
      <c r="HSJ39" s="244"/>
      <c r="HSK39" s="244"/>
      <c r="HSL39" s="244"/>
      <c r="HSM39" s="244"/>
      <c r="HSN39" s="244"/>
      <c r="HSO39" s="244"/>
      <c r="HSP39" s="244"/>
      <c r="HSQ39" s="244"/>
      <c r="HSR39" s="244"/>
      <c r="HSS39" s="244"/>
      <c r="HST39" s="244"/>
      <c r="HSU39" s="244"/>
      <c r="HSV39" s="244"/>
      <c r="HSW39" s="244"/>
      <c r="HSX39" s="244"/>
      <c r="HSY39" s="244"/>
      <c r="HSZ39" s="244"/>
      <c r="HTA39" s="244"/>
      <c r="HTB39" s="244"/>
      <c r="HTC39" s="244"/>
      <c r="HTD39" s="244"/>
      <c r="HTE39" s="244"/>
      <c r="HTF39" s="244"/>
      <c r="HTG39" s="244"/>
      <c r="HTH39" s="244"/>
      <c r="HTI39" s="244"/>
      <c r="HTJ39" s="244"/>
      <c r="HTK39" s="244"/>
      <c r="HTL39" s="244"/>
      <c r="HTM39" s="244"/>
      <c r="HTN39" s="244"/>
      <c r="HTO39" s="244"/>
      <c r="HTP39" s="244"/>
      <c r="HTQ39" s="244"/>
      <c r="HTR39" s="244"/>
      <c r="HTS39" s="244"/>
      <c r="HTT39" s="244"/>
      <c r="HTU39" s="244"/>
      <c r="HTV39" s="244"/>
      <c r="HTW39" s="244"/>
      <c r="HTX39" s="244"/>
      <c r="HTY39" s="244"/>
      <c r="HTZ39" s="244"/>
      <c r="HUA39" s="244"/>
      <c r="HUB39" s="244"/>
      <c r="HUC39" s="244"/>
      <c r="HUD39" s="244"/>
      <c r="HUE39" s="244"/>
      <c r="HUF39" s="244"/>
      <c r="HUG39" s="244"/>
      <c r="HUH39" s="244"/>
      <c r="HUI39" s="244"/>
      <c r="HUJ39" s="244"/>
      <c r="HUK39" s="244"/>
      <c r="HUL39" s="244"/>
      <c r="HUM39" s="244"/>
      <c r="HUN39" s="244"/>
      <c r="HUO39" s="244"/>
      <c r="HUP39" s="244"/>
      <c r="HUQ39" s="244"/>
      <c r="HUR39" s="244"/>
      <c r="HUS39" s="244"/>
      <c r="HUT39" s="244"/>
      <c r="HUU39" s="244"/>
      <c r="HUV39" s="244"/>
      <c r="HUW39" s="244"/>
      <c r="HUX39" s="244"/>
      <c r="HUY39" s="244"/>
      <c r="HUZ39" s="244"/>
      <c r="HVA39" s="244"/>
      <c r="HVB39" s="244"/>
      <c r="HVC39" s="244"/>
      <c r="HVD39" s="244"/>
      <c r="HVE39" s="244"/>
      <c r="HVF39" s="244"/>
      <c r="HVG39" s="244"/>
      <c r="HVH39" s="244"/>
      <c r="HVI39" s="244"/>
      <c r="HVJ39" s="244"/>
      <c r="HVK39" s="244"/>
      <c r="HVL39" s="244"/>
      <c r="HVM39" s="244"/>
      <c r="HVN39" s="244"/>
      <c r="HVO39" s="244"/>
      <c r="HVP39" s="244"/>
      <c r="HVQ39" s="244"/>
      <c r="HVR39" s="244"/>
      <c r="HVS39" s="244"/>
      <c r="HVT39" s="244"/>
      <c r="HVU39" s="244"/>
      <c r="HVV39" s="244"/>
      <c r="HVW39" s="244"/>
      <c r="HVX39" s="244"/>
      <c r="HVY39" s="244"/>
      <c r="HVZ39" s="244"/>
      <c r="HWA39" s="244"/>
      <c r="HWB39" s="244"/>
      <c r="HWC39" s="244"/>
      <c r="HWD39" s="244"/>
      <c r="HWE39" s="244"/>
      <c r="HWF39" s="244"/>
      <c r="HWG39" s="244"/>
      <c r="HWH39" s="244"/>
      <c r="HWI39" s="244"/>
      <c r="HWJ39" s="244"/>
      <c r="HWK39" s="244"/>
      <c r="HWL39" s="244"/>
      <c r="HWM39" s="244"/>
      <c r="HWN39" s="244"/>
      <c r="HWO39" s="244"/>
      <c r="HWP39" s="244"/>
      <c r="HWQ39" s="244"/>
      <c r="HWR39" s="244"/>
      <c r="HWS39" s="244"/>
      <c r="HWT39" s="244"/>
      <c r="HWU39" s="244"/>
      <c r="HWV39" s="244"/>
      <c r="HWW39" s="244"/>
      <c r="HWX39" s="244"/>
      <c r="HWY39" s="244"/>
      <c r="HWZ39" s="244"/>
      <c r="HXA39" s="244"/>
      <c r="HXB39" s="244"/>
      <c r="HXC39" s="244"/>
      <c r="HXD39" s="244"/>
      <c r="HXE39" s="244"/>
      <c r="HXF39" s="244"/>
      <c r="HXG39" s="244"/>
      <c r="HXH39" s="244"/>
      <c r="HXI39" s="244"/>
      <c r="HXJ39" s="244"/>
      <c r="HXK39" s="244"/>
      <c r="HXL39" s="244"/>
      <c r="HXM39" s="244"/>
      <c r="HXN39" s="244"/>
      <c r="HXO39" s="244"/>
      <c r="HXP39" s="244"/>
      <c r="HXQ39" s="244"/>
      <c r="HXR39" s="244"/>
      <c r="HXS39" s="244"/>
      <c r="HXT39" s="244"/>
      <c r="HXU39" s="244"/>
      <c r="HXV39" s="244"/>
      <c r="HXW39" s="244"/>
      <c r="HXX39" s="244"/>
      <c r="HXY39" s="244"/>
      <c r="HXZ39" s="244"/>
      <c r="HYA39" s="244"/>
      <c r="HYB39" s="244"/>
      <c r="HYC39" s="244"/>
      <c r="HYD39" s="244"/>
      <c r="HYE39" s="244"/>
      <c r="HYF39" s="244"/>
      <c r="HYG39" s="244"/>
      <c r="HYH39" s="244"/>
      <c r="HYI39" s="244"/>
      <c r="HYJ39" s="244"/>
      <c r="HYK39" s="244"/>
      <c r="HYL39" s="244"/>
      <c r="HYM39" s="244"/>
      <c r="HYN39" s="244"/>
      <c r="HYO39" s="244"/>
      <c r="HYP39" s="244"/>
      <c r="HYQ39" s="244"/>
      <c r="HYR39" s="244"/>
      <c r="HYS39" s="244"/>
      <c r="HYT39" s="244"/>
      <c r="HYU39" s="244"/>
      <c r="HYV39" s="244"/>
      <c r="HYW39" s="244"/>
      <c r="HYX39" s="244"/>
      <c r="HYY39" s="244"/>
      <c r="HYZ39" s="244"/>
      <c r="HZA39" s="244"/>
      <c r="HZB39" s="244"/>
      <c r="HZC39" s="244"/>
      <c r="HZD39" s="244"/>
      <c r="HZE39" s="244"/>
      <c r="HZF39" s="244"/>
      <c r="HZG39" s="244"/>
      <c r="HZH39" s="244"/>
      <c r="HZI39" s="244"/>
      <c r="HZJ39" s="244"/>
      <c r="HZK39" s="244"/>
      <c r="HZL39" s="244"/>
      <c r="HZM39" s="244"/>
      <c r="HZN39" s="244"/>
      <c r="HZO39" s="244"/>
      <c r="HZP39" s="244"/>
      <c r="HZQ39" s="244"/>
      <c r="HZR39" s="244"/>
      <c r="HZS39" s="244"/>
      <c r="HZT39" s="244"/>
      <c r="HZU39" s="244"/>
      <c r="HZV39" s="244"/>
      <c r="HZW39" s="244"/>
      <c r="HZX39" s="244"/>
      <c r="HZY39" s="244"/>
      <c r="HZZ39" s="244"/>
      <c r="IAA39" s="244"/>
      <c r="IAB39" s="244"/>
      <c r="IAC39" s="244"/>
      <c r="IAD39" s="244"/>
      <c r="IAE39" s="244"/>
      <c r="IAF39" s="244"/>
      <c r="IAG39" s="244"/>
      <c r="IAH39" s="244"/>
      <c r="IAI39" s="244"/>
      <c r="IAJ39" s="244"/>
      <c r="IAK39" s="244"/>
      <c r="IAL39" s="244"/>
      <c r="IAM39" s="244"/>
      <c r="IAN39" s="244"/>
      <c r="IAO39" s="244"/>
      <c r="IAP39" s="244"/>
      <c r="IAQ39" s="244"/>
      <c r="IAR39" s="244"/>
      <c r="IAS39" s="244"/>
      <c r="IAT39" s="244"/>
      <c r="IAU39" s="244"/>
      <c r="IAV39" s="244"/>
      <c r="IAW39" s="244"/>
      <c r="IAX39" s="244"/>
      <c r="IAY39" s="244"/>
      <c r="IAZ39" s="244"/>
      <c r="IBA39" s="244"/>
      <c r="IBB39" s="244"/>
      <c r="IBC39" s="244"/>
      <c r="IBD39" s="244"/>
      <c r="IBE39" s="244"/>
      <c r="IBF39" s="244"/>
      <c r="IBG39" s="244"/>
      <c r="IBH39" s="244"/>
      <c r="IBI39" s="244"/>
      <c r="IBJ39" s="244"/>
      <c r="IBK39" s="244"/>
      <c r="IBL39" s="244"/>
      <c r="IBM39" s="244"/>
      <c r="IBN39" s="244"/>
      <c r="IBO39" s="244"/>
      <c r="IBP39" s="244"/>
      <c r="IBQ39" s="244"/>
      <c r="IBR39" s="244"/>
      <c r="IBS39" s="244"/>
      <c r="IBT39" s="244"/>
      <c r="IBU39" s="244"/>
      <c r="IBV39" s="244"/>
      <c r="IBW39" s="244"/>
      <c r="IBX39" s="244"/>
      <c r="IBY39" s="244"/>
      <c r="IBZ39" s="244"/>
      <c r="ICA39" s="244"/>
      <c r="ICB39" s="244"/>
      <c r="ICC39" s="244"/>
      <c r="ICD39" s="244"/>
      <c r="ICE39" s="244"/>
      <c r="ICF39" s="244"/>
      <c r="ICG39" s="244"/>
      <c r="ICH39" s="244"/>
      <c r="ICI39" s="244"/>
      <c r="ICJ39" s="244"/>
      <c r="ICK39" s="244"/>
      <c r="ICL39" s="244"/>
      <c r="ICM39" s="244"/>
      <c r="ICN39" s="244"/>
      <c r="ICO39" s="244"/>
      <c r="ICP39" s="244"/>
      <c r="ICQ39" s="244"/>
      <c r="ICR39" s="244"/>
      <c r="ICS39" s="244"/>
      <c r="ICT39" s="244"/>
      <c r="ICU39" s="244"/>
      <c r="ICV39" s="244"/>
      <c r="ICW39" s="244"/>
      <c r="ICX39" s="244"/>
      <c r="ICY39" s="244"/>
      <c r="ICZ39" s="244"/>
      <c r="IDA39" s="244"/>
      <c r="IDB39" s="244"/>
      <c r="IDC39" s="244"/>
      <c r="IDD39" s="244"/>
      <c r="IDE39" s="244"/>
      <c r="IDF39" s="244"/>
      <c r="IDG39" s="244"/>
      <c r="IDH39" s="244"/>
      <c r="IDI39" s="244"/>
      <c r="IDJ39" s="244"/>
      <c r="IDK39" s="244"/>
      <c r="IDL39" s="244"/>
      <c r="IDM39" s="244"/>
      <c r="IDN39" s="244"/>
      <c r="IDO39" s="244"/>
      <c r="IDP39" s="244"/>
      <c r="IDQ39" s="244"/>
      <c r="IDR39" s="244"/>
      <c r="IDS39" s="244"/>
      <c r="IDT39" s="244"/>
      <c r="IDU39" s="244"/>
      <c r="IDV39" s="244"/>
      <c r="IDW39" s="244"/>
      <c r="IDX39" s="244"/>
      <c r="IDY39" s="244"/>
      <c r="IDZ39" s="244"/>
      <c r="IEA39" s="244"/>
      <c r="IEB39" s="244"/>
      <c r="IEC39" s="244"/>
      <c r="IED39" s="244"/>
      <c r="IEE39" s="244"/>
      <c r="IEF39" s="244"/>
      <c r="IEG39" s="244"/>
      <c r="IEH39" s="244"/>
      <c r="IEI39" s="244"/>
      <c r="IEJ39" s="244"/>
      <c r="IEK39" s="244"/>
      <c r="IEL39" s="244"/>
      <c r="IEM39" s="244"/>
      <c r="IEN39" s="244"/>
      <c r="IEO39" s="244"/>
      <c r="IEP39" s="244"/>
      <c r="IEQ39" s="244"/>
      <c r="IER39" s="244"/>
      <c r="IES39" s="244"/>
      <c r="IET39" s="244"/>
      <c r="IEU39" s="244"/>
      <c r="IEV39" s="244"/>
      <c r="IEW39" s="244"/>
      <c r="IEX39" s="244"/>
      <c r="IEY39" s="244"/>
      <c r="IEZ39" s="244"/>
      <c r="IFA39" s="244"/>
      <c r="IFB39" s="244"/>
      <c r="IFC39" s="244"/>
      <c r="IFD39" s="244"/>
      <c r="IFE39" s="244"/>
      <c r="IFF39" s="244"/>
      <c r="IFG39" s="244"/>
      <c r="IFH39" s="244"/>
      <c r="IFI39" s="244"/>
      <c r="IFJ39" s="244"/>
      <c r="IFK39" s="244"/>
      <c r="IFL39" s="244"/>
      <c r="IFM39" s="244"/>
      <c r="IFN39" s="244"/>
      <c r="IFO39" s="244"/>
      <c r="IFP39" s="244"/>
      <c r="IFQ39" s="244"/>
      <c r="IFR39" s="244"/>
      <c r="IFS39" s="244"/>
      <c r="IFT39" s="244"/>
      <c r="IFU39" s="244"/>
      <c r="IFV39" s="244"/>
      <c r="IFW39" s="244"/>
      <c r="IFX39" s="244"/>
      <c r="IFY39" s="244"/>
      <c r="IFZ39" s="244"/>
      <c r="IGA39" s="244"/>
      <c r="IGB39" s="244"/>
      <c r="IGC39" s="244"/>
      <c r="IGD39" s="244"/>
      <c r="IGE39" s="244"/>
      <c r="IGF39" s="244"/>
      <c r="IGG39" s="244"/>
      <c r="IGH39" s="244"/>
      <c r="IGI39" s="244"/>
      <c r="IGJ39" s="244"/>
      <c r="IGK39" s="244"/>
      <c r="IGL39" s="244"/>
      <c r="IGM39" s="244"/>
      <c r="IGN39" s="244"/>
      <c r="IGO39" s="244"/>
      <c r="IGP39" s="244"/>
      <c r="IGQ39" s="244"/>
      <c r="IGR39" s="244"/>
      <c r="IGS39" s="244"/>
      <c r="IGT39" s="244"/>
      <c r="IGU39" s="244"/>
      <c r="IGV39" s="244"/>
      <c r="IGW39" s="244"/>
      <c r="IGX39" s="244"/>
      <c r="IGY39" s="244"/>
      <c r="IGZ39" s="244"/>
      <c r="IHA39" s="244"/>
      <c r="IHB39" s="244"/>
      <c r="IHC39" s="244"/>
      <c r="IHD39" s="244"/>
      <c r="IHE39" s="244"/>
      <c r="IHF39" s="244"/>
      <c r="IHG39" s="244"/>
      <c r="IHH39" s="244"/>
      <c r="IHI39" s="244"/>
      <c r="IHJ39" s="244"/>
      <c r="IHK39" s="244"/>
      <c r="IHL39" s="244"/>
      <c r="IHM39" s="244"/>
      <c r="IHN39" s="244"/>
      <c r="IHO39" s="244"/>
      <c r="IHP39" s="244"/>
      <c r="IHQ39" s="244"/>
      <c r="IHR39" s="244"/>
      <c r="IHS39" s="244"/>
      <c r="IHT39" s="244"/>
      <c r="IHU39" s="244"/>
      <c r="IHV39" s="244"/>
      <c r="IHW39" s="244"/>
      <c r="IHX39" s="244"/>
      <c r="IHY39" s="244"/>
      <c r="IHZ39" s="244"/>
      <c r="IIA39" s="244"/>
      <c r="IIB39" s="244"/>
      <c r="IIC39" s="244"/>
      <c r="IID39" s="244"/>
      <c r="IIE39" s="244"/>
      <c r="IIF39" s="244"/>
      <c r="IIG39" s="244"/>
      <c r="IIH39" s="244"/>
      <c r="III39" s="244"/>
      <c r="IIJ39" s="244"/>
      <c r="IIK39" s="244"/>
      <c r="IIL39" s="244"/>
      <c r="IIM39" s="244"/>
      <c r="IIN39" s="244"/>
      <c r="IIO39" s="244"/>
      <c r="IIP39" s="244"/>
      <c r="IIQ39" s="244"/>
      <c r="IIR39" s="244"/>
      <c r="IIS39" s="244"/>
      <c r="IIT39" s="244"/>
      <c r="IIU39" s="244"/>
      <c r="IIV39" s="244"/>
      <c r="IIW39" s="244"/>
      <c r="IIX39" s="244"/>
      <c r="IIY39" s="244"/>
      <c r="IIZ39" s="244"/>
      <c r="IJA39" s="244"/>
      <c r="IJB39" s="244"/>
      <c r="IJC39" s="244"/>
      <c r="IJD39" s="244"/>
      <c r="IJE39" s="244"/>
      <c r="IJF39" s="244"/>
      <c r="IJG39" s="244"/>
      <c r="IJH39" s="244"/>
      <c r="IJI39" s="244"/>
      <c r="IJJ39" s="244"/>
      <c r="IJK39" s="244"/>
      <c r="IJL39" s="244"/>
      <c r="IJM39" s="244"/>
      <c r="IJN39" s="244"/>
      <c r="IJO39" s="244"/>
      <c r="IJP39" s="244"/>
      <c r="IJQ39" s="244"/>
      <c r="IJR39" s="244"/>
      <c r="IJS39" s="244"/>
      <c r="IJT39" s="244"/>
      <c r="IJU39" s="244"/>
      <c r="IJV39" s="244"/>
      <c r="IJW39" s="244"/>
      <c r="IJX39" s="244"/>
      <c r="IJY39" s="244"/>
      <c r="IJZ39" s="244"/>
      <c r="IKA39" s="244"/>
      <c r="IKB39" s="244"/>
      <c r="IKC39" s="244"/>
      <c r="IKD39" s="244"/>
      <c r="IKE39" s="244"/>
      <c r="IKF39" s="244"/>
      <c r="IKG39" s="244"/>
      <c r="IKH39" s="244"/>
      <c r="IKI39" s="244"/>
      <c r="IKJ39" s="244"/>
      <c r="IKK39" s="244"/>
      <c r="IKL39" s="244"/>
      <c r="IKM39" s="244"/>
      <c r="IKN39" s="244"/>
      <c r="IKO39" s="244"/>
      <c r="IKP39" s="244"/>
      <c r="IKQ39" s="244"/>
      <c r="IKR39" s="244"/>
      <c r="IKS39" s="244"/>
      <c r="IKT39" s="244"/>
      <c r="IKU39" s="244"/>
      <c r="IKV39" s="244"/>
      <c r="IKW39" s="244"/>
      <c r="IKX39" s="244"/>
      <c r="IKY39" s="244"/>
      <c r="IKZ39" s="244"/>
      <c r="ILA39" s="244"/>
      <c r="ILB39" s="244"/>
      <c r="ILC39" s="244"/>
      <c r="ILD39" s="244"/>
      <c r="ILE39" s="244"/>
      <c r="ILF39" s="244"/>
      <c r="ILG39" s="244"/>
      <c r="ILH39" s="244"/>
      <c r="ILI39" s="244"/>
      <c r="ILJ39" s="244"/>
      <c r="ILK39" s="244"/>
      <c r="ILL39" s="244"/>
      <c r="ILM39" s="244"/>
      <c r="ILN39" s="244"/>
      <c r="ILO39" s="244"/>
      <c r="ILP39" s="244"/>
      <c r="ILQ39" s="244"/>
      <c r="ILR39" s="244"/>
      <c r="ILS39" s="244"/>
      <c r="ILT39" s="244"/>
      <c r="ILU39" s="244"/>
      <c r="ILV39" s="244"/>
      <c r="ILW39" s="244"/>
      <c r="ILX39" s="244"/>
      <c r="ILY39" s="244"/>
      <c r="ILZ39" s="244"/>
      <c r="IMA39" s="244"/>
      <c r="IMB39" s="244"/>
      <c r="IMC39" s="244"/>
      <c r="IMD39" s="244"/>
      <c r="IME39" s="244"/>
      <c r="IMF39" s="244"/>
      <c r="IMG39" s="244"/>
      <c r="IMH39" s="244"/>
      <c r="IMI39" s="244"/>
      <c r="IMJ39" s="244"/>
      <c r="IMK39" s="244"/>
      <c r="IML39" s="244"/>
      <c r="IMM39" s="244"/>
      <c r="IMN39" s="244"/>
      <c r="IMO39" s="244"/>
      <c r="IMP39" s="244"/>
      <c r="IMQ39" s="244"/>
      <c r="IMR39" s="244"/>
      <c r="IMS39" s="244"/>
      <c r="IMT39" s="244"/>
      <c r="IMU39" s="244"/>
      <c r="IMV39" s="244"/>
      <c r="IMW39" s="244"/>
      <c r="IMX39" s="244"/>
      <c r="IMY39" s="244"/>
      <c r="IMZ39" s="244"/>
      <c r="INA39" s="244"/>
      <c r="INB39" s="244"/>
      <c r="INC39" s="244"/>
      <c r="IND39" s="244"/>
      <c r="INE39" s="244"/>
      <c r="INF39" s="244"/>
      <c r="ING39" s="244"/>
      <c r="INH39" s="244"/>
      <c r="INI39" s="244"/>
      <c r="INJ39" s="244"/>
      <c r="INK39" s="244"/>
      <c r="INL39" s="244"/>
      <c r="INM39" s="244"/>
      <c r="INN39" s="244"/>
      <c r="INO39" s="244"/>
      <c r="INP39" s="244"/>
      <c r="INQ39" s="244"/>
      <c r="INR39" s="244"/>
      <c r="INS39" s="244"/>
      <c r="INT39" s="244"/>
      <c r="INU39" s="244"/>
      <c r="INV39" s="244"/>
      <c r="INW39" s="244"/>
      <c r="INX39" s="244"/>
      <c r="INY39" s="244"/>
      <c r="INZ39" s="244"/>
      <c r="IOA39" s="244"/>
      <c r="IOB39" s="244"/>
      <c r="IOC39" s="244"/>
      <c r="IOD39" s="244"/>
      <c r="IOE39" s="244"/>
      <c r="IOF39" s="244"/>
      <c r="IOG39" s="244"/>
      <c r="IOH39" s="244"/>
      <c r="IOI39" s="244"/>
      <c r="IOJ39" s="244"/>
      <c r="IOK39" s="244"/>
      <c r="IOL39" s="244"/>
      <c r="IOM39" s="244"/>
      <c r="ION39" s="244"/>
      <c r="IOO39" s="244"/>
      <c r="IOP39" s="244"/>
      <c r="IOQ39" s="244"/>
      <c r="IOR39" s="244"/>
      <c r="IOS39" s="244"/>
      <c r="IOT39" s="244"/>
      <c r="IOU39" s="244"/>
      <c r="IOV39" s="244"/>
      <c r="IOW39" s="244"/>
      <c r="IOX39" s="244"/>
      <c r="IOY39" s="244"/>
      <c r="IOZ39" s="244"/>
      <c r="IPA39" s="244"/>
      <c r="IPB39" s="244"/>
      <c r="IPC39" s="244"/>
      <c r="IPD39" s="244"/>
      <c r="IPE39" s="244"/>
      <c r="IPF39" s="244"/>
      <c r="IPG39" s="244"/>
      <c r="IPH39" s="244"/>
      <c r="IPI39" s="244"/>
      <c r="IPJ39" s="244"/>
      <c r="IPK39" s="244"/>
      <c r="IPL39" s="244"/>
      <c r="IPM39" s="244"/>
      <c r="IPN39" s="244"/>
      <c r="IPO39" s="244"/>
      <c r="IPP39" s="244"/>
      <c r="IPQ39" s="244"/>
      <c r="IPR39" s="244"/>
      <c r="IPS39" s="244"/>
      <c r="IPT39" s="244"/>
      <c r="IPU39" s="244"/>
      <c r="IPV39" s="244"/>
      <c r="IPW39" s="244"/>
      <c r="IPX39" s="244"/>
      <c r="IPY39" s="244"/>
      <c r="IPZ39" s="244"/>
      <c r="IQA39" s="244"/>
      <c r="IQB39" s="244"/>
      <c r="IQC39" s="244"/>
      <c r="IQD39" s="244"/>
      <c r="IQE39" s="244"/>
      <c r="IQF39" s="244"/>
      <c r="IQG39" s="244"/>
      <c r="IQH39" s="244"/>
      <c r="IQI39" s="244"/>
      <c r="IQJ39" s="244"/>
      <c r="IQK39" s="244"/>
      <c r="IQL39" s="244"/>
      <c r="IQM39" s="244"/>
      <c r="IQN39" s="244"/>
      <c r="IQO39" s="244"/>
      <c r="IQP39" s="244"/>
      <c r="IQQ39" s="244"/>
      <c r="IQR39" s="244"/>
      <c r="IQS39" s="244"/>
      <c r="IQT39" s="244"/>
      <c r="IQU39" s="244"/>
      <c r="IQV39" s="244"/>
      <c r="IQW39" s="244"/>
      <c r="IQX39" s="244"/>
      <c r="IQY39" s="244"/>
      <c r="IQZ39" s="244"/>
      <c r="IRA39" s="244"/>
      <c r="IRB39" s="244"/>
      <c r="IRC39" s="244"/>
      <c r="IRD39" s="244"/>
      <c r="IRE39" s="244"/>
      <c r="IRF39" s="244"/>
      <c r="IRG39" s="244"/>
      <c r="IRH39" s="244"/>
      <c r="IRI39" s="244"/>
      <c r="IRJ39" s="244"/>
      <c r="IRK39" s="244"/>
      <c r="IRL39" s="244"/>
      <c r="IRM39" s="244"/>
      <c r="IRN39" s="244"/>
      <c r="IRO39" s="244"/>
      <c r="IRP39" s="244"/>
      <c r="IRQ39" s="244"/>
      <c r="IRR39" s="244"/>
      <c r="IRS39" s="244"/>
      <c r="IRT39" s="244"/>
      <c r="IRU39" s="244"/>
      <c r="IRV39" s="244"/>
      <c r="IRW39" s="244"/>
      <c r="IRX39" s="244"/>
      <c r="IRY39" s="244"/>
      <c r="IRZ39" s="244"/>
      <c r="ISA39" s="244"/>
      <c r="ISB39" s="244"/>
      <c r="ISC39" s="244"/>
      <c r="ISD39" s="244"/>
      <c r="ISE39" s="244"/>
      <c r="ISF39" s="244"/>
      <c r="ISG39" s="244"/>
      <c r="ISH39" s="244"/>
      <c r="ISI39" s="244"/>
      <c r="ISJ39" s="244"/>
      <c r="ISK39" s="244"/>
      <c r="ISL39" s="244"/>
      <c r="ISM39" s="244"/>
      <c r="ISN39" s="244"/>
      <c r="ISO39" s="244"/>
      <c r="ISP39" s="244"/>
      <c r="ISQ39" s="244"/>
      <c r="ISR39" s="244"/>
      <c r="ISS39" s="244"/>
      <c r="IST39" s="244"/>
      <c r="ISU39" s="244"/>
      <c r="ISV39" s="244"/>
      <c r="ISW39" s="244"/>
      <c r="ISX39" s="244"/>
      <c r="ISY39" s="244"/>
      <c r="ISZ39" s="244"/>
      <c r="ITA39" s="244"/>
      <c r="ITB39" s="244"/>
      <c r="ITC39" s="244"/>
      <c r="ITD39" s="244"/>
      <c r="ITE39" s="244"/>
      <c r="ITF39" s="244"/>
      <c r="ITG39" s="244"/>
      <c r="ITH39" s="244"/>
      <c r="ITI39" s="244"/>
      <c r="ITJ39" s="244"/>
      <c r="ITK39" s="244"/>
      <c r="ITL39" s="244"/>
      <c r="ITM39" s="244"/>
      <c r="ITN39" s="244"/>
      <c r="ITO39" s="244"/>
      <c r="ITP39" s="244"/>
      <c r="ITQ39" s="244"/>
      <c r="ITR39" s="244"/>
      <c r="ITS39" s="244"/>
      <c r="ITT39" s="244"/>
      <c r="ITU39" s="244"/>
      <c r="ITV39" s="244"/>
      <c r="ITW39" s="244"/>
      <c r="ITX39" s="244"/>
      <c r="ITY39" s="244"/>
      <c r="ITZ39" s="244"/>
      <c r="IUA39" s="244"/>
      <c r="IUB39" s="244"/>
      <c r="IUC39" s="244"/>
      <c r="IUD39" s="244"/>
      <c r="IUE39" s="244"/>
      <c r="IUF39" s="244"/>
      <c r="IUG39" s="244"/>
      <c r="IUH39" s="244"/>
      <c r="IUI39" s="244"/>
      <c r="IUJ39" s="244"/>
      <c r="IUK39" s="244"/>
      <c r="IUL39" s="244"/>
      <c r="IUM39" s="244"/>
      <c r="IUN39" s="244"/>
      <c r="IUO39" s="244"/>
      <c r="IUP39" s="244"/>
      <c r="IUQ39" s="244"/>
      <c r="IUR39" s="244"/>
      <c r="IUS39" s="244"/>
      <c r="IUT39" s="244"/>
      <c r="IUU39" s="244"/>
      <c r="IUV39" s="244"/>
      <c r="IUW39" s="244"/>
      <c r="IUX39" s="244"/>
      <c r="IUY39" s="244"/>
      <c r="IUZ39" s="244"/>
      <c r="IVA39" s="244"/>
      <c r="IVB39" s="244"/>
      <c r="IVC39" s="244"/>
      <c r="IVD39" s="244"/>
      <c r="IVE39" s="244"/>
      <c r="IVF39" s="244"/>
      <c r="IVG39" s="244"/>
      <c r="IVH39" s="244"/>
      <c r="IVI39" s="244"/>
      <c r="IVJ39" s="244"/>
      <c r="IVK39" s="244"/>
      <c r="IVL39" s="244"/>
      <c r="IVM39" s="244"/>
      <c r="IVN39" s="244"/>
      <c r="IVO39" s="244"/>
      <c r="IVP39" s="244"/>
      <c r="IVQ39" s="244"/>
      <c r="IVR39" s="244"/>
      <c r="IVS39" s="244"/>
      <c r="IVT39" s="244"/>
      <c r="IVU39" s="244"/>
      <c r="IVV39" s="244"/>
      <c r="IVW39" s="244"/>
      <c r="IVX39" s="244"/>
      <c r="IVY39" s="244"/>
      <c r="IVZ39" s="244"/>
      <c r="IWA39" s="244"/>
      <c r="IWB39" s="244"/>
      <c r="IWC39" s="244"/>
      <c r="IWD39" s="244"/>
      <c r="IWE39" s="244"/>
      <c r="IWF39" s="244"/>
      <c r="IWG39" s="244"/>
      <c r="IWH39" s="244"/>
      <c r="IWI39" s="244"/>
      <c r="IWJ39" s="244"/>
      <c r="IWK39" s="244"/>
      <c r="IWL39" s="244"/>
      <c r="IWM39" s="244"/>
      <c r="IWN39" s="244"/>
      <c r="IWO39" s="244"/>
      <c r="IWP39" s="244"/>
      <c r="IWQ39" s="244"/>
      <c r="IWR39" s="244"/>
      <c r="IWS39" s="244"/>
      <c r="IWT39" s="244"/>
      <c r="IWU39" s="244"/>
      <c r="IWV39" s="244"/>
      <c r="IWW39" s="244"/>
      <c r="IWX39" s="244"/>
      <c r="IWY39" s="244"/>
      <c r="IWZ39" s="244"/>
      <c r="IXA39" s="244"/>
      <c r="IXB39" s="244"/>
      <c r="IXC39" s="244"/>
      <c r="IXD39" s="244"/>
      <c r="IXE39" s="244"/>
      <c r="IXF39" s="244"/>
      <c r="IXG39" s="244"/>
      <c r="IXH39" s="244"/>
      <c r="IXI39" s="244"/>
      <c r="IXJ39" s="244"/>
      <c r="IXK39" s="244"/>
      <c r="IXL39" s="244"/>
      <c r="IXM39" s="244"/>
      <c r="IXN39" s="244"/>
      <c r="IXO39" s="244"/>
      <c r="IXP39" s="244"/>
      <c r="IXQ39" s="244"/>
      <c r="IXR39" s="244"/>
      <c r="IXS39" s="244"/>
      <c r="IXT39" s="244"/>
      <c r="IXU39" s="244"/>
      <c r="IXV39" s="244"/>
      <c r="IXW39" s="244"/>
      <c r="IXX39" s="244"/>
      <c r="IXY39" s="244"/>
      <c r="IXZ39" s="244"/>
      <c r="IYA39" s="244"/>
      <c r="IYB39" s="244"/>
      <c r="IYC39" s="244"/>
      <c r="IYD39" s="244"/>
      <c r="IYE39" s="244"/>
      <c r="IYF39" s="244"/>
      <c r="IYG39" s="244"/>
      <c r="IYH39" s="244"/>
      <c r="IYI39" s="244"/>
      <c r="IYJ39" s="244"/>
      <c r="IYK39" s="244"/>
      <c r="IYL39" s="244"/>
      <c r="IYM39" s="244"/>
      <c r="IYN39" s="244"/>
      <c r="IYO39" s="244"/>
      <c r="IYP39" s="244"/>
      <c r="IYQ39" s="244"/>
      <c r="IYR39" s="244"/>
      <c r="IYS39" s="244"/>
      <c r="IYT39" s="244"/>
      <c r="IYU39" s="244"/>
      <c r="IYV39" s="244"/>
      <c r="IYW39" s="244"/>
      <c r="IYX39" s="244"/>
      <c r="IYY39" s="244"/>
      <c r="IYZ39" s="244"/>
      <c r="IZA39" s="244"/>
      <c r="IZB39" s="244"/>
      <c r="IZC39" s="244"/>
      <c r="IZD39" s="244"/>
      <c r="IZE39" s="244"/>
      <c r="IZF39" s="244"/>
      <c r="IZG39" s="244"/>
      <c r="IZH39" s="244"/>
      <c r="IZI39" s="244"/>
      <c r="IZJ39" s="244"/>
      <c r="IZK39" s="244"/>
      <c r="IZL39" s="244"/>
      <c r="IZM39" s="244"/>
      <c r="IZN39" s="244"/>
      <c r="IZO39" s="244"/>
      <c r="IZP39" s="244"/>
      <c r="IZQ39" s="244"/>
      <c r="IZR39" s="244"/>
      <c r="IZS39" s="244"/>
      <c r="IZT39" s="244"/>
      <c r="IZU39" s="244"/>
      <c r="IZV39" s="244"/>
      <c r="IZW39" s="244"/>
      <c r="IZX39" s="244"/>
      <c r="IZY39" s="244"/>
      <c r="IZZ39" s="244"/>
      <c r="JAA39" s="244"/>
      <c r="JAB39" s="244"/>
      <c r="JAC39" s="244"/>
      <c r="JAD39" s="244"/>
      <c r="JAE39" s="244"/>
      <c r="JAF39" s="244"/>
      <c r="JAG39" s="244"/>
      <c r="JAH39" s="244"/>
      <c r="JAI39" s="244"/>
      <c r="JAJ39" s="244"/>
      <c r="JAK39" s="244"/>
      <c r="JAL39" s="244"/>
      <c r="JAM39" s="244"/>
      <c r="JAN39" s="244"/>
      <c r="JAO39" s="244"/>
      <c r="JAP39" s="244"/>
      <c r="JAQ39" s="244"/>
      <c r="JAR39" s="244"/>
      <c r="JAS39" s="244"/>
      <c r="JAT39" s="244"/>
      <c r="JAU39" s="244"/>
      <c r="JAV39" s="244"/>
      <c r="JAW39" s="244"/>
      <c r="JAX39" s="244"/>
      <c r="JAY39" s="244"/>
      <c r="JAZ39" s="244"/>
      <c r="JBA39" s="244"/>
      <c r="JBB39" s="244"/>
      <c r="JBC39" s="244"/>
      <c r="JBD39" s="244"/>
      <c r="JBE39" s="244"/>
      <c r="JBF39" s="244"/>
      <c r="JBG39" s="244"/>
      <c r="JBH39" s="244"/>
      <c r="JBI39" s="244"/>
      <c r="JBJ39" s="244"/>
      <c r="JBK39" s="244"/>
      <c r="JBL39" s="244"/>
      <c r="JBM39" s="244"/>
      <c r="JBN39" s="244"/>
      <c r="JBO39" s="244"/>
      <c r="JBP39" s="244"/>
      <c r="JBQ39" s="244"/>
      <c r="JBR39" s="244"/>
      <c r="JBS39" s="244"/>
      <c r="JBT39" s="244"/>
      <c r="JBU39" s="244"/>
      <c r="JBV39" s="244"/>
      <c r="JBW39" s="244"/>
      <c r="JBX39" s="244"/>
      <c r="JBY39" s="244"/>
      <c r="JBZ39" s="244"/>
      <c r="JCA39" s="244"/>
      <c r="JCB39" s="244"/>
      <c r="JCC39" s="244"/>
      <c r="JCD39" s="244"/>
      <c r="JCE39" s="244"/>
      <c r="JCF39" s="244"/>
      <c r="JCG39" s="244"/>
      <c r="JCH39" s="244"/>
      <c r="JCI39" s="244"/>
      <c r="JCJ39" s="244"/>
      <c r="JCK39" s="244"/>
      <c r="JCL39" s="244"/>
      <c r="JCM39" s="244"/>
      <c r="JCN39" s="244"/>
      <c r="JCO39" s="244"/>
      <c r="JCP39" s="244"/>
      <c r="JCQ39" s="244"/>
      <c r="JCR39" s="244"/>
      <c r="JCS39" s="244"/>
      <c r="JCT39" s="244"/>
      <c r="JCU39" s="244"/>
      <c r="JCV39" s="244"/>
      <c r="JCW39" s="244"/>
      <c r="JCX39" s="244"/>
      <c r="JCY39" s="244"/>
      <c r="JCZ39" s="244"/>
      <c r="JDA39" s="244"/>
      <c r="JDB39" s="244"/>
      <c r="JDC39" s="244"/>
      <c r="JDD39" s="244"/>
      <c r="JDE39" s="244"/>
      <c r="JDF39" s="244"/>
      <c r="JDG39" s="244"/>
      <c r="JDH39" s="244"/>
      <c r="JDI39" s="244"/>
      <c r="JDJ39" s="244"/>
      <c r="JDK39" s="244"/>
      <c r="JDL39" s="244"/>
      <c r="JDM39" s="244"/>
      <c r="JDN39" s="244"/>
      <c r="JDO39" s="244"/>
      <c r="JDP39" s="244"/>
      <c r="JDQ39" s="244"/>
      <c r="JDR39" s="244"/>
      <c r="JDS39" s="244"/>
      <c r="JDT39" s="244"/>
      <c r="JDU39" s="244"/>
      <c r="JDV39" s="244"/>
      <c r="JDW39" s="244"/>
      <c r="JDX39" s="244"/>
      <c r="JDY39" s="244"/>
      <c r="JDZ39" s="244"/>
      <c r="JEA39" s="244"/>
      <c r="JEB39" s="244"/>
      <c r="JEC39" s="244"/>
      <c r="JED39" s="244"/>
      <c r="JEE39" s="244"/>
      <c r="JEF39" s="244"/>
      <c r="JEG39" s="244"/>
      <c r="JEH39" s="244"/>
      <c r="JEI39" s="244"/>
      <c r="JEJ39" s="244"/>
      <c r="JEK39" s="244"/>
      <c r="JEL39" s="244"/>
      <c r="JEM39" s="244"/>
      <c r="JEN39" s="244"/>
      <c r="JEO39" s="244"/>
      <c r="JEP39" s="244"/>
      <c r="JEQ39" s="244"/>
      <c r="JER39" s="244"/>
      <c r="JES39" s="244"/>
      <c r="JET39" s="244"/>
      <c r="JEU39" s="244"/>
      <c r="JEV39" s="244"/>
      <c r="JEW39" s="244"/>
      <c r="JEX39" s="244"/>
      <c r="JEY39" s="244"/>
      <c r="JEZ39" s="244"/>
      <c r="JFA39" s="244"/>
      <c r="JFB39" s="244"/>
      <c r="JFC39" s="244"/>
      <c r="JFD39" s="244"/>
      <c r="JFE39" s="244"/>
      <c r="JFF39" s="244"/>
      <c r="JFG39" s="244"/>
      <c r="JFH39" s="244"/>
      <c r="JFI39" s="244"/>
      <c r="JFJ39" s="244"/>
      <c r="JFK39" s="244"/>
      <c r="JFL39" s="244"/>
      <c r="JFM39" s="244"/>
      <c r="JFN39" s="244"/>
      <c r="JFO39" s="244"/>
      <c r="JFP39" s="244"/>
      <c r="JFQ39" s="244"/>
      <c r="JFR39" s="244"/>
      <c r="JFS39" s="244"/>
      <c r="JFT39" s="244"/>
      <c r="JFU39" s="244"/>
      <c r="JFV39" s="244"/>
      <c r="JFW39" s="244"/>
      <c r="JFX39" s="244"/>
      <c r="JFY39" s="244"/>
      <c r="JFZ39" s="244"/>
      <c r="JGA39" s="244"/>
      <c r="JGB39" s="244"/>
      <c r="JGC39" s="244"/>
      <c r="JGD39" s="244"/>
      <c r="JGE39" s="244"/>
      <c r="JGF39" s="244"/>
      <c r="JGG39" s="244"/>
      <c r="JGH39" s="244"/>
      <c r="JGI39" s="244"/>
      <c r="JGJ39" s="244"/>
      <c r="JGK39" s="244"/>
      <c r="JGL39" s="244"/>
      <c r="JGM39" s="244"/>
      <c r="JGN39" s="244"/>
      <c r="JGO39" s="244"/>
      <c r="JGP39" s="244"/>
      <c r="JGQ39" s="244"/>
      <c r="JGR39" s="244"/>
      <c r="JGS39" s="244"/>
      <c r="JGT39" s="244"/>
      <c r="JGU39" s="244"/>
      <c r="JGV39" s="244"/>
      <c r="JGW39" s="244"/>
      <c r="JGX39" s="244"/>
      <c r="JGY39" s="244"/>
      <c r="JGZ39" s="244"/>
      <c r="JHA39" s="244"/>
      <c r="JHB39" s="244"/>
      <c r="JHC39" s="244"/>
      <c r="JHD39" s="244"/>
      <c r="JHE39" s="244"/>
      <c r="JHF39" s="244"/>
      <c r="JHG39" s="244"/>
      <c r="JHH39" s="244"/>
      <c r="JHI39" s="244"/>
      <c r="JHJ39" s="244"/>
      <c r="JHK39" s="244"/>
      <c r="JHL39" s="244"/>
      <c r="JHM39" s="244"/>
      <c r="JHN39" s="244"/>
      <c r="JHO39" s="244"/>
      <c r="JHP39" s="244"/>
      <c r="JHQ39" s="244"/>
      <c r="JHR39" s="244"/>
      <c r="JHS39" s="244"/>
      <c r="JHT39" s="244"/>
      <c r="JHU39" s="244"/>
      <c r="JHV39" s="244"/>
      <c r="JHW39" s="244"/>
      <c r="JHX39" s="244"/>
      <c r="JHY39" s="244"/>
      <c r="JHZ39" s="244"/>
      <c r="JIA39" s="244"/>
      <c r="JIB39" s="244"/>
      <c r="JIC39" s="244"/>
      <c r="JID39" s="244"/>
      <c r="JIE39" s="244"/>
      <c r="JIF39" s="244"/>
      <c r="JIG39" s="244"/>
      <c r="JIH39" s="244"/>
      <c r="JII39" s="244"/>
      <c r="JIJ39" s="244"/>
      <c r="JIK39" s="244"/>
      <c r="JIL39" s="244"/>
      <c r="JIM39" s="244"/>
      <c r="JIN39" s="244"/>
      <c r="JIO39" s="244"/>
      <c r="JIP39" s="244"/>
      <c r="JIQ39" s="244"/>
      <c r="JIR39" s="244"/>
      <c r="JIS39" s="244"/>
      <c r="JIT39" s="244"/>
      <c r="JIU39" s="244"/>
      <c r="JIV39" s="244"/>
      <c r="JIW39" s="244"/>
      <c r="JIX39" s="244"/>
      <c r="JIY39" s="244"/>
      <c r="JIZ39" s="244"/>
      <c r="JJA39" s="244"/>
      <c r="JJB39" s="244"/>
      <c r="JJC39" s="244"/>
      <c r="JJD39" s="244"/>
      <c r="JJE39" s="244"/>
      <c r="JJF39" s="244"/>
      <c r="JJG39" s="244"/>
      <c r="JJH39" s="244"/>
      <c r="JJI39" s="244"/>
      <c r="JJJ39" s="244"/>
      <c r="JJK39" s="244"/>
      <c r="JJL39" s="244"/>
      <c r="JJM39" s="244"/>
      <c r="JJN39" s="244"/>
      <c r="JJO39" s="244"/>
      <c r="JJP39" s="244"/>
      <c r="JJQ39" s="244"/>
      <c r="JJR39" s="244"/>
      <c r="JJS39" s="244"/>
      <c r="JJT39" s="244"/>
      <c r="JJU39" s="244"/>
      <c r="JJV39" s="244"/>
      <c r="JJW39" s="244"/>
      <c r="JJX39" s="244"/>
      <c r="JJY39" s="244"/>
      <c r="JJZ39" s="244"/>
      <c r="JKA39" s="244"/>
      <c r="JKB39" s="244"/>
      <c r="JKC39" s="244"/>
      <c r="JKD39" s="244"/>
      <c r="JKE39" s="244"/>
      <c r="JKF39" s="244"/>
      <c r="JKG39" s="244"/>
      <c r="JKH39" s="244"/>
      <c r="JKI39" s="244"/>
      <c r="JKJ39" s="244"/>
      <c r="JKK39" s="244"/>
      <c r="JKL39" s="244"/>
      <c r="JKM39" s="244"/>
      <c r="JKN39" s="244"/>
      <c r="JKO39" s="244"/>
      <c r="JKP39" s="244"/>
      <c r="JKQ39" s="244"/>
      <c r="JKR39" s="244"/>
      <c r="JKS39" s="244"/>
      <c r="JKT39" s="244"/>
      <c r="JKU39" s="244"/>
      <c r="JKV39" s="244"/>
      <c r="JKW39" s="244"/>
      <c r="JKX39" s="244"/>
      <c r="JKY39" s="244"/>
      <c r="JKZ39" s="244"/>
      <c r="JLA39" s="244"/>
      <c r="JLB39" s="244"/>
      <c r="JLC39" s="244"/>
      <c r="JLD39" s="244"/>
      <c r="JLE39" s="244"/>
      <c r="JLF39" s="244"/>
      <c r="JLG39" s="244"/>
      <c r="JLH39" s="244"/>
      <c r="JLI39" s="244"/>
      <c r="JLJ39" s="244"/>
      <c r="JLK39" s="244"/>
      <c r="JLL39" s="244"/>
      <c r="JLM39" s="244"/>
      <c r="JLN39" s="244"/>
      <c r="JLO39" s="244"/>
      <c r="JLP39" s="244"/>
      <c r="JLQ39" s="244"/>
      <c r="JLR39" s="244"/>
      <c r="JLS39" s="244"/>
      <c r="JLT39" s="244"/>
      <c r="JLU39" s="244"/>
      <c r="JLV39" s="244"/>
      <c r="JLW39" s="244"/>
      <c r="JLX39" s="244"/>
      <c r="JLY39" s="244"/>
      <c r="JLZ39" s="244"/>
      <c r="JMA39" s="244"/>
      <c r="JMB39" s="244"/>
      <c r="JMC39" s="244"/>
      <c r="JMD39" s="244"/>
      <c r="JME39" s="244"/>
      <c r="JMF39" s="244"/>
      <c r="JMG39" s="244"/>
      <c r="JMH39" s="244"/>
      <c r="JMI39" s="244"/>
      <c r="JMJ39" s="244"/>
      <c r="JMK39" s="244"/>
      <c r="JML39" s="244"/>
      <c r="JMM39" s="244"/>
      <c r="JMN39" s="244"/>
      <c r="JMO39" s="244"/>
      <c r="JMP39" s="244"/>
      <c r="JMQ39" s="244"/>
      <c r="JMR39" s="244"/>
      <c r="JMS39" s="244"/>
      <c r="JMT39" s="244"/>
      <c r="JMU39" s="244"/>
      <c r="JMV39" s="244"/>
      <c r="JMW39" s="244"/>
      <c r="JMX39" s="244"/>
      <c r="JMY39" s="244"/>
      <c r="JMZ39" s="244"/>
      <c r="JNA39" s="244"/>
      <c r="JNB39" s="244"/>
      <c r="JNC39" s="244"/>
      <c r="JND39" s="244"/>
      <c r="JNE39" s="244"/>
      <c r="JNF39" s="244"/>
      <c r="JNG39" s="244"/>
      <c r="JNH39" s="244"/>
      <c r="JNI39" s="244"/>
      <c r="JNJ39" s="244"/>
      <c r="JNK39" s="244"/>
      <c r="JNL39" s="244"/>
      <c r="JNM39" s="244"/>
      <c r="JNN39" s="244"/>
      <c r="JNO39" s="244"/>
      <c r="JNP39" s="244"/>
      <c r="JNQ39" s="244"/>
      <c r="JNR39" s="244"/>
      <c r="JNS39" s="244"/>
      <c r="JNT39" s="244"/>
      <c r="JNU39" s="244"/>
      <c r="JNV39" s="244"/>
      <c r="JNW39" s="244"/>
      <c r="JNX39" s="244"/>
      <c r="JNY39" s="244"/>
      <c r="JNZ39" s="244"/>
      <c r="JOA39" s="244"/>
      <c r="JOB39" s="244"/>
      <c r="JOC39" s="244"/>
      <c r="JOD39" s="244"/>
      <c r="JOE39" s="244"/>
      <c r="JOF39" s="244"/>
      <c r="JOG39" s="244"/>
      <c r="JOH39" s="244"/>
      <c r="JOI39" s="244"/>
      <c r="JOJ39" s="244"/>
      <c r="JOK39" s="244"/>
      <c r="JOL39" s="244"/>
      <c r="JOM39" s="244"/>
      <c r="JON39" s="244"/>
      <c r="JOO39" s="244"/>
      <c r="JOP39" s="244"/>
      <c r="JOQ39" s="244"/>
      <c r="JOR39" s="244"/>
      <c r="JOS39" s="244"/>
      <c r="JOT39" s="244"/>
      <c r="JOU39" s="244"/>
      <c r="JOV39" s="244"/>
      <c r="JOW39" s="244"/>
      <c r="JOX39" s="244"/>
      <c r="JOY39" s="244"/>
      <c r="JOZ39" s="244"/>
      <c r="JPA39" s="244"/>
      <c r="JPB39" s="244"/>
      <c r="JPC39" s="244"/>
      <c r="JPD39" s="244"/>
      <c r="JPE39" s="244"/>
      <c r="JPF39" s="244"/>
      <c r="JPG39" s="244"/>
      <c r="JPH39" s="244"/>
      <c r="JPI39" s="244"/>
      <c r="JPJ39" s="244"/>
      <c r="JPK39" s="244"/>
      <c r="JPL39" s="244"/>
      <c r="JPM39" s="244"/>
      <c r="JPN39" s="244"/>
      <c r="JPO39" s="244"/>
      <c r="JPP39" s="244"/>
      <c r="JPQ39" s="244"/>
      <c r="JPR39" s="244"/>
      <c r="JPS39" s="244"/>
      <c r="JPT39" s="244"/>
      <c r="JPU39" s="244"/>
      <c r="JPV39" s="244"/>
      <c r="JPW39" s="244"/>
      <c r="JPX39" s="244"/>
      <c r="JPY39" s="244"/>
      <c r="JPZ39" s="244"/>
      <c r="JQA39" s="244"/>
      <c r="JQB39" s="244"/>
      <c r="JQC39" s="244"/>
      <c r="JQD39" s="244"/>
      <c r="JQE39" s="244"/>
      <c r="JQF39" s="244"/>
      <c r="JQG39" s="244"/>
      <c r="JQH39" s="244"/>
      <c r="JQI39" s="244"/>
      <c r="JQJ39" s="244"/>
      <c r="JQK39" s="244"/>
      <c r="JQL39" s="244"/>
      <c r="JQM39" s="244"/>
      <c r="JQN39" s="244"/>
      <c r="JQO39" s="244"/>
      <c r="JQP39" s="244"/>
      <c r="JQQ39" s="244"/>
      <c r="JQR39" s="244"/>
      <c r="JQS39" s="244"/>
      <c r="JQT39" s="244"/>
      <c r="JQU39" s="244"/>
      <c r="JQV39" s="244"/>
      <c r="JQW39" s="244"/>
      <c r="JQX39" s="244"/>
      <c r="JQY39" s="244"/>
      <c r="JQZ39" s="244"/>
      <c r="JRA39" s="244"/>
      <c r="JRB39" s="244"/>
      <c r="JRC39" s="244"/>
      <c r="JRD39" s="244"/>
      <c r="JRE39" s="244"/>
      <c r="JRF39" s="244"/>
      <c r="JRG39" s="244"/>
      <c r="JRH39" s="244"/>
      <c r="JRI39" s="244"/>
      <c r="JRJ39" s="244"/>
      <c r="JRK39" s="244"/>
      <c r="JRL39" s="244"/>
      <c r="JRM39" s="244"/>
      <c r="JRN39" s="244"/>
      <c r="JRO39" s="244"/>
      <c r="JRP39" s="244"/>
      <c r="JRQ39" s="244"/>
      <c r="JRR39" s="244"/>
      <c r="JRS39" s="244"/>
      <c r="JRT39" s="244"/>
      <c r="JRU39" s="244"/>
      <c r="JRV39" s="244"/>
      <c r="JRW39" s="244"/>
      <c r="JRX39" s="244"/>
      <c r="JRY39" s="244"/>
      <c r="JRZ39" s="244"/>
      <c r="JSA39" s="244"/>
      <c r="JSB39" s="244"/>
      <c r="JSC39" s="244"/>
      <c r="JSD39" s="244"/>
      <c r="JSE39" s="244"/>
      <c r="JSF39" s="244"/>
      <c r="JSG39" s="244"/>
      <c r="JSH39" s="244"/>
      <c r="JSI39" s="244"/>
      <c r="JSJ39" s="244"/>
      <c r="JSK39" s="244"/>
      <c r="JSL39" s="244"/>
      <c r="JSM39" s="244"/>
      <c r="JSN39" s="244"/>
      <c r="JSO39" s="244"/>
      <c r="JSP39" s="244"/>
      <c r="JSQ39" s="244"/>
      <c r="JSR39" s="244"/>
      <c r="JSS39" s="244"/>
      <c r="JST39" s="244"/>
      <c r="JSU39" s="244"/>
      <c r="JSV39" s="244"/>
      <c r="JSW39" s="244"/>
      <c r="JSX39" s="244"/>
      <c r="JSY39" s="244"/>
      <c r="JSZ39" s="244"/>
      <c r="JTA39" s="244"/>
      <c r="JTB39" s="244"/>
      <c r="JTC39" s="244"/>
      <c r="JTD39" s="244"/>
      <c r="JTE39" s="244"/>
      <c r="JTF39" s="244"/>
      <c r="JTG39" s="244"/>
      <c r="JTH39" s="244"/>
      <c r="JTI39" s="244"/>
      <c r="JTJ39" s="244"/>
      <c r="JTK39" s="244"/>
      <c r="JTL39" s="244"/>
      <c r="JTM39" s="244"/>
      <c r="JTN39" s="244"/>
      <c r="JTO39" s="244"/>
      <c r="JTP39" s="244"/>
      <c r="JTQ39" s="244"/>
      <c r="JTR39" s="244"/>
      <c r="JTS39" s="244"/>
      <c r="JTT39" s="244"/>
      <c r="JTU39" s="244"/>
      <c r="JTV39" s="244"/>
      <c r="JTW39" s="244"/>
      <c r="JTX39" s="244"/>
      <c r="JTY39" s="244"/>
      <c r="JTZ39" s="244"/>
      <c r="JUA39" s="244"/>
      <c r="JUB39" s="244"/>
      <c r="JUC39" s="244"/>
      <c r="JUD39" s="244"/>
      <c r="JUE39" s="244"/>
      <c r="JUF39" s="244"/>
      <c r="JUG39" s="244"/>
      <c r="JUH39" s="244"/>
      <c r="JUI39" s="244"/>
      <c r="JUJ39" s="244"/>
      <c r="JUK39" s="244"/>
      <c r="JUL39" s="244"/>
      <c r="JUM39" s="244"/>
      <c r="JUN39" s="244"/>
      <c r="JUO39" s="244"/>
      <c r="JUP39" s="244"/>
      <c r="JUQ39" s="244"/>
      <c r="JUR39" s="244"/>
      <c r="JUS39" s="244"/>
      <c r="JUT39" s="244"/>
      <c r="JUU39" s="244"/>
      <c r="JUV39" s="244"/>
      <c r="JUW39" s="244"/>
      <c r="JUX39" s="244"/>
      <c r="JUY39" s="244"/>
      <c r="JUZ39" s="244"/>
      <c r="JVA39" s="244"/>
      <c r="JVB39" s="244"/>
      <c r="JVC39" s="244"/>
      <c r="JVD39" s="244"/>
      <c r="JVE39" s="244"/>
      <c r="JVF39" s="244"/>
      <c r="JVG39" s="244"/>
      <c r="JVH39" s="244"/>
      <c r="JVI39" s="244"/>
      <c r="JVJ39" s="244"/>
      <c r="JVK39" s="244"/>
      <c r="JVL39" s="244"/>
      <c r="JVM39" s="244"/>
      <c r="JVN39" s="244"/>
      <c r="JVO39" s="244"/>
      <c r="JVP39" s="244"/>
      <c r="JVQ39" s="244"/>
      <c r="JVR39" s="244"/>
      <c r="JVS39" s="244"/>
      <c r="JVT39" s="244"/>
      <c r="JVU39" s="244"/>
      <c r="JVV39" s="244"/>
      <c r="JVW39" s="244"/>
      <c r="JVX39" s="244"/>
      <c r="JVY39" s="244"/>
      <c r="JVZ39" s="244"/>
      <c r="JWA39" s="244"/>
      <c r="JWB39" s="244"/>
      <c r="JWC39" s="244"/>
      <c r="JWD39" s="244"/>
      <c r="JWE39" s="244"/>
      <c r="JWF39" s="244"/>
      <c r="JWG39" s="244"/>
      <c r="JWH39" s="244"/>
      <c r="JWI39" s="244"/>
      <c r="JWJ39" s="244"/>
      <c r="JWK39" s="244"/>
      <c r="JWL39" s="244"/>
      <c r="JWM39" s="244"/>
      <c r="JWN39" s="244"/>
      <c r="JWO39" s="244"/>
      <c r="JWP39" s="244"/>
      <c r="JWQ39" s="244"/>
      <c r="JWR39" s="244"/>
      <c r="JWS39" s="244"/>
      <c r="JWT39" s="244"/>
      <c r="JWU39" s="244"/>
      <c r="JWV39" s="244"/>
      <c r="JWW39" s="244"/>
      <c r="JWX39" s="244"/>
      <c r="JWY39" s="244"/>
      <c r="JWZ39" s="244"/>
      <c r="JXA39" s="244"/>
      <c r="JXB39" s="244"/>
      <c r="JXC39" s="244"/>
      <c r="JXD39" s="244"/>
      <c r="JXE39" s="244"/>
      <c r="JXF39" s="244"/>
      <c r="JXG39" s="244"/>
      <c r="JXH39" s="244"/>
      <c r="JXI39" s="244"/>
      <c r="JXJ39" s="244"/>
      <c r="JXK39" s="244"/>
      <c r="JXL39" s="244"/>
      <c r="JXM39" s="244"/>
      <c r="JXN39" s="244"/>
      <c r="JXO39" s="244"/>
      <c r="JXP39" s="244"/>
      <c r="JXQ39" s="244"/>
      <c r="JXR39" s="244"/>
      <c r="JXS39" s="244"/>
      <c r="JXT39" s="244"/>
      <c r="JXU39" s="244"/>
      <c r="JXV39" s="244"/>
      <c r="JXW39" s="244"/>
      <c r="JXX39" s="244"/>
      <c r="JXY39" s="244"/>
      <c r="JXZ39" s="244"/>
      <c r="JYA39" s="244"/>
      <c r="JYB39" s="244"/>
      <c r="JYC39" s="244"/>
      <c r="JYD39" s="244"/>
      <c r="JYE39" s="244"/>
      <c r="JYF39" s="244"/>
      <c r="JYG39" s="244"/>
      <c r="JYH39" s="244"/>
      <c r="JYI39" s="244"/>
      <c r="JYJ39" s="244"/>
      <c r="JYK39" s="244"/>
      <c r="JYL39" s="244"/>
      <c r="JYM39" s="244"/>
      <c r="JYN39" s="244"/>
      <c r="JYO39" s="244"/>
      <c r="JYP39" s="244"/>
      <c r="JYQ39" s="244"/>
      <c r="JYR39" s="244"/>
      <c r="JYS39" s="244"/>
      <c r="JYT39" s="244"/>
      <c r="JYU39" s="244"/>
      <c r="JYV39" s="244"/>
      <c r="JYW39" s="244"/>
      <c r="JYX39" s="244"/>
      <c r="JYY39" s="244"/>
      <c r="JYZ39" s="244"/>
      <c r="JZA39" s="244"/>
      <c r="JZB39" s="244"/>
      <c r="JZC39" s="244"/>
      <c r="JZD39" s="244"/>
      <c r="JZE39" s="244"/>
      <c r="JZF39" s="244"/>
      <c r="JZG39" s="244"/>
      <c r="JZH39" s="244"/>
      <c r="JZI39" s="244"/>
      <c r="JZJ39" s="244"/>
      <c r="JZK39" s="244"/>
      <c r="JZL39" s="244"/>
      <c r="JZM39" s="244"/>
      <c r="JZN39" s="244"/>
      <c r="JZO39" s="244"/>
      <c r="JZP39" s="244"/>
      <c r="JZQ39" s="244"/>
      <c r="JZR39" s="244"/>
      <c r="JZS39" s="244"/>
      <c r="JZT39" s="244"/>
      <c r="JZU39" s="244"/>
      <c r="JZV39" s="244"/>
      <c r="JZW39" s="244"/>
      <c r="JZX39" s="244"/>
      <c r="JZY39" s="244"/>
      <c r="JZZ39" s="244"/>
      <c r="KAA39" s="244"/>
      <c r="KAB39" s="244"/>
      <c r="KAC39" s="244"/>
      <c r="KAD39" s="244"/>
      <c r="KAE39" s="244"/>
      <c r="KAF39" s="244"/>
      <c r="KAG39" s="244"/>
      <c r="KAH39" s="244"/>
      <c r="KAI39" s="244"/>
      <c r="KAJ39" s="244"/>
      <c r="KAK39" s="244"/>
      <c r="KAL39" s="244"/>
      <c r="KAM39" s="244"/>
      <c r="KAN39" s="244"/>
      <c r="KAO39" s="244"/>
      <c r="KAP39" s="244"/>
      <c r="KAQ39" s="244"/>
      <c r="KAR39" s="244"/>
      <c r="KAS39" s="244"/>
      <c r="KAT39" s="244"/>
      <c r="KAU39" s="244"/>
      <c r="KAV39" s="244"/>
      <c r="KAW39" s="244"/>
      <c r="KAX39" s="244"/>
      <c r="KAY39" s="244"/>
      <c r="KAZ39" s="244"/>
      <c r="KBA39" s="244"/>
      <c r="KBB39" s="244"/>
      <c r="KBC39" s="244"/>
      <c r="KBD39" s="244"/>
      <c r="KBE39" s="244"/>
      <c r="KBF39" s="244"/>
      <c r="KBG39" s="244"/>
      <c r="KBH39" s="244"/>
      <c r="KBI39" s="244"/>
      <c r="KBJ39" s="244"/>
      <c r="KBK39" s="244"/>
      <c r="KBL39" s="244"/>
      <c r="KBM39" s="244"/>
      <c r="KBN39" s="244"/>
      <c r="KBO39" s="244"/>
      <c r="KBP39" s="244"/>
      <c r="KBQ39" s="244"/>
      <c r="KBR39" s="244"/>
      <c r="KBS39" s="244"/>
      <c r="KBT39" s="244"/>
      <c r="KBU39" s="244"/>
      <c r="KBV39" s="244"/>
      <c r="KBW39" s="244"/>
      <c r="KBX39" s="244"/>
      <c r="KBY39" s="244"/>
      <c r="KBZ39" s="244"/>
      <c r="KCA39" s="244"/>
      <c r="KCB39" s="244"/>
      <c r="KCC39" s="244"/>
      <c r="KCD39" s="244"/>
      <c r="KCE39" s="244"/>
      <c r="KCF39" s="244"/>
      <c r="KCG39" s="244"/>
      <c r="KCH39" s="244"/>
      <c r="KCI39" s="244"/>
      <c r="KCJ39" s="244"/>
      <c r="KCK39" s="244"/>
      <c r="KCL39" s="244"/>
      <c r="KCM39" s="244"/>
      <c r="KCN39" s="244"/>
      <c r="KCO39" s="244"/>
      <c r="KCP39" s="244"/>
      <c r="KCQ39" s="244"/>
      <c r="KCR39" s="244"/>
      <c r="KCS39" s="244"/>
      <c r="KCT39" s="244"/>
      <c r="KCU39" s="244"/>
      <c r="KCV39" s="244"/>
      <c r="KCW39" s="244"/>
      <c r="KCX39" s="244"/>
      <c r="KCY39" s="244"/>
      <c r="KCZ39" s="244"/>
      <c r="KDA39" s="244"/>
      <c r="KDB39" s="244"/>
      <c r="KDC39" s="244"/>
      <c r="KDD39" s="244"/>
      <c r="KDE39" s="244"/>
      <c r="KDF39" s="244"/>
      <c r="KDG39" s="244"/>
      <c r="KDH39" s="244"/>
      <c r="KDI39" s="244"/>
      <c r="KDJ39" s="244"/>
      <c r="KDK39" s="244"/>
      <c r="KDL39" s="244"/>
      <c r="KDM39" s="244"/>
      <c r="KDN39" s="244"/>
      <c r="KDO39" s="244"/>
      <c r="KDP39" s="244"/>
      <c r="KDQ39" s="244"/>
      <c r="KDR39" s="244"/>
      <c r="KDS39" s="244"/>
      <c r="KDT39" s="244"/>
      <c r="KDU39" s="244"/>
      <c r="KDV39" s="244"/>
      <c r="KDW39" s="244"/>
      <c r="KDX39" s="244"/>
      <c r="KDY39" s="244"/>
      <c r="KDZ39" s="244"/>
      <c r="KEA39" s="244"/>
      <c r="KEB39" s="244"/>
      <c r="KEC39" s="244"/>
      <c r="KED39" s="244"/>
      <c r="KEE39" s="244"/>
      <c r="KEF39" s="244"/>
      <c r="KEG39" s="244"/>
      <c r="KEH39" s="244"/>
      <c r="KEI39" s="244"/>
      <c r="KEJ39" s="244"/>
      <c r="KEK39" s="244"/>
      <c r="KEL39" s="244"/>
      <c r="KEM39" s="244"/>
      <c r="KEN39" s="244"/>
      <c r="KEO39" s="244"/>
      <c r="KEP39" s="244"/>
      <c r="KEQ39" s="244"/>
      <c r="KER39" s="244"/>
      <c r="KES39" s="244"/>
      <c r="KET39" s="244"/>
      <c r="KEU39" s="244"/>
      <c r="KEV39" s="244"/>
      <c r="KEW39" s="244"/>
      <c r="KEX39" s="244"/>
      <c r="KEY39" s="244"/>
      <c r="KEZ39" s="244"/>
      <c r="KFA39" s="244"/>
      <c r="KFB39" s="244"/>
      <c r="KFC39" s="244"/>
      <c r="KFD39" s="244"/>
      <c r="KFE39" s="244"/>
      <c r="KFF39" s="244"/>
      <c r="KFG39" s="244"/>
      <c r="KFH39" s="244"/>
      <c r="KFI39" s="244"/>
      <c r="KFJ39" s="244"/>
      <c r="KFK39" s="244"/>
      <c r="KFL39" s="244"/>
      <c r="KFM39" s="244"/>
      <c r="KFN39" s="244"/>
      <c r="KFO39" s="244"/>
      <c r="KFP39" s="244"/>
      <c r="KFQ39" s="244"/>
      <c r="KFR39" s="244"/>
      <c r="KFS39" s="244"/>
      <c r="KFT39" s="244"/>
      <c r="KFU39" s="244"/>
      <c r="KFV39" s="244"/>
      <c r="KFW39" s="244"/>
      <c r="KFX39" s="244"/>
      <c r="KFY39" s="244"/>
      <c r="KFZ39" s="244"/>
      <c r="KGA39" s="244"/>
      <c r="KGB39" s="244"/>
      <c r="KGC39" s="244"/>
      <c r="KGD39" s="244"/>
      <c r="KGE39" s="244"/>
      <c r="KGF39" s="244"/>
      <c r="KGG39" s="244"/>
      <c r="KGH39" s="244"/>
      <c r="KGI39" s="244"/>
      <c r="KGJ39" s="244"/>
      <c r="KGK39" s="244"/>
      <c r="KGL39" s="244"/>
      <c r="KGM39" s="244"/>
      <c r="KGN39" s="244"/>
      <c r="KGO39" s="244"/>
      <c r="KGP39" s="244"/>
      <c r="KGQ39" s="244"/>
      <c r="KGR39" s="244"/>
      <c r="KGS39" s="244"/>
      <c r="KGT39" s="244"/>
      <c r="KGU39" s="244"/>
      <c r="KGV39" s="244"/>
      <c r="KGW39" s="244"/>
      <c r="KGX39" s="244"/>
      <c r="KGY39" s="244"/>
      <c r="KGZ39" s="244"/>
      <c r="KHA39" s="244"/>
      <c r="KHB39" s="244"/>
      <c r="KHC39" s="244"/>
      <c r="KHD39" s="244"/>
      <c r="KHE39" s="244"/>
      <c r="KHF39" s="244"/>
      <c r="KHG39" s="244"/>
      <c r="KHH39" s="244"/>
      <c r="KHI39" s="244"/>
      <c r="KHJ39" s="244"/>
      <c r="KHK39" s="244"/>
      <c r="KHL39" s="244"/>
      <c r="KHM39" s="244"/>
      <c r="KHN39" s="244"/>
      <c r="KHO39" s="244"/>
      <c r="KHP39" s="244"/>
      <c r="KHQ39" s="244"/>
      <c r="KHR39" s="244"/>
      <c r="KHS39" s="244"/>
      <c r="KHT39" s="244"/>
      <c r="KHU39" s="244"/>
      <c r="KHV39" s="244"/>
      <c r="KHW39" s="244"/>
      <c r="KHX39" s="244"/>
      <c r="KHY39" s="244"/>
      <c r="KHZ39" s="244"/>
      <c r="KIA39" s="244"/>
      <c r="KIB39" s="244"/>
      <c r="KIC39" s="244"/>
      <c r="KID39" s="244"/>
      <c r="KIE39" s="244"/>
      <c r="KIF39" s="244"/>
      <c r="KIG39" s="244"/>
      <c r="KIH39" s="244"/>
      <c r="KII39" s="244"/>
      <c r="KIJ39" s="244"/>
      <c r="KIK39" s="244"/>
      <c r="KIL39" s="244"/>
      <c r="KIM39" s="244"/>
      <c r="KIN39" s="244"/>
      <c r="KIO39" s="244"/>
      <c r="KIP39" s="244"/>
      <c r="KIQ39" s="244"/>
      <c r="KIR39" s="244"/>
      <c r="KIS39" s="244"/>
      <c r="KIT39" s="244"/>
      <c r="KIU39" s="244"/>
      <c r="KIV39" s="244"/>
      <c r="KIW39" s="244"/>
      <c r="KIX39" s="244"/>
      <c r="KIY39" s="244"/>
      <c r="KIZ39" s="244"/>
      <c r="KJA39" s="244"/>
      <c r="KJB39" s="244"/>
      <c r="KJC39" s="244"/>
      <c r="KJD39" s="244"/>
      <c r="KJE39" s="244"/>
      <c r="KJF39" s="244"/>
      <c r="KJG39" s="244"/>
      <c r="KJH39" s="244"/>
      <c r="KJI39" s="244"/>
      <c r="KJJ39" s="244"/>
      <c r="KJK39" s="244"/>
      <c r="KJL39" s="244"/>
      <c r="KJM39" s="244"/>
      <c r="KJN39" s="244"/>
      <c r="KJO39" s="244"/>
      <c r="KJP39" s="244"/>
      <c r="KJQ39" s="244"/>
      <c r="KJR39" s="244"/>
      <c r="KJS39" s="244"/>
      <c r="KJT39" s="244"/>
      <c r="KJU39" s="244"/>
      <c r="KJV39" s="244"/>
      <c r="KJW39" s="244"/>
      <c r="KJX39" s="244"/>
      <c r="KJY39" s="244"/>
      <c r="KJZ39" s="244"/>
      <c r="KKA39" s="244"/>
      <c r="KKB39" s="244"/>
      <c r="KKC39" s="244"/>
      <c r="KKD39" s="244"/>
      <c r="KKE39" s="244"/>
      <c r="KKF39" s="244"/>
      <c r="KKG39" s="244"/>
      <c r="KKH39" s="244"/>
      <c r="KKI39" s="244"/>
      <c r="KKJ39" s="244"/>
      <c r="KKK39" s="244"/>
      <c r="KKL39" s="244"/>
      <c r="KKM39" s="244"/>
      <c r="KKN39" s="244"/>
      <c r="KKO39" s="244"/>
      <c r="KKP39" s="244"/>
      <c r="KKQ39" s="244"/>
      <c r="KKR39" s="244"/>
      <c r="KKS39" s="244"/>
      <c r="KKT39" s="244"/>
      <c r="KKU39" s="244"/>
      <c r="KKV39" s="244"/>
      <c r="KKW39" s="244"/>
      <c r="KKX39" s="244"/>
      <c r="KKY39" s="244"/>
      <c r="KKZ39" s="244"/>
      <c r="KLA39" s="244"/>
      <c r="KLB39" s="244"/>
      <c r="KLC39" s="244"/>
      <c r="KLD39" s="244"/>
      <c r="KLE39" s="244"/>
      <c r="KLF39" s="244"/>
      <c r="KLG39" s="244"/>
      <c r="KLH39" s="244"/>
      <c r="KLI39" s="244"/>
      <c r="KLJ39" s="244"/>
      <c r="KLK39" s="244"/>
      <c r="KLL39" s="244"/>
      <c r="KLM39" s="244"/>
      <c r="KLN39" s="244"/>
      <c r="KLO39" s="244"/>
      <c r="KLP39" s="244"/>
      <c r="KLQ39" s="244"/>
      <c r="KLR39" s="244"/>
      <c r="KLS39" s="244"/>
      <c r="KLT39" s="244"/>
      <c r="KLU39" s="244"/>
      <c r="KLV39" s="244"/>
      <c r="KLW39" s="244"/>
      <c r="KLX39" s="244"/>
      <c r="KLY39" s="244"/>
      <c r="KLZ39" s="244"/>
      <c r="KMA39" s="244"/>
      <c r="KMB39" s="244"/>
      <c r="KMC39" s="244"/>
      <c r="KMD39" s="244"/>
      <c r="KME39" s="244"/>
      <c r="KMF39" s="244"/>
      <c r="KMG39" s="244"/>
      <c r="KMH39" s="244"/>
      <c r="KMI39" s="244"/>
      <c r="KMJ39" s="244"/>
      <c r="KMK39" s="244"/>
      <c r="KML39" s="244"/>
      <c r="KMM39" s="244"/>
      <c r="KMN39" s="244"/>
      <c r="KMO39" s="244"/>
      <c r="KMP39" s="244"/>
      <c r="KMQ39" s="244"/>
      <c r="KMR39" s="244"/>
      <c r="KMS39" s="244"/>
      <c r="KMT39" s="244"/>
      <c r="KMU39" s="244"/>
      <c r="KMV39" s="244"/>
      <c r="KMW39" s="244"/>
      <c r="KMX39" s="244"/>
      <c r="KMY39" s="244"/>
      <c r="KMZ39" s="244"/>
      <c r="KNA39" s="244"/>
      <c r="KNB39" s="244"/>
      <c r="KNC39" s="244"/>
      <c r="KND39" s="244"/>
      <c r="KNE39" s="244"/>
      <c r="KNF39" s="244"/>
      <c r="KNG39" s="244"/>
      <c r="KNH39" s="244"/>
      <c r="KNI39" s="244"/>
      <c r="KNJ39" s="244"/>
      <c r="KNK39" s="244"/>
      <c r="KNL39" s="244"/>
      <c r="KNM39" s="244"/>
      <c r="KNN39" s="244"/>
      <c r="KNO39" s="244"/>
      <c r="KNP39" s="244"/>
      <c r="KNQ39" s="244"/>
      <c r="KNR39" s="244"/>
      <c r="KNS39" s="244"/>
      <c r="KNT39" s="244"/>
      <c r="KNU39" s="244"/>
      <c r="KNV39" s="244"/>
      <c r="KNW39" s="244"/>
      <c r="KNX39" s="244"/>
      <c r="KNY39" s="244"/>
      <c r="KNZ39" s="244"/>
      <c r="KOA39" s="244"/>
      <c r="KOB39" s="244"/>
      <c r="KOC39" s="244"/>
      <c r="KOD39" s="244"/>
      <c r="KOE39" s="244"/>
      <c r="KOF39" s="244"/>
      <c r="KOG39" s="244"/>
      <c r="KOH39" s="244"/>
      <c r="KOI39" s="244"/>
      <c r="KOJ39" s="244"/>
      <c r="KOK39" s="244"/>
      <c r="KOL39" s="244"/>
      <c r="KOM39" s="244"/>
      <c r="KON39" s="244"/>
      <c r="KOO39" s="244"/>
      <c r="KOP39" s="244"/>
      <c r="KOQ39" s="244"/>
      <c r="KOR39" s="244"/>
      <c r="KOS39" s="244"/>
      <c r="KOT39" s="244"/>
      <c r="KOU39" s="244"/>
      <c r="KOV39" s="244"/>
      <c r="KOW39" s="244"/>
      <c r="KOX39" s="244"/>
      <c r="KOY39" s="244"/>
      <c r="KOZ39" s="244"/>
      <c r="KPA39" s="244"/>
      <c r="KPB39" s="244"/>
      <c r="KPC39" s="244"/>
      <c r="KPD39" s="244"/>
      <c r="KPE39" s="244"/>
      <c r="KPF39" s="244"/>
      <c r="KPG39" s="244"/>
      <c r="KPH39" s="244"/>
      <c r="KPI39" s="244"/>
      <c r="KPJ39" s="244"/>
      <c r="KPK39" s="244"/>
      <c r="KPL39" s="244"/>
      <c r="KPM39" s="244"/>
      <c r="KPN39" s="244"/>
      <c r="KPO39" s="244"/>
      <c r="KPP39" s="244"/>
      <c r="KPQ39" s="244"/>
      <c r="KPR39" s="244"/>
      <c r="KPS39" s="244"/>
      <c r="KPT39" s="244"/>
      <c r="KPU39" s="244"/>
      <c r="KPV39" s="244"/>
      <c r="KPW39" s="244"/>
      <c r="KPX39" s="244"/>
      <c r="KPY39" s="244"/>
      <c r="KPZ39" s="244"/>
      <c r="KQA39" s="244"/>
      <c r="KQB39" s="244"/>
      <c r="KQC39" s="244"/>
      <c r="KQD39" s="244"/>
      <c r="KQE39" s="244"/>
      <c r="KQF39" s="244"/>
      <c r="KQG39" s="244"/>
      <c r="KQH39" s="244"/>
      <c r="KQI39" s="244"/>
      <c r="KQJ39" s="244"/>
      <c r="KQK39" s="244"/>
      <c r="KQL39" s="244"/>
      <c r="KQM39" s="244"/>
      <c r="KQN39" s="244"/>
      <c r="KQO39" s="244"/>
      <c r="KQP39" s="244"/>
      <c r="KQQ39" s="244"/>
      <c r="KQR39" s="244"/>
      <c r="KQS39" s="244"/>
      <c r="KQT39" s="244"/>
      <c r="KQU39" s="244"/>
      <c r="KQV39" s="244"/>
      <c r="KQW39" s="244"/>
      <c r="KQX39" s="244"/>
      <c r="KQY39" s="244"/>
      <c r="KQZ39" s="244"/>
      <c r="KRA39" s="244"/>
      <c r="KRB39" s="244"/>
      <c r="KRC39" s="244"/>
      <c r="KRD39" s="244"/>
      <c r="KRE39" s="244"/>
      <c r="KRF39" s="244"/>
      <c r="KRG39" s="244"/>
      <c r="KRH39" s="244"/>
      <c r="KRI39" s="244"/>
      <c r="KRJ39" s="244"/>
      <c r="KRK39" s="244"/>
      <c r="KRL39" s="244"/>
      <c r="KRM39" s="244"/>
      <c r="KRN39" s="244"/>
      <c r="KRO39" s="244"/>
      <c r="KRP39" s="244"/>
      <c r="KRQ39" s="244"/>
      <c r="KRR39" s="244"/>
      <c r="KRS39" s="244"/>
      <c r="KRT39" s="244"/>
      <c r="KRU39" s="244"/>
      <c r="KRV39" s="244"/>
      <c r="KRW39" s="244"/>
      <c r="KRX39" s="244"/>
      <c r="KRY39" s="244"/>
      <c r="KRZ39" s="244"/>
      <c r="KSA39" s="244"/>
      <c r="KSB39" s="244"/>
      <c r="KSC39" s="244"/>
      <c r="KSD39" s="244"/>
      <c r="KSE39" s="244"/>
      <c r="KSF39" s="244"/>
      <c r="KSG39" s="244"/>
      <c r="KSH39" s="244"/>
      <c r="KSI39" s="244"/>
      <c r="KSJ39" s="244"/>
      <c r="KSK39" s="244"/>
      <c r="KSL39" s="244"/>
      <c r="KSM39" s="244"/>
      <c r="KSN39" s="244"/>
      <c r="KSO39" s="244"/>
      <c r="KSP39" s="244"/>
      <c r="KSQ39" s="244"/>
      <c r="KSR39" s="244"/>
      <c r="KSS39" s="244"/>
      <c r="KST39" s="244"/>
      <c r="KSU39" s="244"/>
      <c r="KSV39" s="244"/>
      <c r="KSW39" s="244"/>
      <c r="KSX39" s="244"/>
      <c r="KSY39" s="244"/>
      <c r="KSZ39" s="244"/>
      <c r="KTA39" s="244"/>
      <c r="KTB39" s="244"/>
      <c r="KTC39" s="244"/>
      <c r="KTD39" s="244"/>
      <c r="KTE39" s="244"/>
      <c r="KTF39" s="244"/>
      <c r="KTG39" s="244"/>
      <c r="KTH39" s="244"/>
      <c r="KTI39" s="244"/>
      <c r="KTJ39" s="244"/>
      <c r="KTK39" s="244"/>
      <c r="KTL39" s="244"/>
      <c r="KTM39" s="244"/>
      <c r="KTN39" s="244"/>
      <c r="KTO39" s="244"/>
      <c r="KTP39" s="244"/>
      <c r="KTQ39" s="244"/>
      <c r="KTR39" s="244"/>
      <c r="KTS39" s="244"/>
      <c r="KTT39" s="244"/>
      <c r="KTU39" s="244"/>
      <c r="KTV39" s="244"/>
      <c r="KTW39" s="244"/>
      <c r="KTX39" s="244"/>
      <c r="KTY39" s="244"/>
      <c r="KTZ39" s="244"/>
      <c r="KUA39" s="244"/>
      <c r="KUB39" s="244"/>
      <c r="KUC39" s="244"/>
      <c r="KUD39" s="244"/>
      <c r="KUE39" s="244"/>
      <c r="KUF39" s="244"/>
      <c r="KUG39" s="244"/>
      <c r="KUH39" s="244"/>
      <c r="KUI39" s="244"/>
      <c r="KUJ39" s="244"/>
      <c r="KUK39" s="244"/>
      <c r="KUL39" s="244"/>
      <c r="KUM39" s="244"/>
      <c r="KUN39" s="244"/>
      <c r="KUO39" s="244"/>
      <c r="KUP39" s="244"/>
      <c r="KUQ39" s="244"/>
      <c r="KUR39" s="244"/>
      <c r="KUS39" s="244"/>
      <c r="KUT39" s="244"/>
      <c r="KUU39" s="244"/>
      <c r="KUV39" s="244"/>
      <c r="KUW39" s="244"/>
      <c r="KUX39" s="244"/>
      <c r="KUY39" s="244"/>
      <c r="KUZ39" s="244"/>
      <c r="KVA39" s="244"/>
      <c r="KVB39" s="244"/>
      <c r="KVC39" s="244"/>
      <c r="KVD39" s="244"/>
      <c r="KVE39" s="244"/>
      <c r="KVF39" s="244"/>
      <c r="KVG39" s="244"/>
      <c r="KVH39" s="244"/>
      <c r="KVI39" s="244"/>
      <c r="KVJ39" s="244"/>
      <c r="KVK39" s="244"/>
      <c r="KVL39" s="244"/>
      <c r="KVM39" s="244"/>
      <c r="KVN39" s="244"/>
      <c r="KVO39" s="244"/>
      <c r="KVP39" s="244"/>
      <c r="KVQ39" s="244"/>
      <c r="KVR39" s="244"/>
      <c r="KVS39" s="244"/>
      <c r="KVT39" s="244"/>
      <c r="KVU39" s="244"/>
      <c r="KVV39" s="244"/>
      <c r="KVW39" s="244"/>
      <c r="KVX39" s="244"/>
      <c r="KVY39" s="244"/>
      <c r="KVZ39" s="244"/>
      <c r="KWA39" s="244"/>
      <c r="KWB39" s="244"/>
      <c r="KWC39" s="244"/>
      <c r="KWD39" s="244"/>
      <c r="KWE39" s="244"/>
      <c r="KWF39" s="244"/>
      <c r="KWG39" s="244"/>
      <c r="KWH39" s="244"/>
      <c r="KWI39" s="244"/>
      <c r="KWJ39" s="244"/>
      <c r="KWK39" s="244"/>
      <c r="KWL39" s="244"/>
      <c r="KWM39" s="244"/>
      <c r="KWN39" s="244"/>
      <c r="KWO39" s="244"/>
      <c r="KWP39" s="244"/>
      <c r="KWQ39" s="244"/>
      <c r="KWR39" s="244"/>
      <c r="KWS39" s="244"/>
      <c r="KWT39" s="244"/>
      <c r="KWU39" s="244"/>
      <c r="KWV39" s="244"/>
      <c r="KWW39" s="244"/>
      <c r="KWX39" s="244"/>
      <c r="KWY39" s="244"/>
      <c r="KWZ39" s="244"/>
      <c r="KXA39" s="244"/>
      <c r="KXB39" s="244"/>
      <c r="KXC39" s="244"/>
      <c r="KXD39" s="244"/>
      <c r="KXE39" s="244"/>
      <c r="KXF39" s="244"/>
      <c r="KXG39" s="244"/>
      <c r="KXH39" s="244"/>
      <c r="KXI39" s="244"/>
      <c r="KXJ39" s="244"/>
      <c r="KXK39" s="244"/>
      <c r="KXL39" s="244"/>
      <c r="KXM39" s="244"/>
      <c r="KXN39" s="244"/>
      <c r="KXO39" s="244"/>
      <c r="KXP39" s="244"/>
      <c r="KXQ39" s="244"/>
      <c r="KXR39" s="244"/>
      <c r="KXS39" s="244"/>
      <c r="KXT39" s="244"/>
      <c r="KXU39" s="244"/>
      <c r="KXV39" s="244"/>
      <c r="KXW39" s="244"/>
      <c r="KXX39" s="244"/>
      <c r="KXY39" s="244"/>
      <c r="KXZ39" s="244"/>
      <c r="KYA39" s="244"/>
      <c r="KYB39" s="244"/>
      <c r="KYC39" s="244"/>
      <c r="KYD39" s="244"/>
      <c r="KYE39" s="244"/>
      <c r="KYF39" s="244"/>
      <c r="KYG39" s="244"/>
      <c r="KYH39" s="244"/>
      <c r="KYI39" s="244"/>
      <c r="KYJ39" s="244"/>
      <c r="KYK39" s="244"/>
      <c r="KYL39" s="244"/>
      <c r="KYM39" s="244"/>
      <c r="KYN39" s="244"/>
      <c r="KYO39" s="244"/>
      <c r="KYP39" s="244"/>
      <c r="KYQ39" s="244"/>
      <c r="KYR39" s="244"/>
      <c r="KYS39" s="244"/>
      <c r="KYT39" s="244"/>
      <c r="KYU39" s="244"/>
      <c r="KYV39" s="244"/>
      <c r="KYW39" s="244"/>
      <c r="KYX39" s="244"/>
      <c r="KYY39" s="244"/>
      <c r="KYZ39" s="244"/>
      <c r="KZA39" s="244"/>
      <c r="KZB39" s="244"/>
      <c r="KZC39" s="244"/>
      <c r="KZD39" s="244"/>
      <c r="KZE39" s="244"/>
      <c r="KZF39" s="244"/>
      <c r="KZG39" s="244"/>
      <c r="KZH39" s="244"/>
      <c r="KZI39" s="244"/>
      <c r="KZJ39" s="244"/>
      <c r="KZK39" s="244"/>
      <c r="KZL39" s="244"/>
      <c r="KZM39" s="244"/>
      <c r="KZN39" s="244"/>
      <c r="KZO39" s="244"/>
      <c r="KZP39" s="244"/>
      <c r="KZQ39" s="244"/>
      <c r="KZR39" s="244"/>
      <c r="KZS39" s="244"/>
      <c r="KZT39" s="244"/>
      <c r="KZU39" s="244"/>
      <c r="KZV39" s="244"/>
      <c r="KZW39" s="244"/>
      <c r="KZX39" s="244"/>
      <c r="KZY39" s="244"/>
      <c r="KZZ39" s="244"/>
      <c r="LAA39" s="244"/>
      <c r="LAB39" s="244"/>
      <c r="LAC39" s="244"/>
      <c r="LAD39" s="244"/>
      <c r="LAE39" s="244"/>
      <c r="LAF39" s="244"/>
      <c r="LAG39" s="244"/>
      <c r="LAH39" s="244"/>
      <c r="LAI39" s="244"/>
      <c r="LAJ39" s="244"/>
      <c r="LAK39" s="244"/>
      <c r="LAL39" s="244"/>
      <c r="LAM39" s="244"/>
      <c r="LAN39" s="244"/>
      <c r="LAO39" s="244"/>
      <c r="LAP39" s="244"/>
      <c r="LAQ39" s="244"/>
      <c r="LAR39" s="244"/>
      <c r="LAS39" s="244"/>
      <c r="LAT39" s="244"/>
      <c r="LAU39" s="244"/>
      <c r="LAV39" s="244"/>
      <c r="LAW39" s="244"/>
      <c r="LAX39" s="244"/>
      <c r="LAY39" s="244"/>
      <c r="LAZ39" s="244"/>
      <c r="LBA39" s="244"/>
      <c r="LBB39" s="244"/>
      <c r="LBC39" s="244"/>
      <c r="LBD39" s="244"/>
      <c r="LBE39" s="244"/>
      <c r="LBF39" s="244"/>
      <c r="LBG39" s="244"/>
      <c r="LBH39" s="244"/>
      <c r="LBI39" s="244"/>
      <c r="LBJ39" s="244"/>
      <c r="LBK39" s="244"/>
      <c r="LBL39" s="244"/>
      <c r="LBM39" s="244"/>
      <c r="LBN39" s="244"/>
      <c r="LBO39" s="244"/>
      <c r="LBP39" s="244"/>
      <c r="LBQ39" s="244"/>
      <c r="LBR39" s="244"/>
      <c r="LBS39" s="244"/>
      <c r="LBT39" s="244"/>
      <c r="LBU39" s="244"/>
      <c r="LBV39" s="244"/>
      <c r="LBW39" s="244"/>
      <c r="LBX39" s="244"/>
      <c r="LBY39" s="244"/>
      <c r="LBZ39" s="244"/>
      <c r="LCA39" s="244"/>
      <c r="LCB39" s="244"/>
      <c r="LCC39" s="244"/>
      <c r="LCD39" s="244"/>
      <c r="LCE39" s="244"/>
      <c r="LCF39" s="244"/>
      <c r="LCG39" s="244"/>
      <c r="LCH39" s="244"/>
      <c r="LCI39" s="244"/>
      <c r="LCJ39" s="244"/>
      <c r="LCK39" s="244"/>
      <c r="LCL39" s="244"/>
      <c r="LCM39" s="244"/>
      <c r="LCN39" s="244"/>
      <c r="LCO39" s="244"/>
      <c r="LCP39" s="244"/>
      <c r="LCQ39" s="244"/>
      <c r="LCR39" s="244"/>
      <c r="LCS39" s="244"/>
      <c r="LCT39" s="244"/>
      <c r="LCU39" s="244"/>
      <c r="LCV39" s="244"/>
      <c r="LCW39" s="244"/>
      <c r="LCX39" s="244"/>
      <c r="LCY39" s="244"/>
      <c r="LCZ39" s="244"/>
      <c r="LDA39" s="244"/>
      <c r="LDB39" s="244"/>
      <c r="LDC39" s="244"/>
      <c r="LDD39" s="244"/>
      <c r="LDE39" s="244"/>
      <c r="LDF39" s="244"/>
      <c r="LDG39" s="244"/>
      <c r="LDH39" s="244"/>
      <c r="LDI39" s="244"/>
      <c r="LDJ39" s="244"/>
      <c r="LDK39" s="244"/>
      <c r="LDL39" s="244"/>
      <c r="LDM39" s="244"/>
      <c r="LDN39" s="244"/>
      <c r="LDO39" s="244"/>
      <c r="LDP39" s="244"/>
      <c r="LDQ39" s="244"/>
      <c r="LDR39" s="244"/>
      <c r="LDS39" s="244"/>
      <c r="LDT39" s="244"/>
      <c r="LDU39" s="244"/>
      <c r="LDV39" s="244"/>
      <c r="LDW39" s="244"/>
      <c r="LDX39" s="244"/>
      <c r="LDY39" s="244"/>
      <c r="LDZ39" s="244"/>
      <c r="LEA39" s="244"/>
      <c r="LEB39" s="244"/>
      <c r="LEC39" s="244"/>
      <c r="LED39" s="244"/>
      <c r="LEE39" s="244"/>
      <c r="LEF39" s="244"/>
      <c r="LEG39" s="244"/>
      <c r="LEH39" s="244"/>
      <c r="LEI39" s="244"/>
      <c r="LEJ39" s="244"/>
      <c r="LEK39" s="244"/>
      <c r="LEL39" s="244"/>
      <c r="LEM39" s="244"/>
      <c r="LEN39" s="244"/>
      <c r="LEO39" s="244"/>
      <c r="LEP39" s="244"/>
      <c r="LEQ39" s="244"/>
      <c r="LER39" s="244"/>
      <c r="LES39" s="244"/>
      <c r="LET39" s="244"/>
      <c r="LEU39" s="244"/>
      <c r="LEV39" s="244"/>
      <c r="LEW39" s="244"/>
      <c r="LEX39" s="244"/>
      <c r="LEY39" s="244"/>
      <c r="LEZ39" s="244"/>
      <c r="LFA39" s="244"/>
      <c r="LFB39" s="244"/>
      <c r="LFC39" s="244"/>
      <c r="LFD39" s="244"/>
      <c r="LFE39" s="244"/>
      <c r="LFF39" s="244"/>
      <c r="LFG39" s="244"/>
      <c r="LFH39" s="244"/>
      <c r="LFI39" s="244"/>
      <c r="LFJ39" s="244"/>
      <c r="LFK39" s="244"/>
      <c r="LFL39" s="244"/>
      <c r="LFM39" s="244"/>
      <c r="LFN39" s="244"/>
      <c r="LFO39" s="244"/>
      <c r="LFP39" s="244"/>
      <c r="LFQ39" s="244"/>
      <c r="LFR39" s="244"/>
      <c r="LFS39" s="244"/>
      <c r="LFT39" s="244"/>
      <c r="LFU39" s="244"/>
      <c r="LFV39" s="244"/>
      <c r="LFW39" s="244"/>
      <c r="LFX39" s="244"/>
      <c r="LFY39" s="244"/>
      <c r="LFZ39" s="244"/>
      <c r="LGA39" s="244"/>
      <c r="LGB39" s="244"/>
      <c r="LGC39" s="244"/>
      <c r="LGD39" s="244"/>
      <c r="LGE39" s="244"/>
      <c r="LGF39" s="244"/>
      <c r="LGG39" s="244"/>
      <c r="LGH39" s="244"/>
      <c r="LGI39" s="244"/>
      <c r="LGJ39" s="244"/>
      <c r="LGK39" s="244"/>
      <c r="LGL39" s="244"/>
      <c r="LGM39" s="244"/>
      <c r="LGN39" s="244"/>
      <c r="LGO39" s="244"/>
      <c r="LGP39" s="244"/>
      <c r="LGQ39" s="244"/>
      <c r="LGR39" s="244"/>
      <c r="LGS39" s="244"/>
      <c r="LGT39" s="244"/>
      <c r="LGU39" s="244"/>
      <c r="LGV39" s="244"/>
      <c r="LGW39" s="244"/>
      <c r="LGX39" s="244"/>
      <c r="LGY39" s="244"/>
      <c r="LGZ39" s="244"/>
      <c r="LHA39" s="244"/>
      <c r="LHB39" s="244"/>
      <c r="LHC39" s="244"/>
      <c r="LHD39" s="244"/>
      <c r="LHE39" s="244"/>
      <c r="LHF39" s="244"/>
      <c r="LHG39" s="244"/>
      <c r="LHH39" s="244"/>
      <c r="LHI39" s="244"/>
      <c r="LHJ39" s="244"/>
      <c r="LHK39" s="244"/>
      <c r="LHL39" s="244"/>
      <c r="LHM39" s="244"/>
      <c r="LHN39" s="244"/>
      <c r="LHO39" s="244"/>
      <c r="LHP39" s="244"/>
      <c r="LHQ39" s="244"/>
      <c r="LHR39" s="244"/>
      <c r="LHS39" s="244"/>
      <c r="LHT39" s="244"/>
      <c r="LHU39" s="244"/>
      <c r="LHV39" s="244"/>
      <c r="LHW39" s="244"/>
      <c r="LHX39" s="244"/>
      <c r="LHY39" s="244"/>
      <c r="LHZ39" s="244"/>
      <c r="LIA39" s="244"/>
      <c r="LIB39" s="244"/>
      <c r="LIC39" s="244"/>
      <c r="LID39" s="244"/>
      <c r="LIE39" s="244"/>
      <c r="LIF39" s="244"/>
      <c r="LIG39" s="244"/>
      <c r="LIH39" s="244"/>
      <c r="LII39" s="244"/>
      <c r="LIJ39" s="244"/>
      <c r="LIK39" s="244"/>
      <c r="LIL39" s="244"/>
      <c r="LIM39" s="244"/>
      <c r="LIN39" s="244"/>
      <c r="LIO39" s="244"/>
      <c r="LIP39" s="244"/>
      <c r="LIQ39" s="244"/>
      <c r="LIR39" s="244"/>
      <c r="LIS39" s="244"/>
      <c r="LIT39" s="244"/>
      <c r="LIU39" s="244"/>
      <c r="LIV39" s="244"/>
      <c r="LIW39" s="244"/>
      <c r="LIX39" s="244"/>
      <c r="LIY39" s="244"/>
      <c r="LIZ39" s="244"/>
      <c r="LJA39" s="244"/>
      <c r="LJB39" s="244"/>
      <c r="LJC39" s="244"/>
      <c r="LJD39" s="244"/>
      <c r="LJE39" s="244"/>
      <c r="LJF39" s="244"/>
      <c r="LJG39" s="244"/>
      <c r="LJH39" s="244"/>
      <c r="LJI39" s="244"/>
      <c r="LJJ39" s="244"/>
      <c r="LJK39" s="244"/>
      <c r="LJL39" s="244"/>
      <c r="LJM39" s="244"/>
      <c r="LJN39" s="244"/>
      <c r="LJO39" s="244"/>
      <c r="LJP39" s="244"/>
      <c r="LJQ39" s="244"/>
      <c r="LJR39" s="244"/>
      <c r="LJS39" s="244"/>
      <c r="LJT39" s="244"/>
      <c r="LJU39" s="244"/>
      <c r="LJV39" s="244"/>
      <c r="LJW39" s="244"/>
      <c r="LJX39" s="244"/>
      <c r="LJY39" s="244"/>
      <c r="LJZ39" s="244"/>
      <c r="LKA39" s="244"/>
      <c r="LKB39" s="244"/>
      <c r="LKC39" s="244"/>
      <c r="LKD39" s="244"/>
      <c r="LKE39" s="244"/>
      <c r="LKF39" s="244"/>
      <c r="LKG39" s="244"/>
      <c r="LKH39" s="244"/>
      <c r="LKI39" s="244"/>
      <c r="LKJ39" s="244"/>
      <c r="LKK39" s="244"/>
      <c r="LKL39" s="244"/>
      <c r="LKM39" s="244"/>
      <c r="LKN39" s="244"/>
      <c r="LKO39" s="244"/>
      <c r="LKP39" s="244"/>
      <c r="LKQ39" s="244"/>
      <c r="LKR39" s="244"/>
      <c r="LKS39" s="244"/>
      <c r="LKT39" s="244"/>
      <c r="LKU39" s="244"/>
      <c r="LKV39" s="244"/>
      <c r="LKW39" s="244"/>
      <c r="LKX39" s="244"/>
      <c r="LKY39" s="244"/>
      <c r="LKZ39" s="244"/>
      <c r="LLA39" s="244"/>
      <c r="LLB39" s="244"/>
      <c r="LLC39" s="244"/>
      <c r="LLD39" s="244"/>
      <c r="LLE39" s="244"/>
      <c r="LLF39" s="244"/>
      <c r="LLG39" s="244"/>
      <c r="LLH39" s="244"/>
      <c r="LLI39" s="244"/>
      <c r="LLJ39" s="244"/>
      <c r="LLK39" s="244"/>
      <c r="LLL39" s="244"/>
      <c r="LLM39" s="244"/>
      <c r="LLN39" s="244"/>
      <c r="LLO39" s="244"/>
      <c r="LLP39" s="244"/>
      <c r="LLQ39" s="244"/>
      <c r="LLR39" s="244"/>
      <c r="LLS39" s="244"/>
      <c r="LLT39" s="244"/>
      <c r="LLU39" s="244"/>
      <c r="LLV39" s="244"/>
      <c r="LLW39" s="244"/>
      <c r="LLX39" s="244"/>
      <c r="LLY39" s="244"/>
      <c r="LLZ39" s="244"/>
      <c r="LMA39" s="244"/>
      <c r="LMB39" s="244"/>
      <c r="LMC39" s="244"/>
      <c r="LMD39" s="244"/>
      <c r="LME39" s="244"/>
      <c r="LMF39" s="244"/>
      <c r="LMG39" s="244"/>
      <c r="LMH39" s="244"/>
      <c r="LMI39" s="244"/>
      <c r="LMJ39" s="244"/>
      <c r="LMK39" s="244"/>
      <c r="LML39" s="244"/>
      <c r="LMM39" s="244"/>
      <c r="LMN39" s="244"/>
      <c r="LMO39" s="244"/>
      <c r="LMP39" s="244"/>
      <c r="LMQ39" s="244"/>
      <c r="LMR39" s="244"/>
      <c r="LMS39" s="244"/>
      <c r="LMT39" s="244"/>
      <c r="LMU39" s="244"/>
      <c r="LMV39" s="244"/>
      <c r="LMW39" s="244"/>
      <c r="LMX39" s="244"/>
      <c r="LMY39" s="244"/>
      <c r="LMZ39" s="244"/>
      <c r="LNA39" s="244"/>
      <c r="LNB39" s="244"/>
      <c r="LNC39" s="244"/>
      <c r="LND39" s="244"/>
      <c r="LNE39" s="244"/>
      <c r="LNF39" s="244"/>
      <c r="LNG39" s="244"/>
      <c r="LNH39" s="244"/>
      <c r="LNI39" s="244"/>
      <c r="LNJ39" s="244"/>
      <c r="LNK39" s="244"/>
      <c r="LNL39" s="244"/>
      <c r="LNM39" s="244"/>
      <c r="LNN39" s="244"/>
      <c r="LNO39" s="244"/>
      <c r="LNP39" s="244"/>
      <c r="LNQ39" s="244"/>
      <c r="LNR39" s="244"/>
      <c r="LNS39" s="244"/>
      <c r="LNT39" s="244"/>
      <c r="LNU39" s="244"/>
      <c r="LNV39" s="244"/>
      <c r="LNW39" s="244"/>
      <c r="LNX39" s="244"/>
      <c r="LNY39" s="244"/>
      <c r="LNZ39" s="244"/>
      <c r="LOA39" s="244"/>
      <c r="LOB39" s="244"/>
      <c r="LOC39" s="244"/>
      <c r="LOD39" s="244"/>
      <c r="LOE39" s="244"/>
      <c r="LOF39" s="244"/>
      <c r="LOG39" s="244"/>
      <c r="LOH39" s="244"/>
      <c r="LOI39" s="244"/>
      <c r="LOJ39" s="244"/>
      <c r="LOK39" s="244"/>
      <c r="LOL39" s="244"/>
      <c r="LOM39" s="244"/>
      <c r="LON39" s="244"/>
      <c r="LOO39" s="244"/>
      <c r="LOP39" s="244"/>
      <c r="LOQ39" s="244"/>
      <c r="LOR39" s="244"/>
      <c r="LOS39" s="244"/>
      <c r="LOT39" s="244"/>
      <c r="LOU39" s="244"/>
      <c r="LOV39" s="244"/>
      <c r="LOW39" s="244"/>
      <c r="LOX39" s="244"/>
      <c r="LOY39" s="244"/>
      <c r="LOZ39" s="244"/>
      <c r="LPA39" s="244"/>
      <c r="LPB39" s="244"/>
      <c r="LPC39" s="244"/>
      <c r="LPD39" s="244"/>
      <c r="LPE39" s="244"/>
      <c r="LPF39" s="244"/>
      <c r="LPG39" s="244"/>
      <c r="LPH39" s="244"/>
      <c r="LPI39" s="244"/>
      <c r="LPJ39" s="244"/>
      <c r="LPK39" s="244"/>
      <c r="LPL39" s="244"/>
      <c r="LPM39" s="244"/>
      <c r="LPN39" s="244"/>
      <c r="LPO39" s="244"/>
      <c r="LPP39" s="244"/>
      <c r="LPQ39" s="244"/>
      <c r="LPR39" s="244"/>
      <c r="LPS39" s="244"/>
      <c r="LPT39" s="244"/>
      <c r="LPU39" s="244"/>
      <c r="LPV39" s="244"/>
      <c r="LPW39" s="244"/>
      <c r="LPX39" s="244"/>
      <c r="LPY39" s="244"/>
      <c r="LPZ39" s="244"/>
      <c r="LQA39" s="244"/>
      <c r="LQB39" s="244"/>
      <c r="LQC39" s="244"/>
      <c r="LQD39" s="244"/>
      <c r="LQE39" s="244"/>
      <c r="LQF39" s="244"/>
      <c r="LQG39" s="244"/>
      <c r="LQH39" s="244"/>
      <c r="LQI39" s="244"/>
      <c r="LQJ39" s="244"/>
      <c r="LQK39" s="244"/>
      <c r="LQL39" s="244"/>
      <c r="LQM39" s="244"/>
      <c r="LQN39" s="244"/>
      <c r="LQO39" s="244"/>
      <c r="LQP39" s="244"/>
      <c r="LQQ39" s="244"/>
      <c r="LQR39" s="244"/>
      <c r="LQS39" s="244"/>
      <c r="LQT39" s="244"/>
      <c r="LQU39" s="244"/>
      <c r="LQV39" s="244"/>
      <c r="LQW39" s="244"/>
      <c r="LQX39" s="244"/>
      <c r="LQY39" s="244"/>
      <c r="LQZ39" s="244"/>
      <c r="LRA39" s="244"/>
      <c r="LRB39" s="244"/>
      <c r="LRC39" s="244"/>
      <c r="LRD39" s="244"/>
      <c r="LRE39" s="244"/>
      <c r="LRF39" s="244"/>
      <c r="LRG39" s="244"/>
      <c r="LRH39" s="244"/>
      <c r="LRI39" s="244"/>
      <c r="LRJ39" s="244"/>
      <c r="LRK39" s="244"/>
      <c r="LRL39" s="244"/>
      <c r="LRM39" s="244"/>
      <c r="LRN39" s="244"/>
      <c r="LRO39" s="244"/>
      <c r="LRP39" s="244"/>
      <c r="LRQ39" s="244"/>
      <c r="LRR39" s="244"/>
      <c r="LRS39" s="244"/>
      <c r="LRT39" s="244"/>
      <c r="LRU39" s="244"/>
      <c r="LRV39" s="244"/>
      <c r="LRW39" s="244"/>
      <c r="LRX39" s="244"/>
      <c r="LRY39" s="244"/>
      <c r="LRZ39" s="244"/>
      <c r="LSA39" s="244"/>
      <c r="LSB39" s="244"/>
      <c r="LSC39" s="244"/>
      <c r="LSD39" s="244"/>
      <c r="LSE39" s="244"/>
      <c r="LSF39" s="244"/>
      <c r="LSG39" s="244"/>
      <c r="LSH39" s="244"/>
      <c r="LSI39" s="244"/>
      <c r="LSJ39" s="244"/>
      <c r="LSK39" s="244"/>
      <c r="LSL39" s="244"/>
      <c r="LSM39" s="244"/>
      <c r="LSN39" s="244"/>
      <c r="LSO39" s="244"/>
      <c r="LSP39" s="244"/>
      <c r="LSQ39" s="244"/>
      <c r="LSR39" s="244"/>
      <c r="LSS39" s="244"/>
      <c r="LST39" s="244"/>
      <c r="LSU39" s="244"/>
      <c r="LSV39" s="244"/>
      <c r="LSW39" s="244"/>
      <c r="LSX39" s="244"/>
      <c r="LSY39" s="244"/>
      <c r="LSZ39" s="244"/>
      <c r="LTA39" s="244"/>
      <c r="LTB39" s="244"/>
      <c r="LTC39" s="244"/>
      <c r="LTD39" s="244"/>
      <c r="LTE39" s="244"/>
      <c r="LTF39" s="244"/>
      <c r="LTG39" s="244"/>
      <c r="LTH39" s="244"/>
      <c r="LTI39" s="244"/>
      <c r="LTJ39" s="244"/>
      <c r="LTK39" s="244"/>
      <c r="LTL39" s="244"/>
      <c r="LTM39" s="244"/>
      <c r="LTN39" s="244"/>
      <c r="LTO39" s="244"/>
      <c r="LTP39" s="244"/>
      <c r="LTQ39" s="244"/>
      <c r="LTR39" s="244"/>
      <c r="LTS39" s="244"/>
      <c r="LTT39" s="244"/>
      <c r="LTU39" s="244"/>
      <c r="LTV39" s="244"/>
      <c r="LTW39" s="244"/>
      <c r="LTX39" s="244"/>
      <c r="LTY39" s="244"/>
      <c r="LTZ39" s="244"/>
      <c r="LUA39" s="244"/>
      <c r="LUB39" s="244"/>
      <c r="LUC39" s="244"/>
      <c r="LUD39" s="244"/>
      <c r="LUE39" s="244"/>
      <c r="LUF39" s="244"/>
      <c r="LUG39" s="244"/>
      <c r="LUH39" s="244"/>
      <c r="LUI39" s="244"/>
      <c r="LUJ39" s="244"/>
      <c r="LUK39" s="244"/>
      <c r="LUL39" s="244"/>
      <c r="LUM39" s="244"/>
      <c r="LUN39" s="244"/>
      <c r="LUO39" s="244"/>
      <c r="LUP39" s="244"/>
      <c r="LUQ39" s="244"/>
      <c r="LUR39" s="244"/>
      <c r="LUS39" s="244"/>
      <c r="LUT39" s="244"/>
      <c r="LUU39" s="244"/>
      <c r="LUV39" s="244"/>
      <c r="LUW39" s="244"/>
      <c r="LUX39" s="244"/>
      <c r="LUY39" s="244"/>
      <c r="LUZ39" s="244"/>
      <c r="LVA39" s="244"/>
      <c r="LVB39" s="244"/>
      <c r="LVC39" s="244"/>
      <c r="LVD39" s="244"/>
      <c r="LVE39" s="244"/>
      <c r="LVF39" s="244"/>
      <c r="LVG39" s="244"/>
      <c r="LVH39" s="244"/>
      <c r="LVI39" s="244"/>
      <c r="LVJ39" s="244"/>
      <c r="LVK39" s="244"/>
      <c r="LVL39" s="244"/>
      <c r="LVM39" s="244"/>
      <c r="LVN39" s="244"/>
      <c r="LVO39" s="244"/>
      <c r="LVP39" s="244"/>
      <c r="LVQ39" s="244"/>
      <c r="LVR39" s="244"/>
      <c r="LVS39" s="244"/>
      <c r="LVT39" s="244"/>
      <c r="LVU39" s="244"/>
      <c r="LVV39" s="244"/>
      <c r="LVW39" s="244"/>
      <c r="LVX39" s="244"/>
      <c r="LVY39" s="244"/>
      <c r="LVZ39" s="244"/>
      <c r="LWA39" s="244"/>
      <c r="LWB39" s="244"/>
      <c r="LWC39" s="244"/>
      <c r="LWD39" s="244"/>
      <c r="LWE39" s="244"/>
      <c r="LWF39" s="244"/>
      <c r="LWG39" s="244"/>
      <c r="LWH39" s="244"/>
      <c r="LWI39" s="244"/>
      <c r="LWJ39" s="244"/>
      <c r="LWK39" s="244"/>
      <c r="LWL39" s="244"/>
      <c r="LWM39" s="244"/>
      <c r="LWN39" s="244"/>
      <c r="LWO39" s="244"/>
      <c r="LWP39" s="244"/>
      <c r="LWQ39" s="244"/>
      <c r="LWR39" s="244"/>
      <c r="LWS39" s="244"/>
      <c r="LWT39" s="244"/>
      <c r="LWU39" s="244"/>
      <c r="LWV39" s="244"/>
      <c r="LWW39" s="244"/>
      <c r="LWX39" s="244"/>
      <c r="LWY39" s="244"/>
      <c r="LWZ39" s="244"/>
      <c r="LXA39" s="244"/>
      <c r="LXB39" s="244"/>
      <c r="LXC39" s="244"/>
      <c r="LXD39" s="244"/>
      <c r="LXE39" s="244"/>
      <c r="LXF39" s="244"/>
      <c r="LXG39" s="244"/>
      <c r="LXH39" s="244"/>
      <c r="LXI39" s="244"/>
      <c r="LXJ39" s="244"/>
      <c r="LXK39" s="244"/>
      <c r="LXL39" s="244"/>
      <c r="LXM39" s="244"/>
      <c r="LXN39" s="244"/>
      <c r="LXO39" s="244"/>
      <c r="LXP39" s="244"/>
      <c r="LXQ39" s="244"/>
      <c r="LXR39" s="244"/>
      <c r="LXS39" s="244"/>
      <c r="LXT39" s="244"/>
      <c r="LXU39" s="244"/>
      <c r="LXV39" s="244"/>
      <c r="LXW39" s="244"/>
      <c r="LXX39" s="244"/>
      <c r="LXY39" s="244"/>
      <c r="LXZ39" s="244"/>
      <c r="LYA39" s="244"/>
      <c r="LYB39" s="244"/>
      <c r="LYC39" s="244"/>
      <c r="LYD39" s="244"/>
      <c r="LYE39" s="244"/>
      <c r="LYF39" s="244"/>
      <c r="LYG39" s="244"/>
      <c r="LYH39" s="244"/>
      <c r="LYI39" s="244"/>
      <c r="LYJ39" s="244"/>
      <c r="LYK39" s="244"/>
      <c r="LYL39" s="244"/>
      <c r="LYM39" s="244"/>
      <c r="LYN39" s="244"/>
      <c r="LYO39" s="244"/>
      <c r="LYP39" s="244"/>
      <c r="LYQ39" s="244"/>
      <c r="LYR39" s="244"/>
      <c r="LYS39" s="244"/>
      <c r="LYT39" s="244"/>
      <c r="LYU39" s="244"/>
      <c r="LYV39" s="244"/>
      <c r="LYW39" s="244"/>
      <c r="LYX39" s="244"/>
      <c r="LYY39" s="244"/>
      <c r="LYZ39" s="244"/>
      <c r="LZA39" s="244"/>
      <c r="LZB39" s="244"/>
      <c r="LZC39" s="244"/>
      <c r="LZD39" s="244"/>
      <c r="LZE39" s="244"/>
      <c r="LZF39" s="244"/>
      <c r="LZG39" s="244"/>
      <c r="LZH39" s="244"/>
      <c r="LZI39" s="244"/>
      <c r="LZJ39" s="244"/>
      <c r="LZK39" s="244"/>
      <c r="LZL39" s="244"/>
      <c r="LZM39" s="244"/>
      <c r="LZN39" s="244"/>
      <c r="LZO39" s="244"/>
      <c r="LZP39" s="244"/>
      <c r="LZQ39" s="244"/>
      <c r="LZR39" s="244"/>
      <c r="LZS39" s="244"/>
      <c r="LZT39" s="244"/>
      <c r="LZU39" s="244"/>
      <c r="LZV39" s="244"/>
      <c r="LZW39" s="244"/>
      <c r="LZX39" s="244"/>
      <c r="LZY39" s="244"/>
      <c r="LZZ39" s="244"/>
      <c r="MAA39" s="244"/>
      <c r="MAB39" s="244"/>
      <c r="MAC39" s="244"/>
      <c r="MAD39" s="244"/>
      <c r="MAE39" s="244"/>
      <c r="MAF39" s="244"/>
      <c r="MAG39" s="244"/>
      <c r="MAH39" s="244"/>
      <c r="MAI39" s="244"/>
      <c r="MAJ39" s="244"/>
      <c r="MAK39" s="244"/>
      <c r="MAL39" s="244"/>
      <c r="MAM39" s="244"/>
      <c r="MAN39" s="244"/>
      <c r="MAO39" s="244"/>
      <c r="MAP39" s="244"/>
      <c r="MAQ39" s="244"/>
      <c r="MAR39" s="244"/>
      <c r="MAS39" s="244"/>
      <c r="MAT39" s="244"/>
      <c r="MAU39" s="244"/>
      <c r="MAV39" s="244"/>
      <c r="MAW39" s="244"/>
      <c r="MAX39" s="244"/>
      <c r="MAY39" s="244"/>
      <c r="MAZ39" s="244"/>
      <c r="MBA39" s="244"/>
      <c r="MBB39" s="244"/>
      <c r="MBC39" s="244"/>
      <c r="MBD39" s="244"/>
      <c r="MBE39" s="244"/>
      <c r="MBF39" s="244"/>
      <c r="MBG39" s="244"/>
      <c r="MBH39" s="244"/>
      <c r="MBI39" s="244"/>
      <c r="MBJ39" s="244"/>
      <c r="MBK39" s="244"/>
      <c r="MBL39" s="244"/>
      <c r="MBM39" s="244"/>
      <c r="MBN39" s="244"/>
      <c r="MBO39" s="244"/>
      <c r="MBP39" s="244"/>
      <c r="MBQ39" s="244"/>
      <c r="MBR39" s="244"/>
      <c r="MBS39" s="244"/>
      <c r="MBT39" s="244"/>
      <c r="MBU39" s="244"/>
      <c r="MBV39" s="244"/>
      <c r="MBW39" s="244"/>
      <c r="MBX39" s="244"/>
      <c r="MBY39" s="244"/>
      <c r="MBZ39" s="244"/>
      <c r="MCA39" s="244"/>
      <c r="MCB39" s="244"/>
      <c r="MCC39" s="244"/>
      <c r="MCD39" s="244"/>
      <c r="MCE39" s="244"/>
      <c r="MCF39" s="244"/>
      <c r="MCG39" s="244"/>
      <c r="MCH39" s="244"/>
      <c r="MCI39" s="244"/>
      <c r="MCJ39" s="244"/>
      <c r="MCK39" s="244"/>
      <c r="MCL39" s="244"/>
      <c r="MCM39" s="244"/>
      <c r="MCN39" s="244"/>
      <c r="MCO39" s="244"/>
      <c r="MCP39" s="244"/>
      <c r="MCQ39" s="244"/>
      <c r="MCR39" s="244"/>
      <c r="MCS39" s="244"/>
      <c r="MCT39" s="244"/>
      <c r="MCU39" s="244"/>
      <c r="MCV39" s="244"/>
      <c r="MCW39" s="244"/>
      <c r="MCX39" s="244"/>
      <c r="MCY39" s="244"/>
      <c r="MCZ39" s="244"/>
      <c r="MDA39" s="244"/>
      <c r="MDB39" s="244"/>
      <c r="MDC39" s="244"/>
      <c r="MDD39" s="244"/>
      <c r="MDE39" s="244"/>
      <c r="MDF39" s="244"/>
      <c r="MDG39" s="244"/>
      <c r="MDH39" s="244"/>
      <c r="MDI39" s="244"/>
      <c r="MDJ39" s="244"/>
      <c r="MDK39" s="244"/>
      <c r="MDL39" s="244"/>
      <c r="MDM39" s="244"/>
      <c r="MDN39" s="244"/>
      <c r="MDO39" s="244"/>
      <c r="MDP39" s="244"/>
      <c r="MDQ39" s="244"/>
      <c r="MDR39" s="244"/>
      <c r="MDS39" s="244"/>
      <c r="MDT39" s="244"/>
      <c r="MDU39" s="244"/>
      <c r="MDV39" s="244"/>
      <c r="MDW39" s="244"/>
      <c r="MDX39" s="244"/>
      <c r="MDY39" s="244"/>
      <c r="MDZ39" s="244"/>
      <c r="MEA39" s="244"/>
      <c r="MEB39" s="244"/>
      <c r="MEC39" s="244"/>
      <c r="MED39" s="244"/>
      <c r="MEE39" s="244"/>
      <c r="MEF39" s="244"/>
      <c r="MEG39" s="244"/>
      <c r="MEH39" s="244"/>
      <c r="MEI39" s="244"/>
      <c r="MEJ39" s="244"/>
      <c r="MEK39" s="244"/>
      <c r="MEL39" s="244"/>
      <c r="MEM39" s="244"/>
      <c r="MEN39" s="244"/>
      <c r="MEO39" s="244"/>
      <c r="MEP39" s="244"/>
      <c r="MEQ39" s="244"/>
      <c r="MER39" s="244"/>
      <c r="MES39" s="244"/>
      <c r="MET39" s="244"/>
      <c r="MEU39" s="244"/>
      <c r="MEV39" s="244"/>
      <c r="MEW39" s="244"/>
      <c r="MEX39" s="244"/>
      <c r="MEY39" s="244"/>
      <c r="MEZ39" s="244"/>
      <c r="MFA39" s="244"/>
      <c r="MFB39" s="244"/>
      <c r="MFC39" s="244"/>
      <c r="MFD39" s="244"/>
      <c r="MFE39" s="244"/>
      <c r="MFF39" s="244"/>
      <c r="MFG39" s="244"/>
      <c r="MFH39" s="244"/>
      <c r="MFI39" s="244"/>
      <c r="MFJ39" s="244"/>
      <c r="MFK39" s="244"/>
      <c r="MFL39" s="244"/>
      <c r="MFM39" s="244"/>
      <c r="MFN39" s="244"/>
      <c r="MFO39" s="244"/>
      <c r="MFP39" s="244"/>
      <c r="MFQ39" s="244"/>
      <c r="MFR39" s="244"/>
      <c r="MFS39" s="244"/>
      <c r="MFT39" s="244"/>
      <c r="MFU39" s="244"/>
      <c r="MFV39" s="244"/>
      <c r="MFW39" s="244"/>
      <c r="MFX39" s="244"/>
      <c r="MFY39" s="244"/>
      <c r="MFZ39" s="244"/>
      <c r="MGA39" s="244"/>
      <c r="MGB39" s="244"/>
      <c r="MGC39" s="244"/>
      <c r="MGD39" s="244"/>
      <c r="MGE39" s="244"/>
      <c r="MGF39" s="244"/>
      <c r="MGG39" s="244"/>
      <c r="MGH39" s="244"/>
      <c r="MGI39" s="244"/>
      <c r="MGJ39" s="244"/>
      <c r="MGK39" s="244"/>
      <c r="MGL39" s="244"/>
      <c r="MGM39" s="244"/>
      <c r="MGN39" s="244"/>
      <c r="MGO39" s="244"/>
      <c r="MGP39" s="244"/>
      <c r="MGQ39" s="244"/>
      <c r="MGR39" s="244"/>
      <c r="MGS39" s="244"/>
      <c r="MGT39" s="244"/>
      <c r="MGU39" s="244"/>
      <c r="MGV39" s="244"/>
      <c r="MGW39" s="244"/>
      <c r="MGX39" s="244"/>
      <c r="MGY39" s="244"/>
      <c r="MGZ39" s="244"/>
      <c r="MHA39" s="244"/>
      <c r="MHB39" s="244"/>
      <c r="MHC39" s="244"/>
      <c r="MHD39" s="244"/>
      <c r="MHE39" s="244"/>
      <c r="MHF39" s="244"/>
      <c r="MHG39" s="244"/>
      <c r="MHH39" s="244"/>
      <c r="MHI39" s="244"/>
      <c r="MHJ39" s="244"/>
      <c r="MHK39" s="244"/>
      <c r="MHL39" s="244"/>
      <c r="MHM39" s="244"/>
      <c r="MHN39" s="244"/>
      <c r="MHO39" s="244"/>
      <c r="MHP39" s="244"/>
      <c r="MHQ39" s="244"/>
      <c r="MHR39" s="244"/>
      <c r="MHS39" s="244"/>
      <c r="MHT39" s="244"/>
      <c r="MHU39" s="244"/>
      <c r="MHV39" s="244"/>
      <c r="MHW39" s="244"/>
      <c r="MHX39" s="244"/>
      <c r="MHY39" s="244"/>
      <c r="MHZ39" s="244"/>
      <c r="MIA39" s="244"/>
      <c r="MIB39" s="244"/>
      <c r="MIC39" s="244"/>
      <c r="MID39" s="244"/>
      <c r="MIE39" s="244"/>
      <c r="MIF39" s="244"/>
      <c r="MIG39" s="244"/>
      <c r="MIH39" s="244"/>
      <c r="MII39" s="244"/>
      <c r="MIJ39" s="244"/>
      <c r="MIK39" s="244"/>
      <c r="MIL39" s="244"/>
      <c r="MIM39" s="244"/>
      <c r="MIN39" s="244"/>
      <c r="MIO39" s="244"/>
      <c r="MIP39" s="244"/>
      <c r="MIQ39" s="244"/>
      <c r="MIR39" s="244"/>
      <c r="MIS39" s="244"/>
      <c r="MIT39" s="244"/>
      <c r="MIU39" s="244"/>
      <c r="MIV39" s="244"/>
      <c r="MIW39" s="244"/>
      <c r="MIX39" s="244"/>
      <c r="MIY39" s="244"/>
      <c r="MIZ39" s="244"/>
      <c r="MJA39" s="244"/>
      <c r="MJB39" s="244"/>
      <c r="MJC39" s="244"/>
      <c r="MJD39" s="244"/>
      <c r="MJE39" s="244"/>
      <c r="MJF39" s="244"/>
      <c r="MJG39" s="244"/>
      <c r="MJH39" s="244"/>
      <c r="MJI39" s="244"/>
      <c r="MJJ39" s="244"/>
      <c r="MJK39" s="244"/>
      <c r="MJL39" s="244"/>
      <c r="MJM39" s="244"/>
      <c r="MJN39" s="244"/>
      <c r="MJO39" s="244"/>
      <c r="MJP39" s="244"/>
      <c r="MJQ39" s="244"/>
      <c r="MJR39" s="244"/>
      <c r="MJS39" s="244"/>
      <c r="MJT39" s="244"/>
      <c r="MJU39" s="244"/>
      <c r="MJV39" s="244"/>
      <c r="MJW39" s="244"/>
      <c r="MJX39" s="244"/>
      <c r="MJY39" s="244"/>
      <c r="MJZ39" s="244"/>
      <c r="MKA39" s="244"/>
      <c r="MKB39" s="244"/>
      <c r="MKC39" s="244"/>
      <c r="MKD39" s="244"/>
      <c r="MKE39" s="244"/>
      <c r="MKF39" s="244"/>
      <c r="MKG39" s="244"/>
      <c r="MKH39" s="244"/>
      <c r="MKI39" s="244"/>
      <c r="MKJ39" s="244"/>
      <c r="MKK39" s="244"/>
      <c r="MKL39" s="244"/>
      <c r="MKM39" s="244"/>
      <c r="MKN39" s="244"/>
      <c r="MKO39" s="244"/>
      <c r="MKP39" s="244"/>
      <c r="MKQ39" s="244"/>
      <c r="MKR39" s="244"/>
      <c r="MKS39" s="244"/>
      <c r="MKT39" s="244"/>
      <c r="MKU39" s="244"/>
      <c r="MKV39" s="244"/>
      <c r="MKW39" s="244"/>
      <c r="MKX39" s="244"/>
      <c r="MKY39" s="244"/>
      <c r="MKZ39" s="244"/>
      <c r="MLA39" s="244"/>
      <c r="MLB39" s="244"/>
      <c r="MLC39" s="244"/>
      <c r="MLD39" s="244"/>
      <c r="MLE39" s="244"/>
      <c r="MLF39" s="244"/>
      <c r="MLG39" s="244"/>
      <c r="MLH39" s="244"/>
      <c r="MLI39" s="244"/>
      <c r="MLJ39" s="244"/>
      <c r="MLK39" s="244"/>
      <c r="MLL39" s="244"/>
      <c r="MLM39" s="244"/>
      <c r="MLN39" s="244"/>
      <c r="MLO39" s="244"/>
      <c r="MLP39" s="244"/>
      <c r="MLQ39" s="244"/>
      <c r="MLR39" s="244"/>
      <c r="MLS39" s="244"/>
      <c r="MLT39" s="244"/>
      <c r="MLU39" s="244"/>
      <c r="MLV39" s="244"/>
      <c r="MLW39" s="244"/>
      <c r="MLX39" s="244"/>
      <c r="MLY39" s="244"/>
      <c r="MLZ39" s="244"/>
      <c r="MMA39" s="244"/>
      <c r="MMB39" s="244"/>
      <c r="MMC39" s="244"/>
      <c r="MMD39" s="244"/>
      <c r="MME39" s="244"/>
      <c r="MMF39" s="244"/>
      <c r="MMG39" s="244"/>
      <c r="MMH39" s="244"/>
      <c r="MMI39" s="244"/>
      <c r="MMJ39" s="244"/>
      <c r="MMK39" s="244"/>
      <c r="MML39" s="244"/>
      <c r="MMM39" s="244"/>
      <c r="MMN39" s="244"/>
      <c r="MMO39" s="244"/>
      <c r="MMP39" s="244"/>
      <c r="MMQ39" s="244"/>
      <c r="MMR39" s="244"/>
      <c r="MMS39" s="244"/>
      <c r="MMT39" s="244"/>
      <c r="MMU39" s="244"/>
      <c r="MMV39" s="244"/>
      <c r="MMW39" s="244"/>
      <c r="MMX39" s="244"/>
      <c r="MMY39" s="244"/>
      <c r="MMZ39" s="244"/>
      <c r="MNA39" s="244"/>
      <c r="MNB39" s="244"/>
      <c r="MNC39" s="244"/>
      <c r="MND39" s="244"/>
      <c r="MNE39" s="244"/>
      <c r="MNF39" s="244"/>
      <c r="MNG39" s="244"/>
      <c r="MNH39" s="244"/>
      <c r="MNI39" s="244"/>
      <c r="MNJ39" s="244"/>
      <c r="MNK39" s="244"/>
      <c r="MNL39" s="244"/>
      <c r="MNM39" s="244"/>
      <c r="MNN39" s="244"/>
      <c r="MNO39" s="244"/>
      <c r="MNP39" s="244"/>
      <c r="MNQ39" s="244"/>
      <c r="MNR39" s="244"/>
      <c r="MNS39" s="244"/>
      <c r="MNT39" s="244"/>
      <c r="MNU39" s="244"/>
      <c r="MNV39" s="244"/>
      <c r="MNW39" s="244"/>
      <c r="MNX39" s="244"/>
      <c r="MNY39" s="244"/>
      <c r="MNZ39" s="244"/>
      <c r="MOA39" s="244"/>
      <c r="MOB39" s="244"/>
      <c r="MOC39" s="244"/>
      <c r="MOD39" s="244"/>
      <c r="MOE39" s="244"/>
      <c r="MOF39" s="244"/>
      <c r="MOG39" s="244"/>
      <c r="MOH39" s="244"/>
      <c r="MOI39" s="244"/>
      <c r="MOJ39" s="244"/>
      <c r="MOK39" s="244"/>
      <c r="MOL39" s="244"/>
      <c r="MOM39" s="244"/>
      <c r="MON39" s="244"/>
      <c r="MOO39" s="244"/>
      <c r="MOP39" s="244"/>
      <c r="MOQ39" s="244"/>
      <c r="MOR39" s="244"/>
      <c r="MOS39" s="244"/>
      <c r="MOT39" s="244"/>
      <c r="MOU39" s="244"/>
      <c r="MOV39" s="244"/>
      <c r="MOW39" s="244"/>
      <c r="MOX39" s="244"/>
      <c r="MOY39" s="244"/>
      <c r="MOZ39" s="244"/>
      <c r="MPA39" s="244"/>
      <c r="MPB39" s="244"/>
      <c r="MPC39" s="244"/>
      <c r="MPD39" s="244"/>
      <c r="MPE39" s="244"/>
      <c r="MPF39" s="244"/>
      <c r="MPG39" s="244"/>
      <c r="MPH39" s="244"/>
      <c r="MPI39" s="244"/>
      <c r="MPJ39" s="244"/>
      <c r="MPK39" s="244"/>
      <c r="MPL39" s="244"/>
      <c r="MPM39" s="244"/>
      <c r="MPN39" s="244"/>
      <c r="MPO39" s="244"/>
      <c r="MPP39" s="244"/>
      <c r="MPQ39" s="244"/>
      <c r="MPR39" s="244"/>
      <c r="MPS39" s="244"/>
      <c r="MPT39" s="244"/>
      <c r="MPU39" s="244"/>
      <c r="MPV39" s="244"/>
      <c r="MPW39" s="244"/>
      <c r="MPX39" s="244"/>
      <c r="MPY39" s="244"/>
      <c r="MPZ39" s="244"/>
      <c r="MQA39" s="244"/>
      <c r="MQB39" s="244"/>
      <c r="MQC39" s="244"/>
      <c r="MQD39" s="244"/>
      <c r="MQE39" s="244"/>
      <c r="MQF39" s="244"/>
      <c r="MQG39" s="244"/>
      <c r="MQH39" s="244"/>
      <c r="MQI39" s="244"/>
      <c r="MQJ39" s="244"/>
      <c r="MQK39" s="244"/>
      <c r="MQL39" s="244"/>
      <c r="MQM39" s="244"/>
      <c r="MQN39" s="244"/>
      <c r="MQO39" s="244"/>
      <c r="MQP39" s="244"/>
      <c r="MQQ39" s="244"/>
      <c r="MQR39" s="244"/>
      <c r="MQS39" s="244"/>
      <c r="MQT39" s="244"/>
      <c r="MQU39" s="244"/>
      <c r="MQV39" s="244"/>
      <c r="MQW39" s="244"/>
      <c r="MQX39" s="244"/>
      <c r="MQY39" s="244"/>
      <c r="MQZ39" s="244"/>
      <c r="MRA39" s="244"/>
      <c r="MRB39" s="244"/>
      <c r="MRC39" s="244"/>
      <c r="MRD39" s="244"/>
      <c r="MRE39" s="244"/>
      <c r="MRF39" s="244"/>
      <c r="MRG39" s="244"/>
      <c r="MRH39" s="244"/>
      <c r="MRI39" s="244"/>
      <c r="MRJ39" s="244"/>
      <c r="MRK39" s="244"/>
      <c r="MRL39" s="244"/>
      <c r="MRM39" s="244"/>
      <c r="MRN39" s="244"/>
      <c r="MRO39" s="244"/>
      <c r="MRP39" s="244"/>
      <c r="MRQ39" s="244"/>
      <c r="MRR39" s="244"/>
      <c r="MRS39" s="244"/>
      <c r="MRT39" s="244"/>
      <c r="MRU39" s="244"/>
      <c r="MRV39" s="244"/>
      <c r="MRW39" s="244"/>
      <c r="MRX39" s="244"/>
      <c r="MRY39" s="244"/>
      <c r="MRZ39" s="244"/>
      <c r="MSA39" s="244"/>
      <c r="MSB39" s="244"/>
      <c r="MSC39" s="244"/>
      <c r="MSD39" s="244"/>
      <c r="MSE39" s="244"/>
      <c r="MSF39" s="244"/>
      <c r="MSG39" s="244"/>
      <c r="MSH39" s="244"/>
      <c r="MSI39" s="244"/>
      <c r="MSJ39" s="244"/>
      <c r="MSK39" s="244"/>
      <c r="MSL39" s="244"/>
      <c r="MSM39" s="244"/>
      <c r="MSN39" s="244"/>
      <c r="MSO39" s="244"/>
      <c r="MSP39" s="244"/>
      <c r="MSQ39" s="244"/>
      <c r="MSR39" s="244"/>
      <c r="MSS39" s="244"/>
      <c r="MST39" s="244"/>
      <c r="MSU39" s="244"/>
      <c r="MSV39" s="244"/>
      <c r="MSW39" s="244"/>
      <c r="MSX39" s="244"/>
      <c r="MSY39" s="244"/>
      <c r="MSZ39" s="244"/>
      <c r="MTA39" s="244"/>
      <c r="MTB39" s="244"/>
      <c r="MTC39" s="244"/>
      <c r="MTD39" s="244"/>
      <c r="MTE39" s="244"/>
      <c r="MTF39" s="244"/>
      <c r="MTG39" s="244"/>
      <c r="MTH39" s="244"/>
      <c r="MTI39" s="244"/>
      <c r="MTJ39" s="244"/>
      <c r="MTK39" s="244"/>
      <c r="MTL39" s="244"/>
      <c r="MTM39" s="244"/>
      <c r="MTN39" s="244"/>
      <c r="MTO39" s="244"/>
      <c r="MTP39" s="244"/>
      <c r="MTQ39" s="244"/>
      <c r="MTR39" s="244"/>
      <c r="MTS39" s="244"/>
      <c r="MTT39" s="244"/>
      <c r="MTU39" s="244"/>
      <c r="MTV39" s="244"/>
      <c r="MTW39" s="244"/>
      <c r="MTX39" s="244"/>
      <c r="MTY39" s="244"/>
      <c r="MTZ39" s="244"/>
      <c r="MUA39" s="244"/>
      <c r="MUB39" s="244"/>
      <c r="MUC39" s="244"/>
      <c r="MUD39" s="244"/>
      <c r="MUE39" s="244"/>
      <c r="MUF39" s="244"/>
      <c r="MUG39" s="244"/>
      <c r="MUH39" s="244"/>
      <c r="MUI39" s="244"/>
      <c r="MUJ39" s="244"/>
      <c r="MUK39" s="244"/>
      <c r="MUL39" s="244"/>
      <c r="MUM39" s="244"/>
      <c r="MUN39" s="244"/>
      <c r="MUO39" s="244"/>
      <c r="MUP39" s="244"/>
      <c r="MUQ39" s="244"/>
      <c r="MUR39" s="244"/>
      <c r="MUS39" s="244"/>
      <c r="MUT39" s="244"/>
      <c r="MUU39" s="244"/>
      <c r="MUV39" s="244"/>
      <c r="MUW39" s="244"/>
      <c r="MUX39" s="244"/>
      <c r="MUY39" s="244"/>
      <c r="MUZ39" s="244"/>
      <c r="MVA39" s="244"/>
      <c r="MVB39" s="244"/>
      <c r="MVC39" s="244"/>
      <c r="MVD39" s="244"/>
      <c r="MVE39" s="244"/>
      <c r="MVF39" s="244"/>
      <c r="MVG39" s="244"/>
      <c r="MVH39" s="244"/>
      <c r="MVI39" s="244"/>
      <c r="MVJ39" s="244"/>
      <c r="MVK39" s="244"/>
      <c r="MVL39" s="244"/>
      <c r="MVM39" s="244"/>
      <c r="MVN39" s="244"/>
      <c r="MVO39" s="244"/>
      <c r="MVP39" s="244"/>
      <c r="MVQ39" s="244"/>
      <c r="MVR39" s="244"/>
      <c r="MVS39" s="244"/>
      <c r="MVT39" s="244"/>
      <c r="MVU39" s="244"/>
      <c r="MVV39" s="244"/>
      <c r="MVW39" s="244"/>
      <c r="MVX39" s="244"/>
      <c r="MVY39" s="244"/>
      <c r="MVZ39" s="244"/>
      <c r="MWA39" s="244"/>
      <c r="MWB39" s="244"/>
      <c r="MWC39" s="244"/>
      <c r="MWD39" s="244"/>
      <c r="MWE39" s="244"/>
      <c r="MWF39" s="244"/>
      <c r="MWG39" s="244"/>
      <c r="MWH39" s="244"/>
      <c r="MWI39" s="244"/>
      <c r="MWJ39" s="244"/>
      <c r="MWK39" s="244"/>
      <c r="MWL39" s="244"/>
      <c r="MWM39" s="244"/>
      <c r="MWN39" s="244"/>
      <c r="MWO39" s="244"/>
      <c r="MWP39" s="244"/>
      <c r="MWQ39" s="244"/>
      <c r="MWR39" s="244"/>
      <c r="MWS39" s="244"/>
      <c r="MWT39" s="244"/>
      <c r="MWU39" s="244"/>
      <c r="MWV39" s="244"/>
      <c r="MWW39" s="244"/>
      <c r="MWX39" s="244"/>
      <c r="MWY39" s="244"/>
      <c r="MWZ39" s="244"/>
      <c r="MXA39" s="244"/>
      <c r="MXB39" s="244"/>
      <c r="MXC39" s="244"/>
      <c r="MXD39" s="244"/>
      <c r="MXE39" s="244"/>
      <c r="MXF39" s="244"/>
      <c r="MXG39" s="244"/>
      <c r="MXH39" s="244"/>
      <c r="MXI39" s="244"/>
      <c r="MXJ39" s="244"/>
      <c r="MXK39" s="244"/>
      <c r="MXL39" s="244"/>
      <c r="MXM39" s="244"/>
      <c r="MXN39" s="244"/>
      <c r="MXO39" s="244"/>
      <c r="MXP39" s="244"/>
      <c r="MXQ39" s="244"/>
      <c r="MXR39" s="244"/>
      <c r="MXS39" s="244"/>
      <c r="MXT39" s="244"/>
      <c r="MXU39" s="244"/>
      <c r="MXV39" s="244"/>
      <c r="MXW39" s="244"/>
      <c r="MXX39" s="244"/>
      <c r="MXY39" s="244"/>
      <c r="MXZ39" s="244"/>
      <c r="MYA39" s="244"/>
      <c r="MYB39" s="244"/>
      <c r="MYC39" s="244"/>
      <c r="MYD39" s="244"/>
      <c r="MYE39" s="244"/>
      <c r="MYF39" s="244"/>
      <c r="MYG39" s="244"/>
      <c r="MYH39" s="244"/>
      <c r="MYI39" s="244"/>
      <c r="MYJ39" s="244"/>
      <c r="MYK39" s="244"/>
      <c r="MYL39" s="244"/>
      <c r="MYM39" s="244"/>
      <c r="MYN39" s="244"/>
      <c r="MYO39" s="244"/>
      <c r="MYP39" s="244"/>
      <c r="MYQ39" s="244"/>
      <c r="MYR39" s="244"/>
      <c r="MYS39" s="244"/>
      <c r="MYT39" s="244"/>
      <c r="MYU39" s="244"/>
      <c r="MYV39" s="244"/>
      <c r="MYW39" s="244"/>
      <c r="MYX39" s="244"/>
      <c r="MYY39" s="244"/>
      <c r="MYZ39" s="244"/>
      <c r="MZA39" s="244"/>
      <c r="MZB39" s="244"/>
      <c r="MZC39" s="244"/>
      <c r="MZD39" s="244"/>
      <c r="MZE39" s="244"/>
      <c r="MZF39" s="244"/>
      <c r="MZG39" s="244"/>
      <c r="MZH39" s="244"/>
      <c r="MZI39" s="244"/>
      <c r="MZJ39" s="244"/>
      <c r="MZK39" s="244"/>
      <c r="MZL39" s="244"/>
      <c r="MZM39" s="244"/>
      <c r="MZN39" s="244"/>
      <c r="MZO39" s="244"/>
      <c r="MZP39" s="244"/>
      <c r="MZQ39" s="244"/>
      <c r="MZR39" s="244"/>
      <c r="MZS39" s="244"/>
      <c r="MZT39" s="244"/>
      <c r="MZU39" s="244"/>
      <c r="MZV39" s="244"/>
      <c r="MZW39" s="244"/>
      <c r="MZX39" s="244"/>
      <c r="MZY39" s="244"/>
      <c r="MZZ39" s="244"/>
      <c r="NAA39" s="244"/>
      <c r="NAB39" s="244"/>
      <c r="NAC39" s="244"/>
      <c r="NAD39" s="244"/>
      <c r="NAE39" s="244"/>
      <c r="NAF39" s="244"/>
      <c r="NAG39" s="244"/>
      <c r="NAH39" s="244"/>
      <c r="NAI39" s="244"/>
      <c r="NAJ39" s="244"/>
      <c r="NAK39" s="244"/>
      <c r="NAL39" s="244"/>
      <c r="NAM39" s="244"/>
      <c r="NAN39" s="244"/>
      <c r="NAO39" s="244"/>
      <c r="NAP39" s="244"/>
      <c r="NAQ39" s="244"/>
      <c r="NAR39" s="244"/>
      <c r="NAS39" s="244"/>
      <c r="NAT39" s="244"/>
      <c r="NAU39" s="244"/>
      <c r="NAV39" s="244"/>
      <c r="NAW39" s="244"/>
      <c r="NAX39" s="244"/>
      <c r="NAY39" s="244"/>
      <c r="NAZ39" s="244"/>
      <c r="NBA39" s="244"/>
      <c r="NBB39" s="244"/>
      <c r="NBC39" s="244"/>
      <c r="NBD39" s="244"/>
      <c r="NBE39" s="244"/>
      <c r="NBF39" s="244"/>
      <c r="NBG39" s="244"/>
      <c r="NBH39" s="244"/>
      <c r="NBI39" s="244"/>
      <c r="NBJ39" s="244"/>
      <c r="NBK39" s="244"/>
      <c r="NBL39" s="244"/>
      <c r="NBM39" s="244"/>
      <c r="NBN39" s="244"/>
      <c r="NBO39" s="244"/>
      <c r="NBP39" s="244"/>
      <c r="NBQ39" s="244"/>
      <c r="NBR39" s="244"/>
      <c r="NBS39" s="244"/>
      <c r="NBT39" s="244"/>
      <c r="NBU39" s="244"/>
      <c r="NBV39" s="244"/>
      <c r="NBW39" s="244"/>
      <c r="NBX39" s="244"/>
      <c r="NBY39" s="244"/>
      <c r="NBZ39" s="244"/>
      <c r="NCA39" s="244"/>
      <c r="NCB39" s="244"/>
      <c r="NCC39" s="244"/>
      <c r="NCD39" s="244"/>
      <c r="NCE39" s="244"/>
      <c r="NCF39" s="244"/>
      <c r="NCG39" s="244"/>
      <c r="NCH39" s="244"/>
      <c r="NCI39" s="244"/>
      <c r="NCJ39" s="244"/>
      <c r="NCK39" s="244"/>
      <c r="NCL39" s="244"/>
      <c r="NCM39" s="244"/>
      <c r="NCN39" s="244"/>
      <c r="NCO39" s="244"/>
      <c r="NCP39" s="244"/>
      <c r="NCQ39" s="244"/>
      <c r="NCR39" s="244"/>
      <c r="NCS39" s="244"/>
      <c r="NCT39" s="244"/>
      <c r="NCU39" s="244"/>
      <c r="NCV39" s="244"/>
      <c r="NCW39" s="244"/>
      <c r="NCX39" s="244"/>
      <c r="NCY39" s="244"/>
      <c r="NCZ39" s="244"/>
      <c r="NDA39" s="244"/>
      <c r="NDB39" s="244"/>
      <c r="NDC39" s="244"/>
      <c r="NDD39" s="244"/>
      <c r="NDE39" s="244"/>
      <c r="NDF39" s="244"/>
      <c r="NDG39" s="244"/>
      <c r="NDH39" s="244"/>
      <c r="NDI39" s="244"/>
      <c r="NDJ39" s="244"/>
      <c r="NDK39" s="244"/>
      <c r="NDL39" s="244"/>
      <c r="NDM39" s="244"/>
      <c r="NDN39" s="244"/>
      <c r="NDO39" s="244"/>
      <c r="NDP39" s="244"/>
      <c r="NDQ39" s="244"/>
      <c r="NDR39" s="244"/>
      <c r="NDS39" s="244"/>
      <c r="NDT39" s="244"/>
      <c r="NDU39" s="244"/>
      <c r="NDV39" s="244"/>
      <c r="NDW39" s="244"/>
      <c r="NDX39" s="244"/>
      <c r="NDY39" s="244"/>
      <c r="NDZ39" s="244"/>
      <c r="NEA39" s="244"/>
      <c r="NEB39" s="244"/>
      <c r="NEC39" s="244"/>
      <c r="NED39" s="244"/>
      <c r="NEE39" s="244"/>
      <c r="NEF39" s="244"/>
      <c r="NEG39" s="244"/>
      <c r="NEH39" s="244"/>
      <c r="NEI39" s="244"/>
      <c r="NEJ39" s="244"/>
      <c r="NEK39" s="244"/>
      <c r="NEL39" s="244"/>
      <c r="NEM39" s="244"/>
      <c r="NEN39" s="244"/>
      <c r="NEO39" s="244"/>
      <c r="NEP39" s="244"/>
      <c r="NEQ39" s="244"/>
      <c r="NER39" s="244"/>
      <c r="NES39" s="244"/>
      <c r="NET39" s="244"/>
      <c r="NEU39" s="244"/>
      <c r="NEV39" s="244"/>
      <c r="NEW39" s="244"/>
      <c r="NEX39" s="244"/>
      <c r="NEY39" s="244"/>
      <c r="NEZ39" s="244"/>
      <c r="NFA39" s="244"/>
      <c r="NFB39" s="244"/>
      <c r="NFC39" s="244"/>
      <c r="NFD39" s="244"/>
      <c r="NFE39" s="244"/>
      <c r="NFF39" s="244"/>
      <c r="NFG39" s="244"/>
      <c r="NFH39" s="244"/>
      <c r="NFI39" s="244"/>
      <c r="NFJ39" s="244"/>
      <c r="NFK39" s="244"/>
      <c r="NFL39" s="244"/>
      <c r="NFM39" s="244"/>
      <c r="NFN39" s="244"/>
      <c r="NFO39" s="244"/>
      <c r="NFP39" s="244"/>
      <c r="NFQ39" s="244"/>
      <c r="NFR39" s="244"/>
      <c r="NFS39" s="244"/>
      <c r="NFT39" s="244"/>
      <c r="NFU39" s="244"/>
      <c r="NFV39" s="244"/>
      <c r="NFW39" s="244"/>
      <c r="NFX39" s="244"/>
      <c r="NFY39" s="244"/>
      <c r="NFZ39" s="244"/>
      <c r="NGA39" s="244"/>
      <c r="NGB39" s="244"/>
      <c r="NGC39" s="244"/>
      <c r="NGD39" s="244"/>
      <c r="NGE39" s="244"/>
      <c r="NGF39" s="244"/>
      <c r="NGG39" s="244"/>
      <c r="NGH39" s="244"/>
      <c r="NGI39" s="244"/>
      <c r="NGJ39" s="244"/>
      <c r="NGK39" s="244"/>
      <c r="NGL39" s="244"/>
      <c r="NGM39" s="244"/>
      <c r="NGN39" s="244"/>
      <c r="NGO39" s="244"/>
      <c r="NGP39" s="244"/>
      <c r="NGQ39" s="244"/>
      <c r="NGR39" s="244"/>
      <c r="NGS39" s="244"/>
      <c r="NGT39" s="244"/>
      <c r="NGU39" s="244"/>
      <c r="NGV39" s="244"/>
      <c r="NGW39" s="244"/>
      <c r="NGX39" s="244"/>
      <c r="NGY39" s="244"/>
      <c r="NGZ39" s="244"/>
      <c r="NHA39" s="244"/>
      <c r="NHB39" s="244"/>
      <c r="NHC39" s="244"/>
      <c r="NHD39" s="244"/>
      <c r="NHE39" s="244"/>
      <c r="NHF39" s="244"/>
      <c r="NHG39" s="244"/>
      <c r="NHH39" s="244"/>
      <c r="NHI39" s="244"/>
      <c r="NHJ39" s="244"/>
      <c r="NHK39" s="244"/>
      <c r="NHL39" s="244"/>
      <c r="NHM39" s="244"/>
      <c r="NHN39" s="244"/>
      <c r="NHO39" s="244"/>
      <c r="NHP39" s="244"/>
      <c r="NHQ39" s="244"/>
      <c r="NHR39" s="244"/>
      <c r="NHS39" s="244"/>
      <c r="NHT39" s="244"/>
      <c r="NHU39" s="244"/>
      <c r="NHV39" s="244"/>
      <c r="NHW39" s="244"/>
      <c r="NHX39" s="244"/>
      <c r="NHY39" s="244"/>
      <c r="NHZ39" s="244"/>
      <c r="NIA39" s="244"/>
      <c r="NIB39" s="244"/>
      <c r="NIC39" s="244"/>
      <c r="NID39" s="244"/>
      <c r="NIE39" s="244"/>
      <c r="NIF39" s="244"/>
      <c r="NIG39" s="244"/>
      <c r="NIH39" s="244"/>
      <c r="NII39" s="244"/>
      <c r="NIJ39" s="244"/>
      <c r="NIK39" s="244"/>
      <c r="NIL39" s="244"/>
      <c r="NIM39" s="244"/>
      <c r="NIN39" s="244"/>
      <c r="NIO39" s="244"/>
      <c r="NIP39" s="244"/>
      <c r="NIQ39" s="244"/>
      <c r="NIR39" s="244"/>
      <c r="NIS39" s="244"/>
      <c r="NIT39" s="244"/>
      <c r="NIU39" s="244"/>
      <c r="NIV39" s="244"/>
      <c r="NIW39" s="244"/>
      <c r="NIX39" s="244"/>
      <c r="NIY39" s="244"/>
      <c r="NIZ39" s="244"/>
      <c r="NJA39" s="244"/>
      <c r="NJB39" s="244"/>
      <c r="NJC39" s="244"/>
      <c r="NJD39" s="244"/>
      <c r="NJE39" s="244"/>
      <c r="NJF39" s="244"/>
      <c r="NJG39" s="244"/>
      <c r="NJH39" s="244"/>
      <c r="NJI39" s="244"/>
      <c r="NJJ39" s="244"/>
      <c r="NJK39" s="244"/>
      <c r="NJL39" s="244"/>
      <c r="NJM39" s="244"/>
      <c r="NJN39" s="244"/>
      <c r="NJO39" s="244"/>
      <c r="NJP39" s="244"/>
      <c r="NJQ39" s="244"/>
      <c r="NJR39" s="244"/>
      <c r="NJS39" s="244"/>
      <c r="NJT39" s="244"/>
      <c r="NJU39" s="244"/>
      <c r="NJV39" s="244"/>
      <c r="NJW39" s="244"/>
      <c r="NJX39" s="244"/>
      <c r="NJY39" s="244"/>
      <c r="NJZ39" s="244"/>
      <c r="NKA39" s="244"/>
      <c r="NKB39" s="244"/>
      <c r="NKC39" s="244"/>
      <c r="NKD39" s="244"/>
      <c r="NKE39" s="244"/>
      <c r="NKF39" s="244"/>
      <c r="NKG39" s="244"/>
      <c r="NKH39" s="244"/>
      <c r="NKI39" s="244"/>
      <c r="NKJ39" s="244"/>
      <c r="NKK39" s="244"/>
      <c r="NKL39" s="244"/>
      <c r="NKM39" s="244"/>
      <c r="NKN39" s="244"/>
      <c r="NKO39" s="244"/>
      <c r="NKP39" s="244"/>
      <c r="NKQ39" s="244"/>
      <c r="NKR39" s="244"/>
      <c r="NKS39" s="244"/>
      <c r="NKT39" s="244"/>
      <c r="NKU39" s="244"/>
      <c r="NKV39" s="244"/>
      <c r="NKW39" s="244"/>
      <c r="NKX39" s="244"/>
      <c r="NKY39" s="244"/>
      <c r="NKZ39" s="244"/>
      <c r="NLA39" s="244"/>
      <c r="NLB39" s="244"/>
      <c r="NLC39" s="244"/>
      <c r="NLD39" s="244"/>
      <c r="NLE39" s="244"/>
      <c r="NLF39" s="244"/>
      <c r="NLG39" s="244"/>
      <c r="NLH39" s="244"/>
      <c r="NLI39" s="244"/>
      <c r="NLJ39" s="244"/>
      <c r="NLK39" s="244"/>
      <c r="NLL39" s="244"/>
      <c r="NLM39" s="244"/>
      <c r="NLN39" s="244"/>
      <c r="NLO39" s="244"/>
      <c r="NLP39" s="244"/>
      <c r="NLQ39" s="244"/>
      <c r="NLR39" s="244"/>
      <c r="NLS39" s="244"/>
      <c r="NLT39" s="244"/>
      <c r="NLU39" s="244"/>
      <c r="NLV39" s="244"/>
      <c r="NLW39" s="244"/>
      <c r="NLX39" s="244"/>
      <c r="NLY39" s="244"/>
      <c r="NLZ39" s="244"/>
      <c r="NMA39" s="244"/>
      <c r="NMB39" s="244"/>
      <c r="NMC39" s="244"/>
      <c r="NMD39" s="244"/>
      <c r="NME39" s="244"/>
      <c r="NMF39" s="244"/>
      <c r="NMG39" s="244"/>
      <c r="NMH39" s="244"/>
      <c r="NMI39" s="244"/>
      <c r="NMJ39" s="244"/>
      <c r="NMK39" s="244"/>
      <c r="NML39" s="244"/>
      <c r="NMM39" s="244"/>
      <c r="NMN39" s="244"/>
      <c r="NMO39" s="244"/>
      <c r="NMP39" s="244"/>
      <c r="NMQ39" s="244"/>
      <c r="NMR39" s="244"/>
      <c r="NMS39" s="244"/>
      <c r="NMT39" s="244"/>
      <c r="NMU39" s="244"/>
      <c r="NMV39" s="244"/>
      <c r="NMW39" s="244"/>
      <c r="NMX39" s="244"/>
      <c r="NMY39" s="244"/>
      <c r="NMZ39" s="244"/>
      <c r="NNA39" s="244"/>
      <c r="NNB39" s="244"/>
      <c r="NNC39" s="244"/>
      <c r="NND39" s="244"/>
      <c r="NNE39" s="244"/>
      <c r="NNF39" s="244"/>
      <c r="NNG39" s="244"/>
      <c r="NNH39" s="244"/>
      <c r="NNI39" s="244"/>
      <c r="NNJ39" s="244"/>
      <c r="NNK39" s="244"/>
      <c r="NNL39" s="244"/>
      <c r="NNM39" s="244"/>
      <c r="NNN39" s="244"/>
      <c r="NNO39" s="244"/>
      <c r="NNP39" s="244"/>
      <c r="NNQ39" s="244"/>
      <c r="NNR39" s="244"/>
      <c r="NNS39" s="244"/>
      <c r="NNT39" s="244"/>
      <c r="NNU39" s="244"/>
      <c r="NNV39" s="244"/>
      <c r="NNW39" s="244"/>
      <c r="NNX39" s="244"/>
      <c r="NNY39" s="244"/>
      <c r="NNZ39" s="244"/>
      <c r="NOA39" s="244"/>
      <c r="NOB39" s="244"/>
      <c r="NOC39" s="244"/>
      <c r="NOD39" s="244"/>
      <c r="NOE39" s="244"/>
      <c r="NOF39" s="244"/>
      <c r="NOG39" s="244"/>
      <c r="NOH39" s="244"/>
      <c r="NOI39" s="244"/>
      <c r="NOJ39" s="244"/>
      <c r="NOK39" s="244"/>
      <c r="NOL39" s="244"/>
      <c r="NOM39" s="244"/>
      <c r="NON39" s="244"/>
      <c r="NOO39" s="244"/>
      <c r="NOP39" s="244"/>
      <c r="NOQ39" s="244"/>
      <c r="NOR39" s="244"/>
      <c r="NOS39" s="244"/>
      <c r="NOT39" s="244"/>
      <c r="NOU39" s="244"/>
      <c r="NOV39" s="244"/>
      <c r="NOW39" s="244"/>
      <c r="NOX39" s="244"/>
      <c r="NOY39" s="244"/>
      <c r="NOZ39" s="244"/>
      <c r="NPA39" s="244"/>
      <c r="NPB39" s="244"/>
      <c r="NPC39" s="244"/>
      <c r="NPD39" s="244"/>
      <c r="NPE39" s="244"/>
      <c r="NPF39" s="244"/>
      <c r="NPG39" s="244"/>
      <c r="NPH39" s="244"/>
      <c r="NPI39" s="244"/>
      <c r="NPJ39" s="244"/>
      <c r="NPK39" s="244"/>
      <c r="NPL39" s="244"/>
      <c r="NPM39" s="244"/>
      <c r="NPN39" s="244"/>
      <c r="NPO39" s="244"/>
      <c r="NPP39" s="244"/>
      <c r="NPQ39" s="244"/>
      <c r="NPR39" s="244"/>
      <c r="NPS39" s="244"/>
      <c r="NPT39" s="244"/>
      <c r="NPU39" s="244"/>
      <c r="NPV39" s="244"/>
      <c r="NPW39" s="244"/>
      <c r="NPX39" s="244"/>
      <c r="NPY39" s="244"/>
      <c r="NPZ39" s="244"/>
      <c r="NQA39" s="244"/>
      <c r="NQB39" s="244"/>
      <c r="NQC39" s="244"/>
      <c r="NQD39" s="244"/>
      <c r="NQE39" s="244"/>
      <c r="NQF39" s="244"/>
      <c r="NQG39" s="244"/>
      <c r="NQH39" s="244"/>
      <c r="NQI39" s="244"/>
      <c r="NQJ39" s="244"/>
      <c r="NQK39" s="244"/>
      <c r="NQL39" s="244"/>
      <c r="NQM39" s="244"/>
      <c r="NQN39" s="244"/>
      <c r="NQO39" s="244"/>
      <c r="NQP39" s="244"/>
      <c r="NQQ39" s="244"/>
      <c r="NQR39" s="244"/>
      <c r="NQS39" s="244"/>
      <c r="NQT39" s="244"/>
      <c r="NQU39" s="244"/>
      <c r="NQV39" s="244"/>
      <c r="NQW39" s="244"/>
      <c r="NQX39" s="244"/>
      <c r="NQY39" s="244"/>
      <c r="NQZ39" s="244"/>
      <c r="NRA39" s="244"/>
      <c r="NRB39" s="244"/>
      <c r="NRC39" s="244"/>
      <c r="NRD39" s="244"/>
      <c r="NRE39" s="244"/>
      <c r="NRF39" s="244"/>
      <c r="NRG39" s="244"/>
      <c r="NRH39" s="244"/>
      <c r="NRI39" s="244"/>
      <c r="NRJ39" s="244"/>
      <c r="NRK39" s="244"/>
      <c r="NRL39" s="244"/>
      <c r="NRM39" s="244"/>
      <c r="NRN39" s="244"/>
      <c r="NRO39" s="244"/>
      <c r="NRP39" s="244"/>
      <c r="NRQ39" s="244"/>
      <c r="NRR39" s="244"/>
      <c r="NRS39" s="244"/>
      <c r="NRT39" s="244"/>
      <c r="NRU39" s="244"/>
      <c r="NRV39" s="244"/>
      <c r="NRW39" s="244"/>
      <c r="NRX39" s="244"/>
      <c r="NRY39" s="244"/>
      <c r="NRZ39" s="244"/>
      <c r="NSA39" s="244"/>
      <c r="NSB39" s="244"/>
      <c r="NSC39" s="244"/>
      <c r="NSD39" s="244"/>
      <c r="NSE39" s="244"/>
      <c r="NSF39" s="244"/>
      <c r="NSG39" s="244"/>
      <c r="NSH39" s="244"/>
      <c r="NSI39" s="244"/>
      <c r="NSJ39" s="244"/>
      <c r="NSK39" s="244"/>
      <c r="NSL39" s="244"/>
      <c r="NSM39" s="244"/>
      <c r="NSN39" s="244"/>
      <c r="NSO39" s="244"/>
      <c r="NSP39" s="244"/>
      <c r="NSQ39" s="244"/>
      <c r="NSR39" s="244"/>
      <c r="NSS39" s="244"/>
      <c r="NST39" s="244"/>
      <c r="NSU39" s="244"/>
      <c r="NSV39" s="244"/>
      <c r="NSW39" s="244"/>
      <c r="NSX39" s="244"/>
      <c r="NSY39" s="244"/>
      <c r="NSZ39" s="244"/>
      <c r="NTA39" s="244"/>
      <c r="NTB39" s="244"/>
      <c r="NTC39" s="244"/>
      <c r="NTD39" s="244"/>
      <c r="NTE39" s="244"/>
      <c r="NTF39" s="244"/>
      <c r="NTG39" s="244"/>
      <c r="NTH39" s="244"/>
      <c r="NTI39" s="244"/>
      <c r="NTJ39" s="244"/>
      <c r="NTK39" s="244"/>
      <c r="NTL39" s="244"/>
      <c r="NTM39" s="244"/>
      <c r="NTN39" s="244"/>
      <c r="NTO39" s="244"/>
      <c r="NTP39" s="244"/>
      <c r="NTQ39" s="244"/>
      <c r="NTR39" s="244"/>
      <c r="NTS39" s="244"/>
      <c r="NTT39" s="244"/>
      <c r="NTU39" s="244"/>
      <c r="NTV39" s="244"/>
      <c r="NTW39" s="244"/>
      <c r="NTX39" s="244"/>
      <c r="NTY39" s="244"/>
      <c r="NTZ39" s="244"/>
      <c r="NUA39" s="244"/>
      <c r="NUB39" s="244"/>
      <c r="NUC39" s="244"/>
      <c r="NUD39" s="244"/>
      <c r="NUE39" s="244"/>
      <c r="NUF39" s="244"/>
      <c r="NUG39" s="244"/>
      <c r="NUH39" s="244"/>
      <c r="NUI39" s="244"/>
      <c r="NUJ39" s="244"/>
      <c r="NUK39" s="244"/>
      <c r="NUL39" s="244"/>
      <c r="NUM39" s="244"/>
      <c r="NUN39" s="244"/>
      <c r="NUO39" s="244"/>
      <c r="NUP39" s="244"/>
      <c r="NUQ39" s="244"/>
      <c r="NUR39" s="244"/>
      <c r="NUS39" s="244"/>
      <c r="NUT39" s="244"/>
      <c r="NUU39" s="244"/>
      <c r="NUV39" s="244"/>
      <c r="NUW39" s="244"/>
      <c r="NUX39" s="244"/>
      <c r="NUY39" s="244"/>
      <c r="NUZ39" s="244"/>
      <c r="NVA39" s="244"/>
      <c r="NVB39" s="244"/>
      <c r="NVC39" s="244"/>
      <c r="NVD39" s="244"/>
      <c r="NVE39" s="244"/>
      <c r="NVF39" s="244"/>
      <c r="NVG39" s="244"/>
      <c r="NVH39" s="244"/>
      <c r="NVI39" s="244"/>
      <c r="NVJ39" s="244"/>
      <c r="NVK39" s="244"/>
      <c r="NVL39" s="244"/>
      <c r="NVM39" s="244"/>
      <c r="NVN39" s="244"/>
      <c r="NVO39" s="244"/>
      <c r="NVP39" s="244"/>
      <c r="NVQ39" s="244"/>
      <c r="NVR39" s="244"/>
      <c r="NVS39" s="244"/>
      <c r="NVT39" s="244"/>
      <c r="NVU39" s="244"/>
      <c r="NVV39" s="244"/>
      <c r="NVW39" s="244"/>
      <c r="NVX39" s="244"/>
      <c r="NVY39" s="244"/>
      <c r="NVZ39" s="244"/>
      <c r="NWA39" s="244"/>
      <c r="NWB39" s="244"/>
      <c r="NWC39" s="244"/>
      <c r="NWD39" s="244"/>
      <c r="NWE39" s="244"/>
      <c r="NWF39" s="244"/>
      <c r="NWG39" s="244"/>
      <c r="NWH39" s="244"/>
      <c r="NWI39" s="244"/>
      <c r="NWJ39" s="244"/>
      <c r="NWK39" s="244"/>
      <c r="NWL39" s="244"/>
      <c r="NWM39" s="244"/>
      <c r="NWN39" s="244"/>
      <c r="NWO39" s="244"/>
      <c r="NWP39" s="244"/>
      <c r="NWQ39" s="244"/>
      <c r="NWR39" s="244"/>
      <c r="NWS39" s="244"/>
      <c r="NWT39" s="244"/>
      <c r="NWU39" s="244"/>
      <c r="NWV39" s="244"/>
      <c r="NWW39" s="244"/>
      <c r="NWX39" s="244"/>
      <c r="NWY39" s="244"/>
      <c r="NWZ39" s="244"/>
      <c r="NXA39" s="244"/>
      <c r="NXB39" s="244"/>
      <c r="NXC39" s="244"/>
      <c r="NXD39" s="244"/>
      <c r="NXE39" s="244"/>
      <c r="NXF39" s="244"/>
      <c r="NXG39" s="244"/>
      <c r="NXH39" s="244"/>
      <c r="NXI39" s="244"/>
      <c r="NXJ39" s="244"/>
      <c r="NXK39" s="244"/>
      <c r="NXL39" s="244"/>
      <c r="NXM39" s="244"/>
      <c r="NXN39" s="244"/>
      <c r="NXO39" s="244"/>
      <c r="NXP39" s="244"/>
      <c r="NXQ39" s="244"/>
      <c r="NXR39" s="244"/>
      <c r="NXS39" s="244"/>
      <c r="NXT39" s="244"/>
      <c r="NXU39" s="244"/>
      <c r="NXV39" s="244"/>
      <c r="NXW39" s="244"/>
      <c r="NXX39" s="244"/>
      <c r="NXY39" s="244"/>
      <c r="NXZ39" s="244"/>
      <c r="NYA39" s="244"/>
      <c r="NYB39" s="244"/>
      <c r="NYC39" s="244"/>
      <c r="NYD39" s="244"/>
      <c r="NYE39" s="244"/>
      <c r="NYF39" s="244"/>
      <c r="NYG39" s="244"/>
      <c r="NYH39" s="244"/>
      <c r="NYI39" s="244"/>
      <c r="NYJ39" s="244"/>
      <c r="NYK39" s="244"/>
      <c r="NYL39" s="244"/>
      <c r="NYM39" s="244"/>
      <c r="NYN39" s="244"/>
      <c r="NYO39" s="244"/>
      <c r="NYP39" s="244"/>
      <c r="NYQ39" s="244"/>
      <c r="NYR39" s="244"/>
      <c r="NYS39" s="244"/>
      <c r="NYT39" s="244"/>
      <c r="NYU39" s="244"/>
      <c r="NYV39" s="244"/>
      <c r="NYW39" s="244"/>
      <c r="NYX39" s="244"/>
      <c r="NYY39" s="244"/>
      <c r="NYZ39" s="244"/>
      <c r="NZA39" s="244"/>
      <c r="NZB39" s="244"/>
      <c r="NZC39" s="244"/>
      <c r="NZD39" s="244"/>
      <c r="NZE39" s="244"/>
      <c r="NZF39" s="244"/>
      <c r="NZG39" s="244"/>
      <c r="NZH39" s="244"/>
      <c r="NZI39" s="244"/>
      <c r="NZJ39" s="244"/>
      <c r="NZK39" s="244"/>
      <c r="NZL39" s="244"/>
      <c r="NZM39" s="244"/>
      <c r="NZN39" s="244"/>
      <c r="NZO39" s="244"/>
      <c r="NZP39" s="244"/>
      <c r="NZQ39" s="244"/>
      <c r="NZR39" s="244"/>
      <c r="NZS39" s="244"/>
      <c r="NZT39" s="244"/>
      <c r="NZU39" s="244"/>
      <c r="NZV39" s="244"/>
      <c r="NZW39" s="244"/>
      <c r="NZX39" s="244"/>
      <c r="NZY39" s="244"/>
      <c r="NZZ39" s="244"/>
      <c r="OAA39" s="244"/>
      <c r="OAB39" s="244"/>
      <c r="OAC39" s="244"/>
      <c r="OAD39" s="244"/>
      <c r="OAE39" s="244"/>
      <c r="OAF39" s="244"/>
      <c r="OAG39" s="244"/>
      <c r="OAH39" s="244"/>
      <c r="OAI39" s="244"/>
      <c r="OAJ39" s="244"/>
      <c r="OAK39" s="244"/>
      <c r="OAL39" s="244"/>
      <c r="OAM39" s="244"/>
      <c r="OAN39" s="244"/>
      <c r="OAO39" s="244"/>
      <c r="OAP39" s="244"/>
      <c r="OAQ39" s="244"/>
      <c r="OAR39" s="244"/>
      <c r="OAS39" s="244"/>
      <c r="OAT39" s="244"/>
      <c r="OAU39" s="244"/>
      <c r="OAV39" s="244"/>
      <c r="OAW39" s="244"/>
      <c r="OAX39" s="244"/>
      <c r="OAY39" s="244"/>
      <c r="OAZ39" s="244"/>
      <c r="OBA39" s="244"/>
      <c r="OBB39" s="244"/>
      <c r="OBC39" s="244"/>
      <c r="OBD39" s="244"/>
      <c r="OBE39" s="244"/>
      <c r="OBF39" s="244"/>
      <c r="OBG39" s="244"/>
      <c r="OBH39" s="244"/>
      <c r="OBI39" s="244"/>
      <c r="OBJ39" s="244"/>
      <c r="OBK39" s="244"/>
      <c r="OBL39" s="244"/>
      <c r="OBM39" s="244"/>
      <c r="OBN39" s="244"/>
      <c r="OBO39" s="244"/>
      <c r="OBP39" s="244"/>
      <c r="OBQ39" s="244"/>
      <c r="OBR39" s="244"/>
      <c r="OBS39" s="244"/>
      <c r="OBT39" s="244"/>
      <c r="OBU39" s="244"/>
      <c r="OBV39" s="244"/>
      <c r="OBW39" s="244"/>
      <c r="OBX39" s="244"/>
      <c r="OBY39" s="244"/>
      <c r="OBZ39" s="244"/>
      <c r="OCA39" s="244"/>
      <c r="OCB39" s="244"/>
      <c r="OCC39" s="244"/>
      <c r="OCD39" s="244"/>
      <c r="OCE39" s="244"/>
      <c r="OCF39" s="244"/>
      <c r="OCG39" s="244"/>
      <c r="OCH39" s="244"/>
      <c r="OCI39" s="244"/>
      <c r="OCJ39" s="244"/>
      <c r="OCK39" s="244"/>
      <c r="OCL39" s="244"/>
      <c r="OCM39" s="244"/>
      <c r="OCN39" s="244"/>
      <c r="OCO39" s="244"/>
      <c r="OCP39" s="244"/>
      <c r="OCQ39" s="244"/>
      <c r="OCR39" s="244"/>
      <c r="OCS39" s="244"/>
      <c r="OCT39" s="244"/>
      <c r="OCU39" s="244"/>
      <c r="OCV39" s="244"/>
      <c r="OCW39" s="244"/>
      <c r="OCX39" s="244"/>
      <c r="OCY39" s="244"/>
      <c r="OCZ39" s="244"/>
      <c r="ODA39" s="244"/>
      <c r="ODB39" s="244"/>
      <c r="ODC39" s="244"/>
      <c r="ODD39" s="244"/>
      <c r="ODE39" s="244"/>
      <c r="ODF39" s="244"/>
      <c r="ODG39" s="244"/>
      <c r="ODH39" s="244"/>
      <c r="ODI39" s="244"/>
      <c r="ODJ39" s="244"/>
      <c r="ODK39" s="244"/>
      <c r="ODL39" s="244"/>
      <c r="ODM39" s="244"/>
      <c r="ODN39" s="244"/>
      <c r="ODO39" s="244"/>
      <c r="ODP39" s="244"/>
      <c r="ODQ39" s="244"/>
      <c r="ODR39" s="244"/>
      <c r="ODS39" s="244"/>
      <c r="ODT39" s="244"/>
      <c r="ODU39" s="244"/>
      <c r="ODV39" s="244"/>
      <c r="ODW39" s="244"/>
      <c r="ODX39" s="244"/>
      <c r="ODY39" s="244"/>
      <c r="ODZ39" s="244"/>
      <c r="OEA39" s="244"/>
      <c r="OEB39" s="244"/>
      <c r="OEC39" s="244"/>
      <c r="OED39" s="244"/>
      <c r="OEE39" s="244"/>
      <c r="OEF39" s="244"/>
      <c r="OEG39" s="244"/>
      <c r="OEH39" s="244"/>
      <c r="OEI39" s="244"/>
      <c r="OEJ39" s="244"/>
      <c r="OEK39" s="244"/>
      <c r="OEL39" s="244"/>
      <c r="OEM39" s="244"/>
      <c r="OEN39" s="244"/>
      <c r="OEO39" s="244"/>
      <c r="OEP39" s="244"/>
      <c r="OEQ39" s="244"/>
      <c r="OER39" s="244"/>
      <c r="OES39" s="244"/>
      <c r="OET39" s="244"/>
      <c r="OEU39" s="244"/>
      <c r="OEV39" s="244"/>
      <c r="OEW39" s="244"/>
      <c r="OEX39" s="244"/>
      <c r="OEY39" s="244"/>
      <c r="OEZ39" s="244"/>
      <c r="OFA39" s="244"/>
      <c r="OFB39" s="244"/>
      <c r="OFC39" s="244"/>
      <c r="OFD39" s="244"/>
      <c r="OFE39" s="244"/>
      <c r="OFF39" s="244"/>
      <c r="OFG39" s="244"/>
      <c r="OFH39" s="244"/>
      <c r="OFI39" s="244"/>
      <c r="OFJ39" s="244"/>
      <c r="OFK39" s="244"/>
      <c r="OFL39" s="244"/>
      <c r="OFM39" s="244"/>
      <c r="OFN39" s="244"/>
      <c r="OFO39" s="244"/>
      <c r="OFP39" s="244"/>
      <c r="OFQ39" s="244"/>
      <c r="OFR39" s="244"/>
      <c r="OFS39" s="244"/>
      <c r="OFT39" s="244"/>
      <c r="OFU39" s="244"/>
      <c r="OFV39" s="244"/>
      <c r="OFW39" s="244"/>
      <c r="OFX39" s="244"/>
      <c r="OFY39" s="244"/>
      <c r="OFZ39" s="244"/>
      <c r="OGA39" s="244"/>
      <c r="OGB39" s="244"/>
      <c r="OGC39" s="244"/>
      <c r="OGD39" s="244"/>
      <c r="OGE39" s="244"/>
      <c r="OGF39" s="244"/>
      <c r="OGG39" s="244"/>
      <c r="OGH39" s="244"/>
      <c r="OGI39" s="244"/>
      <c r="OGJ39" s="244"/>
      <c r="OGK39" s="244"/>
      <c r="OGL39" s="244"/>
      <c r="OGM39" s="244"/>
      <c r="OGN39" s="244"/>
      <c r="OGO39" s="244"/>
      <c r="OGP39" s="244"/>
      <c r="OGQ39" s="244"/>
      <c r="OGR39" s="244"/>
      <c r="OGS39" s="244"/>
      <c r="OGT39" s="244"/>
      <c r="OGU39" s="244"/>
      <c r="OGV39" s="244"/>
      <c r="OGW39" s="244"/>
      <c r="OGX39" s="244"/>
      <c r="OGY39" s="244"/>
      <c r="OGZ39" s="244"/>
      <c r="OHA39" s="244"/>
      <c r="OHB39" s="244"/>
      <c r="OHC39" s="244"/>
      <c r="OHD39" s="244"/>
      <c r="OHE39" s="244"/>
      <c r="OHF39" s="244"/>
      <c r="OHG39" s="244"/>
      <c r="OHH39" s="244"/>
      <c r="OHI39" s="244"/>
      <c r="OHJ39" s="244"/>
      <c r="OHK39" s="244"/>
      <c r="OHL39" s="244"/>
      <c r="OHM39" s="244"/>
      <c r="OHN39" s="244"/>
      <c r="OHO39" s="244"/>
      <c r="OHP39" s="244"/>
      <c r="OHQ39" s="244"/>
      <c r="OHR39" s="244"/>
      <c r="OHS39" s="244"/>
      <c r="OHT39" s="244"/>
      <c r="OHU39" s="244"/>
      <c r="OHV39" s="244"/>
      <c r="OHW39" s="244"/>
      <c r="OHX39" s="244"/>
      <c r="OHY39" s="244"/>
      <c r="OHZ39" s="244"/>
      <c r="OIA39" s="244"/>
      <c r="OIB39" s="244"/>
      <c r="OIC39" s="244"/>
      <c r="OID39" s="244"/>
      <c r="OIE39" s="244"/>
      <c r="OIF39" s="244"/>
      <c r="OIG39" s="244"/>
      <c r="OIH39" s="244"/>
      <c r="OII39" s="244"/>
      <c r="OIJ39" s="244"/>
      <c r="OIK39" s="244"/>
      <c r="OIL39" s="244"/>
      <c r="OIM39" s="244"/>
      <c r="OIN39" s="244"/>
      <c r="OIO39" s="244"/>
      <c r="OIP39" s="244"/>
      <c r="OIQ39" s="244"/>
      <c r="OIR39" s="244"/>
      <c r="OIS39" s="244"/>
      <c r="OIT39" s="244"/>
      <c r="OIU39" s="244"/>
      <c r="OIV39" s="244"/>
      <c r="OIW39" s="244"/>
      <c r="OIX39" s="244"/>
      <c r="OIY39" s="244"/>
      <c r="OIZ39" s="244"/>
      <c r="OJA39" s="244"/>
      <c r="OJB39" s="244"/>
      <c r="OJC39" s="244"/>
      <c r="OJD39" s="244"/>
      <c r="OJE39" s="244"/>
      <c r="OJF39" s="244"/>
      <c r="OJG39" s="244"/>
      <c r="OJH39" s="244"/>
      <c r="OJI39" s="244"/>
      <c r="OJJ39" s="244"/>
      <c r="OJK39" s="244"/>
      <c r="OJL39" s="244"/>
      <c r="OJM39" s="244"/>
      <c r="OJN39" s="244"/>
      <c r="OJO39" s="244"/>
      <c r="OJP39" s="244"/>
      <c r="OJQ39" s="244"/>
      <c r="OJR39" s="244"/>
      <c r="OJS39" s="244"/>
      <c r="OJT39" s="244"/>
      <c r="OJU39" s="244"/>
      <c r="OJV39" s="244"/>
      <c r="OJW39" s="244"/>
      <c r="OJX39" s="244"/>
      <c r="OJY39" s="244"/>
      <c r="OJZ39" s="244"/>
      <c r="OKA39" s="244"/>
      <c r="OKB39" s="244"/>
      <c r="OKC39" s="244"/>
      <c r="OKD39" s="244"/>
      <c r="OKE39" s="244"/>
      <c r="OKF39" s="244"/>
      <c r="OKG39" s="244"/>
      <c r="OKH39" s="244"/>
      <c r="OKI39" s="244"/>
      <c r="OKJ39" s="244"/>
      <c r="OKK39" s="244"/>
      <c r="OKL39" s="244"/>
      <c r="OKM39" s="244"/>
      <c r="OKN39" s="244"/>
      <c r="OKO39" s="244"/>
      <c r="OKP39" s="244"/>
      <c r="OKQ39" s="244"/>
      <c r="OKR39" s="244"/>
      <c r="OKS39" s="244"/>
      <c r="OKT39" s="244"/>
      <c r="OKU39" s="244"/>
      <c r="OKV39" s="244"/>
      <c r="OKW39" s="244"/>
      <c r="OKX39" s="244"/>
      <c r="OKY39" s="244"/>
      <c r="OKZ39" s="244"/>
      <c r="OLA39" s="244"/>
      <c r="OLB39" s="244"/>
      <c r="OLC39" s="244"/>
      <c r="OLD39" s="244"/>
      <c r="OLE39" s="244"/>
      <c r="OLF39" s="244"/>
      <c r="OLG39" s="244"/>
      <c r="OLH39" s="244"/>
      <c r="OLI39" s="244"/>
      <c r="OLJ39" s="244"/>
      <c r="OLK39" s="244"/>
      <c r="OLL39" s="244"/>
      <c r="OLM39" s="244"/>
      <c r="OLN39" s="244"/>
      <c r="OLO39" s="244"/>
      <c r="OLP39" s="244"/>
      <c r="OLQ39" s="244"/>
      <c r="OLR39" s="244"/>
      <c r="OLS39" s="244"/>
      <c r="OLT39" s="244"/>
      <c r="OLU39" s="244"/>
      <c r="OLV39" s="244"/>
      <c r="OLW39" s="244"/>
      <c r="OLX39" s="244"/>
      <c r="OLY39" s="244"/>
      <c r="OLZ39" s="244"/>
      <c r="OMA39" s="244"/>
      <c r="OMB39" s="244"/>
      <c r="OMC39" s="244"/>
      <c r="OMD39" s="244"/>
      <c r="OME39" s="244"/>
      <c r="OMF39" s="244"/>
      <c r="OMG39" s="244"/>
      <c r="OMH39" s="244"/>
      <c r="OMI39" s="244"/>
      <c r="OMJ39" s="244"/>
      <c r="OMK39" s="244"/>
      <c r="OML39" s="244"/>
      <c r="OMM39" s="244"/>
      <c r="OMN39" s="244"/>
      <c r="OMO39" s="244"/>
      <c r="OMP39" s="244"/>
      <c r="OMQ39" s="244"/>
      <c r="OMR39" s="244"/>
      <c r="OMS39" s="244"/>
      <c r="OMT39" s="244"/>
      <c r="OMU39" s="244"/>
      <c r="OMV39" s="244"/>
      <c r="OMW39" s="244"/>
      <c r="OMX39" s="244"/>
      <c r="OMY39" s="244"/>
      <c r="OMZ39" s="244"/>
      <c r="ONA39" s="244"/>
      <c r="ONB39" s="244"/>
      <c r="ONC39" s="244"/>
      <c r="OND39" s="244"/>
      <c r="ONE39" s="244"/>
      <c r="ONF39" s="244"/>
      <c r="ONG39" s="244"/>
      <c r="ONH39" s="244"/>
      <c r="ONI39" s="244"/>
      <c r="ONJ39" s="244"/>
      <c r="ONK39" s="244"/>
      <c r="ONL39" s="244"/>
      <c r="ONM39" s="244"/>
      <c r="ONN39" s="244"/>
      <c r="ONO39" s="244"/>
      <c r="ONP39" s="244"/>
      <c r="ONQ39" s="244"/>
      <c r="ONR39" s="244"/>
      <c r="ONS39" s="244"/>
      <c r="ONT39" s="244"/>
      <c r="ONU39" s="244"/>
      <c r="ONV39" s="244"/>
      <c r="ONW39" s="244"/>
      <c r="ONX39" s="244"/>
      <c r="ONY39" s="244"/>
      <c r="ONZ39" s="244"/>
      <c r="OOA39" s="244"/>
      <c r="OOB39" s="244"/>
      <c r="OOC39" s="244"/>
      <c r="OOD39" s="244"/>
      <c r="OOE39" s="244"/>
      <c r="OOF39" s="244"/>
      <c r="OOG39" s="244"/>
      <c r="OOH39" s="244"/>
      <c r="OOI39" s="244"/>
      <c r="OOJ39" s="244"/>
      <c r="OOK39" s="244"/>
      <c r="OOL39" s="244"/>
      <c r="OOM39" s="244"/>
      <c r="OON39" s="244"/>
      <c r="OOO39" s="244"/>
      <c r="OOP39" s="244"/>
      <c r="OOQ39" s="244"/>
      <c r="OOR39" s="244"/>
      <c r="OOS39" s="244"/>
      <c r="OOT39" s="244"/>
      <c r="OOU39" s="244"/>
      <c r="OOV39" s="244"/>
      <c r="OOW39" s="244"/>
      <c r="OOX39" s="244"/>
      <c r="OOY39" s="244"/>
      <c r="OOZ39" s="244"/>
      <c r="OPA39" s="244"/>
      <c r="OPB39" s="244"/>
      <c r="OPC39" s="244"/>
      <c r="OPD39" s="244"/>
      <c r="OPE39" s="244"/>
      <c r="OPF39" s="244"/>
      <c r="OPG39" s="244"/>
      <c r="OPH39" s="244"/>
      <c r="OPI39" s="244"/>
      <c r="OPJ39" s="244"/>
      <c r="OPK39" s="244"/>
      <c r="OPL39" s="244"/>
      <c r="OPM39" s="244"/>
      <c r="OPN39" s="244"/>
      <c r="OPO39" s="244"/>
      <c r="OPP39" s="244"/>
      <c r="OPQ39" s="244"/>
      <c r="OPR39" s="244"/>
      <c r="OPS39" s="244"/>
      <c r="OPT39" s="244"/>
      <c r="OPU39" s="244"/>
      <c r="OPV39" s="244"/>
      <c r="OPW39" s="244"/>
      <c r="OPX39" s="244"/>
      <c r="OPY39" s="244"/>
      <c r="OPZ39" s="244"/>
      <c r="OQA39" s="244"/>
      <c r="OQB39" s="244"/>
      <c r="OQC39" s="244"/>
      <c r="OQD39" s="244"/>
      <c r="OQE39" s="244"/>
      <c r="OQF39" s="244"/>
      <c r="OQG39" s="244"/>
      <c r="OQH39" s="244"/>
      <c r="OQI39" s="244"/>
      <c r="OQJ39" s="244"/>
      <c r="OQK39" s="244"/>
      <c r="OQL39" s="244"/>
      <c r="OQM39" s="244"/>
      <c r="OQN39" s="244"/>
      <c r="OQO39" s="244"/>
      <c r="OQP39" s="244"/>
      <c r="OQQ39" s="244"/>
      <c r="OQR39" s="244"/>
      <c r="OQS39" s="244"/>
      <c r="OQT39" s="244"/>
      <c r="OQU39" s="244"/>
      <c r="OQV39" s="244"/>
      <c r="OQW39" s="244"/>
      <c r="OQX39" s="244"/>
      <c r="OQY39" s="244"/>
      <c r="OQZ39" s="244"/>
      <c r="ORA39" s="244"/>
      <c r="ORB39" s="244"/>
      <c r="ORC39" s="244"/>
      <c r="ORD39" s="244"/>
      <c r="ORE39" s="244"/>
      <c r="ORF39" s="244"/>
      <c r="ORG39" s="244"/>
      <c r="ORH39" s="244"/>
      <c r="ORI39" s="244"/>
      <c r="ORJ39" s="244"/>
      <c r="ORK39" s="244"/>
      <c r="ORL39" s="244"/>
      <c r="ORM39" s="244"/>
      <c r="ORN39" s="244"/>
      <c r="ORO39" s="244"/>
      <c r="ORP39" s="244"/>
      <c r="ORQ39" s="244"/>
      <c r="ORR39" s="244"/>
      <c r="ORS39" s="244"/>
      <c r="ORT39" s="244"/>
      <c r="ORU39" s="244"/>
      <c r="ORV39" s="244"/>
      <c r="ORW39" s="244"/>
      <c r="ORX39" s="244"/>
      <c r="ORY39" s="244"/>
      <c r="ORZ39" s="244"/>
      <c r="OSA39" s="244"/>
      <c r="OSB39" s="244"/>
      <c r="OSC39" s="244"/>
      <c r="OSD39" s="244"/>
      <c r="OSE39" s="244"/>
      <c r="OSF39" s="244"/>
      <c r="OSG39" s="244"/>
      <c r="OSH39" s="244"/>
      <c r="OSI39" s="244"/>
      <c r="OSJ39" s="244"/>
      <c r="OSK39" s="244"/>
      <c r="OSL39" s="244"/>
      <c r="OSM39" s="244"/>
      <c r="OSN39" s="244"/>
      <c r="OSO39" s="244"/>
      <c r="OSP39" s="244"/>
      <c r="OSQ39" s="244"/>
      <c r="OSR39" s="244"/>
      <c r="OSS39" s="244"/>
      <c r="OST39" s="244"/>
      <c r="OSU39" s="244"/>
      <c r="OSV39" s="244"/>
      <c r="OSW39" s="244"/>
      <c r="OSX39" s="244"/>
      <c r="OSY39" s="244"/>
      <c r="OSZ39" s="244"/>
      <c r="OTA39" s="244"/>
      <c r="OTB39" s="244"/>
      <c r="OTC39" s="244"/>
      <c r="OTD39" s="244"/>
      <c r="OTE39" s="244"/>
      <c r="OTF39" s="244"/>
      <c r="OTG39" s="244"/>
      <c r="OTH39" s="244"/>
      <c r="OTI39" s="244"/>
      <c r="OTJ39" s="244"/>
      <c r="OTK39" s="244"/>
      <c r="OTL39" s="244"/>
      <c r="OTM39" s="244"/>
      <c r="OTN39" s="244"/>
      <c r="OTO39" s="244"/>
      <c r="OTP39" s="244"/>
      <c r="OTQ39" s="244"/>
      <c r="OTR39" s="244"/>
      <c r="OTS39" s="244"/>
      <c r="OTT39" s="244"/>
      <c r="OTU39" s="244"/>
      <c r="OTV39" s="244"/>
      <c r="OTW39" s="244"/>
      <c r="OTX39" s="244"/>
      <c r="OTY39" s="244"/>
      <c r="OTZ39" s="244"/>
      <c r="OUA39" s="244"/>
      <c r="OUB39" s="244"/>
      <c r="OUC39" s="244"/>
      <c r="OUD39" s="244"/>
      <c r="OUE39" s="244"/>
      <c r="OUF39" s="244"/>
      <c r="OUG39" s="244"/>
      <c r="OUH39" s="244"/>
      <c r="OUI39" s="244"/>
      <c r="OUJ39" s="244"/>
      <c r="OUK39" s="244"/>
      <c r="OUL39" s="244"/>
      <c r="OUM39" s="244"/>
      <c r="OUN39" s="244"/>
      <c r="OUO39" s="244"/>
      <c r="OUP39" s="244"/>
      <c r="OUQ39" s="244"/>
      <c r="OUR39" s="244"/>
      <c r="OUS39" s="244"/>
      <c r="OUT39" s="244"/>
      <c r="OUU39" s="244"/>
      <c r="OUV39" s="244"/>
      <c r="OUW39" s="244"/>
      <c r="OUX39" s="244"/>
      <c r="OUY39" s="244"/>
      <c r="OUZ39" s="244"/>
      <c r="OVA39" s="244"/>
      <c r="OVB39" s="244"/>
      <c r="OVC39" s="244"/>
      <c r="OVD39" s="244"/>
      <c r="OVE39" s="244"/>
      <c r="OVF39" s="244"/>
      <c r="OVG39" s="244"/>
      <c r="OVH39" s="244"/>
      <c r="OVI39" s="244"/>
      <c r="OVJ39" s="244"/>
      <c r="OVK39" s="244"/>
      <c r="OVL39" s="244"/>
      <c r="OVM39" s="244"/>
      <c r="OVN39" s="244"/>
      <c r="OVO39" s="244"/>
      <c r="OVP39" s="244"/>
      <c r="OVQ39" s="244"/>
      <c r="OVR39" s="244"/>
      <c r="OVS39" s="244"/>
      <c r="OVT39" s="244"/>
      <c r="OVU39" s="244"/>
      <c r="OVV39" s="244"/>
      <c r="OVW39" s="244"/>
      <c r="OVX39" s="244"/>
      <c r="OVY39" s="244"/>
      <c r="OVZ39" s="244"/>
      <c r="OWA39" s="244"/>
      <c r="OWB39" s="244"/>
      <c r="OWC39" s="244"/>
      <c r="OWD39" s="244"/>
      <c r="OWE39" s="244"/>
      <c r="OWF39" s="244"/>
      <c r="OWG39" s="244"/>
      <c r="OWH39" s="244"/>
      <c r="OWI39" s="244"/>
      <c r="OWJ39" s="244"/>
      <c r="OWK39" s="244"/>
      <c r="OWL39" s="244"/>
      <c r="OWM39" s="244"/>
      <c r="OWN39" s="244"/>
      <c r="OWO39" s="244"/>
      <c r="OWP39" s="244"/>
      <c r="OWQ39" s="244"/>
      <c r="OWR39" s="244"/>
      <c r="OWS39" s="244"/>
      <c r="OWT39" s="244"/>
      <c r="OWU39" s="244"/>
      <c r="OWV39" s="244"/>
      <c r="OWW39" s="244"/>
      <c r="OWX39" s="244"/>
      <c r="OWY39" s="244"/>
      <c r="OWZ39" s="244"/>
      <c r="OXA39" s="244"/>
      <c r="OXB39" s="244"/>
      <c r="OXC39" s="244"/>
      <c r="OXD39" s="244"/>
      <c r="OXE39" s="244"/>
      <c r="OXF39" s="244"/>
      <c r="OXG39" s="244"/>
      <c r="OXH39" s="244"/>
      <c r="OXI39" s="244"/>
      <c r="OXJ39" s="244"/>
      <c r="OXK39" s="244"/>
      <c r="OXL39" s="244"/>
      <c r="OXM39" s="244"/>
      <c r="OXN39" s="244"/>
      <c r="OXO39" s="244"/>
      <c r="OXP39" s="244"/>
      <c r="OXQ39" s="244"/>
      <c r="OXR39" s="244"/>
      <c r="OXS39" s="244"/>
      <c r="OXT39" s="244"/>
      <c r="OXU39" s="244"/>
      <c r="OXV39" s="244"/>
      <c r="OXW39" s="244"/>
      <c r="OXX39" s="244"/>
      <c r="OXY39" s="244"/>
      <c r="OXZ39" s="244"/>
      <c r="OYA39" s="244"/>
      <c r="OYB39" s="244"/>
      <c r="OYC39" s="244"/>
      <c r="OYD39" s="244"/>
      <c r="OYE39" s="244"/>
      <c r="OYF39" s="244"/>
      <c r="OYG39" s="244"/>
      <c r="OYH39" s="244"/>
      <c r="OYI39" s="244"/>
      <c r="OYJ39" s="244"/>
      <c r="OYK39" s="244"/>
      <c r="OYL39" s="244"/>
      <c r="OYM39" s="244"/>
      <c r="OYN39" s="244"/>
      <c r="OYO39" s="244"/>
      <c r="OYP39" s="244"/>
      <c r="OYQ39" s="244"/>
      <c r="OYR39" s="244"/>
      <c r="OYS39" s="244"/>
      <c r="OYT39" s="244"/>
      <c r="OYU39" s="244"/>
      <c r="OYV39" s="244"/>
      <c r="OYW39" s="244"/>
      <c r="OYX39" s="244"/>
      <c r="OYY39" s="244"/>
      <c r="OYZ39" s="244"/>
      <c r="OZA39" s="244"/>
      <c r="OZB39" s="244"/>
      <c r="OZC39" s="244"/>
      <c r="OZD39" s="244"/>
      <c r="OZE39" s="244"/>
      <c r="OZF39" s="244"/>
      <c r="OZG39" s="244"/>
      <c r="OZH39" s="244"/>
      <c r="OZI39" s="244"/>
      <c r="OZJ39" s="244"/>
      <c r="OZK39" s="244"/>
      <c r="OZL39" s="244"/>
      <c r="OZM39" s="244"/>
      <c r="OZN39" s="244"/>
      <c r="OZO39" s="244"/>
      <c r="OZP39" s="244"/>
      <c r="OZQ39" s="244"/>
      <c r="OZR39" s="244"/>
      <c r="OZS39" s="244"/>
      <c r="OZT39" s="244"/>
      <c r="OZU39" s="244"/>
      <c r="OZV39" s="244"/>
      <c r="OZW39" s="244"/>
      <c r="OZX39" s="244"/>
      <c r="OZY39" s="244"/>
      <c r="OZZ39" s="244"/>
      <c r="PAA39" s="244"/>
      <c r="PAB39" s="244"/>
      <c r="PAC39" s="244"/>
      <c r="PAD39" s="244"/>
      <c r="PAE39" s="244"/>
      <c r="PAF39" s="244"/>
      <c r="PAG39" s="244"/>
      <c r="PAH39" s="244"/>
      <c r="PAI39" s="244"/>
      <c r="PAJ39" s="244"/>
      <c r="PAK39" s="244"/>
      <c r="PAL39" s="244"/>
      <c r="PAM39" s="244"/>
      <c r="PAN39" s="244"/>
      <c r="PAO39" s="244"/>
      <c r="PAP39" s="244"/>
      <c r="PAQ39" s="244"/>
      <c r="PAR39" s="244"/>
      <c r="PAS39" s="244"/>
      <c r="PAT39" s="244"/>
      <c r="PAU39" s="244"/>
      <c r="PAV39" s="244"/>
      <c r="PAW39" s="244"/>
      <c r="PAX39" s="244"/>
      <c r="PAY39" s="244"/>
      <c r="PAZ39" s="244"/>
      <c r="PBA39" s="244"/>
      <c r="PBB39" s="244"/>
      <c r="PBC39" s="244"/>
      <c r="PBD39" s="244"/>
      <c r="PBE39" s="244"/>
      <c r="PBF39" s="244"/>
      <c r="PBG39" s="244"/>
      <c r="PBH39" s="244"/>
      <c r="PBI39" s="244"/>
      <c r="PBJ39" s="244"/>
      <c r="PBK39" s="244"/>
      <c r="PBL39" s="244"/>
      <c r="PBM39" s="244"/>
      <c r="PBN39" s="244"/>
      <c r="PBO39" s="244"/>
      <c r="PBP39" s="244"/>
      <c r="PBQ39" s="244"/>
      <c r="PBR39" s="244"/>
      <c r="PBS39" s="244"/>
      <c r="PBT39" s="244"/>
      <c r="PBU39" s="244"/>
      <c r="PBV39" s="244"/>
      <c r="PBW39" s="244"/>
      <c r="PBX39" s="244"/>
      <c r="PBY39" s="244"/>
      <c r="PBZ39" s="244"/>
      <c r="PCA39" s="244"/>
      <c r="PCB39" s="244"/>
      <c r="PCC39" s="244"/>
      <c r="PCD39" s="244"/>
      <c r="PCE39" s="244"/>
      <c r="PCF39" s="244"/>
      <c r="PCG39" s="244"/>
      <c r="PCH39" s="244"/>
      <c r="PCI39" s="244"/>
      <c r="PCJ39" s="244"/>
      <c r="PCK39" s="244"/>
      <c r="PCL39" s="244"/>
      <c r="PCM39" s="244"/>
      <c r="PCN39" s="244"/>
      <c r="PCO39" s="244"/>
      <c r="PCP39" s="244"/>
      <c r="PCQ39" s="244"/>
      <c r="PCR39" s="244"/>
      <c r="PCS39" s="244"/>
      <c r="PCT39" s="244"/>
      <c r="PCU39" s="244"/>
      <c r="PCV39" s="244"/>
      <c r="PCW39" s="244"/>
      <c r="PCX39" s="244"/>
      <c r="PCY39" s="244"/>
      <c r="PCZ39" s="244"/>
      <c r="PDA39" s="244"/>
      <c r="PDB39" s="244"/>
      <c r="PDC39" s="244"/>
      <c r="PDD39" s="244"/>
      <c r="PDE39" s="244"/>
      <c r="PDF39" s="244"/>
      <c r="PDG39" s="244"/>
      <c r="PDH39" s="244"/>
      <c r="PDI39" s="244"/>
      <c r="PDJ39" s="244"/>
      <c r="PDK39" s="244"/>
      <c r="PDL39" s="244"/>
      <c r="PDM39" s="244"/>
      <c r="PDN39" s="244"/>
      <c r="PDO39" s="244"/>
      <c r="PDP39" s="244"/>
      <c r="PDQ39" s="244"/>
      <c r="PDR39" s="244"/>
      <c r="PDS39" s="244"/>
      <c r="PDT39" s="244"/>
      <c r="PDU39" s="244"/>
      <c r="PDV39" s="244"/>
      <c r="PDW39" s="244"/>
      <c r="PDX39" s="244"/>
      <c r="PDY39" s="244"/>
      <c r="PDZ39" s="244"/>
      <c r="PEA39" s="244"/>
      <c r="PEB39" s="244"/>
      <c r="PEC39" s="244"/>
      <c r="PED39" s="244"/>
      <c r="PEE39" s="244"/>
      <c r="PEF39" s="244"/>
      <c r="PEG39" s="244"/>
      <c r="PEH39" s="244"/>
      <c r="PEI39" s="244"/>
      <c r="PEJ39" s="244"/>
      <c r="PEK39" s="244"/>
      <c r="PEL39" s="244"/>
      <c r="PEM39" s="244"/>
      <c r="PEN39" s="244"/>
      <c r="PEO39" s="244"/>
      <c r="PEP39" s="244"/>
      <c r="PEQ39" s="244"/>
      <c r="PER39" s="244"/>
      <c r="PES39" s="244"/>
      <c r="PET39" s="244"/>
      <c r="PEU39" s="244"/>
      <c r="PEV39" s="244"/>
      <c r="PEW39" s="244"/>
      <c r="PEX39" s="244"/>
      <c r="PEY39" s="244"/>
      <c r="PEZ39" s="244"/>
      <c r="PFA39" s="244"/>
      <c r="PFB39" s="244"/>
      <c r="PFC39" s="244"/>
      <c r="PFD39" s="244"/>
      <c r="PFE39" s="244"/>
      <c r="PFF39" s="244"/>
      <c r="PFG39" s="244"/>
      <c r="PFH39" s="244"/>
      <c r="PFI39" s="244"/>
      <c r="PFJ39" s="244"/>
      <c r="PFK39" s="244"/>
      <c r="PFL39" s="244"/>
      <c r="PFM39" s="244"/>
      <c r="PFN39" s="244"/>
      <c r="PFO39" s="244"/>
      <c r="PFP39" s="244"/>
      <c r="PFQ39" s="244"/>
      <c r="PFR39" s="244"/>
      <c r="PFS39" s="244"/>
      <c r="PFT39" s="244"/>
      <c r="PFU39" s="244"/>
      <c r="PFV39" s="244"/>
      <c r="PFW39" s="244"/>
      <c r="PFX39" s="244"/>
      <c r="PFY39" s="244"/>
      <c r="PFZ39" s="244"/>
      <c r="PGA39" s="244"/>
      <c r="PGB39" s="244"/>
      <c r="PGC39" s="244"/>
      <c r="PGD39" s="244"/>
      <c r="PGE39" s="244"/>
      <c r="PGF39" s="244"/>
      <c r="PGG39" s="244"/>
      <c r="PGH39" s="244"/>
      <c r="PGI39" s="244"/>
      <c r="PGJ39" s="244"/>
      <c r="PGK39" s="244"/>
      <c r="PGL39" s="244"/>
      <c r="PGM39" s="244"/>
      <c r="PGN39" s="244"/>
      <c r="PGO39" s="244"/>
      <c r="PGP39" s="244"/>
      <c r="PGQ39" s="244"/>
      <c r="PGR39" s="244"/>
      <c r="PGS39" s="244"/>
      <c r="PGT39" s="244"/>
      <c r="PGU39" s="244"/>
      <c r="PGV39" s="244"/>
      <c r="PGW39" s="244"/>
      <c r="PGX39" s="244"/>
      <c r="PGY39" s="244"/>
      <c r="PGZ39" s="244"/>
      <c r="PHA39" s="244"/>
      <c r="PHB39" s="244"/>
      <c r="PHC39" s="244"/>
      <c r="PHD39" s="244"/>
      <c r="PHE39" s="244"/>
      <c r="PHF39" s="244"/>
      <c r="PHG39" s="244"/>
      <c r="PHH39" s="244"/>
      <c r="PHI39" s="244"/>
      <c r="PHJ39" s="244"/>
      <c r="PHK39" s="244"/>
      <c r="PHL39" s="244"/>
      <c r="PHM39" s="244"/>
      <c r="PHN39" s="244"/>
      <c r="PHO39" s="244"/>
      <c r="PHP39" s="244"/>
      <c r="PHQ39" s="244"/>
      <c r="PHR39" s="244"/>
      <c r="PHS39" s="244"/>
      <c r="PHT39" s="244"/>
      <c r="PHU39" s="244"/>
      <c r="PHV39" s="244"/>
      <c r="PHW39" s="244"/>
      <c r="PHX39" s="244"/>
      <c r="PHY39" s="244"/>
      <c r="PHZ39" s="244"/>
      <c r="PIA39" s="244"/>
      <c r="PIB39" s="244"/>
      <c r="PIC39" s="244"/>
      <c r="PID39" s="244"/>
      <c r="PIE39" s="244"/>
      <c r="PIF39" s="244"/>
      <c r="PIG39" s="244"/>
      <c r="PIH39" s="244"/>
      <c r="PII39" s="244"/>
      <c r="PIJ39" s="244"/>
      <c r="PIK39" s="244"/>
      <c r="PIL39" s="244"/>
      <c r="PIM39" s="244"/>
      <c r="PIN39" s="244"/>
      <c r="PIO39" s="244"/>
      <c r="PIP39" s="244"/>
      <c r="PIQ39" s="244"/>
      <c r="PIR39" s="244"/>
      <c r="PIS39" s="244"/>
      <c r="PIT39" s="244"/>
      <c r="PIU39" s="244"/>
      <c r="PIV39" s="244"/>
      <c r="PIW39" s="244"/>
      <c r="PIX39" s="244"/>
      <c r="PIY39" s="244"/>
      <c r="PIZ39" s="244"/>
      <c r="PJA39" s="244"/>
      <c r="PJB39" s="244"/>
      <c r="PJC39" s="244"/>
      <c r="PJD39" s="244"/>
      <c r="PJE39" s="244"/>
      <c r="PJF39" s="244"/>
      <c r="PJG39" s="244"/>
      <c r="PJH39" s="244"/>
      <c r="PJI39" s="244"/>
      <c r="PJJ39" s="244"/>
      <c r="PJK39" s="244"/>
      <c r="PJL39" s="244"/>
      <c r="PJM39" s="244"/>
      <c r="PJN39" s="244"/>
      <c r="PJO39" s="244"/>
      <c r="PJP39" s="244"/>
      <c r="PJQ39" s="244"/>
      <c r="PJR39" s="244"/>
      <c r="PJS39" s="244"/>
      <c r="PJT39" s="244"/>
      <c r="PJU39" s="244"/>
      <c r="PJV39" s="244"/>
      <c r="PJW39" s="244"/>
      <c r="PJX39" s="244"/>
      <c r="PJY39" s="244"/>
      <c r="PJZ39" s="244"/>
      <c r="PKA39" s="244"/>
      <c r="PKB39" s="244"/>
      <c r="PKC39" s="244"/>
      <c r="PKD39" s="244"/>
      <c r="PKE39" s="244"/>
      <c r="PKF39" s="244"/>
      <c r="PKG39" s="244"/>
      <c r="PKH39" s="244"/>
      <c r="PKI39" s="244"/>
      <c r="PKJ39" s="244"/>
      <c r="PKK39" s="244"/>
      <c r="PKL39" s="244"/>
      <c r="PKM39" s="244"/>
      <c r="PKN39" s="244"/>
      <c r="PKO39" s="244"/>
      <c r="PKP39" s="244"/>
      <c r="PKQ39" s="244"/>
      <c r="PKR39" s="244"/>
      <c r="PKS39" s="244"/>
      <c r="PKT39" s="244"/>
      <c r="PKU39" s="244"/>
      <c r="PKV39" s="244"/>
      <c r="PKW39" s="244"/>
      <c r="PKX39" s="244"/>
      <c r="PKY39" s="244"/>
      <c r="PKZ39" s="244"/>
      <c r="PLA39" s="244"/>
      <c r="PLB39" s="244"/>
      <c r="PLC39" s="244"/>
      <c r="PLD39" s="244"/>
      <c r="PLE39" s="244"/>
      <c r="PLF39" s="244"/>
      <c r="PLG39" s="244"/>
      <c r="PLH39" s="244"/>
      <c r="PLI39" s="244"/>
      <c r="PLJ39" s="244"/>
      <c r="PLK39" s="244"/>
      <c r="PLL39" s="244"/>
      <c r="PLM39" s="244"/>
      <c r="PLN39" s="244"/>
      <c r="PLO39" s="244"/>
      <c r="PLP39" s="244"/>
      <c r="PLQ39" s="244"/>
      <c r="PLR39" s="244"/>
      <c r="PLS39" s="244"/>
      <c r="PLT39" s="244"/>
      <c r="PLU39" s="244"/>
      <c r="PLV39" s="244"/>
      <c r="PLW39" s="244"/>
      <c r="PLX39" s="244"/>
      <c r="PLY39" s="244"/>
      <c r="PLZ39" s="244"/>
      <c r="PMA39" s="244"/>
      <c r="PMB39" s="244"/>
      <c r="PMC39" s="244"/>
      <c r="PMD39" s="244"/>
      <c r="PME39" s="244"/>
      <c r="PMF39" s="244"/>
      <c r="PMG39" s="244"/>
      <c r="PMH39" s="244"/>
      <c r="PMI39" s="244"/>
      <c r="PMJ39" s="244"/>
      <c r="PMK39" s="244"/>
      <c r="PML39" s="244"/>
      <c r="PMM39" s="244"/>
      <c r="PMN39" s="244"/>
      <c r="PMO39" s="244"/>
      <c r="PMP39" s="244"/>
      <c r="PMQ39" s="244"/>
      <c r="PMR39" s="244"/>
      <c r="PMS39" s="244"/>
      <c r="PMT39" s="244"/>
      <c r="PMU39" s="244"/>
      <c r="PMV39" s="244"/>
      <c r="PMW39" s="244"/>
      <c r="PMX39" s="244"/>
      <c r="PMY39" s="244"/>
      <c r="PMZ39" s="244"/>
      <c r="PNA39" s="244"/>
      <c r="PNB39" s="244"/>
      <c r="PNC39" s="244"/>
      <c r="PND39" s="244"/>
      <c r="PNE39" s="244"/>
      <c r="PNF39" s="244"/>
      <c r="PNG39" s="244"/>
      <c r="PNH39" s="244"/>
      <c r="PNI39" s="244"/>
      <c r="PNJ39" s="244"/>
      <c r="PNK39" s="244"/>
      <c r="PNL39" s="244"/>
      <c r="PNM39" s="244"/>
      <c r="PNN39" s="244"/>
      <c r="PNO39" s="244"/>
      <c r="PNP39" s="244"/>
      <c r="PNQ39" s="244"/>
      <c r="PNR39" s="244"/>
      <c r="PNS39" s="244"/>
      <c r="PNT39" s="244"/>
      <c r="PNU39" s="244"/>
      <c r="PNV39" s="244"/>
      <c r="PNW39" s="244"/>
      <c r="PNX39" s="244"/>
      <c r="PNY39" s="244"/>
      <c r="PNZ39" s="244"/>
      <c r="POA39" s="244"/>
      <c r="POB39" s="244"/>
      <c r="POC39" s="244"/>
      <c r="POD39" s="244"/>
      <c r="POE39" s="244"/>
      <c r="POF39" s="244"/>
      <c r="POG39" s="244"/>
      <c r="POH39" s="244"/>
      <c r="POI39" s="244"/>
      <c r="POJ39" s="244"/>
      <c r="POK39" s="244"/>
      <c r="POL39" s="244"/>
      <c r="POM39" s="244"/>
      <c r="PON39" s="244"/>
      <c r="POO39" s="244"/>
      <c r="POP39" s="244"/>
      <c r="POQ39" s="244"/>
      <c r="POR39" s="244"/>
      <c r="POS39" s="244"/>
      <c r="POT39" s="244"/>
      <c r="POU39" s="244"/>
      <c r="POV39" s="244"/>
      <c r="POW39" s="244"/>
      <c r="POX39" s="244"/>
      <c r="POY39" s="244"/>
      <c r="POZ39" s="244"/>
      <c r="PPA39" s="244"/>
      <c r="PPB39" s="244"/>
      <c r="PPC39" s="244"/>
      <c r="PPD39" s="244"/>
      <c r="PPE39" s="244"/>
      <c r="PPF39" s="244"/>
      <c r="PPG39" s="244"/>
      <c r="PPH39" s="244"/>
      <c r="PPI39" s="244"/>
      <c r="PPJ39" s="244"/>
      <c r="PPK39" s="244"/>
      <c r="PPL39" s="244"/>
      <c r="PPM39" s="244"/>
      <c r="PPN39" s="244"/>
      <c r="PPO39" s="244"/>
      <c r="PPP39" s="244"/>
      <c r="PPQ39" s="244"/>
      <c r="PPR39" s="244"/>
      <c r="PPS39" s="244"/>
      <c r="PPT39" s="244"/>
      <c r="PPU39" s="244"/>
      <c r="PPV39" s="244"/>
      <c r="PPW39" s="244"/>
      <c r="PPX39" s="244"/>
      <c r="PPY39" s="244"/>
      <c r="PPZ39" s="244"/>
      <c r="PQA39" s="244"/>
      <c r="PQB39" s="244"/>
      <c r="PQC39" s="244"/>
      <c r="PQD39" s="244"/>
      <c r="PQE39" s="244"/>
      <c r="PQF39" s="244"/>
      <c r="PQG39" s="244"/>
      <c r="PQH39" s="244"/>
      <c r="PQI39" s="244"/>
      <c r="PQJ39" s="244"/>
      <c r="PQK39" s="244"/>
      <c r="PQL39" s="244"/>
      <c r="PQM39" s="244"/>
      <c r="PQN39" s="244"/>
      <c r="PQO39" s="244"/>
      <c r="PQP39" s="244"/>
      <c r="PQQ39" s="244"/>
      <c r="PQR39" s="244"/>
      <c r="PQS39" s="244"/>
      <c r="PQT39" s="244"/>
      <c r="PQU39" s="244"/>
      <c r="PQV39" s="244"/>
      <c r="PQW39" s="244"/>
      <c r="PQX39" s="244"/>
      <c r="PQY39" s="244"/>
      <c r="PQZ39" s="244"/>
      <c r="PRA39" s="244"/>
      <c r="PRB39" s="244"/>
      <c r="PRC39" s="244"/>
      <c r="PRD39" s="244"/>
      <c r="PRE39" s="244"/>
      <c r="PRF39" s="244"/>
      <c r="PRG39" s="244"/>
      <c r="PRH39" s="244"/>
      <c r="PRI39" s="244"/>
      <c r="PRJ39" s="244"/>
      <c r="PRK39" s="244"/>
      <c r="PRL39" s="244"/>
      <c r="PRM39" s="244"/>
      <c r="PRN39" s="244"/>
      <c r="PRO39" s="244"/>
      <c r="PRP39" s="244"/>
      <c r="PRQ39" s="244"/>
      <c r="PRR39" s="244"/>
      <c r="PRS39" s="244"/>
      <c r="PRT39" s="244"/>
      <c r="PRU39" s="244"/>
      <c r="PRV39" s="244"/>
      <c r="PRW39" s="244"/>
      <c r="PRX39" s="244"/>
      <c r="PRY39" s="244"/>
      <c r="PRZ39" s="244"/>
      <c r="PSA39" s="244"/>
      <c r="PSB39" s="244"/>
      <c r="PSC39" s="244"/>
      <c r="PSD39" s="244"/>
      <c r="PSE39" s="244"/>
      <c r="PSF39" s="244"/>
      <c r="PSG39" s="244"/>
      <c r="PSH39" s="244"/>
      <c r="PSI39" s="244"/>
      <c r="PSJ39" s="244"/>
      <c r="PSK39" s="244"/>
      <c r="PSL39" s="244"/>
      <c r="PSM39" s="244"/>
      <c r="PSN39" s="244"/>
      <c r="PSO39" s="244"/>
      <c r="PSP39" s="244"/>
      <c r="PSQ39" s="244"/>
      <c r="PSR39" s="244"/>
      <c r="PSS39" s="244"/>
      <c r="PST39" s="244"/>
      <c r="PSU39" s="244"/>
      <c r="PSV39" s="244"/>
      <c r="PSW39" s="244"/>
      <c r="PSX39" s="244"/>
      <c r="PSY39" s="244"/>
      <c r="PSZ39" s="244"/>
      <c r="PTA39" s="244"/>
      <c r="PTB39" s="244"/>
      <c r="PTC39" s="244"/>
      <c r="PTD39" s="244"/>
      <c r="PTE39" s="244"/>
      <c r="PTF39" s="244"/>
      <c r="PTG39" s="244"/>
      <c r="PTH39" s="244"/>
      <c r="PTI39" s="244"/>
      <c r="PTJ39" s="244"/>
      <c r="PTK39" s="244"/>
      <c r="PTL39" s="244"/>
      <c r="PTM39" s="244"/>
      <c r="PTN39" s="244"/>
      <c r="PTO39" s="244"/>
      <c r="PTP39" s="244"/>
      <c r="PTQ39" s="244"/>
      <c r="PTR39" s="244"/>
      <c r="PTS39" s="244"/>
      <c r="PTT39" s="244"/>
      <c r="PTU39" s="244"/>
      <c r="PTV39" s="244"/>
      <c r="PTW39" s="244"/>
      <c r="PTX39" s="244"/>
      <c r="PTY39" s="244"/>
      <c r="PTZ39" s="244"/>
      <c r="PUA39" s="244"/>
      <c r="PUB39" s="244"/>
      <c r="PUC39" s="244"/>
      <c r="PUD39" s="244"/>
      <c r="PUE39" s="244"/>
      <c r="PUF39" s="244"/>
      <c r="PUG39" s="244"/>
      <c r="PUH39" s="244"/>
      <c r="PUI39" s="244"/>
      <c r="PUJ39" s="244"/>
      <c r="PUK39" s="244"/>
      <c r="PUL39" s="244"/>
      <c r="PUM39" s="244"/>
      <c r="PUN39" s="244"/>
      <c r="PUO39" s="244"/>
      <c r="PUP39" s="244"/>
      <c r="PUQ39" s="244"/>
      <c r="PUR39" s="244"/>
      <c r="PUS39" s="244"/>
      <c r="PUT39" s="244"/>
      <c r="PUU39" s="244"/>
      <c r="PUV39" s="244"/>
      <c r="PUW39" s="244"/>
      <c r="PUX39" s="244"/>
      <c r="PUY39" s="244"/>
      <c r="PUZ39" s="244"/>
      <c r="PVA39" s="244"/>
      <c r="PVB39" s="244"/>
      <c r="PVC39" s="244"/>
      <c r="PVD39" s="244"/>
      <c r="PVE39" s="244"/>
      <c r="PVF39" s="244"/>
      <c r="PVG39" s="244"/>
      <c r="PVH39" s="244"/>
      <c r="PVI39" s="244"/>
      <c r="PVJ39" s="244"/>
      <c r="PVK39" s="244"/>
      <c r="PVL39" s="244"/>
      <c r="PVM39" s="244"/>
      <c r="PVN39" s="244"/>
      <c r="PVO39" s="244"/>
      <c r="PVP39" s="244"/>
      <c r="PVQ39" s="244"/>
      <c r="PVR39" s="244"/>
      <c r="PVS39" s="244"/>
      <c r="PVT39" s="244"/>
      <c r="PVU39" s="244"/>
      <c r="PVV39" s="244"/>
      <c r="PVW39" s="244"/>
      <c r="PVX39" s="244"/>
      <c r="PVY39" s="244"/>
      <c r="PVZ39" s="244"/>
      <c r="PWA39" s="244"/>
      <c r="PWB39" s="244"/>
      <c r="PWC39" s="244"/>
      <c r="PWD39" s="244"/>
      <c r="PWE39" s="244"/>
      <c r="PWF39" s="244"/>
      <c r="PWG39" s="244"/>
      <c r="PWH39" s="244"/>
      <c r="PWI39" s="244"/>
      <c r="PWJ39" s="244"/>
      <c r="PWK39" s="244"/>
      <c r="PWL39" s="244"/>
      <c r="PWM39" s="244"/>
      <c r="PWN39" s="244"/>
      <c r="PWO39" s="244"/>
      <c r="PWP39" s="244"/>
      <c r="PWQ39" s="244"/>
      <c r="PWR39" s="244"/>
      <c r="PWS39" s="244"/>
      <c r="PWT39" s="244"/>
      <c r="PWU39" s="244"/>
      <c r="PWV39" s="244"/>
      <c r="PWW39" s="244"/>
      <c r="PWX39" s="244"/>
      <c r="PWY39" s="244"/>
      <c r="PWZ39" s="244"/>
      <c r="PXA39" s="244"/>
      <c r="PXB39" s="244"/>
      <c r="PXC39" s="244"/>
      <c r="PXD39" s="244"/>
      <c r="PXE39" s="244"/>
      <c r="PXF39" s="244"/>
      <c r="PXG39" s="244"/>
      <c r="PXH39" s="244"/>
      <c r="PXI39" s="244"/>
      <c r="PXJ39" s="244"/>
      <c r="PXK39" s="244"/>
      <c r="PXL39" s="244"/>
      <c r="PXM39" s="244"/>
      <c r="PXN39" s="244"/>
      <c r="PXO39" s="244"/>
      <c r="PXP39" s="244"/>
      <c r="PXQ39" s="244"/>
      <c r="PXR39" s="244"/>
      <c r="PXS39" s="244"/>
      <c r="PXT39" s="244"/>
      <c r="PXU39" s="244"/>
      <c r="PXV39" s="244"/>
      <c r="PXW39" s="244"/>
      <c r="PXX39" s="244"/>
      <c r="PXY39" s="244"/>
      <c r="PXZ39" s="244"/>
      <c r="PYA39" s="244"/>
      <c r="PYB39" s="244"/>
      <c r="PYC39" s="244"/>
      <c r="PYD39" s="244"/>
      <c r="PYE39" s="244"/>
      <c r="PYF39" s="244"/>
      <c r="PYG39" s="244"/>
      <c r="PYH39" s="244"/>
      <c r="PYI39" s="244"/>
      <c r="PYJ39" s="244"/>
      <c r="PYK39" s="244"/>
      <c r="PYL39" s="244"/>
      <c r="PYM39" s="244"/>
      <c r="PYN39" s="244"/>
      <c r="PYO39" s="244"/>
      <c r="PYP39" s="244"/>
      <c r="PYQ39" s="244"/>
      <c r="PYR39" s="244"/>
      <c r="PYS39" s="244"/>
      <c r="PYT39" s="244"/>
      <c r="PYU39" s="244"/>
      <c r="PYV39" s="244"/>
      <c r="PYW39" s="244"/>
      <c r="PYX39" s="244"/>
      <c r="PYY39" s="244"/>
      <c r="PYZ39" s="244"/>
      <c r="PZA39" s="244"/>
      <c r="PZB39" s="244"/>
      <c r="PZC39" s="244"/>
      <c r="PZD39" s="244"/>
      <c r="PZE39" s="244"/>
      <c r="PZF39" s="244"/>
      <c r="PZG39" s="244"/>
      <c r="PZH39" s="244"/>
      <c r="PZI39" s="244"/>
      <c r="PZJ39" s="244"/>
      <c r="PZK39" s="244"/>
      <c r="PZL39" s="244"/>
      <c r="PZM39" s="244"/>
      <c r="PZN39" s="244"/>
      <c r="PZO39" s="244"/>
      <c r="PZP39" s="244"/>
      <c r="PZQ39" s="244"/>
      <c r="PZR39" s="244"/>
      <c r="PZS39" s="244"/>
      <c r="PZT39" s="244"/>
      <c r="PZU39" s="244"/>
      <c r="PZV39" s="244"/>
      <c r="PZW39" s="244"/>
      <c r="PZX39" s="244"/>
      <c r="PZY39" s="244"/>
      <c r="PZZ39" s="244"/>
      <c r="QAA39" s="244"/>
      <c r="QAB39" s="244"/>
      <c r="QAC39" s="244"/>
      <c r="QAD39" s="244"/>
      <c r="QAE39" s="244"/>
      <c r="QAF39" s="244"/>
      <c r="QAG39" s="244"/>
      <c r="QAH39" s="244"/>
      <c r="QAI39" s="244"/>
      <c r="QAJ39" s="244"/>
      <c r="QAK39" s="244"/>
      <c r="QAL39" s="244"/>
      <c r="QAM39" s="244"/>
      <c r="QAN39" s="244"/>
      <c r="QAO39" s="244"/>
      <c r="QAP39" s="244"/>
      <c r="QAQ39" s="244"/>
      <c r="QAR39" s="244"/>
      <c r="QAS39" s="244"/>
      <c r="QAT39" s="244"/>
      <c r="QAU39" s="244"/>
      <c r="QAV39" s="244"/>
      <c r="QAW39" s="244"/>
      <c r="QAX39" s="244"/>
      <c r="QAY39" s="244"/>
      <c r="QAZ39" s="244"/>
      <c r="QBA39" s="244"/>
      <c r="QBB39" s="244"/>
      <c r="QBC39" s="244"/>
      <c r="QBD39" s="244"/>
      <c r="QBE39" s="244"/>
      <c r="QBF39" s="244"/>
      <c r="QBG39" s="244"/>
      <c r="QBH39" s="244"/>
      <c r="QBI39" s="244"/>
      <c r="QBJ39" s="244"/>
      <c r="QBK39" s="244"/>
      <c r="QBL39" s="244"/>
      <c r="QBM39" s="244"/>
      <c r="QBN39" s="244"/>
      <c r="QBO39" s="244"/>
      <c r="QBP39" s="244"/>
      <c r="QBQ39" s="244"/>
      <c r="QBR39" s="244"/>
      <c r="QBS39" s="244"/>
      <c r="QBT39" s="244"/>
      <c r="QBU39" s="244"/>
      <c r="QBV39" s="244"/>
      <c r="QBW39" s="244"/>
      <c r="QBX39" s="244"/>
      <c r="QBY39" s="244"/>
      <c r="QBZ39" s="244"/>
      <c r="QCA39" s="244"/>
      <c r="QCB39" s="244"/>
      <c r="QCC39" s="244"/>
      <c r="QCD39" s="244"/>
      <c r="QCE39" s="244"/>
      <c r="QCF39" s="244"/>
      <c r="QCG39" s="244"/>
      <c r="QCH39" s="244"/>
      <c r="QCI39" s="244"/>
      <c r="QCJ39" s="244"/>
      <c r="QCK39" s="244"/>
      <c r="QCL39" s="244"/>
      <c r="QCM39" s="244"/>
      <c r="QCN39" s="244"/>
      <c r="QCO39" s="244"/>
      <c r="QCP39" s="244"/>
      <c r="QCQ39" s="244"/>
      <c r="QCR39" s="244"/>
      <c r="QCS39" s="244"/>
      <c r="QCT39" s="244"/>
      <c r="QCU39" s="244"/>
      <c r="QCV39" s="244"/>
      <c r="QCW39" s="244"/>
      <c r="QCX39" s="244"/>
      <c r="QCY39" s="244"/>
      <c r="QCZ39" s="244"/>
      <c r="QDA39" s="244"/>
      <c r="QDB39" s="244"/>
      <c r="QDC39" s="244"/>
      <c r="QDD39" s="244"/>
      <c r="QDE39" s="244"/>
      <c r="QDF39" s="244"/>
      <c r="QDG39" s="244"/>
      <c r="QDH39" s="244"/>
      <c r="QDI39" s="244"/>
      <c r="QDJ39" s="244"/>
      <c r="QDK39" s="244"/>
      <c r="QDL39" s="244"/>
      <c r="QDM39" s="244"/>
      <c r="QDN39" s="244"/>
      <c r="QDO39" s="244"/>
      <c r="QDP39" s="244"/>
      <c r="QDQ39" s="244"/>
      <c r="QDR39" s="244"/>
      <c r="QDS39" s="244"/>
      <c r="QDT39" s="244"/>
      <c r="QDU39" s="244"/>
      <c r="QDV39" s="244"/>
      <c r="QDW39" s="244"/>
      <c r="QDX39" s="244"/>
      <c r="QDY39" s="244"/>
      <c r="QDZ39" s="244"/>
      <c r="QEA39" s="244"/>
      <c r="QEB39" s="244"/>
      <c r="QEC39" s="244"/>
      <c r="QED39" s="244"/>
      <c r="QEE39" s="244"/>
      <c r="QEF39" s="244"/>
      <c r="QEG39" s="244"/>
      <c r="QEH39" s="244"/>
      <c r="QEI39" s="244"/>
      <c r="QEJ39" s="244"/>
      <c r="QEK39" s="244"/>
      <c r="QEL39" s="244"/>
      <c r="QEM39" s="244"/>
      <c r="QEN39" s="244"/>
      <c r="QEO39" s="244"/>
      <c r="QEP39" s="244"/>
      <c r="QEQ39" s="244"/>
      <c r="QER39" s="244"/>
      <c r="QES39" s="244"/>
      <c r="QET39" s="244"/>
      <c r="QEU39" s="244"/>
      <c r="QEV39" s="244"/>
      <c r="QEW39" s="244"/>
      <c r="QEX39" s="244"/>
      <c r="QEY39" s="244"/>
      <c r="QEZ39" s="244"/>
      <c r="QFA39" s="244"/>
      <c r="QFB39" s="244"/>
      <c r="QFC39" s="244"/>
      <c r="QFD39" s="244"/>
      <c r="QFE39" s="244"/>
      <c r="QFF39" s="244"/>
      <c r="QFG39" s="244"/>
      <c r="QFH39" s="244"/>
      <c r="QFI39" s="244"/>
      <c r="QFJ39" s="244"/>
      <c r="QFK39" s="244"/>
      <c r="QFL39" s="244"/>
      <c r="QFM39" s="244"/>
      <c r="QFN39" s="244"/>
      <c r="QFO39" s="244"/>
      <c r="QFP39" s="244"/>
      <c r="QFQ39" s="244"/>
      <c r="QFR39" s="244"/>
      <c r="QFS39" s="244"/>
      <c r="QFT39" s="244"/>
      <c r="QFU39" s="244"/>
      <c r="QFV39" s="244"/>
      <c r="QFW39" s="244"/>
      <c r="QFX39" s="244"/>
      <c r="QFY39" s="244"/>
      <c r="QFZ39" s="244"/>
      <c r="QGA39" s="244"/>
      <c r="QGB39" s="244"/>
      <c r="QGC39" s="244"/>
      <c r="QGD39" s="244"/>
      <c r="QGE39" s="244"/>
      <c r="QGF39" s="244"/>
      <c r="QGG39" s="244"/>
      <c r="QGH39" s="244"/>
      <c r="QGI39" s="244"/>
      <c r="QGJ39" s="244"/>
      <c r="QGK39" s="244"/>
      <c r="QGL39" s="244"/>
      <c r="QGM39" s="244"/>
      <c r="QGN39" s="244"/>
      <c r="QGO39" s="244"/>
      <c r="QGP39" s="244"/>
      <c r="QGQ39" s="244"/>
      <c r="QGR39" s="244"/>
      <c r="QGS39" s="244"/>
      <c r="QGT39" s="244"/>
      <c r="QGU39" s="244"/>
      <c r="QGV39" s="244"/>
      <c r="QGW39" s="244"/>
      <c r="QGX39" s="244"/>
      <c r="QGY39" s="244"/>
      <c r="QGZ39" s="244"/>
      <c r="QHA39" s="244"/>
      <c r="QHB39" s="244"/>
      <c r="QHC39" s="244"/>
      <c r="QHD39" s="244"/>
      <c r="QHE39" s="244"/>
      <c r="QHF39" s="244"/>
      <c r="QHG39" s="244"/>
      <c r="QHH39" s="244"/>
      <c r="QHI39" s="244"/>
      <c r="QHJ39" s="244"/>
      <c r="QHK39" s="244"/>
      <c r="QHL39" s="244"/>
      <c r="QHM39" s="244"/>
      <c r="QHN39" s="244"/>
      <c r="QHO39" s="244"/>
      <c r="QHP39" s="244"/>
      <c r="QHQ39" s="244"/>
      <c r="QHR39" s="244"/>
      <c r="QHS39" s="244"/>
      <c r="QHT39" s="244"/>
      <c r="QHU39" s="244"/>
      <c r="QHV39" s="244"/>
      <c r="QHW39" s="244"/>
      <c r="QHX39" s="244"/>
      <c r="QHY39" s="244"/>
      <c r="QHZ39" s="244"/>
      <c r="QIA39" s="244"/>
      <c r="QIB39" s="244"/>
      <c r="QIC39" s="244"/>
      <c r="QID39" s="244"/>
      <c r="QIE39" s="244"/>
      <c r="QIF39" s="244"/>
      <c r="QIG39" s="244"/>
      <c r="QIH39" s="244"/>
      <c r="QII39" s="244"/>
      <c r="QIJ39" s="244"/>
      <c r="QIK39" s="244"/>
      <c r="QIL39" s="244"/>
      <c r="QIM39" s="244"/>
      <c r="QIN39" s="244"/>
      <c r="QIO39" s="244"/>
      <c r="QIP39" s="244"/>
      <c r="QIQ39" s="244"/>
      <c r="QIR39" s="244"/>
      <c r="QIS39" s="244"/>
      <c r="QIT39" s="244"/>
      <c r="QIU39" s="244"/>
      <c r="QIV39" s="244"/>
      <c r="QIW39" s="244"/>
      <c r="QIX39" s="244"/>
      <c r="QIY39" s="244"/>
      <c r="QIZ39" s="244"/>
      <c r="QJA39" s="244"/>
      <c r="QJB39" s="244"/>
      <c r="QJC39" s="244"/>
      <c r="QJD39" s="244"/>
      <c r="QJE39" s="244"/>
      <c r="QJF39" s="244"/>
      <c r="QJG39" s="244"/>
      <c r="QJH39" s="244"/>
      <c r="QJI39" s="244"/>
      <c r="QJJ39" s="244"/>
      <c r="QJK39" s="244"/>
      <c r="QJL39" s="244"/>
      <c r="QJM39" s="244"/>
      <c r="QJN39" s="244"/>
      <c r="QJO39" s="244"/>
      <c r="QJP39" s="244"/>
      <c r="QJQ39" s="244"/>
      <c r="QJR39" s="244"/>
      <c r="QJS39" s="244"/>
      <c r="QJT39" s="244"/>
      <c r="QJU39" s="244"/>
      <c r="QJV39" s="244"/>
      <c r="QJW39" s="244"/>
      <c r="QJX39" s="244"/>
      <c r="QJY39" s="244"/>
      <c r="QJZ39" s="244"/>
      <c r="QKA39" s="244"/>
      <c r="QKB39" s="244"/>
      <c r="QKC39" s="244"/>
      <c r="QKD39" s="244"/>
      <c r="QKE39" s="244"/>
      <c r="QKF39" s="244"/>
      <c r="QKG39" s="244"/>
      <c r="QKH39" s="244"/>
      <c r="QKI39" s="244"/>
      <c r="QKJ39" s="244"/>
      <c r="QKK39" s="244"/>
      <c r="QKL39" s="244"/>
      <c r="QKM39" s="244"/>
      <c r="QKN39" s="244"/>
      <c r="QKO39" s="244"/>
      <c r="QKP39" s="244"/>
      <c r="QKQ39" s="244"/>
      <c r="QKR39" s="244"/>
      <c r="QKS39" s="244"/>
      <c r="QKT39" s="244"/>
      <c r="QKU39" s="244"/>
      <c r="QKV39" s="244"/>
      <c r="QKW39" s="244"/>
      <c r="QKX39" s="244"/>
      <c r="QKY39" s="244"/>
      <c r="QKZ39" s="244"/>
      <c r="QLA39" s="244"/>
      <c r="QLB39" s="244"/>
      <c r="QLC39" s="244"/>
      <c r="QLD39" s="244"/>
      <c r="QLE39" s="244"/>
      <c r="QLF39" s="244"/>
      <c r="QLG39" s="244"/>
      <c r="QLH39" s="244"/>
      <c r="QLI39" s="244"/>
      <c r="QLJ39" s="244"/>
      <c r="QLK39" s="244"/>
      <c r="QLL39" s="244"/>
      <c r="QLM39" s="244"/>
      <c r="QLN39" s="244"/>
      <c r="QLO39" s="244"/>
      <c r="QLP39" s="244"/>
      <c r="QLQ39" s="244"/>
      <c r="QLR39" s="244"/>
      <c r="QLS39" s="244"/>
      <c r="QLT39" s="244"/>
      <c r="QLU39" s="244"/>
      <c r="QLV39" s="244"/>
      <c r="QLW39" s="244"/>
      <c r="QLX39" s="244"/>
      <c r="QLY39" s="244"/>
      <c r="QLZ39" s="244"/>
      <c r="QMA39" s="244"/>
      <c r="QMB39" s="244"/>
      <c r="QMC39" s="244"/>
      <c r="QMD39" s="244"/>
      <c r="QME39" s="244"/>
      <c r="QMF39" s="244"/>
      <c r="QMG39" s="244"/>
      <c r="QMH39" s="244"/>
      <c r="QMI39" s="244"/>
      <c r="QMJ39" s="244"/>
      <c r="QMK39" s="244"/>
      <c r="QML39" s="244"/>
      <c r="QMM39" s="244"/>
      <c r="QMN39" s="244"/>
      <c r="QMO39" s="244"/>
      <c r="QMP39" s="244"/>
      <c r="QMQ39" s="244"/>
      <c r="QMR39" s="244"/>
      <c r="QMS39" s="244"/>
      <c r="QMT39" s="244"/>
      <c r="QMU39" s="244"/>
      <c r="QMV39" s="244"/>
      <c r="QMW39" s="244"/>
      <c r="QMX39" s="244"/>
      <c r="QMY39" s="244"/>
      <c r="QMZ39" s="244"/>
      <c r="QNA39" s="244"/>
      <c r="QNB39" s="244"/>
      <c r="QNC39" s="244"/>
      <c r="QND39" s="244"/>
      <c r="QNE39" s="244"/>
      <c r="QNF39" s="244"/>
      <c r="QNG39" s="244"/>
      <c r="QNH39" s="244"/>
      <c r="QNI39" s="244"/>
      <c r="QNJ39" s="244"/>
      <c r="QNK39" s="244"/>
      <c r="QNL39" s="244"/>
      <c r="QNM39" s="244"/>
      <c r="QNN39" s="244"/>
      <c r="QNO39" s="244"/>
      <c r="QNP39" s="244"/>
      <c r="QNQ39" s="244"/>
      <c r="QNR39" s="244"/>
      <c r="QNS39" s="244"/>
      <c r="QNT39" s="244"/>
      <c r="QNU39" s="244"/>
      <c r="QNV39" s="244"/>
      <c r="QNW39" s="244"/>
      <c r="QNX39" s="244"/>
      <c r="QNY39" s="244"/>
      <c r="QNZ39" s="244"/>
      <c r="QOA39" s="244"/>
      <c r="QOB39" s="244"/>
      <c r="QOC39" s="244"/>
      <c r="QOD39" s="244"/>
      <c r="QOE39" s="244"/>
      <c r="QOF39" s="244"/>
      <c r="QOG39" s="244"/>
      <c r="QOH39" s="244"/>
      <c r="QOI39" s="244"/>
      <c r="QOJ39" s="244"/>
      <c r="QOK39" s="244"/>
      <c r="QOL39" s="244"/>
      <c r="QOM39" s="244"/>
      <c r="QON39" s="244"/>
      <c r="QOO39" s="244"/>
      <c r="QOP39" s="244"/>
      <c r="QOQ39" s="244"/>
      <c r="QOR39" s="244"/>
      <c r="QOS39" s="244"/>
      <c r="QOT39" s="244"/>
      <c r="QOU39" s="244"/>
      <c r="QOV39" s="244"/>
      <c r="QOW39" s="244"/>
      <c r="QOX39" s="244"/>
      <c r="QOY39" s="244"/>
      <c r="QOZ39" s="244"/>
      <c r="QPA39" s="244"/>
      <c r="QPB39" s="244"/>
      <c r="QPC39" s="244"/>
      <c r="QPD39" s="244"/>
      <c r="QPE39" s="244"/>
      <c r="QPF39" s="244"/>
      <c r="QPG39" s="244"/>
      <c r="QPH39" s="244"/>
      <c r="QPI39" s="244"/>
      <c r="QPJ39" s="244"/>
      <c r="QPK39" s="244"/>
      <c r="QPL39" s="244"/>
      <c r="QPM39" s="244"/>
      <c r="QPN39" s="244"/>
      <c r="QPO39" s="244"/>
      <c r="QPP39" s="244"/>
      <c r="QPQ39" s="244"/>
      <c r="QPR39" s="244"/>
      <c r="QPS39" s="244"/>
      <c r="QPT39" s="244"/>
      <c r="QPU39" s="244"/>
      <c r="QPV39" s="244"/>
      <c r="QPW39" s="244"/>
      <c r="QPX39" s="244"/>
      <c r="QPY39" s="244"/>
      <c r="QPZ39" s="244"/>
      <c r="QQA39" s="244"/>
      <c r="QQB39" s="244"/>
      <c r="QQC39" s="244"/>
      <c r="QQD39" s="244"/>
      <c r="QQE39" s="244"/>
      <c r="QQF39" s="244"/>
      <c r="QQG39" s="244"/>
      <c r="QQH39" s="244"/>
      <c r="QQI39" s="244"/>
      <c r="QQJ39" s="244"/>
      <c r="QQK39" s="244"/>
      <c r="QQL39" s="244"/>
      <c r="QQM39" s="244"/>
      <c r="QQN39" s="244"/>
      <c r="QQO39" s="244"/>
      <c r="QQP39" s="244"/>
      <c r="QQQ39" s="244"/>
      <c r="QQR39" s="244"/>
      <c r="QQS39" s="244"/>
      <c r="QQT39" s="244"/>
      <c r="QQU39" s="244"/>
      <c r="QQV39" s="244"/>
      <c r="QQW39" s="244"/>
      <c r="QQX39" s="244"/>
      <c r="QQY39" s="244"/>
      <c r="QQZ39" s="244"/>
      <c r="QRA39" s="244"/>
      <c r="QRB39" s="244"/>
      <c r="QRC39" s="244"/>
      <c r="QRD39" s="244"/>
      <c r="QRE39" s="244"/>
      <c r="QRF39" s="244"/>
      <c r="QRG39" s="244"/>
      <c r="QRH39" s="244"/>
      <c r="QRI39" s="244"/>
      <c r="QRJ39" s="244"/>
      <c r="QRK39" s="244"/>
      <c r="QRL39" s="244"/>
      <c r="QRM39" s="244"/>
      <c r="QRN39" s="244"/>
      <c r="QRO39" s="244"/>
      <c r="QRP39" s="244"/>
      <c r="QRQ39" s="244"/>
      <c r="QRR39" s="244"/>
      <c r="QRS39" s="244"/>
      <c r="QRT39" s="244"/>
      <c r="QRU39" s="244"/>
      <c r="QRV39" s="244"/>
      <c r="QRW39" s="244"/>
      <c r="QRX39" s="244"/>
      <c r="QRY39" s="244"/>
      <c r="QRZ39" s="244"/>
      <c r="QSA39" s="244"/>
      <c r="QSB39" s="244"/>
      <c r="QSC39" s="244"/>
      <c r="QSD39" s="244"/>
      <c r="QSE39" s="244"/>
      <c r="QSF39" s="244"/>
      <c r="QSG39" s="244"/>
      <c r="QSH39" s="244"/>
      <c r="QSI39" s="244"/>
      <c r="QSJ39" s="244"/>
      <c r="QSK39" s="244"/>
      <c r="QSL39" s="244"/>
      <c r="QSM39" s="244"/>
      <c r="QSN39" s="244"/>
      <c r="QSO39" s="244"/>
      <c r="QSP39" s="244"/>
      <c r="QSQ39" s="244"/>
      <c r="QSR39" s="244"/>
      <c r="QSS39" s="244"/>
      <c r="QST39" s="244"/>
      <c r="QSU39" s="244"/>
      <c r="QSV39" s="244"/>
      <c r="QSW39" s="244"/>
      <c r="QSX39" s="244"/>
      <c r="QSY39" s="244"/>
      <c r="QSZ39" s="244"/>
      <c r="QTA39" s="244"/>
      <c r="QTB39" s="244"/>
      <c r="QTC39" s="244"/>
      <c r="QTD39" s="244"/>
      <c r="QTE39" s="244"/>
      <c r="QTF39" s="244"/>
      <c r="QTG39" s="244"/>
      <c r="QTH39" s="244"/>
      <c r="QTI39" s="244"/>
      <c r="QTJ39" s="244"/>
      <c r="QTK39" s="244"/>
      <c r="QTL39" s="244"/>
      <c r="QTM39" s="244"/>
      <c r="QTN39" s="244"/>
      <c r="QTO39" s="244"/>
      <c r="QTP39" s="244"/>
      <c r="QTQ39" s="244"/>
      <c r="QTR39" s="244"/>
      <c r="QTS39" s="244"/>
      <c r="QTT39" s="244"/>
      <c r="QTU39" s="244"/>
      <c r="QTV39" s="244"/>
      <c r="QTW39" s="244"/>
      <c r="QTX39" s="244"/>
      <c r="QTY39" s="244"/>
      <c r="QTZ39" s="244"/>
      <c r="QUA39" s="244"/>
      <c r="QUB39" s="244"/>
      <c r="QUC39" s="244"/>
      <c r="QUD39" s="244"/>
      <c r="QUE39" s="244"/>
      <c r="QUF39" s="244"/>
      <c r="QUG39" s="244"/>
      <c r="QUH39" s="244"/>
      <c r="QUI39" s="244"/>
      <c r="QUJ39" s="244"/>
      <c r="QUK39" s="244"/>
      <c r="QUL39" s="244"/>
      <c r="QUM39" s="244"/>
      <c r="QUN39" s="244"/>
      <c r="QUO39" s="244"/>
      <c r="QUP39" s="244"/>
      <c r="QUQ39" s="244"/>
      <c r="QUR39" s="244"/>
      <c r="QUS39" s="244"/>
      <c r="QUT39" s="244"/>
      <c r="QUU39" s="244"/>
      <c r="QUV39" s="244"/>
      <c r="QUW39" s="244"/>
      <c r="QUX39" s="244"/>
      <c r="QUY39" s="244"/>
      <c r="QUZ39" s="244"/>
      <c r="QVA39" s="244"/>
      <c r="QVB39" s="244"/>
      <c r="QVC39" s="244"/>
      <c r="QVD39" s="244"/>
      <c r="QVE39" s="244"/>
      <c r="QVF39" s="244"/>
      <c r="QVG39" s="244"/>
      <c r="QVH39" s="244"/>
      <c r="QVI39" s="244"/>
      <c r="QVJ39" s="244"/>
      <c r="QVK39" s="244"/>
      <c r="QVL39" s="244"/>
      <c r="QVM39" s="244"/>
      <c r="QVN39" s="244"/>
      <c r="QVO39" s="244"/>
      <c r="QVP39" s="244"/>
      <c r="QVQ39" s="244"/>
      <c r="QVR39" s="244"/>
      <c r="QVS39" s="244"/>
      <c r="QVT39" s="244"/>
      <c r="QVU39" s="244"/>
      <c r="QVV39" s="244"/>
      <c r="QVW39" s="244"/>
      <c r="QVX39" s="244"/>
      <c r="QVY39" s="244"/>
      <c r="QVZ39" s="244"/>
      <c r="QWA39" s="244"/>
      <c r="QWB39" s="244"/>
      <c r="QWC39" s="244"/>
      <c r="QWD39" s="244"/>
      <c r="QWE39" s="244"/>
      <c r="QWF39" s="244"/>
      <c r="QWG39" s="244"/>
      <c r="QWH39" s="244"/>
      <c r="QWI39" s="244"/>
      <c r="QWJ39" s="244"/>
      <c r="QWK39" s="244"/>
      <c r="QWL39" s="244"/>
      <c r="QWM39" s="244"/>
      <c r="QWN39" s="244"/>
      <c r="QWO39" s="244"/>
      <c r="QWP39" s="244"/>
      <c r="QWQ39" s="244"/>
      <c r="QWR39" s="244"/>
      <c r="QWS39" s="244"/>
      <c r="QWT39" s="244"/>
      <c r="QWU39" s="244"/>
      <c r="QWV39" s="244"/>
      <c r="QWW39" s="244"/>
      <c r="QWX39" s="244"/>
      <c r="QWY39" s="244"/>
      <c r="QWZ39" s="244"/>
      <c r="QXA39" s="244"/>
      <c r="QXB39" s="244"/>
      <c r="QXC39" s="244"/>
      <c r="QXD39" s="244"/>
      <c r="QXE39" s="244"/>
      <c r="QXF39" s="244"/>
      <c r="QXG39" s="244"/>
      <c r="QXH39" s="244"/>
      <c r="QXI39" s="244"/>
      <c r="QXJ39" s="244"/>
      <c r="QXK39" s="244"/>
      <c r="QXL39" s="244"/>
      <c r="QXM39" s="244"/>
      <c r="QXN39" s="244"/>
      <c r="QXO39" s="244"/>
      <c r="QXP39" s="244"/>
      <c r="QXQ39" s="244"/>
      <c r="QXR39" s="244"/>
      <c r="QXS39" s="244"/>
      <c r="QXT39" s="244"/>
      <c r="QXU39" s="244"/>
      <c r="QXV39" s="244"/>
      <c r="QXW39" s="244"/>
      <c r="QXX39" s="244"/>
      <c r="QXY39" s="244"/>
      <c r="QXZ39" s="244"/>
      <c r="QYA39" s="244"/>
      <c r="QYB39" s="244"/>
      <c r="QYC39" s="244"/>
      <c r="QYD39" s="244"/>
      <c r="QYE39" s="244"/>
      <c r="QYF39" s="244"/>
      <c r="QYG39" s="244"/>
      <c r="QYH39" s="244"/>
      <c r="QYI39" s="244"/>
      <c r="QYJ39" s="244"/>
      <c r="QYK39" s="244"/>
      <c r="QYL39" s="244"/>
      <c r="QYM39" s="244"/>
      <c r="QYN39" s="244"/>
      <c r="QYO39" s="244"/>
      <c r="QYP39" s="244"/>
      <c r="QYQ39" s="244"/>
      <c r="QYR39" s="244"/>
      <c r="QYS39" s="244"/>
      <c r="QYT39" s="244"/>
      <c r="QYU39" s="244"/>
      <c r="QYV39" s="244"/>
      <c r="QYW39" s="244"/>
      <c r="QYX39" s="244"/>
      <c r="QYY39" s="244"/>
      <c r="QYZ39" s="244"/>
      <c r="QZA39" s="244"/>
      <c r="QZB39" s="244"/>
      <c r="QZC39" s="244"/>
      <c r="QZD39" s="244"/>
      <c r="QZE39" s="244"/>
      <c r="QZF39" s="244"/>
      <c r="QZG39" s="244"/>
      <c r="QZH39" s="244"/>
      <c r="QZI39" s="244"/>
      <c r="QZJ39" s="244"/>
      <c r="QZK39" s="244"/>
      <c r="QZL39" s="244"/>
      <c r="QZM39" s="244"/>
      <c r="QZN39" s="244"/>
      <c r="QZO39" s="244"/>
      <c r="QZP39" s="244"/>
      <c r="QZQ39" s="244"/>
      <c r="QZR39" s="244"/>
      <c r="QZS39" s="244"/>
      <c r="QZT39" s="244"/>
      <c r="QZU39" s="244"/>
      <c r="QZV39" s="244"/>
      <c r="QZW39" s="244"/>
      <c r="QZX39" s="244"/>
      <c r="QZY39" s="244"/>
      <c r="QZZ39" s="244"/>
      <c r="RAA39" s="244"/>
      <c r="RAB39" s="244"/>
      <c r="RAC39" s="244"/>
      <c r="RAD39" s="244"/>
      <c r="RAE39" s="244"/>
      <c r="RAF39" s="244"/>
      <c r="RAG39" s="244"/>
      <c r="RAH39" s="244"/>
      <c r="RAI39" s="244"/>
      <c r="RAJ39" s="244"/>
      <c r="RAK39" s="244"/>
      <c r="RAL39" s="244"/>
      <c r="RAM39" s="244"/>
      <c r="RAN39" s="244"/>
      <c r="RAO39" s="244"/>
      <c r="RAP39" s="244"/>
      <c r="RAQ39" s="244"/>
      <c r="RAR39" s="244"/>
      <c r="RAS39" s="244"/>
      <c r="RAT39" s="244"/>
      <c r="RAU39" s="244"/>
      <c r="RAV39" s="244"/>
      <c r="RAW39" s="244"/>
      <c r="RAX39" s="244"/>
      <c r="RAY39" s="244"/>
      <c r="RAZ39" s="244"/>
      <c r="RBA39" s="244"/>
      <c r="RBB39" s="244"/>
      <c r="RBC39" s="244"/>
      <c r="RBD39" s="244"/>
      <c r="RBE39" s="244"/>
      <c r="RBF39" s="244"/>
      <c r="RBG39" s="244"/>
      <c r="RBH39" s="244"/>
      <c r="RBI39" s="244"/>
      <c r="RBJ39" s="244"/>
      <c r="RBK39" s="244"/>
      <c r="RBL39" s="244"/>
      <c r="RBM39" s="244"/>
      <c r="RBN39" s="244"/>
      <c r="RBO39" s="244"/>
      <c r="RBP39" s="244"/>
      <c r="RBQ39" s="244"/>
      <c r="RBR39" s="244"/>
      <c r="RBS39" s="244"/>
      <c r="RBT39" s="244"/>
      <c r="RBU39" s="244"/>
      <c r="RBV39" s="244"/>
      <c r="RBW39" s="244"/>
      <c r="RBX39" s="244"/>
      <c r="RBY39" s="244"/>
      <c r="RBZ39" s="244"/>
      <c r="RCA39" s="244"/>
      <c r="RCB39" s="244"/>
      <c r="RCC39" s="244"/>
      <c r="RCD39" s="244"/>
      <c r="RCE39" s="244"/>
      <c r="RCF39" s="244"/>
      <c r="RCG39" s="244"/>
      <c r="RCH39" s="244"/>
      <c r="RCI39" s="244"/>
      <c r="RCJ39" s="244"/>
      <c r="RCK39" s="244"/>
      <c r="RCL39" s="244"/>
      <c r="RCM39" s="244"/>
      <c r="RCN39" s="244"/>
      <c r="RCO39" s="244"/>
      <c r="RCP39" s="244"/>
      <c r="RCQ39" s="244"/>
      <c r="RCR39" s="244"/>
      <c r="RCS39" s="244"/>
      <c r="RCT39" s="244"/>
      <c r="RCU39" s="244"/>
      <c r="RCV39" s="244"/>
      <c r="RCW39" s="244"/>
      <c r="RCX39" s="244"/>
      <c r="RCY39" s="244"/>
      <c r="RCZ39" s="244"/>
      <c r="RDA39" s="244"/>
      <c r="RDB39" s="244"/>
      <c r="RDC39" s="244"/>
      <c r="RDD39" s="244"/>
      <c r="RDE39" s="244"/>
      <c r="RDF39" s="244"/>
      <c r="RDG39" s="244"/>
      <c r="RDH39" s="244"/>
      <c r="RDI39" s="244"/>
      <c r="RDJ39" s="244"/>
      <c r="RDK39" s="244"/>
      <c r="RDL39" s="244"/>
      <c r="RDM39" s="244"/>
      <c r="RDN39" s="244"/>
      <c r="RDO39" s="244"/>
      <c r="RDP39" s="244"/>
      <c r="RDQ39" s="244"/>
      <c r="RDR39" s="244"/>
      <c r="RDS39" s="244"/>
      <c r="RDT39" s="244"/>
      <c r="RDU39" s="244"/>
      <c r="RDV39" s="244"/>
      <c r="RDW39" s="244"/>
      <c r="RDX39" s="244"/>
      <c r="RDY39" s="244"/>
      <c r="RDZ39" s="244"/>
      <c r="REA39" s="244"/>
      <c r="REB39" s="244"/>
      <c r="REC39" s="244"/>
      <c r="RED39" s="244"/>
      <c r="REE39" s="244"/>
      <c r="REF39" s="244"/>
      <c r="REG39" s="244"/>
      <c r="REH39" s="244"/>
      <c r="REI39" s="244"/>
      <c r="REJ39" s="244"/>
      <c r="REK39" s="244"/>
      <c r="REL39" s="244"/>
      <c r="REM39" s="244"/>
      <c r="REN39" s="244"/>
      <c r="REO39" s="244"/>
      <c r="REP39" s="244"/>
      <c r="REQ39" s="244"/>
      <c r="RER39" s="244"/>
      <c r="RES39" s="244"/>
      <c r="RET39" s="244"/>
      <c r="REU39" s="244"/>
      <c r="REV39" s="244"/>
      <c r="REW39" s="244"/>
      <c r="REX39" s="244"/>
      <c r="REY39" s="244"/>
      <c r="REZ39" s="244"/>
      <c r="RFA39" s="244"/>
      <c r="RFB39" s="244"/>
      <c r="RFC39" s="244"/>
      <c r="RFD39" s="244"/>
      <c r="RFE39" s="244"/>
      <c r="RFF39" s="244"/>
      <c r="RFG39" s="244"/>
      <c r="RFH39" s="244"/>
      <c r="RFI39" s="244"/>
      <c r="RFJ39" s="244"/>
      <c r="RFK39" s="244"/>
      <c r="RFL39" s="244"/>
      <c r="RFM39" s="244"/>
      <c r="RFN39" s="244"/>
      <c r="RFO39" s="244"/>
      <c r="RFP39" s="244"/>
      <c r="RFQ39" s="244"/>
      <c r="RFR39" s="244"/>
      <c r="RFS39" s="244"/>
      <c r="RFT39" s="244"/>
      <c r="RFU39" s="244"/>
      <c r="RFV39" s="244"/>
      <c r="RFW39" s="244"/>
      <c r="RFX39" s="244"/>
      <c r="RFY39" s="244"/>
      <c r="RFZ39" s="244"/>
      <c r="RGA39" s="244"/>
      <c r="RGB39" s="244"/>
      <c r="RGC39" s="244"/>
      <c r="RGD39" s="244"/>
      <c r="RGE39" s="244"/>
      <c r="RGF39" s="244"/>
      <c r="RGG39" s="244"/>
      <c r="RGH39" s="244"/>
      <c r="RGI39" s="244"/>
      <c r="RGJ39" s="244"/>
      <c r="RGK39" s="244"/>
      <c r="RGL39" s="244"/>
      <c r="RGM39" s="244"/>
      <c r="RGN39" s="244"/>
      <c r="RGO39" s="244"/>
      <c r="RGP39" s="244"/>
      <c r="RGQ39" s="244"/>
      <c r="RGR39" s="244"/>
      <c r="RGS39" s="244"/>
      <c r="RGT39" s="244"/>
      <c r="RGU39" s="244"/>
      <c r="RGV39" s="244"/>
      <c r="RGW39" s="244"/>
      <c r="RGX39" s="244"/>
      <c r="RGY39" s="244"/>
      <c r="RGZ39" s="244"/>
      <c r="RHA39" s="244"/>
      <c r="RHB39" s="244"/>
      <c r="RHC39" s="244"/>
      <c r="RHD39" s="244"/>
      <c r="RHE39" s="244"/>
      <c r="RHF39" s="244"/>
      <c r="RHG39" s="244"/>
      <c r="RHH39" s="244"/>
      <c r="RHI39" s="244"/>
      <c r="RHJ39" s="244"/>
      <c r="RHK39" s="244"/>
      <c r="RHL39" s="244"/>
      <c r="RHM39" s="244"/>
      <c r="RHN39" s="244"/>
      <c r="RHO39" s="244"/>
      <c r="RHP39" s="244"/>
      <c r="RHQ39" s="244"/>
      <c r="RHR39" s="244"/>
      <c r="RHS39" s="244"/>
      <c r="RHT39" s="244"/>
      <c r="RHU39" s="244"/>
      <c r="RHV39" s="244"/>
      <c r="RHW39" s="244"/>
      <c r="RHX39" s="244"/>
      <c r="RHY39" s="244"/>
      <c r="RHZ39" s="244"/>
      <c r="RIA39" s="244"/>
      <c r="RIB39" s="244"/>
      <c r="RIC39" s="244"/>
      <c r="RID39" s="244"/>
      <c r="RIE39" s="244"/>
      <c r="RIF39" s="244"/>
      <c r="RIG39" s="244"/>
      <c r="RIH39" s="244"/>
      <c r="RII39" s="244"/>
      <c r="RIJ39" s="244"/>
      <c r="RIK39" s="244"/>
      <c r="RIL39" s="244"/>
      <c r="RIM39" s="244"/>
      <c r="RIN39" s="244"/>
      <c r="RIO39" s="244"/>
      <c r="RIP39" s="244"/>
      <c r="RIQ39" s="244"/>
      <c r="RIR39" s="244"/>
      <c r="RIS39" s="244"/>
      <c r="RIT39" s="244"/>
      <c r="RIU39" s="244"/>
      <c r="RIV39" s="244"/>
      <c r="RIW39" s="244"/>
      <c r="RIX39" s="244"/>
      <c r="RIY39" s="244"/>
      <c r="RIZ39" s="244"/>
      <c r="RJA39" s="244"/>
      <c r="RJB39" s="244"/>
      <c r="RJC39" s="244"/>
      <c r="RJD39" s="244"/>
      <c r="RJE39" s="244"/>
      <c r="RJF39" s="244"/>
      <c r="RJG39" s="244"/>
      <c r="RJH39" s="244"/>
      <c r="RJI39" s="244"/>
      <c r="RJJ39" s="244"/>
      <c r="RJK39" s="244"/>
      <c r="RJL39" s="244"/>
      <c r="RJM39" s="244"/>
      <c r="RJN39" s="244"/>
      <c r="RJO39" s="244"/>
      <c r="RJP39" s="244"/>
      <c r="RJQ39" s="244"/>
      <c r="RJR39" s="244"/>
      <c r="RJS39" s="244"/>
      <c r="RJT39" s="244"/>
      <c r="RJU39" s="244"/>
      <c r="RJV39" s="244"/>
      <c r="RJW39" s="244"/>
      <c r="RJX39" s="244"/>
      <c r="RJY39" s="244"/>
      <c r="RJZ39" s="244"/>
      <c r="RKA39" s="244"/>
      <c r="RKB39" s="244"/>
      <c r="RKC39" s="244"/>
      <c r="RKD39" s="244"/>
      <c r="RKE39" s="244"/>
      <c r="RKF39" s="244"/>
      <c r="RKG39" s="244"/>
      <c r="RKH39" s="244"/>
      <c r="RKI39" s="244"/>
      <c r="RKJ39" s="244"/>
      <c r="RKK39" s="244"/>
      <c r="RKL39" s="244"/>
      <c r="RKM39" s="244"/>
      <c r="RKN39" s="244"/>
      <c r="RKO39" s="244"/>
      <c r="RKP39" s="244"/>
      <c r="RKQ39" s="244"/>
      <c r="RKR39" s="244"/>
      <c r="RKS39" s="244"/>
      <c r="RKT39" s="244"/>
      <c r="RKU39" s="244"/>
      <c r="RKV39" s="244"/>
      <c r="RKW39" s="244"/>
      <c r="RKX39" s="244"/>
      <c r="RKY39" s="244"/>
      <c r="RKZ39" s="244"/>
      <c r="RLA39" s="244"/>
      <c r="RLB39" s="244"/>
      <c r="RLC39" s="244"/>
      <c r="RLD39" s="244"/>
      <c r="RLE39" s="244"/>
      <c r="RLF39" s="244"/>
      <c r="RLG39" s="244"/>
      <c r="RLH39" s="244"/>
      <c r="RLI39" s="244"/>
      <c r="RLJ39" s="244"/>
      <c r="RLK39" s="244"/>
      <c r="RLL39" s="244"/>
      <c r="RLM39" s="244"/>
      <c r="RLN39" s="244"/>
      <c r="RLO39" s="244"/>
      <c r="RLP39" s="244"/>
      <c r="RLQ39" s="244"/>
      <c r="RLR39" s="244"/>
      <c r="RLS39" s="244"/>
      <c r="RLT39" s="244"/>
      <c r="RLU39" s="244"/>
      <c r="RLV39" s="244"/>
      <c r="RLW39" s="244"/>
      <c r="RLX39" s="244"/>
      <c r="RLY39" s="244"/>
      <c r="RLZ39" s="244"/>
      <c r="RMA39" s="244"/>
      <c r="RMB39" s="244"/>
      <c r="RMC39" s="244"/>
      <c r="RMD39" s="244"/>
      <c r="RME39" s="244"/>
      <c r="RMF39" s="244"/>
      <c r="RMG39" s="244"/>
      <c r="RMH39" s="244"/>
      <c r="RMI39" s="244"/>
      <c r="RMJ39" s="244"/>
      <c r="RMK39" s="244"/>
      <c r="RML39" s="244"/>
      <c r="RMM39" s="244"/>
      <c r="RMN39" s="244"/>
      <c r="RMO39" s="244"/>
      <c r="RMP39" s="244"/>
      <c r="RMQ39" s="244"/>
      <c r="RMR39" s="244"/>
      <c r="RMS39" s="244"/>
      <c r="RMT39" s="244"/>
      <c r="RMU39" s="244"/>
      <c r="RMV39" s="244"/>
      <c r="RMW39" s="244"/>
      <c r="RMX39" s="244"/>
      <c r="RMY39" s="244"/>
      <c r="RMZ39" s="244"/>
      <c r="RNA39" s="244"/>
      <c r="RNB39" s="244"/>
      <c r="RNC39" s="244"/>
      <c r="RND39" s="244"/>
      <c r="RNE39" s="244"/>
      <c r="RNF39" s="244"/>
      <c r="RNG39" s="244"/>
      <c r="RNH39" s="244"/>
      <c r="RNI39" s="244"/>
      <c r="RNJ39" s="244"/>
      <c r="RNK39" s="244"/>
      <c r="RNL39" s="244"/>
      <c r="RNM39" s="244"/>
      <c r="RNN39" s="244"/>
      <c r="RNO39" s="244"/>
      <c r="RNP39" s="244"/>
      <c r="RNQ39" s="244"/>
      <c r="RNR39" s="244"/>
      <c r="RNS39" s="244"/>
      <c r="RNT39" s="244"/>
      <c r="RNU39" s="244"/>
      <c r="RNV39" s="244"/>
      <c r="RNW39" s="244"/>
      <c r="RNX39" s="244"/>
      <c r="RNY39" s="244"/>
      <c r="RNZ39" s="244"/>
      <c r="ROA39" s="244"/>
      <c r="ROB39" s="244"/>
      <c r="ROC39" s="244"/>
      <c r="ROD39" s="244"/>
      <c r="ROE39" s="244"/>
      <c r="ROF39" s="244"/>
      <c r="ROG39" s="244"/>
      <c r="ROH39" s="244"/>
      <c r="ROI39" s="244"/>
      <c r="ROJ39" s="244"/>
      <c r="ROK39" s="244"/>
      <c r="ROL39" s="244"/>
      <c r="ROM39" s="244"/>
      <c r="RON39" s="244"/>
      <c r="ROO39" s="244"/>
      <c r="ROP39" s="244"/>
      <c r="ROQ39" s="244"/>
      <c r="ROR39" s="244"/>
      <c r="ROS39" s="244"/>
      <c r="ROT39" s="244"/>
      <c r="ROU39" s="244"/>
      <c r="ROV39" s="244"/>
      <c r="ROW39" s="244"/>
      <c r="ROX39" s="244"/>
      <c r="ROY39" s="244"/>
      <c r="ROZ39" s="244"/>
      <c r="RPA39" s="244"/>
      <c r="RPB39" s="244"/>
      <c r="RPC39" s="244"/>
      <c r="RPD39" s="244"/>
      <c r="RPE39" s="244"/>
      <c r="RPF39" s="244"/>
      <c r="RPG39" s="244"/>
      <c r="RPH39" s="244"/>
      <c r="RPI39" s="244"/>
      <c r="RPJ39" s="244"/>
      <c r="RPK39" s="244"/>
      <c r="RPL39" s="244"/>
      <c r="RPM39" s="244"/>
      <c r="RPN39" s="244"/>
      <c r="RPO39" s="244"/>
      <c r="RPP39" s="244"/>
      <c r="RPQ39" s="244"/>
      <c r="RPR39" s="244"/>
      <c r="RPS39" s="244"/>
      <c r="RPT39" s="244"/>
      <c r="RPU39" s="244"/>
      <c r="RPV39" s="244"/>
      <c r="RPW39" s="244"/>
      <c r="RPX39" s="244"/>
      <c r="RPY39" s="244"/>
      <c r="RPZ39" s="244"/>
      <c r="RQA39" s="244"/>
      <c r="RQB39" s="244"/>
      <c r="RQC39" s="244"/>
      <c r="RQD39" s="244"/>
      <c r="RQE39" s="244"/>
      <c r="RQF39" s="244"/>
      <c r="RQG39" s="244"/>
      <c r="RQH39" s="244"/>
      <c r="RQI39" s="244"/>
      <c r="RQJ39" s="244"/>
      <c r="RQK39" s="244"/>
      <c r="RQL39" s="244"/>
      <c r="RQM39" s="244"/>
      <c r="RQN39" s="244"/>
      <c r="RQO39" s="244"/>
      <c r="RQP39" s="244"/>
      <c r="RQQ39" s="244"/>
      <c r="RQR39" s="244"/>
      <c r="RQS39" s="244"/>
      <c r="RQT39" s="244"/>
      <c r="RQU39" s="244"/>
      <c r="RQV39" s="244"/>
      <c r="RQW39" s="244"/>
      <c r="RQX39" s="244"/>
      <c r="RQY39" s="244"/>
      <c r="RQZ39" s="244"/>
      <c r="RRA39" s="244"/>
      <c r="RRB39" s="244"/>
      <c r="RRC39" s="244"/>
      <c r="RRD39" s="244"/>
      <c r="RRE39" s="244"/>
      <c r="RRF39" s="244"/>
      <c r="RRG39" s="244"/>
      <c r="RRH39" s="244"/>
      <c r="RRI39" s="244"/>
      <c r="RRJ39" s="244"/>
      <c r="RRK39" s="244"/>
      <c r="RRL39" s="244"/>
      <c r="RRM39" s="244"/>
      <c r="RRN39" s="244"/>
      <c r="RRO39" s="244"/>
      <c r="RRP39" s="244"/>
      <c r="RRQ39" s="244"/>
      <c r="RRR39" s="244"/>
      <c r="RRS39" s="244"/>
      <c r="RRT39" s="244"/>
      <c r="RRU39" s="244"/>
      <c r="RRV39" s="244"/>
      <c r="RRW39" s="244"/>
      <c r="RRX39" s="244"/>
      <c r="RRY39" s="244"/>
      <c r="RRZ39" s="244"/>
      <c r="RSA39" s="244"/>
      <c r="RSB39" s="244"/>
      <c r="RSC39" s="244"/>
      <c r="RSD39" s="244"/>
      <c r="RSE39" s="244"/>
      <c r="RSF39" s="244"/>
      <c r="RSG39" s="244"/>
      <c r="RSH39" s="244"/>
      <c r="RSI39" s="244"/>
      <c r="RSJ39" s="244"/>
      <c r="RSK39" s="244"/>
      <c r="RSL39" s="244"/>
      <c r="RSM39" s="244"/>
      <c r="RSN39" s="244"/>
      <c r="RSO39" s="244"/>
      <c r="RSP39" s="244"/>
      <c r="RSQ39" s="244"/>
      <c r="RSR39" s="244"/>
      <c r="RSS39" s="244"/>
      <c r="RST39" s="244"/>
      <c r="RSU39" s="244"/>
      <c r="RSV39" s="244"/>
      <c r="RSW39" s="244"/>
      <c r="RSX39" s="244"/>
      <c r="RSY39" s="244"/>
      <c r="RSZ39" s="244"/>
      <c r="RTA39" s="244"/>
      <c r="RTB39" s="244"/>
      <c r="RTC39" s="244"/>
      <c r="RTD39" s="244"/>
      <c r="RTE39" s="244"/>
      <c r="RTF39" s="244"/>
      <c r="RTG39" s="244"/>
      <c r="RTH39" s="244"/>
      <c r="RTI39" s="244"/>
      <c r="RTJ39" s="244"/>
      <c r="RTK39" s="244"/>
      <c r="RTL39" s="244"/>
      <c r="RTM39" s="244"/>
      <c r="RTN39" s="244"/>
      <c r="RTO39" s="244"/>
      <c r="RTP39" s="244"/>
      <c r="RTQ39" s="244"/>
      <c r="RTR39" s="244"/>
      <c r="RTS39" s="244"/>
      <c r="RTT39" s="244"/>
      <c r="RTU39" s="244"/>
      <c r="RTV39" s="244"/>
      <c r="RTW39" s="244"/>
      <c r="RTX39" s="244"/>
      <c r="RTY39" s="244"/>
      <c r="RTZ39" s="244"/>
      <c r="RUA39" s="244"/>
      <c r="RUB39" s="244"/>
      <c r="RUC39" s="244"/>
      <c r="RUD39" s="244"/>
      <c r="RUE39" s="244"/>
      <c r="RUF39" s="244"/>
      <c r="RUG39" s="244"/>
      <c r="RUH39" s="244"/>
      <c r="RUI39" s="244"/>
      <c r="RUJ39" s="244"/>
      <c r="RUK39" s="244"/>
      <c r="RUL39" s="244"/>
      <c r="RUM39" s="244"/>
      <c r="RUN39" s="244"/>
      <c r="RUO39" s="244"/>
      <c r="RUP39" s="244"/>
      <c r="RUQ39" s="244"/>
      <c r="RUR39" s="244"/>
      <c r="RUS39" s="244"/>
      <c r="RUT39" s="244"/>
      <c r="RUU39" s="244"/>
      <c r="RUV39" s="244"/>
      <c r="RUW39" s="244"/>
      <c r="RUX39" s="244"/>
      <c r="RUY39" s="244"/>
      <c r="RUZ39" s="244"/>
      <c r="RVA39" s="244"/>
      <c r="RVB39" s="244"/>
      <c r="RVC39" s="244"/>
      <c r="RVD39" s="244"/>
      <c r="RVE39" s="244"/>
      <c r="RVF39" s="244"/>
      <c r="RVG39" s="244"/>
      <c r="RVH39" s="244"/>
      <c r="RVI39" s="244"/>
      <c r="RVJ39" s="244"/>
      <c r="RVK39" s="244"/>
      <c r="RVL39" s="244"/>
      <c r="RVM39" s="244"/>
      <c r="RVN39" s="244"/>
      <c r="RVO39" s="244"/>
      <c r="RVP39" s="244"/>
      <c r="RVQ39" s="244"/>
      <c r="RVR39" s="244"/>
      <c r="RVS39" s="244"/>
      <c r="RVT39" s="244"/>
      <c r="RVU39" s="244"/>
      <c r="RVV39" s="244"/>
      <c r="RVW39" s="244"/>
      <c r="RVX39" s="244"/>
      <c r="RVY39" s="244"/>
      <c r="RVZ39" s="244"/>
      <c r="RWA39" s="244"/>
      <c r="RWB39" s="244"/>
      <c r="RWC39" s="244"/>
      <c r="RWD39" s="244"/>
      <c r="RWE39" s="244"/>
      <c r="RWF39" s="244"/>
      <c r="RWG39" s="244"/>
      <c r="RWH39" s="244"/>
      <c r="RWI39" s="244"/>
      <c r="RWJ39" s="244"/>
      <c r="RWK39" s="244"/>
      <c r="RWL39" s="244"/>
      <c r="RWM39" s="244"/>
      <c r="RWN39" s="244"/>
      <c r="RWO39" s="244"/>
      <c r="RWP39" s="244"/>
      <c r="RWQ39" s="244"/>
      <c r="RWR39" s="244"/>
      <c r="RWS39" s="244"/>
      <c r="RWT39" s="244"/>
      <c r="RWU39" s="244"/>
      <c r="RWV39" s="244"/>
      <c r="RWW39" s="244"/>
      <c r="RWX39" s="244"/>
      <c r="RWY39" s="244"/>
      <c r="RWZ39" s="244"/>
      <c r="RXA39" s="244"/>
      <c r="RXB39" s="244"/>
      <c r="RXC39" s="244"/>
      <c r="RXD39" s="244"/>
      <c r="RXE39" s="244"/>
      <c r="RXF39" s="244"/>
      <c r="RXG39" s="244"/>
      <c r="RXH39" s="244"/>
      <c r="RXI39" s="244"/>
      <c r="RXJ39" s="244"/>
      <c r="RXK39" s="244"/>
      <c r="RXL39" s="244"/>
      <c r="RXM39" s="244"/>
      <c r="RXN39" s="244"/>
      <c r="RXO39" s="244"/>
      <c r="RXP39" s="244"/>
      <c r="RXQ39" s="244"/>
      <c r="RXR39" s="244"/>
      <c r="RXS39" s="244"/>
      <c r="RXT39" s="244"/>
      <c r="RXU39" s="244"/>
      <c r="RXV39" s="244"/>
      <c r="RXW39" s="244"/>
      <c r="RXX39" s="244"/>
      <c r="RXY39" s="244"/>
      <c r="RXZ39" s="244"/>
      <c r="RYA39" s="244"/>
      <c r="RYB39" s="244"/>
      <c r="RYC39" s="244"/>
      <c r="RYD39" s="244"/>
      <c r="RYE39" s="244"/>
      <c r="RYF39" s="244"/>
      <c r="RYG39" s="244"/>
      <c r="RYH39" s="244"/>
      <c r="RYI39" s="244"/>
      <c r="RYJ39" s="244"/>
      <c r="RYK39" s="244"/>
      <c r="RYL39" s="244"/>
      <c r="RYM39" s="244"/>
      <c r="RYN39" s="244"/>
      <c r="RYO39" s="244"/>
      <c r="RYP39" s="244"/>
      <c r="RYQ39" s="244"/>
      <c r="RYR39" s="244"/>
      <c r="RYS39" s="244"/>
      <c r="RYT39" s="244"/>
      <c r="RYU39" s="244"/>
      <c r="RYV39" s="244"/>
      <c r="RYW39" s="244"/>
      <c r="RYX39" s="244"/>
      <c r="RYY39" s="244"/>
      <c r="RYZ39" s="244"/>
      <c r="RZA39" s="244"/>
      <c r="RZB39" s="244"/>
      <c r="RZC39" s="244"/>
      <c r="RZD39" s="244"/>
      <c r="RZE39" s="244"/>
      <c r="RZF39" s="244"/>
      <c r="RZG39" s="244"/>
      <c r="RZH39" s="244"/>
      <c r="RZI39" s="244"/>
      <c r="RZJ39" s="244"/>
      <c r="RZK39" s="244"/>
      <c r="RZL39" s="244"/>
      <c r="RZM39" s="244"/>
      <c r="RZN39" s="244"/>
      <c r="RZO39" s="244"/>
      <c r="RZP39" s="244"/>
      <c r="RZQ39" s="244"/>
      <c r="RZR39" s="244"/>
      <c r="RZS39" s="244"/>
      <c r="RZT39" s="244"/>
      <c r="RZU39" s="244"/>
      <c r="RZV39" s="244"/>
      <c r="RZW39" s="244"/>
      <c r="RZX39" s="244"/>
      <c r="RZY39" s="244"/>
      <c r="RZZ39" s="244"/>
      <c r="SAA39" s="244"/>
      <c r="SAB39" s="244"/>
      <c r="SAC39" s="244"/>
      <c r="SAD39" s="244"/>
      <c r="SAE39" s="244"/>
      <c r="SAF39" s="244"/>
      <c r="SAG39" s="244"/>
      <c r="SAH39" s="244"/>
      <c r="SAI39" s="244"/>
      <c r="SAJ39" s="244"/>
      <c r="SAK39" s="244"/>
      <c r="SAL39" s="244"/>
      <c r="SAM39" s="244"/>
      <c r="SAN39" s="244"/>
      <c r="SAO39" s="244"/>
      <c r="SAP39" s="244"/>
      <c r="SAQ39" s="244"/>
      <c r="SAR39" s="244"/>
      <c r="SAS39" s="244"/>
      <c r="SAT39" s="244"/>
      <c r="SAU39" s="244"/>
      <c r="SAV39" s="244"/>
      <c r="SAW39" s="244"/>
      <c r="SAX39" s="244"/>
      <c r="SAY39" s="244"/>
      <c r="SAZ39" s="244"/>
      <c r="SBA39" s="244"/>
      <c r="SBB39" s="244"/>
      <c r="SBC39" s="244"/>
      <c r="SBD39" s="244"/>
      <c r="SBE39" s="244"/>
      <c r="SBF39" s="244"/>
      <c r="SBG39" s="244"/>
      <c r="SBH39" s="244"/>
      <c r="SBI39" s="244"/>
      <c r="SBJ39" s="244"/>
      <c r="SBK39" s="244"/>
      <c r="SBL39" s="244"/>
      <c r="SBM39" s="244"/>
      <c r="SBN39" s="244"/>
      <c r="SBO39" s="244"/>
      <c r="SBP39" s="244"/>
      <c r="SBQ39" s="244"/>
      <c r="SBR39" s="244"/>
      <c r="SBS39" s="244"/>
      <c r="SBT39" s="244"/>
      <c r="SBU39" s="244"/>
      <c r="SBV39" s="244"/>
      <c r="SBW39" s="244"/>
      <c r="SBX39" s="244"/>
      <c r="SBY39" s="244"/>
      <c r="SBZ39" s="244"/>
      <c r="SCA39" s="244"/>
      <c r="SCB39" s="244"/>
      <c r="SCC39" s="244"/>
      <c r="SCD39" s="244"/>
      <c r="SCE39" s="244"/>
      <c r="SCF39" s="244"/>
      <c r="SCG39" s="244"/>
      <c r="SCH39" s="244"/>
      <c r="SCI39" s="244"/>
      <c r="SCJ39" s="244"/>
      <c r="SCK39" s="244"/>
      <c r="SCL39" s="244"/>
      <c r="SCM39" s="244"/>
      <c r="SCN39" s="244"/>
      <c r="SCO39" s="244"/>
      <c r="SCP39" s="244"/>
      <c r="SCQ39" s="244"/>
      <c r="SCR39" s="244"/>
      <c r="SCS39" s="244"/>
      <c r="SCT39" s="244"/>
      <c r="SCU39" s="244"/>
      <c r="SCV39" s="244"/>
      <c r="SCW39" s="244"/>
      <c r="SCX39" s="244"/>
      <c r="SCY39" s="244"/>
      <c r="SCZ39" s="244"/>
      <c r="SDA39" s="244"/>
      <c r="SDB39" s="244"/>
      <c r="SDC39" s="244"/>
      <c r="SDD39" s="244"/>
      <c r="SDE39" s="244"/>
      <c r="SDF39" s="244"/>
      <c r="SDG39" s="244"/>
      <c r="SDH39" s="244"/>
      <c r="SDI39" s="244"/>
      <c r="SDJ39" s="244"/>
      <c r="SDK39" s="244"/>
      <c r="SDL39" s="244"/>
      <c r="SDM39" s="244"/>
      <c r="SDN39" s="244"/>
      <c r="SDO39" s="244"/>
      <c r="SDP39" s="244"/>
      <c r="SDQ39" s="244"/>
      <c r="SDR39" s="244"/>
      <c r="SDS39" s="244"/>
      <c r="SDT39" s="244"/>
      <c r="SDU39" s="244"/>
      <c r="SDV39" s="244"/>
      <c r="SDW39" s="244"/>
      <c r="SDX39" s="244"/>
      <c r="SDY39" s="244"/>
      <c r="SDZ39" s="244"/>
      <c r="SEA39" s="244"/>
      <c r="SEB39" s="244"/>
      <c r="SEC39" s="244"/>
      <c r="SED39" s="244"/>
      <c r="SEE39" s="244"/>
      <c r="SEF39" s="244"/>
      <c r="SEG39" s="244"/>
      <c r="SEH39" s="244"/>
      <c r="SEI39" s="244"/>
      <c r="SEJ39" s="244"/>
      <c r="SEK39" s="244"/>
      <c r="SEL39" s="244"/>
      <c r="SEM39" s="244"/>
      <c r="SEN39" s="244"/>
      <c r="SEO39" s="244"/>
      <c r="SEP39" s="244"/>
      <c r="SEQ39" s="244"/>
      <c r="SER39" s="244"/>
      <c r="SES39" s="244"/>
      <c r="SET39" s="244"/>
      <c r="SEU39" s="244"/>
      <c r="SEV39" s="244"/>
      <c r="SEW39" s="244"/>
      <c r="SEX39" s="244"/>
      <c r="SEY39" s="244"/>
      <c r="SEZ39" s="244"/>
      <c r="SFA39" s="244"/>
      <c r="SFB39" s="244"/>
      <c r="SFC39" s="244"/>
      <c r="SFD39" s="244"/>
      <c r="SFE39" s="244"/>
      <c r="SFF39" s="244"/>
      <c r="SFG39" s="244"/>
      <c r="SFH39" s="244"/>
      <c r="SFI39" s="244"/>
      <c r="SFJ39" s="244"/>
      <c r="SFK39" s="244"/>
      <c r="SFL39" s="244"/>
      <c r="SFM39" s="244"/>
      <c r="SFN39" s="244"/>
      <c r="SFO39" s="244"/>
      <c r="SFP39" s="244"/>
      <c r="SFQ39" s="244"/>
      <c r="SFR39" s="244"/>
      <c r="SFS39" s="244"/>
      <c r="SFT39" s="244"/>
      <c r="SFU39" s="244"/>
      <c r="SFV39" s="244"/>
      <c r="SFW39" s="244"/>
      <c r="SFX39" s="244"/>
      <c r="SFY39" s="244"/>
      <c r="SFZ39" s="244"/>
      <c r="SGA39" s="244"/>
      <c r="SGB39" s="244"/>
      <c r="SGC39" s="244"/>
      <c r="SGD39" s="244"/>
      <c r="SGE39" s="244"/>
      <c r="SGF39" s="244"/>
      <c r="SGG39" s="244"/>
      <c r="SGH39" s="244"/>
      <c r="SGI39" s="244"/>
      <c r="SGJ39" s="244"/>
      <c r="SGK39" s="244"/>
      <c r="SGL39" s="244"/>
      <c r="SGM39" s="244"/>
      <c r="SGN39" s="244"/>
      <c r="SGO39" s="244"/>
      <c r="SGP39" s="244"/>
      <c r="SGQ39" s="244"/>
      <c r="SGR39" s="244"/>
      <c r="SGS39" s="244"/>
      <c r="SGT39" s="244"/>
      <c r="SGU39" s="244"/>
      <c r="SGV39" s="244"/>
      <c r="SGW39" s="244"/>
      <c r="SGX39" s="244"/>
      <c r="SGY39" s="244"/>
      <c r="SGZ39" s="244"/>
      <c r="SHA39" s="244"/>
      <c r="SHB39" s="244"/>
      <c r="SHC39" s="244"/>
      <c r="SHD39" s="244"/>
      <c r="SHE39" s="244"/>
      <c r="SHF39" s="244"/>
      <c r="SHG39" s="244"/>
      <c r="SHH39" s="244"/>
      <c r="SHI39" s="244"/>
      <c r="SHJ39" s="244"/>
      <c r="SHK39" s="244"/>
      <c r="SHL39" s="244"/>
      <c r="SHM39" s="244"/>
      <c r="SHN39" s="244"/>
      <c r="SHO39" s="244"/>
      <c r="SHP39" s="244"/>
      <c r="SHQ39" s="244"/>
      <c r="SHR39" s="244"/>
      <c r="SHS39" s="244"/>
      <c r="SHT39" s="244"/>
      <c r="SHU39" s="244"/>
      <c r="SHV39" s="244"/>
      <c r="SHW39" s="244"/>
      <c r="SHX39" s="244"/>
      <c r="SHY39" s="244"/>
      <c r="SHZ39" s="244"/>
      <c r="SIA39" s="244"/>
      <c r="SIB39" s="244"/>
      <c r="SIC39" s="244"/>
      <c r="SID39" s="244"/>
      <c r="SIE39" s="244"/>
      <c r="SIF39" s="244"/>
      <c r="SIG39" s="244"/>
      <c r="SIH39" s="244"/>
      <c r="SII39" s="244"/>
      <c r="SIJ39" s="244"/>
      <c r="SIK39" s="244"/>
      <c r="SIL39" s="244"/>
      <c r="SIM39" s="244"/>
      <c r="SIN39" s="244"/>
      <c r="SIO39" s="244"/>
      <c r="SIP39" s="244"/>
      <c r="SIQ39" s="244"/>
      <c r="SIR39" s="244"/>
      <c r="SIS39" s="244"/>
      <c r="SIT39" s="244"/>
      <c r="SIU39" s="244"/>
      <c r="SIV39" s="244"/>
      <c r="SIW39" s="244"/>
      <c r="SIX39" s="244"/>
      <c r="SIY39" s="244"/>
      <c r="SIZ39" s="244"/>
      <c r="SJA39" s="244"/>
      <c r="SJB39" s="244"/>
      <c r="SJC39" s="244"/>
      <c r="SJD39" s="244"/>
      <c r="SJE39" s="244"/>
      <c r="SJF39" s="244"/>
      <c r="SJG39" s="244"/>
      <c r="SJH39" s="244"/>
      <c r="SJI39" s="244"/>
      <c r="SJJ39" s="244"/>
      <c r="SJK39" s="244"/>
      <c r="SJL39" s="244"/>
      <c r="SJM39" s="244"/>
      <c r="SJN39" s="244"/>
      <c r="SJO39" s="244"/>
      <c r="SJP39" s="244"/>
      <c r="SJQ39" s="244"/>
      <c r="SJR39" s="244"/>
      <c r="SJS39" s="244"/>
      <c r="SJT39" s="244"/>
      <c r="SJU39" s="244"/>
      <c r="SJV39" s="244"/>
      <c r="SJW39" s="244"/>
      <c r="SJX39" s="244"/>
      <c r="SJY39" s="244"/>
      <c r="SJZ39" s="244"/>
      <c r="SKA39" s="244"/>
      <c r="SKB39" s="244"/>
      <c r="SKC39" s="244"/>
      <c r="SKD39" s="244"/>
      <c r="SKE39" s="244"/>
      <c r="SKF39" s="244"/>
      <c r="SKG39" s="244"/>
      <c r="SKH39" s="244"/>
      <c r="SKI39" s="244"/>
      <c r="SKJ39" s="244"/>
      <c r="SKK39" s="244"/>
      <c r="SKL39" s="244"/>
      <c r="SKM39" s="244"/>
      <c r="SKN39" s="244"/>
      <c r="SKO39" s="244"/>
      <c r="SKP39" s="244"/>
      <c r="SKQ39" s="244"/>
      <c r="SKR39" s="244"/>
      <c r="SKS39" s="244"/>
      <c r="SKT39" s="244"/>
      <c r="SKU39" s="244"/>
      <c r="SKV39" s="244"/>
      <c r="SKW39" s="244"/>
      <c r="SKX39" s="244"/>
      <c r="SKY39" s="244"/>
      <c r="SKZ39" s="244"/>
      <c r="SLA39" s="244"/>
      <c r="SLB39" s="244"/>
      <c r="SLC39" s="244"/>
      <c r="SLD39" s="244"/>
      <c r="SLE39" s="244"/>
      <c r="SLF39" s="244"/>
      <c r="SLG39" s="244"/>
      <c r="SLH39" s="244"/>
      <c r="SLI39" s="244"/>
      <c r="SLJ39" s="244"/>
      <c r="SLK39" s="244"/>
      <c r="SLL39" s="244"/>
      <c r="SLM39" s="244"/>
      <c r="SLN39" s="244"/>
      <c r="SLO39" s="244"/>
      <c r="SLP39" s="244"/>
      <c r="SLQ39" s="244"/>
      <c r="SLR39" s="244"/>
      <c r="SLS39" s="244"/>
      <c r="SLT39" s="244"/>
      <c r="SLU39" s="244"/>
      <c r="SLV39" s="244"/>
      <c r="SLW39" s="244"/>
      <c r="SLX39" s="244"/>
      <c r="SLY39" s="244"/>
      <c r="SLZ39" s="244"/>
      <c r="SMA39" s="244"/>
      <c r="SMB39" s="244"/>
      <c r="SMC39" s="244"/>
      <c r="SMD39" s="244"/>
      <c r="SME39" s="244"/>
      <c r="SMF39" s="244"/>
      <c r="SMG39" s="244"/>
      <c r="SMH39" s="244"/>
      <c r="SMI39" s="244"/>
      <c r="SMJ39" s="244"/>
      <c r="SMK39" s="244"/>
      <c r="SML39" s="244"/>
      <c r="SMM39" s="244"/>
      <c r="SMN39" s="244"/>
      <c r="SMO39" s="244"/>
      <c r="SMP39" s="244"/>
      <c r="SMQ39" s="244"/>
      <c r="SMR39" s="244"/>
      <c r="SMS39" s="244"/>
      <c r="SMT39" s="244"/>
      <c r="SMU39" s="244"/>
      <c r="SMV39" s="244"/>
      <c r="SMW39" s="244"/>
      <c r="SMX39" s="244"/>
      <c r="SMY39" s="244"/>
      <c r="SMZ39" s="244"/>
      <c r="SNA39" s="244"/>
      <c r="SNB39" s="244"/>
      <c r="SNC39" s="244"/>
      <c r="SND39" s="244"/>
      <c r="SNE39" s="244"/>
      <c r="SNF39" s="244"/>
      <c r="SNG39" s="244"/>
      <c r="SNH39" s="244"/>
      <c r="SNI39" s="244"/>
      <c r="SNJ39" s="244"/>
      <c r="SNK39" s="244"/>
      <c r="SNL39" s="244"/>
      <c r="SNM39" s="244"/>
      <c r="SNN39" s="244"/>
      <c r="SNO39" s="244"/>
      <c r="SNP39" s="244"/>
      <c r="SNQ39" s="244"/>
      <c r="SNR39" s="244"/>
      <c r="SNS39" s="244"/>
      <c r="SNT39" s="244"/>
      <c r="SNU39" s="244"/>
      <c r="SNV39" s="244"/>
      <c r="SNW39" s="244"/>
      <c r="SNX39" s="244"/>
      <c r="SNY39" s="244"/>
      <c r="SNZ39" s="244"/>
      <c r="SOA39" s="244"/>
      <c r="SOB39" s="244"/>
      <c r="SOC39" s="244"/>
      <c r="SOD39" s="244"/>
      <c r="SOE39" s="244"/>
      <c r="SOF39" s="244"/>
      <c r="SOG39" s="244"/>
      <c r="SOH39" s="244"/>
      <c r="SOI39" s="244"/>
      <c r="SOJ39" s="244"/>
      <c r="SOK39" s="244"/>
      <c r="SOL39" s="244"/>
      <c r="SOM39" s="244"/>
      <c r="SON39" s="244"/>
      <c r="SOO39" s="244"/>
      <c r="SOP39" s="244"/>
      <c r="SOQ39" s="244"/>
      <c r="SOR39" s="244"/>
      <c r="SOS39" s="244"/>
      <c r="SOT39" s="244"/>
      <c r="SOU39" s="244"/>
      <c r="SOV39" s="244"/>
      <c r="SOW39" s="244"/>
      <c r="SOX39" s="244"/>
      <c r="SOY39" s="244"/>
      <c r="SOZ39" s="244"/>
      <c r="SPA39" s="244"/>
      <c r="SPB39" s="244"/>
      <c r="SPC39" s="244"/>
      <c r="SPD39" s="244"/>
      <c r="SPE39" s="244"/>
      <c r="SPF39" s="244"/>
      <c r="SPG39" s="244"/>
      <c r="SPH39" s="244"/>
      <c r="SPI39" s="244"/>
      <c r="SPJ39" s="244"/>
      <c r="SPK39" s="244"/>
      <c r="SPL39" s="244"/>
      <c r="SPM39" s="244"/>
      <c r="SPN39" s="244"/>
      <c r="SPO39" s="244"/>
      <c r="SPP39" s="244"/>
      <c r="SPQ39" s="244"/>
      <c r="SPR39" s="244"/>
      <c r="SPS39" s="244"/>
      <c r="SPT39" s="244"/>
      <c r="SPU39" s="244"/>
      <c r="SPV39" s="244"/>
      <c r="SPW39" s="244"/>
      <c r="SPX39" s="244"/>
      <c r="SPY39" s="244"/>
      <c r="SPZ39" s="244"/>
      <c r="SQA39" s="244"/>
      <c r="SQB39" s="244"/>
      <c r="SQC39" s="244"/>
      <c r="SQD39" s="244"/>
      <c r="SQE39" s="244"/>
      <c r="SQF39" s="244"/>
      <c r="SQG39" s="244"/>
      <c r="SQH39" s="244"/>
      <c r="SQI39" s="244"/>
      <c r="SQJ39" s="244"/>
      <c r="SQK39" s="244"/>
      <c r="SQL39" s="244"/>
      <c r="SQM39" s="244"/>
      <c r="SQN39" s="244"/>
      <c r="SQO39" s="244"/>
      <c r="SQP39" s="244"/>
      <c r="SQQ39" s="244"/>
      <c r="SQR39" s="244"/>
      <c r="SQS39" s="244"/>
      <c r="SQT39" s="244"/>
      <c r="SQU39" s="244"/>
      <c r="SQV39" s="244"/>
      <c r="SQW39" s="244"/>
      <c r="SQX39" s="244"/>
      <c r="SQY39" s="244"/>
      <c r="SQZ39" s="244"/>
      <c r="SRA39" s="244"/>
      <c r="SRB39" s="244"/>
      <c r="SRC39" s="244"/>
      <c r="SRD39" s="244"/>
      <c r="SRE39" s="244"/>
      <c r="SRF39" s="244"/>
      <c r="SRG39" s="244"/>
      <c r="SRH39" s="244"/>
      <c r="SRI39" s="244"/>
      <c r="SRJ39" s="244"/>
      <c r="SRK39" s="244"/>
      <c r="SRL39" s="244"/>
      <c r="SRM39" s="244"/>
      <c r="SRN39" s="244"/>
      <c r="SRO39" s="244"/>
      <c r="SRP39" s="244"/>
      <c r="SRQ39" s="244"/>
      <c r="SRR39" s="244"/>
      <c r="SRS39" s="244"/>
      <c r="SRT39" s="244"/>
      <c r="SRU39" s="244"/>
      <c r="SRV39" s="244"/>
      <c r="SRW39" s="244"/>
      <c r="SRX39" s="244"/>
      <c r="SRY39" s="244"/>
      <c r="SRZ39" s="244"/>
      <c r="SSA39" s="244"/>
      <c r="SSB39" s="244"/>
      <c r="SSC39" s="244"/>
      <c r="SSD39" s="244"/>
      <c r="SSE39" s="244"/>
      <c r="SSF39" s="244"/>
      <c r="SSG39" s="244"/>
      <c r="SSH39" s="244"/>
      <c r="SSI39" s="244"/>
      <c r="SSJ39" s="244"/>
      <c r="SSK39" s="244"/>
      <c r="SSL39" s="244"/>
      <c r="SSM39" s="244"/>
      <c r="SSN39" s="244"/>
      <c r="SSO39" s="244"/>
      <c r="SSP39" s="244"/>
      <c r="SSQ39" s="244"/>
      <c r="SSR39" s="244"/>
      <c r="SSS39" s="244"/>
      <c r="SST39" s="244"/>
      <c r="SSU39" s="244"/>
      <c r="SSV39" s="244"/>
      <c r="SSW39" s="244"/>
      <c r="SSX39" s="244"/>
      <c r="SSY39" s="244"/>
      <c r="SSZ39" s="244"/>
      <c r="STA39" s="244"/>
      <c r="STB39" s="244"/>
      <c r="STC39" s="244"/>
      <c r="STD39" s="244"/>
      <c r="STE39" s="244"/>
      <c r="STF39" s="244"/>
      <c r="STG39" s="244"/>
      <c r="STH39" s="244"/>
      <c r="STI39" s="244"/>
      <c r="STJ39" s="244"/>
      <c r="STK39" s="244"/>
      <c r="STL39" s="244"/>
      <c r="STM39" s="244"/>
      <c r="STN39" s="244"/>
      <c r="STO39" s="244"/>
      <c r="STP39" s="244"/>
      <c r="STQ39" s="244"/>
      <c r="STR39" s="244"/>
      <c r="STS39" s="244"/>
      <c r="STT39" s="244"/>
      <c r="STU39" s="244"/>
      <c r="STV39" s="244"/>
      <c r="STW39" s="244"/>
      <c r="STX39" s="244"/>
      <c r="STY39" s="244"/>
      <c r="STZ39" s="244"/>
      <c r="SUA39" s="244"/>
      <c r="SUB39" s="244"/>
      <c r="SUC39" s="244"/>
      <c r="SUD39" s="244"/>
      <c r="SUE39" s="244"/>
      <c r="SUF39" s="244"/>
      <c r="SUG39" s="244"/>
      <c r="SUH39" s="244"/>
      <c r="SUI39" s="244"/>
      <c r="SUJ39" s="244"/>
      <c r="SUK39" s="244"/>
      <c r="SUL39" s="244"/>
      <c r="SUM39" s="244"/>
      <c r="SUN39" s="244"/>
      <c r="SUO39" s="244"/>
      <c r="SUP39" s="244"/>
      <c r="SUQ39" s="244"/>
      <c r="SUR39" s="244"/>
      <c r="SUS39" s="244"/>
      <c r="SUT39" s="244"/>
      <c r="SUU39" s="244"/>
      <c r="SUV39" s="244"/>
      <c r="SUW39" s="244"/>
      <c r="SUX39" s="244"/>
      <c r="SUY39" s="244"/>
      <c r="SUZ39" s="244"/>
      <c r="SVA39" s="244"/>
      <c r="SVB39" s="244"/>
      <c r="SVC39" s="244"/>
      <c r="SVD39" s="244"/>
      <c r="SVE39" s="244"/>
      <c r="SVF39" s="244"/>
      <c r="SVG39" s="244"/>
      <c r="SVH39" s="244"/>
      <c r="SVI39" s="244"/>
      <c r="SVJ39" s="244"/>
      <c r="SVK39" s="244"/>
      <c r="SVL39" s="244"/>
      <c r="SVM39" s="244"/>
      <c r="SVN39" s="244"/>
      <c r="SVO39" s="244"/>
      <c r="SVP39" s="244"/>
      <c r="SVQ39" s="244"/>
      <c r="SVR39" s="244"/>
      <c r="SVS39" s="244"/>
      <c r="SVT39" s="244"/>
      <c r="SVU39" s="244"/>
      <c r="SVV39" s="244"/>
      <c r="SVW39" s="244"/>
      <c r="SVX39" s="244"/>
      <c r="SVY39" s="244"/>
      <c r="SVZ39" s="244"/>
      <c r="SWA39" s="244"/>
      <c r="SWB39" s="244"/>
      <c r="SWC39" s="244"/>
      <c r="SWD39" s="244"/>
      <c r="SWE39" s="244"/>
      <c r="SWF39" s="244"/>
      <c r="SWG39" s="244"/>
      <c r="SWH39" s="244"/>
      <c r="SWI39" s="244"/>
      <c r="SWJ39" s="244"/>
      <c r="SWK39" s="244"/>
      <c r="SWL39" s="244"/>
      <c r="SWM39" s="244"/>
      <c r="SWN39" s="244"/>
      <c r="SWO39" s="244"/>
      <c r="SWP39" s="244"/>
      <c r="SWQ39" s="244"/>
      <c r="SWR39" s="244"/>
      <c r="SWS39" s="244"/>
      <c r="SWT39" s="244"/>
      <c r="SWU39" s="244"/>
      <c r="SWV39" s="244"/>
      <c r="SWW39" s="244"/>
      <c r="SWX39" s="244"/>
      <c r="SWY39" s="244"/>
      <c r="SWZ39" s="244"/>
      <c r="SXA39" s="244"/>
      <c r="SXB39" s="244"/>
      <c r="SXC39" s="244"/>
      <c r="SXD39" s="244"/>
      <c r="SXE39" s="244"/>
      <c r="SXF39" s="244"/>
      <c r="SXG39" s="244"/>
      <c r="SXH39" s="244"/>
      <c r="SXI39" s="244"/>
      <c r="SXJ39" s="244"/>
      <c r="SXK39" s="244"/>
      <c r="SXL39" s="244"/>
      <c r="SXM39" s="244"/>
      <c r="SXN39" s="244"/>
      <c r="SXO39" s="244"/>
      <c r="SXP39" s="244"/>
      <c r="SXQ39" s="244"/>
      <c r="SXR39" s="244"/>
      <c r="SXS39" s="244"/>
      <c r="SXT39" s="244"/>
      <c r="SXU39" s="244"/>
      <c r="SXV39" s="244"/>
      <c r="SXW39" s="244"/>
      <c r="SXX39" s="244"/>
      <c r="SXY39" s="244"/>
      <c r="SXZ39" s="244"/>
      <c r="SYA39" s="244"/>
      <c r="SYB39" s="244"/>
      <c r="SYC39" s="244"/>
      <c r="SYD39" s="244"/>
      <c r="SYE39" s="244"/>
      <c r="SYF39" s="244"/>
      <c r="SYG39" s="244"/>
      <c r="SYH39" s="244"/>
      <c r="SYI39" s="244"/>
      <c r="SYJ39" s="244"/>
      <c r="SYK39" s="244"/>
      <c r="SYL39" s="244"/>
      <c r="SYM39" s="244"/>
      <c r="SYN39" s="244"/>
      <c r="SYO39" s="244"/>
      <c r="SYP39" s="244"/>
      <c r="SYQ39" s="244"/>
      <c r="SYR39" s="244"/>
      <c r="SYS39" s="244"/>
      <c r="SYT39" s="244"/>
      <c r="SYU39" s="244"/>
      <c r="SYV39" s="244"/>
      <c r="SYW39" s="244"/>
      <c r="SYX39" s="244"/>
      <c r="SYY39" s="244"/>
      <c r="SYZ39" s="244"/>
      <c r="SZA39" s="244"/>
      <c r="SZB39" s="244"/>
      <c r="SZC39" s="244"/>
      <c r="SZD39" s="244"/>
      <c r="SZE39" s="244"/>
      <c r="SZF39" s="244"/>
      <c r="SZG39" s="244"/>
      <c r="SZH39" s="244"/>
      <c r="SZI39" s="244"/>
      <c r="SZJ39" s="244"/>
      <c r="SZK39" s="244"/>
      <c r="SZL39" s="244"/>
      <c r="SZM39" s="244"/>
      <c r="SZN39" s="244"/>
      <c r="SZO39" s="244"/>
      <c r="SZP39" s="244"/>
      <c r="SZQ39" s="244"/>
      <c r="SZR39" s="244"/>
      <c r="SZS39" s="244"/>
      <c r="SZT39" s="244"/>
      <c r="SZU39" s="244"/>
      <c r="SZV39" s="244"/>
      <c r="SZW39" s="244"/>
      <c r="SZX39" s="244"/>
      <c r="SZY39" s="244"/>
      <c r="SZZ39" s="244"/>
      <c r="TAA39" s="244"/>
      <c r="TAB39" s="244"/>
      <c r="TAC39" s="244"/>
      <c r="TAD39" s="244"/>
      <c r="TAE39" s="244"/>
      <c r="TAF39" s="244"/>
      <c r="TAG39" s="244"/>
      <c r="TAH39" s="244"/>
      <c r="TAI39" s="244"/>
      <c r="TAJ39" s="244"/>
      <c r="TAK39" s="244"/>
      <c r="TAL39" s="244"/>
      <c r="TAM39" s="244"/>
      <c r="TAN39" s="244"/>
      <c r="TAO39" s="244"/>
      <c r="TAP39" s="244"/>
      <c r="TAQ39" s="244"/>
      <c r="TAR39" s="244"/>
      <c r="TAS39" s="244"/>
      <c r="TAT39" s="244"/>
      <c r="TAU39" s="244"/>
      <c r="TAV39" s="244"/>
      <c r="TAW39" s="244"/>
      <c r="TAX39" s="244"/>
      <c r="TAY39" s="244"/>
      <c r="TAZ39" s="244"/>
      <c r="TBA39" s="244"/>
      <c r="TBB39" s="244"/>
      <c r="TBC39" s="244"/>
      <c r="TBD39" s="244"/>
      <c r="TBE39" s="244"/>
      <c r="TBF39" s="244"/>
      <c r="TBG39" s="244"/>
      <c r="TBH39" s="244"/>
      <c r="TBI39" s="244"/>
      <c r="TBJ39" s="244"/>
      <c r="TBK39" s="244"/>
      <c r="TBL39" s="244"/>
      <c r="TBM39" s="244"/>
      <c r="TBN39" s="244"/>
      <c r="TBO39" s="244"/>
      <c r="TBP39" s="244"/>
      <c r="TBQ39" s="244"/>
      <c r="TBR39" s="244"/>
      <c r="TBS39" s="244"/>
      <c r="TBT39" s="244"/>
      <c r="TBU39" s="244"/>
      <c r="TBV39" s="244"/>
      <c r="TBW39" s="244"/>
      <c r="TBX39" s="244"/>
      <c r="TBY39" s="244"/>
      <c r="TBZ39" s="244"/>
      <c r="TCA39" s="244"/>
      <c r="TCB39" s="244"/>
      <c r="TCC39" s="244"/>
      <c r="TCD39" s="244"/>
      <c r="TCE39" s="244"/>
      <c r="TCF39" s="244"/>
      <c r="TCG39" s="244"/>
      <c r="TCH39" s="244"/>
      <c r="TCI39" s="244"/>
      <c r="TCJ39" s="244"/>
      <c r="TCK39" s="244"/>
      <c r="TCL39" s="244"/>
      <c r="TCM39" s="244"/>
      <c r="TCN39" s="244"/>
      <c r="TCO39" s="244"/>
      <c r="TCP39" s="244"/>
      <c r="TCQ39" s="244"/>
      <c r="TCR39" s="244"/>
      <c r="TCS39" s="244"/>
      <c r="TCT39" s="244"/>
      <c r="TCU39" s="244"/>
      <c r="TCV39" s="244"/>
      <c r="TCW39" s="244"/>
      <c r="TCX39" s="244"/>
      <c r="TCY39" s="244"/>
      <c r="TCZ39" s="244"/>
      <c r="TDA39" s="244"/>
      <c r="TDB39" s="244"/>
      <c r="TDC39" s="244"/>
      <c r="TDD39" s="244"/>
      <c r="TDE39" s="244"/>
      <c r="TDF39" s="244"/>
      <c r="TDG39" s="244"/>
      <c r="TDH39" s="244"/>
      <c r="TDI39" s="244"/>
      <c r="TDJ39" s="244"/>
      <c r="TDK39" s="244"/>
      <c r="TDL39" s="244"/>
      <c r="TDM39" s="244"/>
      <c r="TDN39" s="244"/>
      <c r="TDO39" s="244"/>
      <c r="TDP39" s="244"/>
      <c r="TDQ39" s="244"/>
      <c r="TDR39" s="244"/>
      <c r="TDS39" s="244"/>
      <c r="TDT39" s="244"/>
      <c r="TDU39" s="244"/>
      <c r="TDV39" s="244"/>
      <c r="TDW39" s="244"/>
      <c r="TDX39" s="244"/>
      <c r="TDY39" s="244"/>
      <c r="TDZ39" s="244"/>
      <c r="TEA39" s="244"/>
      <c r="TEB39" s="244"/>
      <c r="TEC39" s="244"/>
      <c r="TED39" s="244"/>
      <c r="TEE39" s="244"/>
      <c r="TEF39" s="244"/>
      <c r="TEG39" s="244"/>
      <c r="TEH39" s="244"/>
      <c r="TEI39" s="244"/>
      <c r="TEJ39" s="244"/>
      <c r="TEK39" s="244"/>
      <c r="TEL39" s="244"/>
      <c r="TEM39" s="244"/>
      <c r="TEN39" s="244"/>
      <c r="TEO39" s="244"/>
      <c r="TEP39" s="244"/>
      <c r="TEQ39" s="244"/>
      <c r="TER39" s="244"/>
      <c r="TES39" s="244"/>
      <c r="TET39" s="244"/>
      <c r="TEU39" s="244"/>
      <c r="TEV39" s="244"/>
      <c r="TEW39" s="244"/>
      <c r="TEX39" s="244"/>
      <c r="TEY39" s="244"/>
      <c r="TEZ39" s="244"/>
      <c r="TFA39" s="244"/>
      <c r="TFB39" s="244"/>
      <c r="TFC39" s="244"/>
      <c r="TFD39" s="244"/>
      <c r="TFE39" s="244"/>
      <c r="TFF39" s="244"/>
      <c r="TFG39" s="244"/>
      <c r="TFH39" s="244"/>
      <c r="TFI39" s="244"/>
      <c r="TFJ39" s="244"/>
      <c r="TFK39" s="244"/>
      <c r="TFL39" s="244"/>
      <c r="TFM39" s="244"/>
      <c r="TFN39" s="244"/>
      <c r="TFO39" s="244"/>
      <c r="TFP39" s="244"/>
      <c r="TFQ39" s="244"/>
      <c r="TFR39" s="244"/>
      <c r="TFS39" s="244"/>
      <c r="TFT39" s="244"/>
      <c r="TFU39" s="244"/>
      <c r="TFV39" s="244"/>
      <c r="TFW39" s="244"/>
      <c r="TFX39" s="244"/>
      <c r="TFY39" s="244"/>
      <c r="TFZ39" s="244"/>
      <c r="TGA39" s="244"/>
      <c r="TGB39" s="244"/>
      <c r="TGC39" s="244"/>
      <c r="TGD39" s="244"/>
      <c r="TGE39" s="244"/>
      <c r="TGF39" s="244"/>
      <c r="TGG39" s="244"/>
      <c r="TGH39" s="244"/>
      <c r="TGI39" s="244"/>
      <c r="TGJ39" s="244"/>
      <c r="TGK39" s="244"/>
      <c r="TGL39" s="244"/>
      <c r="TGM39" s="244"/>
      <c r="TGN39" s="244"/>
      <c r="TGO39" s="244"/>
      <c r="TGP39" s="244"/>
      <c r="TGQ39" s="244"/>
      <c r="TGR39" s="244"/>
      <c r="TGS39" s="244"/>
      <c r="TGT39" s="244"/>
      <c r="TGU39" s="244"/>
      <c r="TGV39" s="244"/>
      <c r="TGW39" s="244"/>
      <c r="TGX39" s="244"/>
      <c r="TGY39" s="244"/>
      <c r="TGZ39" s="244"/>
      <c r="THA39" s="244"/>
      <c r="THB39" s="244"/>
      <c r="THC39" s="244"/>
      <c r="THD39" s="244"/>
      <c r="THE39" s="244"/>
      <c r="THF39" s="244"/>
      <c r="THG39" s="244"/>
      <c r="THH39" s="244"/>
      <c r="THI39" s="244"/>
      <c r="THJ39" s="244"/>
      <c r="THK39" s="244"/>
      <c r="THL39" s="244"/>
      <c r="THM39" s="244"/>
      <c r="THN39" s="244"/>
      <c r="THO39" s="244"/>
      <c r="THP39" s="244"/>
      <c r="THQ39" s="244"/>
      <c r="THR39" s="244"/>
      <c r="THS39" s="244"/>
      <c r="THT39" s="244"/>
      <c r="THU39" s="244"/>
      <c r="THV39" s="244"/>
      <c r="THW39" s="244"/>
      <c r="THX39" s="244"/>
      <c r="THY39" s="244"/>
      <c r="THZ39" s="244"/>
      <c r="TIA39" s="244"/>
      <c r="TIB39" s="244"/>
      <c r="TIC39" s="244"/>
      <c r="TID39" s="244"/>
      <c r="TIE39" s="244"/>
      <c r="TIF39" s="244"/>
      <c r="TIG39" s="244"/>
      <c r="TIH39" s="244"/>
      <c r="TII39" s="244"/>
      <c r="TIJ39" s="244"/>
      <c r="TIK39" s="244"/>
      <c r="TIL39" s="244"/>
      <c r="TIM39" s="244"/>
      <c r="TIN39" s="244"/>
      <c r="TIO39" s="244"/>
      <c r="TIP39" s="244"/>
      <c r="TIQ39" s="244"/>
      <c r="TIR39" s="244"/>
      <c r="TIS39" s="244"/>
      <c r="TIT39" s="244"/>
      <c r="TIU39" s="244"/>
      <c r="TIV39" s="244"/>
      <c r="TIW39" s="244"/>
      <c r="TIX39" s="244"/>
      <c r="TIY39" s="244"/>
      <c r="TIZ39" s="244"/>
      <c r="TJA39" s="244"/>
      <c r="TJB39" s="244"/>
      <c r="TJC39" s="244"/>
      <c r="TJD39" s="244"/>
      <c r="TJE39" s="244"/>
      <c r="TJF39" s="244"/>
      <c r="TJG39" s="244"/>
      <c r="TJH39" s="244"/>
      <c r="TJI39" s="244"/>
      <c r="TJJ39" s="244"/>
      <c r="TJK39" s="244"/>
      <c r="TJL39" s="244"/>
      <c r="TJM39" s="244"/>
      <c r="TJN39" s="244"/>
      <c r="TJO39" s="244"/>
      <c r="TJP39" s="244"/>
      <c r="TJQ39" s="244"/>
      <c r="TJR39" s="244"/>
      <c r="TJS39" s="244"/>
      <c r="TJT39" s="244"/>
      <c r="TJU39" s="244"/>
      <c r="TJV39" s="244"/>
      <c r="TJW39" s="244"/>
      <c r="TJX39" s="244"/>
      <c r="TJY39" s="244"/>
      <c r="TJZ39" s="244"/>
      <c r="TKA39" s="244"/>
      <c r="TKB39" s="244"/>
      <c r="TKC39" s="244"/>
      <c r="TKD39" s="244"/>
      <c r="TKE39" s="244"/>
      <c r="TKF39" s="244"/>
      <c r="TKG39" s="244"/>
      <c r="TKH39" s="244"/>
      <c r="TKI39" s="244"/>
      <c r="TKJ39" s="244"/>
      <c r="TKK39" s="244"/>
      <c r="TKL39" s="244"/>
      <c r="TKM39" s="244"/>
      <c r="TKN39" s="244"/>
      <c r="TKO39" s="244"/>
      <c r="TKP39" s="244"/>
      <c r="TKQ39" s="244"/>
      <c r="TKR39" s="244"/>
      <c r="TKS39" s="244"/>
      <c r="TKT39" s="244"/>
      <c r="TKU39" s="244"/>
      <c r="TKV39" s="244"/>
      <c r="TKW39" s="244"/>
      <c r="TKX39" s="244"/>
      <c r="TKY39" s="244"/>
      <c r="TKZ39" s="244"/>
      <c r="TLA39" s="244"/>
      <c r="TLB39" s="244"/>
      <c r="TLC39" s="244"/>
      <c r="TLD39" s="244"/>
      <c r="TLE39" s="244"/>
      <c r="TLF39" s="244"/>
      <c r="TLG39" s="244"/>
      <c r="TLH39" s="244"/>
      <c r="TLI39" s="244"/>
      <c r="TLJ39" s="244"/>
      <c r="TLK39" s="244"/>
      <c r="TLL39" s="244"/>
      <c r="TLM39" s="244"/>
      <c r="TLN39" s="244"/>
      <c r="TLO39" s="244"/>
      <c r="TLP39" s="244"/>
      <c r="TLQ39" s="244"/>
      <c r="TLR39" s="244"/>
      <c r="TLS39" s="244"/>
      <c r="TLT39" s="244"/>
      <c r="TLU39" s="244"/>
      <c r="TLV39" s="244"/>
      <c r="TLW39" s="244"/>
      <c r="TLX39" s="244"/>
      <c r="TLY39" s="244"/>
      <c r="TLZ39" s="244"/>
      <c r="TMA39" s="244"/>
      <c r="TMB39" s="244"/>
      <c r="TMC39" s="244"/>
      <c r="TMD39" s="244"/>
      <c r="TME39" s="244"/>
      <c r="TMF39" s="244"/>
      <c r="TMG39" s="244"/>
      <c r="TMH39" s="244"/>
      <c r="TMI39" s="244"/>
      <c r="TMJ39" s="244"/>
      <c r="TMK39" s="244"/>
      <c r="TML39" s="244"/>
      <c r="TMM39" s="244"/>
      <c r="TMN39" s="244"/>
      <c r="TMO39" s="244"/>
      <c r="TMP39" s="244"/>
      <c r="TMQ39" s="244"/>
      <c r="TMR39" s="244"/>
      <c r="TMS39" s="244"/>
      <c r="TMT39" s="244"/>
      <c r="TMU39" s="244"/>
      <c r="TMV39" s="244"/>
      <c r="TMW39" s="244"/>
      <c r="TMX39" s="244"/>
      <c r="TMY39" s="244"/>
      <c r="TMZ39" s="244"/>
      <c r="TNA39" s="244"/>
      <c r="TNB39" s="244"/>
      <c r="TNC39" s="244"/>
      <c r="TND39" s="244"/>
      <c r="TNE39" s="244"/>
      <c r="TNF39" s="244"/>
      <c r="TNG39" s="244"/>
      <c r="TNH39" s="244"/>
      <c r="TNI39" s="244"/>
      <c r="TNJ39" s="244"/>
      <c r="TNK39" s="244"/>
      <c r="TNL39" s="244"/>
      <c r="TNM39" s="244"/>
      <c r="TNN39" s="244"/>
      <c r="TNO39" s="244"/>
      <c r="TNP39" s="244"/>
      <c r="TNQ39" s="244"/>
      <c r="TNR39" s="244"/>
      <c r="TNS39" s="244"/>
      <c r="TNT39" s="244"/>
      <c r="TNU39" s="244"/>
      <c r="TNV39" s="244"/>
      <c r="TNW39" s="244"/>
      <c r="TNX39" s="244"/>
      <c r="TNY39" s="244"/>
      <c r="TNZ39" s="244"/>
      <c r="TOA39" s="244"/>
      <c r="TOB39" s="244"/>
      <c r="TOC39" s="244"/>
      <c r="TOD39" s="244"/>
      <c r="TOE39" s="244"/>
      <c r="TOF39" s="244"/>
      <c r="TOG39" s="244"/>
      <c r="TOH39" s="244"/>
      <c r="TOI39" s="244"/>
      <c r="TOJ39" s="244"/>
      <c r="TOK39" s="244"/>
      <c r="TOL39" s="244"/>
      <c r="TOM39" s="244"/>
      <c r="TON39" s="244"/>
      <c r="TOO39" s="244"/>
      <c r="TOP39" s="244"/>
      <c r="TOQ39" s="244"/>
      <c r="TOR39" s="244"/>
      <c r="TOS39" s="244"/>
      <c r="TOT39" s="244"/>
      <c r="TOU39" s="244"/>
      <c r="TOV39" s="244"/>
      <c r="TOW39" s="244"/>
      <c r="TOX39" s="244"/>
      <c r="TOY39" s="244"/>
      <c r="TOZ39" s="244"/>
      <c r="TPA39" s="244"/>
      <c r="TPB39" s="244"/>
      <c r="TPC39" s="244"/>
      <c r="TPD39" s="244"/>
      <c r="TPE39" s="244"/>
      <c r="TPF39" s="244"/>
      <c r="TPG39" s="244"/>
      <c r="TPH39" s="244"/>
      <c r="TPI39" s="244"/>
      <c r="TPJ39" s="244"/>
      <c r="TPK39" s="244"/>
      <c r="TPL39" s="244"/>
      <c r="TPM39" s="244"/>
      <c r="TPN39" s="244"/>
      <c r="TPO39" s="244"/>
      <c r="TPP39" s="244"/>
      <c r="TPQ39" s="244"/>
      <c r="TPR39" s="244"/>
      <c r="TPS39" s="244"/>
      <c r="TPT39" s="244"/>
      <c r="TPU39" s="244"/>
      <c r="TPV39" s="244"/>
      <c r="TPW39" s="244"/>
      <c r="TPX39" s="244"/>
      <c r="TPY39" s="244"/>
      <c r="TPZ39" s="244"/>
      <c r="TQA39" s="244"/>
      <c r="TQB39" s="244"/>
      <c r="TQC39" s="244"/>
      <c r="TQD39" s="244"/>
      <c r="TQE39" s="244"/>
      <c r="TQF39" s="244"/>
      <c r="TQG39" s="244"/>
      <c r="TQH39" s="244"/>
      <c r="TQI39" s="244"/>
      <c r="TQJ39" s="244"/>
      <c r="TQK39" s="244"/>
      <c r="TQL39" s="244"/>
      <c r="TQM39" s="244"/>
      <c r="TQN39" s="244"/>
      <c r="TQO39" s="244"/>
      <c r="TQP39" s="244"/>
      <c r="TQQ39" s="244"/>
      <c r="TQR39" s="244"/>
      <c r="TQS39" s="244"/>
      <c r="TQT39" s="244"/>
      <c r="TQU39" s="244"/>
      <c r="TQV39" s="244"/>
      <c r="TQW39" s="244"/>
      <c r="TQX39" s="244"/>
      <c r="TQY39" s="244"/>
      <c r="TQZ39" s="244"/>
      <c r="TRA39" s="244"/>
      <c r="TRB39" s="244"/>
      <c r="TRC39" s="244"/>
      <c r="TRD39" s="244"/>
      <c r="TRE39" s="244"/>
      <c r="TRF39" s="244"/>
      <c r="TRG39" s="244"/>
      <c r="TRH39" s="244"/>
      <c r="TRI39" s="244"/>
      <c r="TRJ39" s="244"/>
      <c r="TRK39" s="244"/>
      <c r="TRL39" s="244"/>
      <c r="TRM39" s="244"/>
      <c r="TRN39" s="244"/>
      <c r="TRO39" s="244"/>
      <c r="TRP39" s="244"/>
      <c r="TRQ39" s="244"/>
      <c r="TRR39" s="244"/>
      <c r="TRS39" s="244"/>
      <c r="TRT39" s="244"/>
      <c r="TRU39" s="244"/>
      <c r="TRV39" s="244"/>
      <c r="TRW39" s="244"/>
      <c r="TRX39" s="244"/>
      <c r="TRY39" s="244"/>
      <c r="TRZ39" s="244"/>
      <c r="TSA39" s="244"/>
      <c r="TSB39" s="244"/>
      <c r="TSC39" s="244"/>
      <c r="TSD39" s="244"/>
      <c r="TSE39" s="244"/>
      <c r="TSF39" s="244"/>
      <c r="TSG39" s="244"/>
      <c r="TSH39" s="244"/>
      <c r="TSI39" s="244"/>
      <c r="TSJ39" s="244"/>
      <c r="TSK39" s="244"/>
      <c r="TSL39" s="244"/>
      <c r="TSM39" s="244"/>
      <c r="TSN39" s="244"/>
      <c r="TSO39" s="244"/>
      <c r="TSP39" s="244"/>
      <c r="TSQ39" s="244"/>
      <c r="TSR39" s="244"/>
      <c r="TSS39" s="244"/>
      <c r="TST39" s="244"/>
      <c r="TSU39" s="244"/>
      <c r="TSV39" s="244"/>
      <c r="TSW39" s="244"/>
      <c r="TSX39" s="244"/>
      <c r="TSY39" s="244"/>
      <c r="TSZ39" s="244"/>
      <c r="TTA39" s="244"/>
      <c r="TTB39" s="244"/>
      <c r="TTC39" s="244"/>
      <c r="TTD39" s="244"/>
      <c r="TTE39" s="244"/>
      <c r="TTF39" s="244"/>
      <c r="TTG39" s="244"/>
      <c r="TTH39" s="244"/>
      <c r="TTI39" s="244"/>
      <c r="TTJ39" s="244"/>
      <c r="TTK39" s="244"/>
      <c r="TTL39" s="244"/>
      <c r="TTM39" s="244"/>
      <c r="TTN39" s="244"/>
      <c r="TTO39" s="244"/>
      <c r="TTP39" s="244"/>
      <c r="TTQ39" s="244"/>
      <c r="TTR39" s="244"/>
      <c r="TTS39" s="244"/>
      <c r="TTT39" s="244"/>
      <c r="TTU39" s="244"/>
      <c r="TTV39" s="244"/>
      <c r="TTW39" s="244"/>
      <c r="TTX39" s="244"/>
      <c r="TTY39" s="244"/>
      <c r="TTZ39" s="244"/>
      <c r="TUA39" s="244"/>
      <c r="TUB39" s="244"/>
      <c r="TUC39" s="244"/>
      <c r="TUD39" s="244"/>
      <c r="TUE39" s="244"/>
      <c r="TUF39" s="244"/>
      <c r="TUG39" s="244"/>
      <c r="TUH39" s="244"/>
      <c r="TUI39" s="244"/>
      <c r="TUJ39" s="244"/>
      <c r="TUK39" s="244"/>
      <c r="TUL39" s="244"/>
      <c r="TUM39" s="244"/>
      <c r="TUN39" s="244"/>
      <c r="TUO39" s="244"/>
      <c r="TUP39" s="244"/>
      <c r="TUQ39" s="244"/>
      <c r="TUR39" s="244"/>
      <c r="TUS39" s="244"/>
      <c r="TUT39" s="244"/>
      <c r="TUU39" s="244"/>
      <c r="TUV39" s="244"/>
      <c r="TUW39" s="244"/>
      <c r="TUX39" s="244"/>
      <c r="TUY39" s="244"/>
      <c r="TUZ39" s="244"/>
      <c r="TVA39" s="244"/>
      <c r="TVB39" s="244"/>
      <c r="TVC39" s="244"/>
      <c r="TVD39" s="244"/>
      <c r="TVE39" s="244"/>
      <c r="TVF39" s="244"/>
      <c r="TVG39" s="244"/>
      <c r="TVH39" s="244"/>
      <c r="TVI39" s="244"/>
      <c r="TVJ39" s="244"/>
      <c r="TVK39" s="244"/>
      <c r="TVL39" s="244"/>
      <c r="TVM39" s="244"/>
      <c r="TVN39" s="244"/>
      <c r="TVO39" s="244"/>
      <c r="TVP39" s="244"/>
      <c r="TVQ39" s="244"/>
      <c r="TVR39" s="244"/>
      <c r="TVS39" s="244"/>
      <c r="TVT39" s="244"/>
      <c r="TVU39" s="244"/>
      <c r="TVV39" s="244"/>
      <c r="TVW39" s="244"/>
      <c r="TVX39" s="244"/>
      <c r="TVY39" s="244"/>
      <c r="TVZ39" s="244"/>
      <c r="TWA39" s="244"/>
      <c r="TWB39" s="244"/>
      <c r="TWC39" s="244"/>
      <c r="TWD39" s="244"/>
      <c r="TWE39" s="244"/>
      <c r="TWF39" s="244"/>
      <c r="TWG39" s="244"/>
      <c r="TWH39" s="244"/>
      <c r="TWI39" s="244"/>
      <c r="TWJ39" s="244"/>
      <c r="TWK39" s="244"/>
      <c r="TWL39" s="244"/>
      <c r="TWM39" s="244"/>
      <c r="TWN39" s="244"/>
      <c r="TWO39" s="244"/>
      <c r="TWP39" s="244"/>
      <c r="TWQ39" s="244"/>
      <c r="TWR39" s="244"/>
      <c r="TWS39" s="244"/>
      <c r="TWT39" s="244"/>
      <c r="TWU39" s="244"/>
      <c r="TWV39" s="244"/>
      <c r="TWW39" s="244"/>
      <c r="TWX39" s="244"/>
      <c r="TWY39" s="244"/>
      <c r="TWZ39" s="244"/>
      <c r="TXA39" s="244"/>
      <c r="TXB39" s="244"/>
      <c r="TXC39" s="244"/>
      <c r="TXD39" s="244"/>
      <c r="TXE39" s="244"/>
      <c r="TXF39" s="244"/>
      <c r="TXG39" s="244"/>
      <c r="TXH39" s="244"/>
      <c r="TXI39" s="244"/>
      <c r="TXJ39" s="244"/>
      <c r="TXK39" s="244"/>
      <c r="TXL39" s="244"/>
      <c r="TXM39" s="244"/>
      <c r="TXN39" s="244"/>
      <c r="TXO39" s="244"/>
      <c r="TXP39" s="244"/>
      <c r="TXQ39" s="244"/>
      <c r="TXR39" s="244"/>
      <c r="TXS39" s="244"/>
      <c r="TXT39" s="244"/>
      <c r="TXU39" s="244"/>
      <c r="TXV39" s="244"/>
      <c r="TXW39" s="244"/>
      <c r="TXX39" s="244"/>
      <c r="TXY39" s="244"/>
      <c r="TXZ39" s="244"/>
      <c r="TYA39" s="244"/>
      <c r="TYB39" s="244"/>
      <c r="TYC39" s="244"/>
      <c r="TYD39" s="244"/>
      <c r="TYE39" s="244"/>
      <c r="TYF39" s="244"/>
      <c r="TYG39" s="244"/>
      <c r="TYH39" s="244"/>
      <c r="TYI39" s="244"/>
      <c r="TYJ39" s="244"/>
      <c r="TYK39" s="244"/>
      <c r="TYL39" s="244"/>
      <c r="TYM39" s="244"/>
      <c r="TYN39" s="244"/>
      <c r="TYO39" s="244"/>
      <c r="TYP39" s="244"/>
      <c r="TYQ39" s="244"/>
      <c r="TYR39" s="244"/>
      <c r="TYS39" s="244"/>
      <c r="TYT39" s="244"/>
      <c r="TYU39" s="244"/>
      <c r="TYV39" s="244"/>
      <c r="TYW39" s="244"/>
      <c r="TYX39" s="244"/>
      <c r="TYY39" s="244"/>
      <c r="TYZ39" s="244"/>
      <c r="TZA39" s="244"/>
      <c r="TZB39" s="244"/>
      <c r="TZC39" s="244"/>
      <c r="TZD39" s="244"/>
      <c r="TZE39" s="244"/>
      <c r="TZF39" s="244"/>
      <c r="TZG39" s="244"/>
      <c r="TZH39" s="244"/>
      <c r="TZI39" s="244"/>
      <c r="TZJ39" s="244"/>
      <c r="TZK39" s="244"/>
      <c r="TZL39" s="244"/>
      <c r="TZM39" s="244"/>
      <c r="TZN39" s="244"/>
      <c r="TZO39" s="244"/>
      <c r="TZP39" s="244"/>
      <c r="TZQ39" s="244"/>
      <c r="TZR39" s="244"/>
      <c r="TZS39" s="244"/>
      <c r="TZT39" s="244"/>
      <c r="TZU39" s="244"/>
      <c r="TZV39" s="244"/>
      <c r="TZW39" s="244"/>
      <c r="TZX39" s="244"/>
      <c r="TZY39" s="244"/>
      <c r="TZZ39" s="244"/>
      <c r="UAA39" s="244"/>
      <c r="UAB39" s="244"/>
      <c r="UAC39" s="244"/>
      <c r="UAD39" s="244"/>
      <c r="UAE39" s="244"/>
      <c r="UAF39" s="244"/>
      <c r="UAG39" s="244"/>
      <c r="UAH39" s="244"/>
      <c r="UAI39" s="244"/>
      <c r="UAJ39" s="244"/>
      <c r="UAK39" s="244"/>
      <c r="UAL39" s="244"/>
      <c r="UAM39" s="244"/>
      <c r="UAN39" s="244"/>
      <c r="UAO39" s="244"/>
      <c r="UAP39" s="244"/>
      <c r="UAQ39" s="244"/>
      <c r="UAR39" s="244"/>
      <c r="UAS39" s="244"/>
      <c r="UAT39" s="244"/>
      <c r="UAU39" s="244"/>
      <c r="UAV39" s="244"/>
      <c r="UAW39" s="244"/>
      <c r="UAX39" s="244"/>
      <c r="UAY39" s="244"/>
      <c r="UAZ39" s="244"/>
      <c r="UBA39" s="244"/>
      <c r="UBB39" s="244"/>
      <c r="UBC39" s="244"/>
      <c r="UBD39" s="244"/>
      <c r="UBE39" s="244"/>
      <c r="UBF39" s="244"/>
      <c r="UBG39" s="244"/>
      <c r="UBH39" s="244"/>
      <c r="UBI39" s="244"/>
      <c r="UBJ39" s="244"/>
      <c r="UBK39" s="244"/>
      <c r="UBL39" s="244"/>
      <c r="UBM39" s="244"/>
      <c r="UBN39" s="244"/>
      <c r="UBO39" s="244"/>
      <c r="UBP39" s="244"/>
      <c r="UBQ39" s="244"/>
      <c r="UBR39" s="244"/>
      <c r="UBS39" s="244"/>
      <c r="UBT39" s="244"/>
      <c r="UBU39" s="244"/>
      <c r="UBV39" s="244"/>
      <c r="UBW39" s="244"/>
      <c r="UBX39" s="244"/>
      <c r="UBY39" s="244"/>
      <c r="UBZ39" s="244"/>
      <c r="UCA39" s="244"/>
      <c r="UCB39" s="244"/>
      <c r="UCC39" s="244"/>
      <c r="UCD39" s="244"/>
      <c r="UCE39" s="244"/>
      <c r="UCF39" s="244"/>
      <c r="UCG39" s="244"/>
      <c r="UCH39" s="244"/>
      <c r="UCI39" s="244"/>
      <c r="UCJ39" s="244"/>
      <c r="UCK39" s="244"/>
      <c r="UCL39" s="244"/>
      <c r="UCM39" s="244"/>
      <c r="UCN39" s="244"/>
      <c r="UCO39" s="244"/>
      <c r="UCP39" s="244"/>
      <c r="UCQ39" s="244"/>
      <c r="UCR39" s="244"/>
      <c r="UCS39" s="244"/>
      <c r="UCT39" s="244"/>
      <c r="UCU39" s="244"/>
      <c r="UCV39" s="244"/>
      <c r="UCW39" s="244"/>
      <c r="UCX39" s="244"/>
      <c r="UCY39" s="244"/>
      <c r="UCZ39" s="244"/>
      <c r="UDA39" s="244"/>
      <c r="UDB39" s="244"/>
      <c r="UDC39" s="244"/>
      <c r="UDD39" s="244"/>
      <c r="UDE39" s="244"/>
      <c r="UDF39" s="244"/>
      <c r="UDG39" s="244"/>
      <c r="UDH39" s="244"/>
      <c r="UDI39" s="244"/>
      <c r="UDJ39" s="244"/>
      <c r="UDK39" s="244"/>
      <c r="UDL39" s="244"/>
      <c r="UDM39" s="244"/>
      <c r="UDN39" s="244"/>
      <c r="UDO39" s="244"/>
      <c r="UDP39" s="244"/>
      <c r="UDQ39" s="244"/>
      <c r="UDR39" s="244"/>
      <c r="UDS39" s="244"/>
      <c r="UDT39" s="244"/>
      <c r="UDU39" s="244"/>
      <c r="UDV39" s="244"/>
      <c r="UDW39" s="244"/>
      <c r="UDX39" s="244"/>
      <c r="UDY39" s="244"/>
      <c r="UDZ39" s="244"/>
      <c r="UEA39" s="244"/>
      <c r="UEB39" s="244"/>
      <c r="UEC39" s="244"/>
      <c r="UED39" s="244"/>
      <c r="UEE39" s="244"/>
      <c r="UEF39" s="244"/>
      <c r="UEG39" s="244"/>
      <c r="UEH39" s="244"/>
      <c r="UEI39" s="244"/>
      <c r="UEJ39" s="244"/>
      <c r="UEK39" s="244"/>
      <c r="UEL39" s="244"/>
      <c r="UEM39" s="244"/>
      <c r="UEN39" s="244"/>
      <c r="UEO39" s="244"/>
      <c r="UEP39" s="244"/>
      <c r="UEQ39" s="244"/>
      <c r="UER39" s="244"/>
      <c r="UES39" s="244"/>
      <c r="UET39" s="244"/>
      <c r="UEU39" s="244"/>
      <c r="UEV39" s="244"/>
      <c r="UEW39" s="244"/>
      <c r="UEX39" s="244"/>
      <c r="UEY39" s="244"/>
      <c r="UEZ39" s="244"/>
      <c r="UFA39" s="244"/>
      <c r="UFB39" s="244"/>
      <c r="UFC39" s="244"/>
      <c r="UFD39" s="244"/>
      <c r="UFE39" s="244"/>
      <c r="UFF39" s="244"/>
      <c r="UFG39" s="244"/>
      <c r="UFH39" s="244"/>
      <c r="UFI39" s="244"/>
      <c r="UFJ39" s="244"/>
      <c r="UFK39" s="244"/>
      <c r="UFL39" s="244"/>
      <c r="UFM39" s="244"/>
      <c r="UFN39" s="244"/>
      <c r="UFO39" s="244"/>
      <c r="UFP39" s="244"/>
      <c r="UFQ39" s="244"/>
      <c r="UFR39" s="244"/>
      <c r="UFS39" s="244"/>
      <c r="UFT39" s="244"/>
      <c r="UFU39" s="244"/>
      <c r="UFV39" s="244"/>
      <c r="UFW39" s="244"/>
      <c r="UFX39" s="244"/>
      <c r="UFY39" s="244"/>
      <c r="UFZ39" s="244"/>
      <c r="UGA39" s="244"/>
      <c r="UGB39" s="244"/>
      <c r="UGC39" s="244"/>
      <c r="UGD39" s="244"/>
      <c r="UGE39" s="244"/>
      <c r="UGF39" s="244"/>
      <c r="UGG39" s="244"/>
      <c r="UGH39" s="244"/>
      <c r="UGI39" s="244"/>
      <c r="UGJ39" s="244"/>
      <c r="UGK39" s="244"/>
      <c r="UGL39" s="244"/>
      <c r="UGM39" s="244"/>
      <c r="UGN39" s="244"/>
      <c r="UGO39" s="244"/>
      <c r="UGP39" s="244"/>
      <c r="UGQ39" s="244"/>
      <c r="UGR39" s="244"/>
      <c r="UGS39" s="244"/>
      <c r="UGT39" s="244"/>
      <c r="UGU39" s="244"/>
      <c r="UGV39" s="244"/>
      <c r="UGW39" s="244"/>
      <c r="UGX39" s="244"/>
      <c r="UGY39" s="244"/>
      <c r="UGZ39" s="244"/>
      <c r="UHA39" s="244"/>
      <c r="UHB39" s="244"/>
      <c r="UHC39" s="244"/>
      <c r="UHD39" s="244"/>
      <c r="UHE39" s="244"/>
      <c r="UHF39" s="244"/>
      <c r="UHG39" s="244"/>
      <c r="UHH39" s="244"/>
      <c r="UHI39" s="244"/>
      <c r="UHJ39" s="244"/>
      <c r="UHK39" s="244"/>
      <c r="UHL39" s="244"/>
      <c r="UHM39" s="244"/>
      <c r="UHN39" s="244"/>
      <c r="UHO39" s="244"/>
      <c r="UHP39" s="244"/>
      <c r="UHQ39" s="244"/>
      <c r="UHR39" s="244"/>
      <c r="UHS39" s="244"/>
      <c r="UHT39" s="244"/>
      <c r="UHU39" s="244"/>
      <c r="UHV39" s="244"/>
      <c r="UHW39" s="244"/>
      <c r="UHX39" s="244"/>
      <c r="UHY39" s="244"/>
      <c r="UHZ39" s="244"/>
      <c r="UIA39" s="244"/>
      <c r="UIB39" s="244"/>
      <c r="UIC39" s="244"/>
      <c r="UID39" s="244"/>
      <c r="UIE39" s="244"/>
      <c r="UIF39" s="244"/>
      <c r="UIG39" s="244"/>
      <c r="UIH39" s="244"/>
      <c r="UII39" s="244"/>
      <c r="UIJ39" s="244"/>
      <c r="UIK39" s="244"/>
      <c r="UIL39" s="244"/>
      <c r="UIM39" s="244"/>
      <c r="UIN39" s="244"/>
      <c r="UIO39" s="244"/>
      <c r="UIP39" s="244"/>
      <c r="UIQ39" s="244"/>
      <c r="UIR39" s="244"/>
      <c r="UIS39" s="244"/>
      <c r="UIT39" s="244"/>
      <c r="UIU39" s="244"/>
      <c r="UIV39" s="244"/>
      <c r="UIW39" s="244"/>
      <c r="UIX39" s="244"/>
      <c r="UIY39" s="244"/>
      <c r="UIZ39" s="244"/>
      <c r="UJA39" s="244"/>
      <c r="UJB39" s="244"/>
      <c r="UJC39" s="244"/>
      <c r="UJD39" s="244"/>
      <c r="UJE39" s="244"/>
      <c r="UJF39" s="244"/>
      <c r="UJG39" s="244"/>
      <c r="UJH39" s="244"/>
      <c r="UJI39" s="244"/>
      <c r="UJJ39" s="244"/>
      <c r="UJK39" s="244"/>
      <c r="UJL39" s="244"/>
      <c r="UJM39" s="244"/>
      <c r="UJN39" s="244"/>
      <c r="UJO39" s="244"/>
      <c r="UJP39" s="244"/>
      <c r="UJQ39" s="244"/>
      <c r="UJR39" s="244"/>
      <c r="UJS39" s="244"/>
      <c r="UJT39" s="244"/>
      <c r="UJU39" s="244"/>
      <c r="UJV39" s="244"/>
      <c r="UJW39" s="244"/>
      <c r="UJX39" s="244"/>
      <c r="UJY39" s="244"/>
      <c r="UJZ39" s="244"/>
      <c r="UKA39" s="244"/>
      <c r="UKB39" s="244"/>
      <c r="UKC39" s="244"/>
      <c r="UKD39" s="244"/>
      <c r="UKE39" s="244"/>
      <c r="UKF39" s="244"/>
      <c r="UKG39" s="244"/>
      <c r="UKH39" s="244"/>
      <c r="UKI39" s="244"/>
      <c r="UKJ39" s="244"/>
      <c r="UKK39" s="244"/>
      <c r="UKL39" s="244"/>
      <c r="UKM39" s="244"/>
      <c r="UKN39" s="244"/>
      <c r="UKO39" s="244"/>
      <c r="UKP39" s="244"/>
      <c r="UKQ39" s="244"/>
      <c r="UKR39" s="244"/>
      <c r="UKS39" s="244"/>
      <c r="UKT39" s="244"/>
      <c r="UKU39" s="244"/>
      <c r="UKV39" s="244"/>
      <c r="UKW39" s="244"/>
      <c r="UKX39" s="244"/>
      <c r="UKY39" s="244"/>
      <c r="UKZ39" s="244"/>
      <c r="ULA39" s="244"/>
      <c r="ULB39" s="244"/>
      <c r="ULC39" s="244"/>
      <c r="ULD39" s="244"/>
      <c r="ULE39" s="244"/>
      <c r="ULF39" s="244"/>
      <c r="ULG39" s="244"/>
      <c r="ULH39" s="244"/>
      <c r="ULI39" s="244"/>
      <c r="ULJ39" s="244"/>
      <c r="ULK39" s="244"/>
      <c r="ULL39" s="244"/>
      <c r="ULM39" s="244"/>
      <c r="ULN39" s="244"/>
      <c r="ULO39" s="244"/>
      <c r="ULP39" s="244"/>
      <c r="ULQ39" s="244"/>
      <c r="ULR39" s="244"/>
      <c r="ULS39" s="244"/>
      <c r="ULT39" s="244"/>
      <c r="ULU39" s="244"/>
      <c r="ULV39" s="244"/>
      <c r="ULW39" s="244"/>
      <c r="ULX39" s="244"/>
      <c r="ULY39" s="244"/>
      <c r="ULZ39" s="244"/>
      <c r="UMA39" s="244"/>
      <c r="UMB39" s="244"/>
      <c r="UMC39" s="244"/>
      <c r="UMD39" s="244"/>
      <c r="UME39" s="244"/>
      <c r="UMF39" s="244"/>
      <c r="UMG39" s="244"/>
      <c r="UMH39" s="244"/>
      <c r="UMI39" s="244"/>
      <c r="UMJ39" s="244"/>
      <c r="UMK39" s="244"/>
      <c r="UML39" s="244"/>
      <c r="UMM39" s="244"/>
      <c r="UMN39" s="244"/>
      <c r="UMO39" s="244"/>
      <c r="UMP39" s="244"/>
      <c r="UMQ39" s="244"/>
      <c r="UMR39" s="244"/>
      <c r="UMS39" s="244"/>
      <c r="UMT39" s="244"/>
      <c r="UMU39" s="244"/>
      <c r="UMV39" s="244"/>
      <c r="UMW39" s="244"/>
      <c r="UMX39" s="244"/>
      <c r="UMY39" s="244"/>
      <c r="UMZ39" s="244"/>
      <c r="UNA39" s="244"/>
      <c r="UNB39" s="244"/>
      <c r="UNC39" s="244"/>
      <c r="UND39" s="244"/>
      <c r="UNE39" s="244"/>
      <c r="UNF39" s="244"/>
      <c r="UNG39" s="244"/>
      <c r="UNH39" s="244"/>
      <c r="UNI39" s="244"/>
      <c r="UNJ39" s="244"/>
      <c r="UNK39" s="244"/>
      <c r="UNL39" s="244"/>
      <c r="UNM39" s="244"/>
      <c r="UNN39" s="244"/>
      <c r="UNO39" s="244"/>
      <c r="UNP39" s="244"/>
      <c r="UNQ39" s="244"/>
      <c r="UNR39" s="244"/>
      <c r="UNS39" s="244"/>
      <c r="UNT39" s="244"/>
      <c r="UNU39" s="244"/>
      <c r="UNV39" s="244"/>
      <c r="UNW39" s="244"/>
      <c r="UNX39" s="244"/>
      <c r="UNY39" s="244"/>
      <c r="UNZ39" s="244"/>
      <c r="UOA39" s="244"/>
      <c r="UOB39" s="244"/>
      <c r="UOC39" s="244"/>
      <c r="UOD39" s="244"/>
      <c r="UOE39" s="244"/>
      <c r="UOF39" s="244"/>
      <c r="UOG39" s="244"/>
      <c r="UOH39" s="244"/>
      <c r="UOI39" s="244"/>
      <c r="UOJ39" s="244"/>
      <c r="UOK39" s="244"/>
      <c r="UOL39" s="244"/>
      <c r="UOM39" s="244"/>
      <c r="UON39" s="244"/>
      <c r="UOO39" s="244"/>
      <c r="UOP39" s="244"/>
      <c r="UOQ39" s="244"/>
      <c r="UOR39" s="244"/>
      <c r="UOS39" s="244"/>
      <c r="UOT39" s="244"/>
      <c r="UOU39" s="244"/>
      <c r="UOV39" s="244"/>
      <c r="UOW39" s="244"/>
      <c r="UOX39" s="244"/>
      <c r="UOY39" s="244"/>
      <c r="UOZ39" s="244"/>
      <c r="UPA39" s="244"/>
      <c r="UPB39" s="244"/>
      <c r="UPC39" s="244"/>
      <c r="UPD39" s="244"/>
      <c r="UPE39" s="244"/>
      <c r="UPF39" s="244"/>
      <c r="UPG39" s="244"/>
      <c r="UPH39" s="244"/>
      <c r="UPI39" s="244"/>
      <c r="UPJ39" s="244"/>
      <c r="UPK39" s="244"/>
      <c r="UPL39" s="244"/>
      <c r="UPM39" s="244"/>
      <c r="UPN39" s="244"/>
      <c r="UPO39" s="244"/>
      <c r="UPP39" s="244"/>
      <c r="UPQ39" s="244"/>
      <c r="UPR39" s="244"/>
      <c r="UPS39" s="244"/>
      <c r="UPT39" s="244"/>
      <c r="UPU39" s="244"/>
      <c r="UPV39" s="244"/>
      <c r="UPW39" s="244"/>
      <c r="UPX39" s="244"/>
      <c r="UPY39" s="244"/>
      <c r="UPZ39" s="244"/>
      <c r="UQA39" s="244"/>
      <c r="UQB39" s="244"/>
      <c r="UQC39" s="244"/>
      <c r="UQD39" s="244"/>
      <c r="UQE39" s="244"/>
      <c r="UQF39" s="244"/>
      <c r="UQG39" s="244"/>
      <c r="UQH39" s="244"/>
      <c r="UQI39" s="244"/>
      <c r="UQJ39" s="244"/>
      <c r="UQK39" s="244"/>
      <c r="UQL39" s="244"/>
      <c r="UQM39" s="244"/>
      <c r="UQN39" s="244"/>
      <c r="UQO39" s="244"/>
      <c r="UQP39" s="244"/>
      <c r="UQQ39" s="244"/>
      <c r="UQR39" s="244"/>
      <c r="UQS39" s="244"/>
      <c r="UQT39" s="244"/>
      <c r="UQU39" s="244"/>
      <c r="UQV39" s="244"/>
      <c r="UQW39" s="244"/>
      <c r="UQX39" s="244"/>
      <c r="UQY39" s="244"/>
      <c r="UQZ39" s="244"/>
      <c r="URA39" s="244"/>
      <c r="URB39" s="244"/>
      <c r="URC39" s="244"/>
      <c r="URD39" s="244"/>
      <c r="URE39" s="244"/>
      <c r="URF39" s="244"/>
      <c r="URG39" s="244"/>
      <c r="URH39" s="244"/>
      <c r="URI39" s="244"/>
      <c r="URJ39" s="244"/>
      <c r="URK39" s="244"/>
      <c r="URL39" s="244"/>
      <c r="URM39" s="244"/>
      <c r="URN39" s="244"/>
      <c r="URO39" s="244"/>
      <c r="URP39" s="244"/>
      <c r="URQ39" s="244"/>
      <c r="URR39" s="244"/>
      <c r="URS39" s="244"/>
      <c r="URT39" s="244"/>
      <c r="URU39" s="244"/>
      <c r="URV39" s="244"/>
      <c r="URW39" s="244"/>
      <c r="URX39" s="244"/>
      <c r="URY39" s="244"/>
      <c r="URZ39" s="244"/>
      <c r="USA39" s="244"/>
      <c r="USB39" s="244"/>
      <c r="USC39" s="244"/>
      <c r="USD39" s="244"/>
      <c r="USE39" s="244"/>
      <c r="USF39" s="244"/>
      <c r="USG39" s="244"/>
      <c r="USH39" s="244"/>
      <c r="USI39" s="244"/>
      <c r="USJ39" s="244"/>
      <c r="USK39" s="244"/>
      <c r="USL39" s="244"/>
      <c r="USM39" s="244"/>
      <c r="USN39" s="244"/>
      <c r="USO39" s="244"/>
      <c r="USP39" s="244"/>
      <c r="USQ39" s="244"/>
      <c r="USR39" s="244"/>
      <c r="USS39" s="244"/>
      <c r="UST39" s="244"/>
      <c r="USU39" s="244"/>
      <c r="USV39" s="244"/>
      <c r="USW39" s="244"/>
      <c r="USX39" s="244"/>
      <c r="USY39" s="244"/>
      <c r="USZ39" s="244"/>
      <c r="UTA39" s="244"/>
      <c r="UTB39" s="244"/>
      <c r="UTC39" s="244"/>
      <c r="UTD39" s="244"/>
      <c r="UTE39" s="244"/>
      <c r="UTF39" s="244"/>
      <c r="UTG39" s="244"/>
      <c r="UTH39" s="244"/>
      <c r="UTI39" s="244"/>
      <c r="UTJ39" s="244"/>
      <c r="UTK39" s="244"/>
      <c r="UTL39" s="244"/>
      <c r="UTM39" s="244"/>
      <c r="UTN39" s="244"/>
      <c r="UTO39" s="244"/>
      <c r="UTP39" s="244"/>
      <c r="UTQ39" s="244"/>
      <c r="UTR39" s="244"/>
      <c r="UTS39" s="244"/>
      <c r="UTT39" s="244"/>
      <c r="UTU39" s="244"/>
      <c r="UTV39" s="244"/>
      <c r="UTW39" s="244"/>
      <c r="UTX39" s="244"/>
      <c r="UTY39" s="244"/>
      <c r="UTZ39" s="244"/>
      <c r="UUA39" s="244"/>
      <c r="UUB39" s="244"/>
      <c r="UUC39" s="244"/>
      <c r="UUD39" s="244"/>
      <c r="UUE39" s="244"/>
      <c r="UUF39" s="244"/>
      <c r="UUG39" s="244"/>
      <c r="UUH39" s="244"/>
      <c r="UUI39" s="244"/>
      <c r="UUJ39" s="244"/>
      <c r="UUK39" s="244"/>
      <c r="UUL39" s="244"/>
      <c r="UUM39" s="244"/>
      <c r="UUN39" s="244"/>
      <c r="UUO39" s="244"/>
      <c r="UUP39" s="244"/>
      <c r="UUQ39" s="244"/>
      <c r="UUR39" s="244"/>
      <c r="UUS39" s="244"/>
      <c r="UUT39" s="244"/>
      <c r="UUU39" s="244"/>
      <c r="UUV39" s="244"/>
      <c r="UUW39" s="244"/>
      <c r="UUX39" s="244"/>
      <c r="UUY39" s="244"/>
      <c r="UUZ39" s="244"/>
      <c r="UVA39" s="244"/>
      <c r="UVB39" s="244"/>
      <c r="UVC39" s="244"/>
      <c r="UVD39" s="244"/>
      <c r="UVE39" s="244"/>
      <c r="UVF39" s="244"/>
      <c r="UVG39" s="244"/>
      <c r="UVH39" s="244"/>
      <c r="UVI39" s="244"/>
      <c r="UVJ39" s="244"/>
      <c r="UVK39" s="244"/>
      <c r="UVL39" s="244"/>
      <c r="UVM39" s="244"/>
      <c r="UVN39" s="244"/>
      <c r="UVO39" s="244"/>
      <c r="UVP39" s="244"/>
      <c r="UVQ39" s="244"/>
      <c r="UVR39" s="244"/>
      <c r="UVS39" s="244"/>
      <c r="UVT39" s="244"/>
      <c r="UVU39" s="244"/>
      <c r="UVV39" s="244"/>
      <c r="UVW39" s="244"/>
      <c r="UVX39" s="244"/>
      <c r="UVY39" s="244"/>
      <c r="UVZ39" s="244"/>
      <c r="UWA39" s="244"/>
      <c r="UWB39" s="244"/>
      <c r="UWC39" s="244"/>
      <c r="UWD39" s="244"/>
      <c r="UWE39" s="244"/>
      <c r="UWF39" s="244"/>
      <c r="UWG39" s="244"/>
      <c r="UWH39" s="244"/>
      <c r="UWI39" s="244"/>
      <c r="UWJ39" s="244"/>
      <c r="UWK39" s="244"/>
      <c r="UWL39" s="244"/>
      <c r="UWM39" s="244"/>
      <c r="UWN39" s="244"/>
      <c r="UWO39" s="244"/>
      <c r="UWP39" s="244"/>
      <c r="UWQ39" s="244"/>
      <c r="UWR39" s="244"/>
      <c r="UWS39" s="244"/>
      <c r="UWT39" s="244"/>
      <c r="UWU39" s="244"/>
      <c r="UWV39" s="244"/>
      <c r="UWW39" s="244"/>
      <c r="UWX39" s="244"/>
      <c r="UWY39" s="244"/>
      <c r="UWZ39" s="244"/>
      <c r="UXA39" s="244"/>
      <c r="UXB39" s="244"/>
      <c r="UXC39" s="244"/>
      <c r="UXD39" s="244"/>
      <c r="UXE39" s="244"/>
      <c r="UXF39" s="244"/>
      <c r="UXG39" s="244"/>
      <c r="UXH39" s="244"/>
      <c r="UXI39" s="244"/>
      <c r="UXJ39" s="244"/>
      <c r="UXK39" s="244"/>
      <c r="UXL39" s="244"/>
      <c r="UXM39" s="244"/>
      <c r="UXN39" s="244"/>
      <c r="UXO39" s="244"/>
      <c r="UXP39" s="244"/>
      <c r="UXQ39" s="244"/>
      <c r="UXR39" s="244"/>
      <c r="UXS39" s="244"/>
      <c r="UXT39" s="244"/>
      <c r="UXU39" s="244"/>
      <c r="UXV39" s="244"/>
      <c r="UXW39" s="244"/>
      <c r="UXX39" s="244"/>
      <c r="UXY39" s="244"/>
      <c r="UXZ39" s="244"/>
      <c r="UYA39" s="244"/>
      <c r="UYB39" s="244"/>
      <c r="UYC39" s="244"/>
      <c r="UYD39" s="244"/>
      <c r="UYE39" s="244"/>
      <c r="UYF39" s="244"/>
      <c r="UYG39" s="244"/>
      <c r="UYH39" s="244"/>
      <c r="UYI39" s="244"/>
      <c r="UYJ39" s="244"/>
      <c r="UYK39" s="244"/>
      <c r="UYL39" s="244"/>
      <c r="UYM39" s="244"/>
      <c r="UYN39" s="244"/>
      <c r="UYO39" s="244"/>
      <c r="UYP39" s="244"/>
      <c r="UYQ39" s="244"/>
      <c r="UYR39" s="244"/>
      <c r="UYS39" s="244"/>
      <c r="UYT39" s="244"/>
      <c r="UYU39" s="244"/>
      <c r="UYV39" s="244"/>
      <c r="UYW39" s="244"/>
      <c r="UYX39" s="244"/>
      <c r="UYY39" s="244"/>
      <c r="UYZ39" s="244"/>
      <c r="UZA39" s="244"/>
      <c r="UZB39" s="244"/>
      <c r="UZC39" s="244"/>
      <c r="UZD39" s="244"/>
      <c r="UZE39" s="244"/>
      <c r="UZF39" s="244"/>
      <c r="UZG39" s="244"/>
      <c r="UZH39" s="244"/>
      <c r="UZI39" s="244"/>
      <c r="UZJ39" s="244"/>
      <c r="UZK39" s="244"/>
      <c r="UZL39" s="244"/>
      <c r="UZM39" s="244"/>
      <c r="UZN39" s="244"/>
      <c r="UZO39" s="244"/>
      <c r="UZP39" s="244"/>
      <c r="UZQ39" s="244"/>
      <c r="UZR39" s="244"/>
      <c r="UZS39" s="244"/>
      <c r="UZT39" s="244"/>
      <c r="UZU39" s="244"/>
      <c r="UZV39" s="244"/>
      <c r="UZW39" s="244"/>
      <c r="UZX39" s="244"/>
      <c r="UZY39" s="244"/>
      <c r="UZZ39" s="244"/>
      <c r="VAA39" s="244"/>
      <c r="VAB39" s="244"/>
      <c r="VAC39" s="244"/>
      <c r="VAD39" s="244"/>
      <c r="VAE39" s="244"/>
      <c r="VAF39" s="244"/>
      <c r="VAG39" s="244"/>
      <c r="VAH39" s="244"/>
      <c r="VAI39" s="244"/>
      <c r="VAJ39" s="244"/>
      <c r="VAK39" s="244"/>
      <c r="VAL39" s="244"/>
      <c r="VAM39" s="244"/>
      <c r="VAN39" s="244"/>
      <c r="VAO39" s="244"/>
      <c r="VAP39" s="244"/>
      <c r="VAQ39" s="244"/>
      <c r="VAR39" s="244"/>
      <c r="VAS39" s="244"/>
      <c r="VAT39" s="244"/>
      <c r="VAU39" s="244"/>
      <c r="VAV39" s="244"/>
      <c r="VAW39" s="244"/>
      <c r="VAX39" s="244"/>
      <c r="VAY39" s="244"/>
      <c r="VAZ39" s="244"/>
      <c r="VBA39" s="244"/>
      <c r="VBB39" s="244"/>
      <c r="VBC39" s="244"/>
      <c r="VBD39" s="244"/>
      <c r="VBE39" s="244"/>
      <c r="VBF39" s="244"/>
      <c r="VBG39" s="244"/>
      <c r="VBH39" s="244"/>
      <c r="VBI39" s="244"/>
      <c r="VBJ39" s="244"/>
      <c r="VBK39" s="244"/>
      <c r="VBL39" s="244"/>
      <c r="VBM39" s="244"/>
      <c r="VBN39" s="244"/>
      <c r="VBO39" s="244"/>
      <c r="VBP39" s="244"/>
      <c r="VBQ39" s="244"/>
      <c r="VBR39" s="244"/>
      <c r="VBS39" s="244"/>
      <c r="VBT39" s="244"/>
      <c r="VBU39" s="244"/>
      <c r="VBV39" s="244"/>
      <c r="VBW39" s="244"/>
      <c r="VBX39" s="244"/>
      <c r="VBY39" s="244"/>
      <c r="VBZ39" s="244"/>
      <c r="VCA39" s="244"/>
      <c r="VCB39" s="244"/>
      <c r="VCC39" s="244"/>
      <c r="VCD39" s="244"/>
      <c r="VCE39" s="244"/>
      <c r="VCF39" s="244"/>
      <c r="VCG39" s="244"/>
      <c r="VCH39" s="244"/>
      <c r="VCI39" s="244"/>
      <c r="VCJ39" s="244"/>
      <c r="VCK39" s="244"/>
      <c r="VCL39" s="244"/>
      <c r="VCM39" s="244"/>
      <c r="VCN39" s="244"/>
      <c r="VCO39" s="244"/>
      <c r="VCP39" s="244"/>
      <c r="VCQ39" s="244"/>
      <c r="VCR39" s="244"/>
      <c r="VCS39" s="244"/>
      <c r="VCT39" s="244"/>
      <c r="VCU39" s="244"/>
      <c r="VCV39" s="244"/>
      <c r="VCW39" s="244"/>
      <c r="VCX39" s="244"/>
      <c r="VCY39" s="244"/>
      <c r="VCZ39" s="244"/>
      <c r="VDA39" s="244"/>
      <c r="VDB39" s="244"/>
      <c r="VDC39" s="244"/>
      <c r="VDD39" s="244"/>
      <c r="VDE39" s="244"/>
      <c r="VDF39" s="244"/>
      <c r="VDG39" s="244"/>
      <c r="VDH39" s="244"/>
      <c r="VDI39" s="244"/>
      <c r="VDJ39" s="244"/>
      <c r="VDK39" s="244"/>
      <c r="VDL39" s="244"/>
      <c r="VDM39" s="244"/>
      <c r="VDN39" s="244"/>
      <c r="VDO39" s="244"/>
      <c r="VDP39" s="244"/>
      <c r="VDQ39" s="244"/>
      <c r="VDR39" s="244"/>
      <c r="VDS39" s="244"/>
      <c r="VDT39" s="244"/>
      <c r="VDU39" s="244"/>
      <c r="VDV39" s="244"/>
      <c r="VDW39" s="244"/>
      <c r="VDX39" s="244"/>
      <c r="VDY39" s="244"/>
      <c r="VDZ39" s="244"/>
      <c r="VEA39" s="244"/>
      <c r="VEB39" s="244"/>
      <c r="VEC39" s="244"/>
      <c r="VED39" s="244"/>
      <c r="VEE39" s="244"/>
      <c r="VEF39" s="244"/>
      <c r="VEG39" s="244"/>
      <c r="VEH39" s="244"/>
      <c r="VEI39" s="244"/>
      <c r="VEJ39" s="244"/>
      <c r="VEK39" s="244"/>
      <c r="VEL39" s="244"/>
      <c r="VEM39" s="244"/>
      <c r="VEN39" s="244"/>
      <c r="VEO39" s="244"/>
      <c r="VEP39" s="244"/>
      <c r="VEQ39" s="244"/>
      <c r="VER39" s="244"/>
      <c r="VES39" s="244"/>
      <c r="VET39" s="244"/>
      <c r="VEU39" s="244"/>
      <c r="VEV39" s="244"/>
      <c r="VEW39" s="244"/>
      <c r="VEX39" s="244"/>
      <c r="VEY39" s="244"/>
      <c r="VEZ39" s="244"/>
      <c r="VFA39" s="244"/>
      <c r="VFB39" s="244"/>
      <c r="VFC39" s="244"/>
      <c r="VFD39" s="244"/>
      <c r="VFE39" s="244"/>
      <c r="VFF39" s="244"/>
      <c r="VFG39" s="244"/>
      <c r="VFH39" s="244"/>
      <c r="VFI39" s="244"/>
      <c r="VFJ39" s="244"/>
      <c r="VFK39" s="244"/>
      <c r="VFL39" s="244"/>
      <c r="VFM39" s="244"/>
      <c r="VFN39" s="244"/>
      <c r="VFO39" s="244"/>
      <c r="VFP39" s="244"/>
      <c r="VFQ39" s="244"/>
      <c r="VFR39" s="244"/>
      <c r="VFS39" s="244"/>
      <c r="VFT39" s="244"/>
      <c r="VFU39" s="244"/>
      <c r="VFV39" s="244"/>
      <c r="VFW39" s="244"/>
      <c r="VFX39" s="244"/>
      <c r="VFY39" s="244"/>
      <c r="VFZ39" s="244"/>
      <c r="VGA39" s="244"/>
      <c r="VGB39" s="244"/>
      <c r="VGC39" s="244"/>
      <c r="VGD39" s="244"/>
      <c r="VGE39" s="244"/>
      <c r="VGF39" s="244"/>
      <c r="VGG39" s="244"/>
      <c r="VGH39" s="244"/>
      <c r="VGI39" s="244"/>
      <c r="VGJ39" s="244"/>
      <c r="VGK39" s="244"/>
      <c r="VGL39" s="244"/>
      <c r="VGM39" s="244"/>
      <c r="VGN39" s="244"/>
      <c r="VGO39" s="244"/>
      <c r="VGP39" s="244"/>
      <c r="VGQ39" s="244"/>
      <c r="VGR39" s="244"/>
      <c r="VGS39" s="244"/>
      <c r="VGT39" s="244"/>
      <c r="VGU39" s="244"/>
      <c r="VGV39" s="244"/>
      <c r="VGW39" s="244"/>
      <c r="VGX39" s="244"/>
      <c r="VGY39" s="244"/>
      <c r="VGZ39" s="244"/>
      <c r="VHA39" s="244"/>
      <c r="VHB39" s="244"/>
      <c r="VHC39" s="244"/>
      <c r="VHD39" s="244"/>
      <c r="VHE39" s="244"/>
      <c r="VHF39" s="244"/>
      <c r="VHG39" s="244"/>
      <c r="VHH39" s="244"/>
      <c r="VHI39" s="244"/>
      <c r="VHJ39" s="244"/>
      <c r="VHK39" s="244"/>
      <c r="VHL39" s="244"/>
      <c r="VHM39" s="244"/>
      <c r="VHN39" s="244"/>
      <c r="VHO39" s="244"/>
      <c r="VHP39" s="244"/>
      <c r="VHQ39" s="244"/>
      <c r="VHR39" s="244"/>
      <c r="VHS39" s="244"/>
      <c r="VHT39" s="244"/>
      <c r="VHU39" s="244"/>
      <c r="VHV39" s="244"/>
      <c r="VHW39" s="244"/>
      <c r="VHX39" s="244"/>
      <c r="VHY39" s="244"/>
      <c r="VHZ39" s="244"/>
      <c r="VIA39" s="244"/>
      <c r="VIB39" s="244"/>
      <c r="VIC39" s="244"/>
      <c r="VID39" s="244"/>
      <c r="VIE39" s="244"/>
      <c r="VIF39" s="244"/>
      <c r="VIG39" s="244"/>
      <c r="VIH39" s="244"/>
      <c r="VII39" s="244"/>
      <c r="VIJ39" s="244"/>
      <c r="VIK39" s="244"/>
      <c r="VIL39" s="244"/>
      <c r="VIM39" s="244"/>
      <c r="VIN39" s="244"/>
      <c r="VIO39" s="244"/>
      <c r="VIP39" s="244"/>
      <c r="VIQ39" s="244"/>
      <c r="VIR39" s="244"/>
      <c r="VIS39" s="244"/>
      <c r="VIT39" s="244"/>
      <c r="VIU39" s="244"/>
      <c r="VIV39" s="244"/>
      <c r="VIW39" s="244"/>
      <c r="VIX39" s="244"/>
      <c r="VIY39" s="244"/>
      <c r="VIZ39" s="244"/>
      <c r="VJA39" s="244"/>
      <c r="VJB39" s="244"/>
      <c r="VJC39" s="244"/>
      <c r="VJD39" s="244"/>
      <c r="VJE39" s="244"/>
      <c r="VJF39" s="244"/>
      <c r="VJG39" s="244"/>
      <c r="VJH39" s="244"/>
      <c r="VJI39" s="244"/>
      <c r="VJJ39" s="244"/>
      <c r="VJK39" s="244"/>
      <c r="VJL39" s="244"/>
      <c r="VJM39" s="244"/>
      <c r="VJN39" s="244"/>
      <c r="VJO39" s="244"/>
      <c r="VJP39" s="244"/>
      <c r="VJQ39" s="244"/>
      <c r="VJR39" s="244"/>
      <c r="VJS39" s="244"/>
      <c r="VJT39" s="244"/>
      <c r="VJU39" s="244"/>
      <c r="VJV39" s="244"/>
      <c r="VJW39" s="244"/>
      <c r="VJX39" s="244"/>
      <c r="VJY39" s="244"/>
      <c r="VJZ39" s="244"/>
      <c r="VKA39" s="244"/>
      <c r="VKB39" s="244"/>
      <c r="VKC39" s="244"/>
      <c r="VKD39" s="244"/>
      <c r="VKE39" s="244"/>
      <c r="VKF39" s="244"/>
      <c r="VKG39" s="244"/>
      <c r="VKH39" s="244"/>
      <c r="VKI39" s="244"/>
      <c r="VKJ39" s="244"/>
      <c r="VKK39" s="244"/>
      <c r="VKL39" s="244"/>
      <c r="VKM39" s="244"/>
      <c r="VKN39" s="244"/>
      <c r="VKO39" s="244"/>
      <c r="VKP39" s="244"/>
      <c r="VKQ39" s="244"/>
      <c r="VKR39" s="244"/>
      <c r="VKS39" s="244"/>
      <c r="VKT39" s="244"/>
      <c r="VKU39" s="244"/>
      <c r="VKV39" s="244"/>
      <c r="VKW39" s="244"/>
      <c r="VKX39" s="244"/>
      <c r="VKY39" s="244"/>
      <c r="VKZ39" s="244"/>
      <c r="VLA39" s="244"/>
      <c r="VLB39" s="244"/>
      <c r="VLC39" s="244"/>
      <c r="VLD39" s="244"/>
      <c r="VLE39" s="244"/>
      <c r="VLF39" s="244"/>
      <c r="VLG39" s="244"/>
      <c r="VLH39" s="244"/>
      <c r="VLI39" s="244"/>
      <c r="VLJ39" s="244"/>
      <c r="VLK39" s="244"/>
      <c r="VLL39" s="244"/>
      <c r="VLM39" s="244"/>
      <c r="VLN39" s="244"/>
      <c r="VLO39" s="244"/>
      <c r="VLP39" s="244"/>
      <c r="VLQ39" s="244"/>
      <c r="VLR39" s="244"/>
      <c r="VLS39" s="244"/>
      <c r="VLT39" s="244"/>
      <c r="VLU39" s="244"/>
      <c r="VLV39" s="244"/>
      <c r="VLW39" s="244"/>
      <c r="VLX39" s="244"/>
      <c r="VLY39" s="244"/>
      <c r="VLZ39" s="244"/>
      <c r="VMA39" s="244"/>
      <c r="VMB39" s="244"/>
      <c r="VMC39" s="244"/>
      <c r="VMD39" s="244"/>
      <c r="VME39" s="244"/>
      <c r="VMF39" s="244"/>
      <c r="VMG39" s="244"/>
      <c r="VMH39" s="244"/>
      <c r="VMI39" s="244"/>
      <c r="VMJ39" s="244"/>
      <c r="VMK39" s="244"/>
      <c r="VML39" s="244"/>
      <c r="VMM39" s="244"/>
      <c r="VMN39" s="244"/>
      <c r="VMO39" s="244"/>
      <c r="VMP39" s="244"/>
      <c r="VMQ39" s="244"/>
      <c r="VMR39" s="244"/>
      <c r="VMS39" s="244"/>
      <c r="VMT39" s="244"/>
      <c r="VMU39" s="244"/>
      <c r="VMV39" s="244"/>
      <c r="VMW39" s="244"/>
      <c r="VMX39" s="244"/>
      <c r="VMY39" s="244"/>
      <c r="VMZ39" s="244"/>
      <c r="VNA39" s="244"/>
      <c r="VNB39" s="244"/>
      <c r="VNC39" s="244"/>
      <c r="VND39" s="244"/>
      <c r="VNE39" s="244"/>
      <c r="VNF39" s="244"/>
      <c r="VNG39" s="244"/>
      <c r="VNH39" s="244"/>
      <c r="VNI39" s="244"/>
      <c r="VNJ39" s="244"/>
      <c r="VNK39" s="244"/>
      <c r="VNL39" s="244"/>
      <c r="VNM39" s="244"/>
      <c r="VNN39" s="244"/>
      <c r="VNO39" s="244"/>
      <c r="VNP39" s="244"/>
      <c r="VNQ39" s="244"/>
      <c r="VNR39" s="244"/>
      <c r="VNS39" s="244"/>
      <c r="VNT39" s="244"/>
      <c r="VNU39" s="244"/>
      <c r="VNV39" s="244"/>
      <c r="VNW39" s="244"/>
      <c r="VNX39" s="244"/>
      <c r="VNY39" s="244"/>
      <c r="VNZ39" s="244"/>
      <c r="VOA39" s="244"/>
      <c r="VOB39" s="244"/>
      <c r="VOC39" s="244"/>
      <c r="VOD39" s="244"/>
      <c r="VOE39" s="244"/>
      <c r="VOF39" s="244"/>
      <c r="VOG39" s="244"/>
      <c r="VOH39" s="244"/>
      <c r="VOI39" s="244"/>
      <c r="VOJ39" s="244"/>
      <c r="VOK39" s="244"/>
      <c r="VOL39" s="244"/>
      <c r="VOM39" s="244"/>
      <c r="VON39" s="244"/>
      <c r="VOO39" s="244"/>
      <c r="VOP39" s="244"/>
      <c r="VOQ39" s="244"/>
      <c r="VOR39" s="244"/>
      <c r="VOS39" s="244"/>
      <c r="VOT39" s="244"/>
      <c r="VOU39" s="244"/>
      <c r="VOV39" s="244"/>
      <c r="VOW39" s="244"/>
      <c r="VOX39" s="244"/>
      <c r="VOY39" s="244"/>
      <c r="VOZ39" s="244"/>
      <c r="VPA39" s="244"/>
      <c r="VPB39" s="244"/>
      <c r="VPC39" s="244"/>
      <c r="VPD39" s="244"/>
      <c r="VPE39" s="244"/>
      <c r="VPF39" s="244"/>
      <c r="VPG39" s="244"/>
      <c r="VPH39" s="244"/>
      <c r="VPI39" s="244"/>
      <c r="VPJ39" s="244"/>
      <c r="VPK39" s="244"/>
      <c r="VPL39" s="244"/>
      <c r="VPM39" s="244"/>
      <c r="VPN39" s="244"/>
      <c r="VPO39" s="244"/>
      <c r="VPP39" s="244"/>
      <c r="VPQ39" s="244"/>
      <c r="VPR39" s="244"/>
      <c r="VPS39" s="244"/>
      <c r="VPT39" s="244"/>
      <c r="VPU39" s="244"/>
      <c r="VPV39" s="244"/>
      <c r="VPW39" s="244"/>
      <c r="VPX39" s="244"/>
      <c r="VPY39" s="244"/>
      <c r="VPZ39" s="244"/>
      <c r="VQA39" s="244"/>
      <c r="VQB39" s="244"/>
      <c r="VQC39" s="244"/>
      <c r="VQD39" s="244"/>
      <c r="VQE39" s="244"/>
      <c r="VQF39" s="244"/>
      <c r="VQG39" s="244"/>
      <c r="VQH39" s="244"/>
      <c r="VQI39" s="244"/>
      <c r="VQJ39" s="244"/>
      <c r="VQK39" s="244"/>
      <c r="VQL39" s="244"/>
      <c r="VQM39" s="244"/>
      <c r="VQN39" s="244"/>
      <c r="VQO39" s="244"/>
      <c r="VQP39" s="244"/>
      <c r="VQQ39" s="244"/>
      <c r="VQR39" s="244"/>
      <c r="VQS39" s="244"/>
      <c r="VQT39" s="244"/>
      <c r="VQU39" s="244"/>
      <c r="VQV39" s="244"/>
      <c r="VQW39" s="244"/>
      <c r="VQX39" s="244"/>
      <c r="VQY39" s="244"/>
      <c r="VQZ39" s="244"/>
      <c r="VRA39" s="244"/>
      <c r="VRB39" s="244"/>
      <c r="VRC39" s="244"/>
      <c r="VRD39" s="244"/>
      <c r="VRE39" s="244"/>
      <c r="VRF39" s="244"/>
      <c r="VRG39" s="244"/>
      <c r="VRH39" s="244"/>
      <c r="VRI39" s="244"/>
      <c r="VRJ39" s="244"/>
      <c r="VRK39" s="244"/>
      <c r="VRL39" s="244"/>
      <c r="VRM39" s="244"/>
      <c r="VRN39" s="244"/>
      <c r="VRO39" s="244"/>
      <c r="VRP39" s="244"/>
      <c r="VRQ39" s="244"/>
      <c r="VRR39" s="244"/>
      <c r="VRS39" s="244"/>
      <c r="VRT39" s="244"/>
      <c r="VRU39" s="244"/>
      <c r="VRV39" s="244"/>
      <c r="VRW39" s="244"/>
      <c r="VRX39" s="244"/>
      <c r="VRY39" s="244"/>
      <c r="VRZ39" s="244"/>
      <c r="VSA39" s="244"/>
      <c r="VSB39" s="244"/>
      <c r="VSC39" s="244"/>
      <c r="VSD39" s="244"/>
      <c r="VSE39" s="244"/>
      <c r="VSF39" s="244"/>
      <c r="VSG39" s="244"/>
      <c r="VSH39" s="244"/>
      <c r="VSI39" s="244"/>
      <c r="VSJ39" s="244"/>
      <c r="VSK39" s="244"/>
      <c r="VSL39" s="244"/>
      <c r="VSM39" s="244"/>
      <c r="VSN39" s="244"/>
      <c r="VSO39" s="244"/>
      <c r="VSP39" s="244"/>
      <c r="VSQ39" s="244"/>
      <c r="VSR39" s="244"/>
      <c r="VSS39" s="244"/>
      <c r="VST39" s="244"/>
      <c r="VSU39" s="244"/>
      <c r="VSV39" s="244"/>
      <c r="VSW39" s="244"/>
      <c r="VSX39" s="244"/>
      <c r="VSY39" s="244"/>
      <c r="VSZ39" s="244"/>
      <c r="VTA39" s="244"/>
      <c r="VTB39" s="244"/>
      <c r="VTC39" s="244"/>
      <c r="VTD39" s="244"/>
      <c r="VTE39" s="244"/>
      <c r="VTF39" s="244"/>
      <c r="VTG39" s="244"/>
      <c r="VTH39" s="244"/>
      <c r="VTI39" s="244"/>
      <c r="VTJ39" s="244"/>
      <c r="VTK39" s="244"/>
      <c r="VTL39" s="244"/>
      <c r="VTM39" s="244"/>
      <c r="VTN39" s="244"/>
      <c r="VTO39" s="244"/>
      <c r="VTP39" s="244"/>
      <c r="VTQ39" s="244"/>
      <c r="VTR39" s="244"/>
      <c r="VTS39" s="244"/>
      <c r="VTT39" s="244"/>
      <c r="VTU39" s="244"/>
      <c r="VTV39" s="244"/>
      <c r="VTW39" s="244"/>
      <c r="VTX39" s="244"/>
      <c r="VTY39" s="244"/>
      <c r="VTZ39" s="244"/>
      <c r="VUA39" s="244"/>
      <c r="VUB39" s="244"/>
      <c r="VUC39" s="244"/>
      <c r="VUD39" s="244"/>
      <c r="VUE39" s="244"/>
      <c r="VUF39" s="244"/>
      <c r="VUG39" s="244"/>
      <c r="VUH39" s="244"/>
      <c r="VUI39" s="244"/>
      <c r="VUJ39" s="244"/>
      <c r="VUK39" s="244"/>
      <c r="VUL39" s="244"/>
      <c r="VUM39" s="244"/>
      <c r="VUN39" s="244"/>
      <c r="VUO39" s="244"/>
      <c r="VUP39" s="244"/>
      <c r="VUQ39" s="244"/>
      <c r="VUR39" s="244"/>
      <c r="VUS39" s="244"/>
      <c r="VUT39" s="244"/>
      <c r="VUU39" s="244"/>
      <c r="VUV39" s="244"/>
      <c r="VUW39" s="244"/>
      <c r="VUX39" s="244"/>
      <c r="VUY39" s="244"/>
      <c r="VUZ39" s="244"/>
      <c r="VVA39" s="244"/>
      <c r="VVB39" s="244"/>
      <c r="VVC39" s="244"/>
      <c r="VVD39" s="244"/>
      <c r="VVE39" s="244"/>
      <c r="VVF39" s="244"/>
      <c r="VVG39" s="244"/>
      <c r="VVH39" s="244"/>
      <c r="VVI39" s="244"/>
      <c r="VVJ39" s="244"/>
      <c r="VVK39" s="244"/>
      <c r="VVL39" s="244"/>
      <c r="VVM39" s="244"/>
      <c r="VVN39" s="244"/>
      <c r="VVO39" s="244"/>
      <c r="VVP39" s="244"/>
      <c r="VVQ39" s="244"/>
      <c r="VVR39" s="244"/>
      <c r="VVS39" s="244"/>
      <c r="VVT39" s="244"/>
      <c r="VVU39" s="244"/>
      <c r="VVV39" s="244"/>
      <c r="VVW39" s="244"/>
      <c r="VVX39" s="244"/>
      <c r="VVY39" s="244"/>
      <c r="VVZ39" s="244"/>
      <c r="VWA39" s="244"/>
      <c r="VWB39" s="244"/>
      <c r="VWC39" s="244"/>
      <c r="VWD39" s="244"/>
      <c r="VWE39" s="244"/>
      <c r="VWF39" s="244"/>
      <c r="VWG39" s="244"/>
      <c r="VWH39" s="244"/>
      <c r="VWI39" s="244"/>
      <c r="VWJ39" s="244"/>
      <c r="VWK39" s="244"/>
      <c r="VWL39" s="244"/>
      <c r="VWM39" s="244"/>
      <c r="VWN39" s="244"/>
      <c r="VWO39" s="244"/>
      <c r="VWP39" s="244"/>
      <c r="VWQ39" s="244"/>
      <c r="VWR39" s="244"/>
      <c r="VWS39" s="244"/>
      <c r="VWT39" s="244"/>
      <c r="VWU39" s="244"/>
      <c r="VWV39" s="244"/>
      <c r="VWW39" s="244"/>
      <c r="VWX39" s="244"/>
      <c r="VWY39" s="244"/>
      <c r="VWZ39" s="244"/>
      <c r="VXA39" s="244"/>
      <c r="VXB39" s="244"/>
      <c r="VXC39" s="244"/>
      <c r="VXD39" s="244"/>
      <c r="VXE39" s="244"/>
      <c r="VXF39" s="244"/>
      <c r="VXG39" s="244"/>
      <c r="VXH39" s="244"/>
      <c r="VXI39" s="244"/>
      <c r="VXJ39" s="244"/>
      <c r="VXK39" s="244"/>
      <c r="VXL39" s="244"/>
      <c r="VXM39" s="244"/>
      <c r="VXN39" s="244"/>
      <c r="VXO39" s="244"/>
      <c r="VXP39" s="244"/>
      <c r="VXQ39" s="244"/>
      <c r="VXR39" s="244"/>
      <c r="VXS39" s="244"/>
      <c r="VXT39" s="244"/>
      <c r="VXU39" s="244"/>
      <c r="VXV39" s="244"/>
      <c r="VXW39" s="244"/>
      <c r="VXX39" s="244"/>
      <c r="VXY39" s="244"/>
      <c r="VXZ39" s="244"/>
      <c r="VYA39" s="244"/>
      <c r="VYB39" s="244"/>
      <c r="VYC39" s="244"/>
      <c r="VYD39" s="244"/>
      <c r="VYE39" s="244"/>
      <c r="VYF39" s="244"/>
      <c r="VYG39" s="244"/>
      <c r="VYH39" s="244"/>
      <c r="VYI39" s="244"/>
      <c r="VYJ39" s="244"/>
      <c r="VYK39" s="244"/>
      <c r="VYL39" s="244"/>
      <c r="VYM39" s="244"/>
      <c r="VYN39" s="244"/>
      <c r="VYO39" s="244"/>
      <c r="VYP39" s="244"/>
      <c r="VYQ39" s="244"/>
      <c r="VYR39" s="244"/>
      <c r="VYS39" s="244"/>
      <c r="VYT39" s="244"/>
      <c r="VYU39" s="244"/>
      <c r="VYV39" s="244"/>
      <c r="VYW39" s="244"/>
      <c r="VYX39" s="244"/>
      <c r="VYY39" s="244"/>
      <c r="VYZ39" s="244"/>
      <c r="VZA39" s="244"/>
      <c r="VZB39" s="244"/>
      <c r="VZC39" s="244"/>
      <c r="VZD39" s="244"/>
      <c r="VZE39" s="244"/>
      <c r="VZF39" s="244"/>
      <c r="VZG39" s="244"/>
      <c r="VZH39" s="244"/>
      <c r="VZI39" s="244"/>
      <c r="VZJ39" s="244"/>
      <c r="VZK39" s="244"/>
      <c r="VZL39" s="244"/>
      <c r="VZM39" s="244"/>
      <c r="VZN39" s="244"/>
      <c r="VZO39" s="244"/>
      <c r="VZP39" s="244"/>
      <c r="VZQ39" s="244"/>
      <c r="VZR39" s="244"/>
      <c r="VZS39" s="244"/>
      <c r="VZT39" s="244"/>
      <c r="VZU39" s="244"/>
      <c r="VZV39" s="244"/>
      <c r="VZW39" s="244"/>
      <c r="VZX39" s="244"/>
      <c r="VZY39" s="244"/>
      <c r="VZZ39" s="244"/>
      <c r="WAA39" s="244"/>
      <c r="WAB39" s="244"/>
      <c r="WAC39" s="244"/>
      <c r="WAD39" s="244"/>
      <c r="WAE39" s="244"/>
      <c r="WAF39" s="244"/>
      <c r="WAG39" s="244"/>
      <c r="WAH39" s="244"/>
      <c r="WAI39" s="244"/>
      <c r="WAJ39" s="244"/>
      <c r="WAK39" s="244"/>
      <c r="WAL39" s="244"/>
      <c r="WAM39" s="244"/>
      <c r="WAN39" s="244"/>
      <c r="WAO39" s="244"/>
      <c r="WAP39" s="244"/>
      <c r="WAQ39" s="244"/>
      <c r="WAR39" s="244"/>
      <c r="WAS39" s="244"/>
      <c r="WAT39" s="244"/>
      <c r="WAU39" s="244"/>
      <c r="WAV39" s="244"/>
      <c r="WAW39" s="244"/>
      <c r="WAX39" s="244"/>
      <c r="WAY39" s="244"/>
      <c r="WAZ39" s="244"/>
      <c r="WBA39" s="244"/>
      <c r="WBB39" s="244"/>
      <c r="WBC39" s="244"/>
      <c r="WBD39" s="244"/>
      <c r="WBE39" s="244"/>
      <c r="WBF39" s="244"/>
      <c r="WBG39" s="244"/>
      <c r="WBH39" s="244"/>
      <c r="WBI39" s="244"/>
      <c r="WBJ39" s="244"/>
      <c r="WBK39" s="244"/>
      <c r="WBL39" s="244"/>
      <c r="WBM39" s="244"/>
      <c r="WBN39" s="244"/>
      <c r="WBO39" s="244"/>
      <c r="WBP39" s="244"/>
      <c r="WBQ39" s="244"/>
      <c r="WBR39" s="244"/>
      <c r="WBS39" s="244"/>
      <c r="WBT39" s="244"/>
      <c r="WBU39" s="244"/>
      <c r="WBV39" s="244"/>
      <c r="WBW39" s="244"/>
      <c r="WBX39" s="244"/>
      <c r="WBY39" s="244"/>
      <c r="WBZ39" s="244"/>
      <c r="WCA39" s="244"/>
      <c r="WCB39" s="244"/>
      <c r="WCC39" s="244"/>
      <c r="WCD39" s="244"/>
      <c r="WCE39" s="244"/>
      <c r="WCF39" s="244"/>
      <c r="WCG39" s="244"/>
      <c r="WCH39" s="244"/>
      <c r="WCI39" s="244"/>
      <c r="WCJ39" s="244"/>
      <c r="WCK39" s="244"/>
      <c r="WCL39" s="244"/>
      <c r="WCM39" s="244"/>
      <c r="WCN39" s="244"/>
      <c r="WCO39" s="244"/>
      <c r="WCP39" s="244"/>
      <c r="WCQ39" s="244"/>
      <c r="WCR39" s="244"/>
      <c r="WCS39" s="244"/>
      <c r="WCT39" s="244"/>
      <c r="WCU39" s="244"/>
      <c r="WCV39" s="244"/>
      <c r="WCW39" s="244"/>
      <c r="WCX39" s="244"/>
      <c r="WCY39" s="244"/>
      <c r="WCZ39" s="244"/>
      <c r="WDA39" s="244"/>
      <c r="WDB39" s="244"/>
      <c r="WDC39" s="244"/>
      <c r="WDD39" s="244"/>
      <c r="WDE39" s="244"/>
      <c r="WDF39" s="244"/>
      <c r="WDG39" s="244"/>
      <c r="WDH39" s="244"/>
      <c r="WDI39" s="244"/>
      <c r="WDJ39" s="244"/>
      <c r="WDK39" s="244"/>
      <c r="WDL39" s="244"/>
      <c r="WDM39" s="244"/>
      <c r="WDN39" s="244"/>
      <c r="WDO39" s="244"/>
      <c r="WDP39" s="244"/>
      <c r="WDQ39" s="244"/>
      <c r="WDR39" s="244"/>
      <c r="WDS39" s="244"/>
      <c r="WDT39" s="244"/>
      <c r="WDU39" s="244"/>
      <c r="WDV39" s="244"/>
      <c r="WDW39" s="244"/>
      <c r="WDX39" s="244"/>
      <c r="WDY39" s="244"/>
      <c r="WDZ39" s="244"/>
      <c r="WEA39" s="244"/>
      <c r="WEB39" s="244"/>
      <c r="WEC39" s="244"/>
      <c r="WED39" s="244"/>
      <c r="WEE39" s="244"/>
      <c r="WEF39" s="244"/>
      <c r="WEG39" s="244"/>
      <c r="WEH39" s="244"/>
      <c r="WEI39" s="244"/>
      <c r="WEJ39" s="244"/>
      <c r="WEK39" s="244"/>
      <c r="WEL39" s="244"/>
      <c r="WEM39" s="244"/>
      <c r="WEN39" s="244"/>
      <c r="WEO39" s="244"/>
      <c r="WEP39" s="244"/>
      <c r="WEQ39" s="244"/>
      <c r="WER39" s="244"/>
      <c r="WES39" s="244"/>
      <c r="WET39" s="244"/>
      <c r="WEU39" s="244"/>
      <c r="WEV39" s="244"/>
      <c r="WEW39" s="244"/>
      <c r="WEX39" s="244"/>
      <c r="WEY39" s="244"/>
      <c r="WEZ39" s="244"/>
      <c r="WFA39" s="244"/>
      <c r="WFB39" s="244"/>
      <c r="WFC39" s="244"/>
      <c r="WFD39" s="244"/>
      <c r="WFE39" s="244"/>
      <c r="WFF39" s="244"/>
      <c r="WFG39" s="244"/>
      <c r="WFH39" s="244"/>
      <c r="WFI39" s="244"/>
      <c r="WFJ39" s="244"/>
      <c r="WFK39" s="244"/>
      <c r="WFL39" s="244"/>
      <c r="WFM39" s="244"/>
      <c r="WFN39" s="244"/>
      <c r="WFO39" s="244"/>
      <c r="WFP39" s="244"/>
      <c r="WFQ39" s="244"/>
      <c r="WFR39" s="244"/>
      <c r="WFS39" s="244"/>
      <c r="WFT39" s="244"/>
      <c r="WFU39" s="244"/>
      <c r="WFV39" s="244"/>
      <c r="WFW39" s="244"/>
      <c r="WFX39" s="244"/>
      <c r="WFY39" s="244"/>
      <c r="WFZ39" s="244"/>
      <c r="WGA39" s="244"/>
      <c r="WGB39" s="244"/>
      <c r="WGC39" s="244"/>
      <c r="WGD39" s="244"/>
      <c r="WGE39" s="244"/>
      <c r="WGF39" s="244"/>
      <c r="WGG39" s="244"/>
      <c r="WGH39" s="244"/>
      <c r="WGI39" s="244"/>
      <c r="WGJ39" s="244"/>
      <c r="WGK39" s="244"/>
      <c r="WGL39" s="244"/>
      <c r="WGM39" s="244"/>
      <c r="WGN39" s="244"/>
      <c r="WGO39" s="244"/>
      <c r="WGP39" s="244"/>
      <c r="WGQ39" s="244"/>
      <c r="WGR39" s="244"/>
      <c r="WGS39" s="244"/>
      <c r="WGT39" s="244"/>
      <c r="WGU39" s="244"/>
      <c r="WGV39" s="244"/>
      <c r="WGW39" s="244"/>
      <c r="WGX39" s="244"/>
      <c r="WGY39" s="244"/>
      <c r="WGZ39" s="244"/>
      <c r="WHA39" s="244"/>
      <c r="WHB39" s="244"/>
      <c r="WHC39" s="244"/>
      <c r="WHD39" s="244"/>
      <c r="WHE39" s="244"/>
      <c r="WHF39" s="244"/>
      <c r="WHG39" s="244"/>
      <c r="WHH39" s="244"/>
      <c r="WHI39" s="244"/>
      <c r="WHJ39" s="244"/>
      <c r="WHK39" s="244"/>
      <c r="WHL39" s="244"/>
      <c r="WHM39" s="244"/>
      <c r="WHN39" s="244"/>
      <c r="WHO39" s="244"/>
      <c r="WHP39" s="244"/>
      <c r="WHQ39" s="244"/>
      <c r="WHR39" s="244"/>
      <c r="WHS39" s="244"/>
      <c r="WHT39" s="244"/>
      <c r="WHU39" s="244"/>
      <c r="WHV39" s="244"/>
      <c r="WHW39" s="244"/>
      <c r="WHX39" s="244"/>
      <c r="WHY39" s="244"/>
      <c r="WHZ39" s="244"/>
      <c r="WIA39" s="244"/>
      <c r="WIB39" s="244"/>
      <c r="WIC39" s="244"/>
      <c r="WID39" s="244"/>
      <c r="WIE39" s="244"/>
      <c r="WIF39" s="244"/>
      <c r="WIG39" s="244"/>
      <c r="WIH39" s="244"/>
      <c r="WII39" s="244"/>
      <c r="WIJ39" s="244"/>
      <c r="WIK39" s="244"/>
      <c r="WIL39" s="244"/>
      <c r="WIM39" s="244"/>
      <c r="WIN39" s="244"/>
      <c r="WIO39" s="244"/>
      <c r="WIP39" s="244"/>
      <c r="WIQ39" s="244"/>
      <c r="WIR39" s="244"/>
      <c r="WIS39" s="244"/>
      <c r="WIT39" s="244"/>
      <c r="WIU39" s="244"/>
      <c r="WIV39" s="244"/>
      <c r="WIW39" s="244"/>
      <c r="WIX39" s="244"/>
      <c r="WIY39" s="244"/>
      <c r="WIZ39" s="244"/>
      <c r="WJA39" s="244"/>
      <c r="WJB39" s="244"/>
      <c r="WJC39" s="244"/>
      <c r="WJD39" s="244"/>
      <c r="WJE39" s="244"/>
      <c r="WJF39" s="244"/>
      <c r="WJG39" s="244"/>
      <c r="WJH39" s="244"/>
      <c r="WJI39" s="244"/>
      <c r="WJJ39" s="244"/>
      <c r="WJK39" s="244"/>
      <c r="WJL39" s="244"/>
      <c r="WJM39" s="244"/>
      <c r="WJN39" s="244"/>
      <c r="WJO39" s="244"/>
      <c r="WJP39" s="244"/>
      <c r="WJQ39" s="244"/>
      <c r="WJR39" s="244"/>
      <c r="WJS39" s="244"/>
      <c r="WJT39" s="244"/>
      <c r="WJU39" s="244"/>
      <c r="WJV39" s="244"/>
      <c r="WJW39" s="244"/>
      <c r="WJX39" s="244"/>
      <c r="WJY39" s="244"/>
      <c r="WJZ39" s="244"/>
      <c r="WKA39" s="244"/>
      <c r="WKB39" s="244"/>
      <c r="WKC39" s="244"/>
      <c r="WKD39" s="244"/>
      <c r="WKE39" s="244"/>
      <c r="WKF39" s="244"/>
      <c r="WKG39" s="244"/>
      <c r="WKH39" s="244"/>
      <c r="WKI39" s="244"/>
      <c r="WKJ39" s="244"/>
      <c r="WKK39" s="244"/>
      <c r="WKL39" s="244"/>
      <c r="WKM39" s="244"/>
      <c r="WKN39" s="244"/>
      <c r="WKO39" s="244"/>
      <c r="WKP39" s="244"/>
      <c r="WKQ39" s="244"/>
      <c r="WKR39" s="244"/>
      <c r="WKS39" s="244"/>
      <c r="WKT39" s="244"/>
      <c r="WKU39" s="244"/>
      <c r="WKV39" s="244"/>
      <c r="WKW39" s="244"/>
      <c r="WKX39" s="244"/>
      <c r="WKY39" s="244"/>
      <c r="WKZ39" s="244"/>
      <c r="WLA39" s="244"/>
      <c r="WLB39" s="244"/>
      <c r="WLC39" s="244"/>
      <c r="WLD39" s="244"/>
      <c r="WLE39" s="244"/>
      <c r="WLF39" s="244"/>
      <c r="WLG39" s="244"/>
      <c r="WLH39" s="244"/>
      <c r="WLI39" s="244"/>
      <c r="WLJ39" s="244"/>
      <c r="WLK39" s="244"/>
      <c r="WLL39" s="244"/>
      <c r="WLM39" s="244"/>
      <c r="WLN39" s="244"/>
      <c r="WLO39" s="244"/>
      <c r="WLP39" s="244"/>
      <c r="WLQ39" s="244"/>
      <c r="WLR39" s="244"/>
      <c r="WLS39" s="244"/>
      <c r="WLT39" s="244"/>
      <c r="WLU39" s="244"/>
      <c r="WLV39" s="244"/>
      <c r="WLW39" s="244"/>
      <c r="WLX39" s="244"/>
      <c r="WLY39" s="244"/>
      <c r="WLZ39" s="244"/>
      <c r="WMA39" s="244"/>
      <c r="WMB39" s="244"/>
      <c r="WMC39" s="244"/>
      <c r="WMD39" s="244"/>
      <c r="WME39" s="244"/>
      <c r="WMF39" s="244"/>
      <c r="WMG39" s="244"/>
      <c r="WMH39" s="244"/>
      <c r="WMI39" s="244"/>
      <c r="WMJ39" s="244"/>
      <c r="WMK39" s="244"/>
      <c r="WML39" s="244"/>
      <c r="WMM39" s="244"/>
      <c r="WMN39" s="244"/>
      <c r="WMO39" s="244"/>
      <c r="WMP39" s="244"/>
      <c r="WMQ39" s="244"/>
      <c r="WMR39" s="244"/>
      <c r="WMS39" s="244"/>
      <c r="WMT39" s="244"/>
      <c r="WMU39" s="244"/>
      <c r="WMV39" s="244"/>
      <c r="WMW39" s="244"/>
      <c r="WMX39" s="244"/>
      <c r="WMY39" s="244"/>
      <c r="WMZ39" s="244"/>
      <c r="WNA39" s="244"/>
      <c r="WNB39" s="244"/>
      <c r="WNC39" s="244"/>
      <c r="WND39" s="244"/>
      <c r="WNE39" s="244"/>
      <c r="WNF39" s="244"/>
      <c r="WNG39" s="244"/>
      <c r="WNH39" s="244"/>
      <c r="WNI39" s="244"/>
      <c r="WNJ39" s="244"/>
      <c r="WNK39" s="244"/>
      <c r="WNL39" s="244"/>
      <c r="WNM39" s="244"/>
      <c r="WNN39" s="244"/>
      <c r="WNO39" s="244"/>
      <c r="WNP39" s="244"/>
      <c r="WNQ39" s="244"/>
      <c r="WNR39" s="244"/>
      <c r="WNS39" s="244"/>
      <c r="WNT39" s="244"/>
      <c r="WNU39" s="244"/>
      <c r="WNV39" s="244"/>
      <c r="WNW39" s="244"/>
      <c r="WNX39" s="244"/>
      <c r="WNY39" s="244"/>
      <c r="WNZ39" s="244"/>
      <c r="WOA39" s="244"/>
      <c r="WOB39" s="244"/>
      <c r="WOC39" s="244"/>
      <c r="WOD39" s="244"/>
      <c r="WOE39" s="244"/>
      <c r="WOF39" s="244"/>
      <c r="WOG39" s="244"/>
      <c r="WOH39" s="244"/>
      <c r="WOI39" s="244"/>
      <c r="WOJ39" s="244"/>
      <c r="WOK39" s="244"/>
      <c r="WOL39" s="244"/>
      <c r="WOM39" s="244"/>
      <c r="WON39" s="244"/>
      <c r="WOO39" s="244"/>
      <c r="WOP39" s="244"/>
      <c r="WOQ39" s="244"/>
      <c r="WOR39" s="244"/>
      <c r="WOS39" s="244"/>
      <c r="WOT39" s="244"/>
      <c r="WOU39" s="244"/>
      <c r="WOV39" s="244"/>
      <c r="WOW39" s="244"/>
      <c r="WOX39" s="244"/>
      <c r="WOY39" s="244"/>
      <c r="WOZ39" s="244"/>
      <c r="WPA39" s="244"/>
      <c r="WPB39" s="244"/>
      <c r="WPC39" s="244"/>
      <c r="WPD39" s="244"/>
      <c r="WPE39" s="244"/>
      <c r="WPF39" s="244"/>
      <c r="WPG39" s="244"/>
      <c r="WPH39" s="244"/>
      <c r="WPI39" s="244"/>
      <c r="WPJ39" s="244"/>
      <c r="WPK39" s="244"/>
      <c r="WPL39" s="244"/>
      <c r="WPM39" s="244"/>
      <c r="WPN39" s="244"/>
      <c r="WPO39" s="244"/>
      <c r="WPP39" s="244"/>
      <c r="WPQ39" s="244"/>
      <c r="WPR39" s="244"/>
      <c r="WPS39" s="244"/>
      <c r="WPT39" s="244"/>
      <c r="WPU39" s="244"/>
      <c r="WPV39" s="244"/>
      <c r="WPW39" s="244"/>
      <c r="WPX39" s="244"/>
      <c r="WPY39" s="244"/>
      <c r="WPZ39" s="244"/>
      <c r="WQA39" s="244"/>
      <c r="WQB39" s="244"/>
      <c r="WQC39" s="244"/>
      <c r="WQD39" s="244"/>
      <c r="WQE39" s="244"/>
      <c r="WQF39" s="244"/>
      <c r="WQG39" s="244"/>
      <c r="WQH39" s="244"/>
      <c r="WQI39" s="244"/>
      <c r="WQJ39" s="244"/>
      <c r="WQK39" s="244"/>
      <c r="WQL39" s="244"/>
      <c r="WQM39" s="244"/>
      <c r="WQN39" s="244"/>
      <c r="WQO39" s="244"/>
      <c r="WQP39" s="244"/>
      <c r="WQQ39" s="244"/>
      <c r="WQR39" s="244"/>
      <c r="WQS39" s="244"/>
      <c r="WQT39" s="244"/>
      <c r="WQU39" s="244"/>
      <c r="WQV39" s="244"/>
      <c r="WQW39" s="244"/>
      <c r="WQX39" s="244"/>
      <c r="WQY39" s="244"/>
      <c r="WQZ39" s="244"/>
      <c r="WRA39" s="244"/>
      <c r="WRB39" s="244"/>
      <c r="WRC39" s="244"/>
      <c r="WRD39" s="244"/>
      <c r="WRE39" s="244"/>
      <c r="WRF39" s="244"/>
      <c r="WRG39" s="244"/>
      <c r="WRH39" s="244"/>
      <c r="WRI39" s="244"/>
      <c r="WRJ39" s="244"/>
      <c r="WRK39" s="244"/>
      <c r="WRL39" s="244"/>
      <c r="WRM39" s="244"/>
      <c r="WRN39" s="244"/>
      <c r="WRO39" s="244"/>
      <c r="WRP39" s="244"/>
      <c r="WRQ39" s="244"/>
      <c r="WRR39" s="244"/>
      <c r="WRS39" s="244"/>
      <c r="WRT39" s="244"/>
      <c r="WRU39" s="244"/>
      <c r="WRV39" s="244"/>
      <c r="WRW39" s="244"/>
      <c r="WRX39" s="244"/>
      <c r="WRY39" s="244"/>
      <c r="WRZ39" s="244"/>
      <c r="WSA39" s="244"/>
      <c r="WSB39" s="244"/>
      <c r="WSC39" s="244"/>
      <c r="WSD39" s="244"/>
      <c r="WSE39" s="244"/>
      <c r="WSF39" s="244"/>
      <c r="WSG39" s="244"/>
      <c r="WSH39" s="244"/>
      <c r="WSI39" s="244"/>
      <c r="WSJ39" s="244"/>
      <c r="WSK39" s="244"/>
      <c r="WSL39" s="244"/>
      <c r="WSM39" s="244"/>
      <c r="WSN39" s="244"/>
      <c r="WSO39" s="244"/>
      <c r="WSP39" s="244"/>
      <c r="WSQ39" s="244"/>
      <c r="WSR39" s="244"/>
      <c r="WSS39" s="244"/>
      <c r="WST39" s="244"/>
      <c r="WSU39" s="244"/>
      <c r="WSV39" s="244"/>
      <c r="WSW39" s="244"/>
      <c r="WSX39" s="244"/>
      <c r="WSY39" s="244"/>
      <c r="WSZ39" s="244"/>
      <c r="WTA39" s="244"/>
      <c r="WTB39" s="244"/>
      <c r="WTC39" s="244"/>
      <c r="WTD39" s="244"/>
      <c r="WTE39" s="244"/>
      <c r="WTF39" s="244"/>
      <c r="WTG39" s="244"/>
      <c r="WTH39" s="244"/>
      <c r="WTI39" s="244"/>
      <c r="WTJ39" s="244"/>
      <c r="WTK39" s="244"/>
      <c r="WTL39" s="244"/>
      <c r="WTM39" s="244"/>
      <c r="WTN39" s="244"/>
      <c r="WTO39" s="244"/>
      <c r="WTP39" s="244"/>
      <c r="WTQ39" s="244"/>
      <c r="WTR39" s="244"/>
      <c r="WTS39" s="244"/>
      <c r="WTT39" s="244"/>
      <c r="WTU39" s="244"/>
      <c r="WTV39" s="244"/>
      <c r="WTW39" s="244"/>
      <c r="WTX39" s="244"/>
      <c r="WTY39" s="244"/>
      <c r="WTZ39" s="244"/>
      <c r="WUA39" s="244"/>
      <c r="WUB39" s="244"/>
      <c r="WUC39" s="244"/>
      <c r="WUD39" s="244"/>
      <c r="WUE39" s="244"/>
      <c r="WUF39" s="244"/>
      <c r="WUG39" s="244"/>
      <c r="WUH39" s="244"/>
      <c r="WUI39" s="244"/>
      <c r="WUJ39" s="244"/>
      <c r="WUK39" s="244"/>
      <c r="WUL39" s="244"/>
      <c r="WUM39" s="244"/>
      <c r="WUN39" s="244"/>
      <c r="WUO39" s="244"/>
      <c r="WUP39" s="244"/>
      <c r="WUQ39" s="244"/>
      <c r="WUR39" s="244"/>
      <c r="WUS39" s="244"/>
      <c r="WUT39" s="244"/>
      <c r="WUU39" s="244"/>
      <c r="WUV39" s="244"/>
      <c r="WUW39" s="244"/>
      <c r="WUX39" s="244"/>
      <c r="WUY39" s="244"/>
      <c r="WUZ39" s="244"/>
      <c r="WVA39" s="244"/>
      <c r="WVB39" s="244"/>
      <c r="WVC39" s="244"/>
      <c r="WVD39" s="244"/>
      <c r="WVE39" s="244"/>
      <c r="WVF39" s="244"/>
      <c r="WVG39" s="244"/>
      <c r="WVH39" s="244"/>
      <c r="WVI39" s="244"/>
      <c r="WVJ39" s="244"/>
      <c r="WVK39" s="244"/>
      <c r="WVL39" s="244"/>
      <c r="WVM39" s="244"/>
      <c r="WVN39" s="244"/>
      <c r="WVO39" s="244"/>
      <c r="WVP39" s="244"/>
      <c r="WVQ39" s="244"/>
      <c r="WVR39" s="244"/>
      <c r="WVS39" s="244"/>
      <c r="WVT39" s="244"/>
      <c r="WVU39" s="244"/>
      <c r="WVV39" s="244"/>
      <c r="WVW39" s="244"/>
      <c r="WVX39" s="244"/>
      <c r="WVY39" s="244"/>
      <c r="WVZ39" s="244"/>
      <c r="WWA39" s="244"/>
      <c r="WWB39" s="244"/>
    </row>
  </sheetData>
  <autoFilter ref="R1:R46" xr:uid="{3872221A-2203-4CFC-B586-30AFCD8D42BA}"/>
  <pageMargins left="0.43307086614173229" right="0.43307086614173229" top="0.74803149606299213" bottom="0.74803149606299213" header="0.31496062992125984" footer="0.31496062992125984"/>
  <pageSetup paperSize="9" scale="70" firstPageNumber="3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0CEC1-D9DF-4FDC-AF7F-CCBB028B05A8}">
  <sheetPr>
    <tabColor rgb="FF00B0F0"/>
  </sheetPr>
  <dimension ref="A1:L41"/>
  <sheetViews>
    <sheetView zoomScale="120" zoomScaleNormal="120" workbookViewId="0">
      <pane ySplit="17" topLeftCell="A18" activePane="bottomLeft" state="frozen"/>
      <selection pane="bottomLeft"/>
    </sheetView>
  </sheetViews>
  <sheetFormatPr defaultColWidth="10.28515625" defaultRowHeight="11.25"/>
  <cols>
    <col min="1" max="1" width="6.42578125" style="337" customWidth="1"/>
    <col min="2" max="2" width="58.28515625" style="337" customWidth="1"/>
    <col min="3" max="3" width="10.28515625" style="337"/>
    <col min="4" max="4" width="11.42578125" style="337" customWidth="1"/>
    <col min="5" max="5" width="10.7109375" style="337" customWidth="1"/>
    <col min="6" max="6" width="11.42578125" style="337" customWidth="1"/>
    <col min="7" max="7" width="11.140625" style="337" customWidth="1"/>
    <col min="8" max="9" width="11.28515625" style="337" customWidth="1"/>
    <col min="10" max="10" width="17" style="337" customWidth="1"/>
    <col min="11" max="11" width="16.28515625" style="337" customWidth="1"/>
    <col min="12" max="256" width="10.28515625" style="337"/>
    <col min="257" max="257" width="6.42578125" style="337" customWidth="1"/>
    <col min="258" max="258" width="58.28515625" style="337" customWidth="1"/>
    <col min="259" max="259" width="10.28515625" style="337"/>
    <col min="260" max="260" width="11" style="337" customWidth="1"/>
    <col min="261" max="262" width="9.7109375" style="337" customWidth="1"/>
    <col min="263" max="263" width="10.7109375" style="337" customWidth="1"/>
    <col min="264" max="265" width="11.28515625" style="337" customWidth="1"/>
    <col min="266" max="266" width="17" style="337" customWidth="1"/>
    <col min="267" max="267" width="16.28515625" style="337" customWidth="1"/>
    <col min="268" max="512" width="10.28515625" style="337"/>
    <col min="513" max="513" width="6.42578125" style="337" customWidth="1"/>
    <col min="514" max="514" width="58.28515625" style="337" customWidth="1"/>
    <col min="515" max="515" width="10.28515625" style="337"/>
    <col min="516" max="516" width="11" style="337" customWidth="1"/>
    <col min="517" max="518" width="9.7109375" style="337" customWidth="1"/>
    <col min="519" max="519" width="10.7109375" style="337" customWidth="1"/>
    <col min="520" max="521" width="11.28515625" style="337" customWidth="1"/>
    <col min="522" max="522" width="17" style="337" customWidth="1"/>
    <col min="523" max="523" width="16.28515625" style="337" customWidth="1"/>
    <col min="524" max="768" width="10.28515625" style="337"/>
    <col min="769" max="769" width="6.42578125" style="337" customWidth="1"/>
    <col min="770" max="770" width="58.28515625" style="337" customWidth="1"/>
    <col min="771" max="771" width="10.28515625" style="337"/>
    <col min="772" max="772" width="11" style="337" customWidth="1"/>
    <col min="773" max="774" width="9.7109375" style="337" customWidth="1"/>
    <col min="775" max="775" width="10.7109375" style="337" customWidth="1"/>
    <col min="776" max="777" width="11.28515625" style="337" customWidth="1"/>
    <col min="778" max="778" width="17" style="337" customWidth="1"/>
    <col min="779" max="779" width="16.28515625" style="337" customWidth="1"/>
    <col min="780" max="1024" width="10.28515625" style="337"/>
    <col min="1025" max="1025" width="6.42578125" style="337" customWidth="1"/>
    <col min="1026" max="1026" width="58.28515625" style="337" customWidth="1"/>
    <col min="1027" max="1027" width="10.28515625" style="337"/>
    <col min="1028" max="1028" width="11" style="337" customWidth="1"/>
    <col min="1029" max="1030" width="9.7109375" style="337" customWidth="1"/>
    <col min="1031" max="1031" width="10.7109375" style="337" customWidth="1"/>
    <col min="1032" max="1033" width="11.28515625" style="337" customWidth="1"/>
    <col min="1034" max="1034" width="17" style="337" customWidth="1"/>
    <col min="1035" max="1035" width="16.28515625" style="337" customWidth="1"/>
    <col min="1036" max="1280" width="10.28515625" style="337"/>
    <col min="1281" max="1281" width="6.42578125" style="337" customWidth="1"/>
    <col min="1282" max="1282" width="58.28515625" style="337" customWidth="1"/>
    <col min="1283" max="1283" width="10.28515625" style="337"/>
    <col min="1284" max="1284" width="11" style="337" customWidth="1"/>
    <col min="1285" max="1286" width="9.7109375" style="337" customWidth="1"/>
    <col min="1287" max="1287" width="10.7109375" style="337" customWidth="1"/>
    <col min="1288" max="1289" width="11.28515625" style="337" customWidth="1"/>
    <col min="1290" max="1290" width="17" style="337" customWidth="1"/>
    <col min="1291" max="1291" width="16.28515625" style="337" customWidth="1"/>
    <col min="1292" max="1536" width="10.28515625" style="337"/>
    <col min="1537" max="1537" width="6.42578125" style="337" customWidth="1"/>
    <col min="1538" max="1538" width="58.28515625" style="337" customWidth="1"/>
    <col min="1539" max="1539" width="10.28515625" style="337"/>
    <col min="1540" max="1540" width="11" style="337" customWidth="1"/>
    <col min="1541" max="1542" width="9.7109375" style="337" customWidth="1"/>
    <col min="1543" max="1543" width="10.7109375" style="337" customWidth="1"/>
    <col min="1544" max="1545" width="11.28515625" style="337" customWidth="1"/>
    <col min="1546" max="1546" width="17" style="337" customWidth="1"/>
    <col min="1547" max="1547" width="16.28515625" style="337" customWidth="1"/>
    <col min="1548" max="1792" width="10.28515625" style="337"/>
    <col min="1793" max="1793" width="6.42578125" style="337" customWidth="1"/>
    <col min="1794" max="1794" width="58.28515625" style="337" customWidth="1"/>
    <col min="1795" max="1795" width="10.28515625" style="337"/>
    <col min="1796" max="1796" width="11" style="337" customWidth="1"/>
    <col min="1797" max="1798" width="9.7109375" style="337" customWidth="1"/>
    <col min="1799" max="1799" width="10.7109375" style="337" customWidth="1"/>
    <col min="1800" max="1801" width="11.28515625" style="337" customWidth="1"/>
    <col min="1802" max="1802" width="17" style="337" customWidth="1"/>
    <col min="1803" max="1803" width="16.28515625" style="337" customWidth="1"/>
    <col min="1804" max="2048" width="10.28515625" style="337"/>
    <col min="2049" max="2049" width="6.42578125" style="337" customWidth="1"/>
    <col min="2050" max="2050" width="58.28515625" style="337" customWidth="1"/>
    <col min="2051" max="2051" width="10.28515625" style="337"/>
    <col min="2052" max="2052" width="11" style="337" customWidth="1"/>
    <col min="2053" max="2054" width="9.7109375" style="337" customWidth="1"/>
    <col min="2055" max="2055" width="10.7109375" style="337" customWidth="1"/>
    <col min="2056" max="2057" width="11.28515625" style="337" customWidth="1"/>
    <col min="2058" max="2058" width="17" style="337" customWidth="1"/>
    <col min="2059" max="2059" width="16.28515625" style="337" customWidth="1"/>
    <col min="2060" max="2304" width="10.28515625" style="337"/>
    <col min="2305" max="2305" width="6.42578125" style="337" customWidth="1"/>
    <col min="2306" max="2306" width="58.28515625" style="337" customWidth="1"/>
    <col min="2307" max="2307" width="10.28515625" style="337"/>
    <col min="2308" max="2308" width="11" style="337" customWidth="1"/>
    <col min="2309" max="2310" width="9.7109375" style="337" customWidth="1"/>
    <col min="2311" max="2311" width="10.7109375" style="337" customWidth="1"/>
    <col min="2312" max="2313" width="11.28515625" style="337" customWidth="1"/>
    <col min="2314" max="2314" width="17" style="337" customWidth="1"/>
    <col min="2315" max="2315" width="16.28515625" style="337" customWidth="1"/>
    <col min="2316" max="2560" width="10.28515625" style="337"/>
    <col min="2561" max="2561" width="6.42578125" style="337" customWidth="1"/>
    <col min="2562" max="2562" width="58.28515625" style="337" customWidth="1"/>
    <col min="2563" max="2563" width="10.28515625" style="337"/>
    <col min="2564" max="2564" width="11" style="337" customWidth="1"/>
    <col min="2565" max="2566" width="9.7109375" style="337" customWidth="1"/>
    <col min="2567" max="2567" width="10.7109375" style="337" customWidth="1"/>
    <col min="2568" max="2569" width="11.28515625" style="337" customWidth="1"/>
    <col min="2570" max="2570" width="17" style="337" customWidth="1"/>
    <col min="2571" max="2571" width="16.28515625" style="337" customWidth="1"/>
    <col min="2572" max="2816" width="10.28515625" style="337"/>
    <col min="2817" max="2817" width="6.42578125" style="337" customWidth="1"/>
    <col min="2818" max="2818" width="58.28515625" style="337" customWidth="1"/>
    <col min="2819" max="2819" width="10.28515625" style="337"/>
    <col min="2820" max="2820" width="11" style="337" customWidth="1"/>
    <col min="2821" max="2822" width="9.7109375" style="337" customWidth="1"/>
    <col min="2823" max="2823" width="10.7109375" style="337" customWidth="1"/>
    <col min="2824" max="2825" width="11.28515625" style="337" customWidth="1"/>
    <col min="2826" max="2826" width="17" style="337" customWidth="1"/>
    <col min="2827" max="2827" width="16.28515625" style="337" customWidth="1"/>
    <col min="2828" max="3072" width="10.28515625" style="337"/>
    <col min="3073" max="3073" width="6.42578125" style="337" customWidth="1"/>
    <col min="3074" max="3074" width="58.28515625" style="337" customWidth="1"/>
    <col min="3075" max="3075" width="10.28515625" style="337"/>
    <col min="3076" max="3076" width="11" style="337" customWidth="1"/>
    <col min="3077" max="3078" width="9.7109375" style="337" customWidth="1"/>
    <col min="3079" max="3079" width="10.7109375" style="337" customWidth="1"/>
    <col min="3080" max="3081" width="11.28515625" style="337" customWidth="1"/>
    <col min="3082" max="3082" width="17" style="337" customWidth="1"/>
    <col min="3083" max="3083" width="16.28515625" style="337" customWidth="1"/>
    <col min="3084" max="3328" width="10.28515625" style="337"/>
    <col min="3329" max="3329" width="6.42578125" style="337" customWidth="1"/>
    <col min="3330" max="3330" width="58.28515625" style="337" customWidth="1"/>
    <col min="3331" max="3331" width="10.28515625" style="337"/>
    <col min="3332" max="3332" width="11" style="337" customWidth="1"/>
    <col min="3333" max="3334" width="9.7109375" style="337" customWidth="1"/>
    <col min="3335" max="3335" width="10.7109375" style="337" customWidth="1"/>
    <col min="3336" max="3337" width="11.28515625" style="337" customWidth="1"/>
    <col min="3338" max="3338" width="17" style="337" customWidth="1"/>
    <col min="3339" max="3339" width="16.28515625" style="337" customWidth="1"/>
    <col min="3340" max="3584" width="10.28515625" style="337"/>
    <col min="3585" max="3585" width="6.42578125" style="337" customWidth="1"/>
    <col min="3586" max="3586" width="58.28515625" style="337" customWidth="1"/>
    <col min="3587" max="3587" width="10.28515625" style="337"/>
    <col min="3588" max="3588" width="11" style="337" customWidth="1"/>
    <col min="3589" max="3590" width="9.7109375" style="337" customWidth="1"/>
    <col min="3591" max="3591" width="10.7109375" style="337" customWidth="1"/>
    <col min="3592" max="3593" width="11.28515625" style="337" customWidth="1"/>
    <col min="3594" max="3594" width="17" style="337" customWidth="1"/>
    <col min="3595" max="3595" width="16.28515625" style="337" customWidth="1"/>
    <col min="3596" max="3840" width="10.28515625" style="337"/>
    <col min="3841" max="3841" width="6.42578125" style="337" customWidth="1"/>
    <col min="3842" max="3842" width="58.28515625" style="337" customWidth="1"/>
    <col min="3843" max="3843" width="10.28515625" style="337"/>
    <col min="3844" max="3844" width="11" style="337" customWidth="1"/>
    <col min="3845" max="3846" width="9.7109375" style="337" customWidth="1"/>
    <col min="3847" max="3847" width="10.7109375" style="337" customWidth="1"/>
    <col min="3848" max="3849" width="11.28515625" style="337" customWidth="1"/>
    <col min="3850" max="3850" width="17" style="337" customWidth="1"/>
    <col min="3851" max="3851" width="16.28515625" style="337" customWidth="1"/>
    <col min="3852" max="4096" width="10.28515625" style="337"/>
    <col min="4097" max="4097" width="6.42578125" style="337" customWidth="1"/>
    <col min="4098" max="4098" width="58.28515625" style="337" customWidth="1"/>
    <col min="4099" max="4099" width="10.28515625" style="337"/>
    <col min="4100" max="4100" width="11" style="337" customWidth="1"/>
    <col min="4101" max="4102" width="9.7109375" style="337" customWidth="1"/>
    <col min="4103" max="4103" width="10.7109375" style="337" customWidth="1"/>
    <col min="4104" max="4105" width="11.28515625" style="337" customWidth="1"/>
    <col min="4106" max="4106" width="17" style="337" customWidth="1"/>
    <col min="4107" max="4107" width="16.28515625" style="337" customWidth="1"/>
    <col min="4108" max="4352" width="10.28515625" style="337"/>
    <col min="4353" max="4353" width="6.42578125" style="337" customWidth="1"/>
    <col min="4354" max="4354" width="58.28515625" style="337" customWidth="1"/>
    <col min="4355" max="4355" width="10.28515625" style="337"/>
    <col min="4356" max="4356" width="11" style="337" customWidth="1"/>
    <col min="4357" max="4358" width="9.7109375" style="337" customWidth="1"/>
    <col min="4359" max="4359" width="10.7109375" style="337" customWidth="1"/>
    <col min="4360" max="4361" width="11.28515625" style="337" customWidth="1"/>
    <col min="4362" max="4362" width="17" style="337" customWidth="1"/>
    <col min="4363" max="4363" width="16.28515625" style="337" customWidth="1"/>
    <col min="4364" max="4608" width="10.28515625" style="337"/>
    <col min="4609" max="4609" width="6.42578125" style="337" customWidth="1"/>
    <col min="4610" max="4610" width="58.28515625" style="337" customWidth="1"/>
    <col min="4611" max="4611" width="10.28515625" style="337"/>
    <col min="4612" max="4612" width="11" style="337" customWidth="1"/>
    <col min="4613" max="4614" width="9.7109375" style="337" customWidth="1"/>
    <col min="4615" max="4615" width="10.7109375" style="337" customWidth="1"/>
    <col min="4616" max="4617" width="11.28515625" style="337" customWidth="1"/>
    <col min="4618" max="4618" width="17" style="337" customWidth="1"/>
    <col min="4619" max="4619" width="16.28515625" style="337" customWidth="1"/>
    <col min="4620" max="4864" width="10.28515625" style="337"/>
    <col min="4865" max="4865" width="6.42578125" style="337" customWidth="1"/>
    <col min="4866" max="4866" width="58.28515625" style="337" customWidth="1"/>
    <col min="4867" max="4867" width="10.28515625" style="337"/>
    <col min="4868" max="4868" width="11" style="337" customWidth="1"/>
    <col min="4869" max="4870" width="9.7109375" style="337" customWidth="1"/>
    <col min="4871" max="4871" width="10.7109375" style="337" customWidth="1"/>
    <col min="4872" max="4873" width="11.28515625" style="337" customWidth="1"/>
    <col min="4874" max="4874" width="17" style="337" customWidth="1"/>
    <col min="4875" max="4875" width="16.28515625" style="337" customWidth="1"/>
    <col min="4876" max="5120" width="10.28515625" style="337"/>
    <col min="5121" max="5121" width="6.42578125" style="337" customWidth="1"/>
    <col min="5122" max="5122" width="58.28515625" style="337" customWidth="1"/>
    <col min="5123" max="5123" width="10.28515625" style="337"/>
    <col min="5124" max="5124" width="11" style="337" customWidth="1"/>
    <col min="5125" max="5126" width="9.7109375" style="337" customWidth="1"/>
    <col min="5127" max="5127" width="10.7109375" style="337" customWidth="1"/>
    <col min="5128" max="5129" width="11.28515625" style="337" customWidth="1"/>
    <col min="5130" max="5130" width="17" style="337" customWidth="1"/>
    <col min="5131" max="5131" width="16.28515625" style="337" customWidth="1"/>
    <col min="5132" max="5376" width="10.28515625" style="337"/>
    <col min="5377" max="5377" width="6.42578125" style="337" customWidth="1"/>
    <col min="5378" max="5378" width="58.28515625" style="337" customWidth="1"/>
    <col min="5379" max="5379" width="10.28515625" style="337"/>
    <col min="5380" max="5380" width="11" style="337" customWidth="1"/>
    <col min="5381" max="5382" width="9.7109375" style="337" customWidth="1"/>
    <col min="5383" max="5383" width="10.7109375" style="337" customWidth="1"/>
    <col min="5384" max="5385" width="11.28515625" style="337" customWidth="1"/>
    <col min="5386" max="5386" width="17" style="337" customWidth="1"/>
    <col min="5387" max="5387" width="16.28515625" style="337" customWidth="1"/>
    <col min="5388" max="5632" width="10.28515625" style="337"/>
    <col min="5633" max="5633" width="6.42578125" style="337" customWidth="1"/>
    <col min="5634" max="5634" width="58.28515625" style="337" customWidth="1"/>
    <col min="5635" max="5635" width="10.28515625" style="337"/>
    <col min="5636" max="5636" width="11" style="337" customWidth="1"/>
    <col min="5637" max="5638" width="9.7109375" style="337" customWidth="1"/>
    <col min="5639" max="5639" width="10.7109375" style="337" customWidth="1"/>
    <col min="5640" max="5641" width="11.28515625" style="337" customWidth="1"/>
    <col min="5642" max="5642" width="17" style="337" customWidth="1"/>
    <col min="5643" max="5643" width="16.28515625" style="337" customWidth="1"/>
    <col min="5644" max="5888" width="10.28515625" style="337"/>
    <col min="5889" max="5889" width="6.42578125" style="337" customWidth="1"/>
    <col min="5890" max="5890" width="58.28515625" style="337" customWidth="1"/>
    <col min="5891" max="5891" width="10.28515625" style="337"/>
    <col min="5892" max="5892" width="11" style="337" customWidth="1"/>
    <col min="5893" max="5894" width="9.7109375" style="337" customWidth="1"/>
    <col min="5895" max="5895" width="10.7109375" style="337" customWidth="1"/>
    <col min="5896" max="5897" width="11.28515625" style="337" customWidth="1"/>
    <col min="5898" max="5898" width="17" style="337" customWidth="1"/>
    <col min="5899" max="5899" width="16.28515625" style="337" customWidth="1"/>
    <col min="5900" max="6144" width="10.28515625" style="337"/>
    <col min="6145" max="6145" width="6.42578125" style="337" customWidth="1"/>
    <col min="6146" max="6146" width="58.28515625" style="337" customWidth="1"/>
    <col min="6147" max="6147" width="10.28515625" style="337"/>
    <col min="6148" max="6148" width="11" style="337" customWidth="1"/>
    <col min="6149" max="6150" width="9.7109375" style="337" customWidth="1"/>
    <col min="6151" max="6151" width="10.7109375" style="337" customWidth="1"/>
    <col min="6152" max="6153" width="11.28515625" style="337" customWidth="1"/>
    <col min="6154" max="6154" width="17" style="337" customWidth="1"/>
    <col min="6155" max="6155" width="16.28515625" style="337" customWidth="1"/>
    <col min="6156" max="6400" width="10.28515625" style="337"/>
    <col min="6401" max="6401" width="6.42578125" style="337" customWidth="1"/>
    <col min="6402" max="6402" width="58.28515625" style="337" customWidth="1"/>
    <col min="6403" max="6403" width="10.28515625" style="337"/>
    <col min="6404" max="6404" width="11" style="337" customWidth="1"/>
    <col min="6405" max="6406" width="9.7109375" style="337" customWidth="1"/>
    <col min="6407" max="6407" width="10.7109375" style="337" customWidth="1"/>
    <col min="6408" max="6409" width="11.28515625" style="337" customWidth="1"/>
    <col min="6410" max="6410" width="17" style="337" customWidth="1"/>
    <col min="6411" max="6411" width="16.28515625" style="337" customWidth="1"/>
    <col min="6412" max="6656" width="10.28515625" style="337"/>
    <col min="6657" max="6657" width="6.42578125" style="337" customWidth="1"/>
    <col min="6658" max="6658" width="58.28515625" style="337" customWidth="1"/>
    <col min="6659" max="6659" width="10.28515625" style="337"/>
    <col min="6660" max="6660" width="11" style="337" customWidth="1"/>
    <col min="6661" max="6662" width="9.7109375" style="337" customWidth="1"/>
    <col min="6663" max="6663" width="10.7109375" style="337" customWidth="1"/>
    <col min="6664" max="6665" width="11.28515625" style="337" customWidth="1"/>
    <col min="6666" max="6666" width="17" style="337" customWidth="1"/>
    <col min="6667" max="6667" width="16.28515625" style="337" customWidth="1"/>
    <col min="6668" max="6912" width="10.28515625" style="337"/>
    <col min="6913" max="6913" width="6.42578125" style="337" customWidth="1"/>
    <col min="6914" max="6914" width="58.28515625" style="337" customWidth="1"/>
    <col min="6915" max="6915" width="10.28515625" style="337"/>
    <col min="6916" max="6916" width="11" style="337" customWidth="1"/>
    <col min="6917" max="6918" width="9.7109375" style="337" customWidth="1"/>
    <col min="6919" max="6919" width="10.7109375" style="337" customWidth="1"/>
    <col min="6920" max="6921" width="11.28515625" style="337" customWidth="1"/>
    <col min="6922" max="6922" width="17" style="337" customWidth="1"/>
    <col min="6923" max="6923" width="16.28515625" style="337" customWidth="1"/>
    <col min="6924" max="7168" width="10.28515625" style="337"/>
    <col min="7169" max="7169" width="6.42578125" style="337" customWidth="1"/>
    <col min="7170" max="7170" width="58.28515625" style="337" customWidth="1"/>
    <col min="7171" max="7171" width="10.28515625" style="337"/>
    <col min="7172" max="7172" width="11" style="337" customWidth="1"/>
    <col min="7173" max="7174" width="9.7109375" style="337" customWidth="1"/>
    <col min="7175" max="7175" width="10.7109375" style="337" customWidth="1"/>
    <col min="7176" max="7177" width="11.28515625" style="337" customWidth="1"/>
    <col min="7178" max="7178" width="17" style="337" customWidth="1"/>
    <col min="7179" max="7179" width="16.28515625" style="337" customWidth="1"/>
    <col min="7180" max="7424" width="10.28515625" style="337"/>
    <col min="7425" max="7425" width="6.42578125" style="337" customWidth="1"/>
    <col min="7426" max="7426" width="58.28515625" style="337" customWidth="1"/>
    <col min="7427" max="7427" width="10.28515625" style="337"/>
    <col min="7428" max="7428" width="11" style="337" customWidth="1"/>
    <col min="7429" max="7430" width="9.7109375" style="337" customWidth="1"/>
    <col min="7431" max="7431" width="10.7109375" style="337" customWidth="1"/>
    <col min="7432" max="7433" width="11.28515625" style="337" customWidth="1"/>
    <col min="7434" max="7434" width="17" style="337" customWidth="1"/>
    <col min="7435" max="7435" width="16.28515625" style="337" customWidth="1"/>
    <col min="7436" max="7680" width="10.28515625" style="337"/>
    <col min="7681" max="7681" width="6.42578125" style="337" customWidth="1"/>
    <col min="7682" max="7682" width="58.28515625" style="337" customWidth="1"/>
    <col min="7683" max="7683" width="10.28515625" style="337"/>
    <col min="7684" max="7684" width="11" style="337" customWidth="1"/>
    <col min="7685" max="7686" width="9.7109375" style="337" customWidth="1"/>
    <col min="7687" max="7687" width="10.7109375" style="337" customWidth="1"/>
    <col min="7688" max="7689" width="11.28515625" style="337" customWidth="1"/>
    <col min="7690" max="7690" width="17" style="337" customWidth="1"/>
    <col min="7691" max="7691" width="16.28515625" style="337" customWidth="1"/>
    <col min="7692" max="7936" width="10.28515625" style="337"/>
    <col min="7937" max="7937" width="6.42578125" style="337" customWidth="1"/>
    <col min="7938" max="7938" width="58.28515625" style="337" customWidth="1"/>
    <col min="7939" max="7939" width="10.28515625" style="337"/>
    <col min="7940" max="7940" width="11" style="337" customWidth="1"/>
    <col min="7941" max="7942" width="9.7109375" style="337" customWidth="1"/>
    <col min="7943" max="7943" width="10.7109375" style="337" customWidth="1"/>
    <col min="7944" max="7945" width="11.28515625" style="337" customWidth="1"/>
    <col min="7946" max="7946" width="17" style="337" customWidth="1"/>
    <col min="7947" max="7947" width="16.28515625" style="337" customWidth="1"/>
    <col min="7948" max="8192" width="10.28515625" style="337"/>
    <col min="8193" max="8193" width="6.42578125" style="337" customWidth="1"/>
    <col min="8194" max="8194" width="58.28515625" style="337" customWidth="1"/>
    <col min="8195" max="8195" width="10.28515625" style="337"/>
    <col min="8196" max="8196" width="11" style="337" customWidth="1"/>
    <col min="8197" max="8198" width="9.7109375" style="337" customWidth="1"/>
    <col min="8199" max="8199" width="10.7109375" style="337" customWidth="1"/>
    <col min="8200" max="8201" width="11.28515625" style="337" customWidth="1"/>
    <col min="8202" max="8202" width="17" style="337" customWidth="1"/>
    <col min="8203" max="8203" width="16.28515625" style="337" customWidth="1"/>
    <col min="8204" max="8448" width="10.28515625" style="337"/>
    <col min="8449" max="8449" width="6.42578125" style="337" customWidth="1"/>
    <col min="8450" max="8450" width="58.28515625" style="337" customWidth="1"/>
    <col min="8451" max="8451" width="10.28515625" style="337"/>
    <col min="8452" max="8452" width="11" style="337" customWidth="1"/>
    <col min="8453" max="8454" width="9.7109375" style="337" customWidth="1"/>
    <col min="8455" max="8455" width="10.7109375" style="337" customWidth="1"/>
    <col min="8456" max="8457" width="11.28515625" style="337" customWidth="1"/>
    <col min="8458" max="8458" width="17" style="337" customWidth="1"/>
    <col min="8459" max="8459" width="16.28515625" style="337" customWidth="1"/>
    <col min="8460" max="8704" width="10.28515625" style="337"/>
    <col min="8705" max="8705" width="6.42578125" style="337" customWidth="1"/>
    <col min="8706" max="8706" width="58.28515625" style="337" customWidth="1"/>
    <col min="8707" max="8707" width="10.28515625" style="337"/>
    <col min="8708" max="8708" width="11" style="337" customWidth="1"/>
    <col min="8709" max="8710" width="9.7109375" style="337" customWidth="1"/>
    <col min="8711" max="8711" width="10.7109375" style="337" customWidth="1"/>
    <col min="8712" max="8713" width="11.28515625" style="337" customWidth="1"/>
    <col min="8714" max="8714" width="17" style="337" customWidth="1"/>
    <col min="8715" max="8715" width="16.28515625" style="337" customWidth="1"/>
    <col min="8716" max="8960" width="10.28515625" style="337"/>
    <col min="8961" max="8961" width="6.42578125" style="337" customWidth="1"/>
    <col min="8962" max="8962" width="58.28515625" style="337" customWidth="1"/>
    <col min="8963" max="8963" width="10.28515625" style="337"/>
    <col min="8964" max="8964" width="11" style="337" customWidth="1"/>
    <col min="8965" max="8966" width="9.7109375" style="337" customWidth="1"/>
    <col min="8967" max="8967" width="10.7109375" style="337" customWidth="1"/>
    <col min="8968" max="8969" width="11.28515625" style="337" customWidth="1"/>
    <col min="8970" max="8970" width="17" style="337" customWidth="1"/>
    <col min="8971" max="8971" width="16.28515625" style="337" customWidth="1"/>
    <col min="8972" max="9216" width="10.28515625" style="337"/>
    <col min="9217" max="9217" width="6.42578125" style="337" customWidth="1"/>
    <col min="9218" max="9218" width="58.28515625" style="337" customWidth="1"/>
    <col min="9219" max="9219" width="10.28515625" style="337"/>
    <col min="9220" max="9220" width="11" style="337" customWidth="1"/>
    <col min="9221" max="9222" width="9.7109375" style="337" customWidth="1"/>
    <col min="9223" max="9223" width="10.7109375" style="337" customWidth="1"/>
    <col min="9224" max="9225" width="11.28515625" style="337" customWidth="1"/>
    <col min="9226" max="9226" width="17" style="337" customWidth="1"/>
    <col min="9227" max="9227" width="16.28515625" style="337" customWidth="1"/>
    <col min="9228" max="9472" width="10.28515625" style="337"/>
    <col min="9473" max="9473" width="6.42578125" style="337" customWidth="1"/>
    <col min="9474" max="9474" width="58.28515625" style="337" customWidth="1"/>
    <col min="9475" max="9475" width="10.28515625" style="337"/>
    <col min="9476" max="9476" width="11" style="337" customWidth="1"/>
    <col min="9477" max="9478" width="9.7109375" style="337" customWidth="1"/>
    <col min="9479" max="9479" width="10.7109375" style="337" customWidth="1"/>
    <col min="9480" max="9481" width="11.28515625" style="337" customWidth="1"/>
    <col min="9482" max="9482" width="17" style="337" customWidth="1"/>
    <col min="9483" max="9483" width="16.28515625" style="337" customWidth="1"/>
    <col min="9484" max="9728" width="10.28515625" style="337"/>
    <col min="9729" max="9729" width="6.42578125" style="337" customWidth="1"/>
    <col min="9730" max="9730" width="58.28515625" style="337" customWidth="1"/>
    <col min="9731" max="9731" width="10.28515625" style="337"/>
    <col min="9732" max="9732" width="11" style="337" customWidth="1"/>
    <col min="9733" max="9734" width="9.7109375" style="337" customWidth="1"/>
    <col min="9735" max="9735" width="10.7109375" style="337" customWidth="1"/>
    <col min="9736" max="9737" width="11.28515625" style="337" customWidth="1"/>
    <col min="9738" max="9738" width="17" style="337" customWidth="1"/>
    <col min="9739" max="9739" width="16.28515625" style="337" customWidth="1"/>
    <col min="9740" max="9984" width="10.28515625" style="337"/>
    <col min="9985" max="9985" width="6.42578125" style="337" customWidth="1"/>
    <col min="9986" max="9986" width="58.28515625" style="337" customWidth="1"/>
    <col min="9987" max="9987" width="10.28515625" style="337"/>
    <col min="9988" max="9988" width="11" style="337" customWidth="1"/>
    <col min="9989" max="9990" width="9.7109375" style="337" customWidth="1"/>
    <col min="9991" max="9991" width="10.7109375" style="337" customWidth="1"/>
    <col min="9992" max="9993" width="11.28515625" style="337" customWidth="1"/>
    <col min="9994" max="9994" width="17" style="337" customWidth="1"/>
    <col min="9995" max="9995" width="16.28515625" style="337" customWidth="1"/>
    <col min="9996" max="10240" width="10.28515625" style="337"/>
    <col min="10241" max="10241" width="6.42578125" style="337" customWidth="1"/>
    <col min="10242" max="10242" width="58.28515625" style="337" customWidth="1"/>
    <col min="10243" max="10243" width="10.28515625" style="337"/>
    <col min="10244" max="10244" width="11" style="337" customWidth="1"/>
    <col min="10245" max="10246" width="9.7109375" style="337" customWidth="1"/>
    <col min="10247" max="10247" width="10.7109375" style="337" customWidth="1"/>
    <col min="10248" max="10249" width="11.28515625" style="337" customWidth="1"/>
    <col min="10250" max="10250" width="17" style="337" customWidth="1"/>
    <col min="10251" max="10251" width="16.28515625" style="337" customWidth="1"/>
    <col min="10252" max="10496" width="10.28515625" style="337"/>
    <col min="10497" max="10497" width="6.42578125" style="337" customWidth="1"/>
    <col min="10498" max="10498" width="58.28515625" style="337" customWidth="1"/>
    <col min="10499" max="10499" width="10.28515625" style="337"/>
    <col min="10500" max="10500" width="11" style="337" customWidth="1"/>
    <col min="10501" max="10502" width="9.7109375" style="337" customWidth="1"/>
    <col min="10503" max="10503" width="10.7109375" style="337" customWidth="1"/>
    <col min="10504" max="10505" width="11.28515625" style="337" customWidth="1"/>
    <col min="10506" max="10506" width="17" style="337" customWidth="1"/>
    <col min="10507" max="10507" width="16.28515625" style="337" customWidth="1"/>
    <col min="10508" max="10752" width="10.28515625" style="337"/>
    <col min="10753" max="10753" width="6.42578125" style="337" customWidth="1"/>
    <col min="10754" max="10754" width="58.28515625" style="337" customWidth="1"/>
    <col min="10755" max="10755" width="10.28515625" style="337"/>
    <col min="10756" max="10756" width="11" style="337" customWidth="1"/>
    <col min="10757" max="10758" width="9.7109375" style="337" customWidth="1"/>
    <col min="10759" max="10759" width="10.7109375" style="337" customWidth="1"/>
    <col min="10760" max="10761" width="11.28515625" style="337" customWidth="1"/>
    <col min="10762" max="10762" width="17" style="337" customWidth="1"/>
    <col min="10763" max="10763" width="16.28515625" style="337" customWidth="1"/>
    <col min="10764" max="11008" width="10.28515625" style="337"/>
    <col min="11009" max="11009" width="6.42578125" style="337" customWidth="1"/>
    <col min="11010" max="11010" width="58.28515625" style="337" customWidth="1"/>
    <col min="11011" max="11011" width="10.28515625" style="337"/>
    <col min="11012" max="11012" width="11" style="337" customWidth="1"/>
    <col min="11013" max="11014" width="9.7109375" style="337" customWidth="1"/>
    <col min="11015" max="11015" width="10.7109375" style="337" customWidth="1"/>
    <col min="11016" max="11017" width="11.28515625" style="337" customWidth="1"/>
    <col min="11018" max="11018" width="17" style="337" customWidth="1"/>
    <col min="11019" max="11019" width="16.28515625" style="337" customWidth="1"/>
    <col min="11020" max="11264" width="10.28515625" style="337"/>
    <col min="11265" max="11265" width="6.42578125" style="337" customWidth="1"/>
    <col min="11266" max="11266" width="58.28515625" style="337" customWidth="1"/>
    <col min="11267" max="11267" width="10.28515625" style="337"/>
    <col min="11268" max="11268" width="11" style="337" customWidth="1"/>
    <col min="11269" max="11270" width="9.7109375" style="337" customWidth="1"/>
    <col min="11271" max="11271" width="10.7109375" style="337" customWidth="1"/>
    <col min="11272" max="11273" width="11.28515625" style="337" customWidth="1"/>
    <col min="11274" max="11274" width="17" style="337" customWidth="1"/>
    <col min="11275" max="11275" width="16.28515625" style="337" customWidth="1"/>
    <col min="11276" max="11520" width="10.28515625" style="337"/>
    <col min="11521" max="11521" width="6.42578125" style="337" customWidth="1"/>
    <col min="11522" max="11522" width="58.28515625" style="337" customWidth="1"/>
    <col min="11523" max="11523" width="10.28515625" style="337"/>
    <col min="11524" max="11524" width="11" style="337" customWidth="1"/>
    <col min="11525" max="11526" width="9.7109375" style="337" customWidth="1"/>
    <col min="11527" max="11527" width="10.7109375" style="337" customWidth="1"/>
    <col min="11528" max="11529" width="11.28515625" style="337" customWidth="1"/>
    <col min="11530" max="11530" width="17" style="337" customWidth="1"/>
    <col min="11531" max="11531" width="16.28515625" style="337" customWidth="1"/>
    <col min="11532" max="11776" width="10.28515625" style="337"/>
    <col min="11777" max="11777" width="6.42578125" style="337" customWidth="1"/>
    <col min="11778" max="11778" width="58.28515625" style="337" customWidth="1"/>
    <col min="11779" max="11779" width="10.28515625" style="337"/>
    <col min="11780" max="11780" width="11" style="337" customWidth="1"/>
    <col min="11781" max="11782" width="9.7109375" style="337" customWidth="1"/>
    <col min="11783" max="11783" width="10.7109375" style="337" customWidth="1"/>
    <col min="11784" max="11785" width="11.28515625" style="337" customWidth="1"/>
    <col min="11786" max="11786" width="17" style="337" customWidth="1"/>
    <col min="11787" max="11787" width="16.28515625" style="337" customWidth="1"/>
    <col min="11788" max="12032" width="10.28515625" style="337"/>
    <col min="12033" max="12033" width="6.42578125" style="337" customWidth="1"/>
    <col min="12034" max="12034" width="58.28515625" style="337" customWidth="1"/>
    <col min="12035" max="12035" width="10.28515625" style="337"/>
    <col min="12036" max="12036" width="11" style="337" customWidth="1"/>
    <col min="12037" max="12038" width="9.7109375" style="337" customWidth="1"/>
    <col min="12039" max="12039" width="10.7109375" style="337" customWidth="1"/>
    <col min="12040" max="12041" width="11.28515625" style="337" customWidth="1"/>
    <col min="12042" max="12042" width="17" style="337" customWidth="1"/>
    <col min="12043" max="12043" width="16.28515625" style="337" customWidth="1"/>
    <col min="12044" max="12288" width="10.28515625" style="337"/>
    <col min="12289" max="12289" width="6.42578125" style="337" customWidth="1"/>
    <col min="12290" max="12290" width="58.28515625" style="337" customWidth="1"/>
    <col min="12291" max="12291" width="10.28515625" style="337"/>
    <col min="12292" max="12292" width="11" style="337" customWidth="1"/>
    <col min="12293" max="12294" width="9.7109375" style="337" customWidth="1"/>
    <col min="12295" max="12295" width="10.7109375" style="337" customWidth="1"/>
    <col min="12296" max="12297" width="11.28515625" style="337" customWidth="1"/>
    <col min="12298" max="12298" width="17" style="337" customWidth="1"/>
    <col min="12299" max="12299" width="16.28515625" style="337" customWidth="1"/>
    <col min="12300" max="12544" width="10.28515625" style="337"/>
    <col min="12545" max="12545" width="6.42578125" style="337" customWidth="1"/>
    <col min="12546" max="12546" width="58.28515625" style="337" customWidth="1"/>
    <col min="12547" max="12547" width="10.28515625" style="337"/>
    <col min="12548" max="12548" width="11" style="337" customWidth="1"/>
    <col min="12549" max="12550" width="9.7109375" style="337" customWidth="1"/>
    <col min="12551" max="12551" width="10.7109375" style="337" customWidth="1"/>
    <col min="12552" max="12553" width="11.28515625" style="337" customWidth="1"/>
    <col min="12554" max="12554" width="17" style="337" customWidth="1"/>
    <col min="12555" max="12555" width="16.28515625" style="337" customWidth="1"/>
    <col min="12556" max="12800" width="10.28515625" style="337"/>
    <col min="12801" max="12801" width="6.42578125" style="337" customWidth="1"/>
    <col min="12802" max="12802" width="58.28515625" style="337" customWidth="1"/>
    <col min="12803" max="12803" width="10.28515625" style="337"/>
    <col min="12804" max="12804" width="11" style="337" customWidth="1"/>
    <col min="12805" max="12806" width="9.7109375" style="337" customWidth="1"/>
    <col min="12807" max="12807" width="10.7109375" style="337" customWidth="1"/>
    <col min="12808" max="12809" width="11.28515625" style="337" customWidth="1"/>
    <col min="12810" max="12810" width="17" style="337" customWidth="1"/>
    <col min="12811" max="12811" width="16.28515625" style="337" customWidth="1"/>
    <col min="12812" max="13056" width="10.28515625" style="337"/>
    <col min="13057" max="13057" width="6.42578125" style="337" customWidth="1"/>
    <col min="13058" max="13058" width="58.28515625" style="337" customWidth="1"/>
    <col min="13059" max="13059" width="10.28515625" style="337"/>
    <col min="13060" max="13060" width="11" style="337" customWidth="1"/>
    <col min="13061" max="13062" width="9.7109375" style="337" customWidth="1"/>
    <col min="13063" max="13063" width="10.7109375" style="337" customWidth="1"/>
    <col min="13064" max="13065" width="11.28515625" style="337" customWidth="1"/>
    <col min="13066" max="13066" width="17" style="337" customWidth="1"/>
    <col min="13067" max="13067" width="16.28515625" style="337" customWidth="1"/>
    <col min="13068" max="13312" width="10.28515625" style="337"/>
    <col min="13313" max="13313" width="6.42578125" style="337" customWidth="1"/>
    <col min="13314" max="13314" width="58.28515625" style="337" customWidth="1"/>
    <col min="13315" max="13315" width="10.28515625" style="337"/>
    <col min="13316" max="13316" width="11" style="337" customWidth="1"/>
    <col min="13317" max="13318" width="9.7109375" style="337" customWidth="1"/>
    <col min="13319" max="13319" width="10.7109375" style="337" customWidth="1"/>
    <col min="13320" max="13321" width="11.28515625" style="337" customWidth="1"/>
    <col min="13322" max="13322" width="17" style="337" customWidth="1"/>
    <col min="13323" max="13323" width="16.28515625" style="337" customWidth="1"/>
    <col min="13324" max="13568" width="10.28515625" style="337"/>
    <col min="13569" max="13569" width="6.42578125" style="337" customWidth="1"/>
    <col min="13570" max="13570" width="58.28515625" style="337" customWidth="1"/>
    <col min="13571" max="13571" width="10.28515625" style="337"/>
    <col min="13572" max="13572" width="11" style="337" customWidth="1"/>
    <col min="13573" max="13574" width="9.7109375" style="337" customWidth="1"/>
    <col min="13575" max="13575" width="10.7109375" style="337" customWidth="1"/>
    <col min="13576" max="13577" width="11.28515625" style="337" customWidth="1"/>
    <col min="13578" max="13578" width="17" style="337" customWidth="1"/>
    <col min="13579" max="13579" width="16.28515625" style="337" customWidth="1"/>
    <col min="13580" max="13824" width="10.28515625" style="337"/>
    <col min="13825" max="13825" width="6.42578125" style="337" customWidth="1"/>
    <col min="13826" max="13826" width="58.28515625" style="337" customWidth="1"/>
    <col min="13827" max="13827" width="10.28515625" style="337"/>
    <col min="13828" max="13828" width="11" style="337" customWidth="1"/>
    <col min="13829" max="13830" width="9.7109375" style="337" customWidth="1"/>
    <col min="13831" max="13831" width="10.7109375" style="337" customWidth="1"/>
    <col min="13832" max="13833" width="11.28515625" style="337" customWidth="1"/>
    <col min="13834" max="13834" width="17" style="337" customWidth="1"/>
    <col min="13835" max="13835" width="16.28515625" style="337" customWidth="1"/>
    <col min="13836" max="14080" width="10.28515625" style="337"/>
    <col min="14081" max="14081" width="6.42578125" style="337" customWidth="1"/>
    <col min="14082" max="14082" width="58.28515625" style="337" customWidth="1"/>
    <col min="14083" max="14083" width="10.28515625" style="337"/>
    <col min="14084" max="14084" width="11" style="337" customWidth="1"/>
    <col min="14085" max="14086" width="9.7109375" style="337" customWidth="1"/>
    <col min="14087" max="14087" width="10.7109375" style="337" customWidth="1"/>
    <col min="14088" max="14089" width="11.28515625" style="337" customWidth="1"/>
    <col min="14090" max="14090" width="17" style="337" customWidth="1"/>
    <col min="14091" max="14091" width="16.28515625" style="337" customWidth="1"/>
    <col min="14092" max="14336" width="10.28515625" style="337"/>
    <col min="14337" max="14337" width="6.42578125" style="337" customWidth="1"/>
    <col min="14338" max="14338" width="58.28515625" style="337" customWidth="1"/>
    <col min="14339" max="14339" width="10.28515625" style="337"/>
    <col min="14340" max="14340" width="11" style="337" customWidth="1"/>
    <col min="14341" max="14342" width="9.7109375" style="337" customWidth="1"/>
    <col min="14343" max="14343" width="10.7109375" style="337" customWidth="1"/>
    <col min="14344" max="14345" width="11.28515625" style="337" customWidth="1"/>
    <col min="14346" max="14346" width="17" style="337" customWidth="1"/>
    <col min="14347" max="14347" width="16.28515625" style="337" customWidth="1"/>
    <col min="14348" max="14592" width="10.28515625" style="337"/>
    <col min="14593" max="14593" width="6.42578125" style="337" customWidth="1"/>
    <col min="14594" max="14594" width="58.28515625" style="337" customWidth="1"/>
    <col min="14595" max="14595" width="10.28515625" style="337"/>
    <col min="14596" max="14596" width="11" style="337" customWidth="1"/>
    <col min="14597" max="14598" width="9.7109375" style="337" customWidth="1"/>
    <col min="14599" max="14599" width="10.7109375" style="337" customWidth="1"/>
    <col min="14600" max="14601" width="11.28515625" style="337" customWidth="1"/>
    <col min="14602" max="14602" width="17" style="337" customWidth="1"/>
    <col min="14603" max="14603" width="16.28515625" style="337" customWidth="1"/>
    <col min="14604" max="14848" width="10.28515625" style="337"/>
    <col min="14849" max="14849" width="6.42578125" style="337" customWidth="1"/>
    <col min="14850" max="14850" width="58.28515625" style="337" customWidth="1"/>
    <col min="14851" max="14851" width="10.28515625" style="337"/>
    <col min="14852" max="14852" width="11" style="337" customWidth="1"/>
    <col min="14853" max="14854" width="9.7109375" style="337" customWidth="1"/>
    <col min="14855" max="14855" width="10.7109375" style="337" customWidth="1"/>
    <col min="14856" max="14857" width="11.28515625" style="337" customWidth="1"/>
    <col min="14858" max="14858" width="17" style="337" customWidth="1"/>
    <col min="14859" max="14859" width="16.28515625" style="337" customWidth="1"/>
    <col min="14860" max="15104" width="10.28515625" style="337"/>
    <col min="15105" max="15105" width="6.42578125" style="337" customWidth="1"/>
    <col min="15106" max="15106" width="58.28515625" style="337" customWidth="1"/>
    <col min="15107" max="15107" width="10.28515625" style="337"/>
    <col min="15108" max="15108" width="11" style="337" customWidth="1"/>
    <col min="15109" max="15110" width="9.7109375" style="337" customWidth="1"/>
    <col min="15111" max="15111" width="10.7109375" style="337" customWidth="1"/>
    <col min="15112" max="15113" width="11.28515625" style="337" customWidth="1"/>
    <col min="15114" max="15114" width="17" style="337" customWidth="1"/>
    <col min="15115" max="15115" width="16.28515625" style="337" customWidth="1"/>
    <col min="15116" max="15360" width="10.28515625" style="337"/>
    <col min="15361" max="15361" width="6.42578125" style="337" customWidth="1"/>
    <col min="15362" max="15362" width="58.28515625" style="337" customWidth="1"/>
    <col min="15363" max="15363" width="10.28515625" style="337"/>
    <col min="15364" max="15364" width="11" style="337" customWidth="1"/>
    <col min="15365" max="15366" width="9.7109375" style="337" customWidth="1"/>
    <col min="15367" max="15367" width="10.7109375" style="337" customWidth="1"/>
    <col min="15368" max="15369" width="11.28515625" style="337" customWidth="1"/>
    <col min="15370" max="15370" width="17" style="337" customWidth="1"/>
    <col min="15371" max="15371" width="16.28515625" style="337" customWidth="1"/>
    <col min="15372" max="15616" width="10.28515625" style="337"/>
    <col min="15617" max="15617" width="6.42578125" style="337" customWidth="1"/>
    <col min="15618" max="15618" width="58.28515625" style="337" customWidth="1"/>
    <col min="15619" max="15619" width="10.28515625" style="337"/>
    <col min="15620" max="15620" width="11" style="337" customWidth="1"/>
    <col min="15621" max="15622" width="9.7109375" style="337" customWidth="1"/>
    <col min="15623" max="15623" width="10.7109375" style="337" customWidth="1"/>
    <col min="15624" max="15625" width="11.28515625" style="337" customWidth="1"/>
    <col min="15626" max="15626" width="17" style="337" customWidth="1"/>
    <col min="15627" max="15627" width="16.28515625" style="337" customWidth="1"/>
    <col min="15628" max="15872" width="10.28515625" style="337"/>
    <col min="15873" max="15873" width="6.42578125" style="337" customWidth="1"/>
    <col min="15874" max="15874" width="58.28515625" style="337" customWidth="1"/>
    <col min="15875" max="15875" width="10.28515625" style="337"/>
    <col min="15876" max="15876" width="11" style="337" customWidth="1"/>
    <col min="15877" max="15878" width="9.7109375" style="337" customWidth="1"/>
    <col min="15879" max="15879" width="10.7109375" style="337" customWidth="1"/>
    <col min="15880" max="15881" width="11.28515625" style="337" customWidth="1"/>
    <col min="15882" max="15882" width="17" style="337" customWidth="1"/>
    <col min="15883" max="15883" width="16.28515625" style="337" customWidth="1"/>
    <col min="15884" max="16128" width="10.28515625" style="337"/>
    <col min="16129" max="16129" width="6.42578125" style="337" customWidth="1"/>
    <col min="16130" max="16130" width="58.28515625" style="337" customWidth="1"/>
    <col min="16131" max="16131" width="10.28515625" style="337"/>
    <col min="16132" max="16132" width="11" style="337" customWidth="1"/>
    <col min="16133" max="16134" width="9.7109375" style="337" customWidth="1"/>
    <col min="16135" max="16135" width="10.7109375" style="337" customWidth="1"/>
    <col min="16136" max="16137" width="11.28515625" style="337" customWidth="1"/>
    <col min="16138" max="16138" width="17" style="337" customWidth="1"/>
    <col min="16139" max="16139" width="16.28515625" style="337" customWidth="1"/>
    <col min="16140" max="16384" width="10.28515625" style="337"/>
  </cols>
  <sheetData>
    <row r="1" spans="1:12" ht="12" customHeight="1">
      <c r="A1" s="672"/>
      <c r="C1" s="338"/>
      <c r="D1" s="338"/>
      <c r="E1" s="338"/>
      <c r="F1" s="338"/>
      <c r="G1" s="339" t="s">
        <v>424</v>
      </c>
    </row>
    <row r="2" spans="1:12" ht="12" customHeight="1">
      <c r="C2" s="338"/>
      <c r="D2" s="338"/>
      <c r="E2" s="338"/>
      <c r="F2" s="338"/>
      <c r="G2" s="338" t="s">
        <v>318</v>
      </c>
    </row>
    <row r="3" spans="1:12" ht="12" customHeight="1">
      <c r="C3" s="338"/>
      <c r="D3" s="338"/>
      <c r="E3" s="338"/>
      <c r="F3" s="338"/>
      <c r="G3" s="338" t="s">
        <v>1</v>
      </c>
    </row>
    <row r="4" spans="1:12" ht="12" customHeight="1">
      <c r="B4" s="338"/>
      <c r="C4" s="340"/>
      <c r="D4" s="338"/>
      <c r="E4" s="340"/>
      <c r="F4" s="338"/>
      <c r="G4" s="338" t="s">
        <v>319</v>
      </c>
    </row>
    <row r="5" spans="1:12" ht="12" customHeight="1">
      <c r="B5" s="338"/>
      <c r="C5" s="340"/>
      <c r="D5" s="338"/>
      <c r="E5" s="340"/>
      <c r="F5" s="338"/>
      <c r="G5" s="338"/>
      <c r="H5" s="338"/>
    </row>
    <row r="6" spans="1:12" ht="12.75" customHeight="1">
      <c r="A6" s="341" t="s">
        <v>425</v>
      </c>
      <c r="B6" s="341"/>
      <c r="C6" s="341"/>
      <c r="D6" s="341"/>
      <c r="E6" s="341"/>
      <c r="F6" s="341"/>
      <c r="G6" s="341"/>
      <c r="H6" s="341"/>
      <c r="I6" s="341"/>
    </row>
    <row r="7" spans="1:12" ht="11.25" customHeight="1">
      <c r="I7" s="337" t="s">
        <v>2</v>
      </c>
    </row>
    <row r="8" spans="1:12" ht="11.25" customHeight="1">
      <c r="A8" s="342"/>
      <c r="B8" s="342"/>
      <c r="C8" s="343" t="s">
        <v>426</v>
      </c>
      <c r="D8" s="344" t="s">
        <v>427</v>
      </c>
      <c r="E8" s="345" t="s">
        <v>428</v>
      </c>
      <c r="F8" s="346"/>
      <c r="G8" s="345" t="s">
        <v>379</v>
      </c>
      <c r="H8" s="347"/>
      <c r="I8" s="346"/>
    </row>
    <row r="9" spans="1:12" ht="11.25" customHeight="1">
      <c r="A9" s="348"/>
      <c r="B9" s="348"/>
      <c r="C9" s="349"/>
      <c r="D9" s="350" t="s">
        <v>429</v>
      </c>
      <c r="E9" s="343"/>
      <c r="F9" s="343"/>
      <c r="G9" s="345" t="s">
        <v>430</v>
      </c>
      <c r="H9" s="347"/>
      <c r="I9" s="346"/>
    </row>
    <row r="10" spans="1:12" ht="11.25" customHeight="1">
      <c r="A10" s="348"/>
      <c r="B10" s="348"/>
      <c r="C10" s="349" t="s">
        <v>431</v>
      </c>
      <c r="D10" s="350" t="s">
        <v>432</v>
      </c>
      <c r="E10" s="349"/>
      <c r="F10" s="349"/>
      <c r="G10" s="343"/>
      <c r="H10" s="343"/>
      <c r="I10" s="343"/>
    </row>
    <row r="11" spans="1:12" ht="14.25" customHeight="1">
      <c r="A11" s="348" t="s">
        <v>29</v>
      </c>
      <c r="B11" s="348" t="s">
        <v>433</v>
      </c>
      <c r="C11" s="349" t="s">
        <v>434</v>
      </c>
      <c r="D11" s="350" t="s">
        <v>435</v>
      </c>
      <c r="E11" s="349"/>
      <c r="F11" s="349"/>
      <c r="G11" s="349"/>
      <c r="H11" s="349"/>
      <c r="I11" s="349"/>
    </row>
    <row r="12" spans="1:12" ht="32.25" customHeight="1">
      <c r="A12" s="348"/>
      <c r="B12" s="348"/>
      <c r="C12" s="349" t="s">
        <v>436</v>
      </c>
      <c r="D12" s="350" t="s">
        <v>437</v>
      </c>
      <c r="E12" s="349" t="s">
        <v>438</v>
      </c>
      <c r="F12" s="349" t="s">
        <v>439</v>
      </c>
      <c r="G12" s="349" t="s">
        <v>440</v>
      </c>
      <c r="H12" s="349" t="s">
        <v>438</v>
      </c>
      <c r="I12" s="349" t="s">
        <v>439</v>
      </c>
    </row>
    <row r="13" spans="1:12" ht="18.75" customHeight="1">
      <c r="A13" s="351"/>
      <c r="B13" s="351"/>
      <c r="D13" s="352" t="s">
        <v>441</v>
      </c>
      <c r="E13" s="353"/>
      <c r="F13" s="353"/>
      <c r="G13" s="353"/>
      <c r="H13" s="353"/>
      <c r="I13" s="353"/>
    </row>
    <row r="14" spans="1:12" ht="11.25" customHeight="1">
      <c r="A14" s="354">
        <v>1</v>
      </c>
      <c r="B14" s="354">
        <v>2</v>
      </c>
      <c r="C14" s="354">
        <v>3</v>
      </c>
      <c r="D14" s="354">
        <v>4</v>
      </c>
      <c r="E14" s="354">
        <v>5</v>
      </c>
      <c r="F14" s="354">
        <v>6</v>
      </c>
      <c r="G14" s="355">
        <v>7</v>
      </c>
      <c r="H14" s="354">
        <v>8</v>
      </c>
      <c r="I14" s="354">
        <v>9</v>
      </c>
    </row>
    <row r="15" spans="1:12" s="362" customFormat="1" ht="21.75" customHeight="1">
      <c r="A15" s="356"/>
      <c r="B15" s="357" t="s">
        <v>442</v>
      </c>
      <c r="C15" s="358"/>
      <c r="D15" s="359">
        <v>254113123.12999997</v>
      </c>
      <c r="E15" s="359">
        <v>94048729.75999999</v>
      </c>
      <c r="F15" s="359">
        <v>160064393.37</v>
      </c>
      <c r="G15" s="359">
        <v>105798636.23</v>
      </c>
      <c r="H15" s="359">
        <v>39254663.359999999</v>
      </c>
      <c r="I15" s="359">
        <v>66543972.86999999</v>
      </c>
      <c r="J15" s="360"/>
      <c r="K15" s="361"/>
    </row>
    <row r="16" spans="1:12" s="362" customFormat="1" ht="12" customHeight="1">
      <c r="A16" s="363"/>
      <c r="B16" s="673" t="s">
        <v>443</v>
      </c>
      <c r="C16" s="674"/>
      <c r="D16" s="675">
        <v>33478839.609999996</v>
      </c>
      <c r="E16" s="675">
        <v>3074139.47</v>
      </c>
      <c r="F16" s="675">
        <v>30404700.139999997</v>
      </c>
      <c r="G16" s="675">
        <v>22456633.970000003</v>
      </c>
      <c r="H16" s="675">
        <v>2152879.75</v>
      </c>
      <c r="I16" s="675">
        <v>20303754.219999999</v>
      </c>
      <c r="J16" s="364"/>
      <c r="K16" s="365"/>
      <c r="L16" s="366"/>
    </row>
    <row r="17" spans="1:11" s="362" customFormat="1" ht="12" customHeight="1">
      <c r="A17" s="363"/>
      <c r="B17" s="676" t="s">
        <v>444</v>
      </c>
      <c r="C17" s="677"/>
      <c r="D17" s="678">
        <v>220634283.51999998</v>
      </c>
      <c r="E17" s="678">
        <v>90974590.289999992</v>
      </c>
      <c r="F17" s="678">
        <v>129659693.23</v>
      </c>
      <c r="G17" s="678">
        <v>83342002.260000005</v>
      </c>
      <c r="H17" s="678">
        <v>37101783.609999999</v>
      </c>
      <c r="I17" s="678">
        <v>46240218.649999991</v>
      </c>
      <c r="J17" s="364"/>
      <c r="K17" s="366"/>
    </row>
    <row r="18" spans="1:11" ht="27" customHeight="1" thickBot="1">
      <c r="A18" s="367" t="s">
        <v>445</v>
      </c>
      <c r="B18" s="368" t="s">
        <v>446</v>
      </c>
      <c r="C18" s="369"/>
      <c r="D18" s="370">
        <v>183562940.44</v>
      </c>
      <c r="E18" s="370">
        <v>77051453.689999983</v>
      </c>
      <c r="F18" s="370">
        <v>106511486.75</v>
      </c>
      <c r="G18" s="370">
        <v>94563378.230000019</v>
      </c>
      <c r="H18" s="370">
        <v>34780685.060000002</v>
      </c>
      <c r="I18" s="370">
        <v>59782693.169999994</v>
      </c>
      <c r="J18" s="371"/>
    </row>
    <row r="19" spans="1:11" ht="22.5" customHeight="1">
      <c r="A19" s="372" t="s">
        <v>447</v>
      </c>
      <c r="B19" s="373" t="s">
        <v>448</v>
      </c>
      <c r="C19" s="679"/>
      <c r="D19" s="374"/>
      <c r="E19" s="374"/>
      <c r="F19" s="375"/>
      <c r="G19" s="374"/>
      <c r="H19" s="374"/>
      <c r="I19" s="375"/>
      <c r="J19" s="376"/>
    </row>
    <row r="20" spans="1:11" ht="11.1" customHeight="1">
      <c r="A20" s="377"/>
      <c r="B20" s="378" t="s">
        <v>449</v>
      </c>
      <c r="C20" s="680"/>
      <c r="D20" s="379"/>
      <c r="E20" s="379"/>
      <c r="F20" s="380"/>
      <c r="G20" s="379"/>
      <c r="H20" s="379"/>
      <c r="I20" s="380"/>
      <c r="J20" s="376"/>
    </row>
    <row r="21" spans="1:11" ht="11.1" customHeight="1">
      <c r="A21" s="381"/>
      <c r="B21" s="681" t="s">
        <v>443</v>
      </c>
      <c r="C21" s="382" t="s">
        <v>450</v>
      </c>
      <c r="D21" s="383">
        <v>60041.4</v>
      </c>
      <c r="E21" s="384"/>
      <c r="F21" s="385">
        <v>60041.4</v>
      </c>
      <c r="G21" s="383">
        <v>60041.4</v>
      </c>
      <c r="H21" s="384"/>
      <c r="I21" s="385">
        <v>60041.4</v>
      </c>
      <c r="J21" s="376"/>
    </row>
    <row r="22" spans="1:11" ht="11.1" customHeight="1">
      <c r="A22" s="386"/>
      <c r="B22" s="682" t="s">
        <v>444</v>
      </c>
      <c r="C22" s="387" t="s">
        <v>451</v>
      </c>
      <c r="D22" s="388"/>
      <c r="E22" s="388"/>
      <c r="F22" s="388"/>
      <c r="G22" s="389"/>
      <c r="H22" s="388"/>
      <c r="I22" s="388"/>
      <c r="J22" s="376"/>
    </row>
    <row r="23" spans="1:11" ht="11.1" customHeight="1">
      <c r="A23" s="390"/>
      <c r="C23" s="391"/>
      <c r="D23" s="364"/>
      <c r="E23" s="364"/>
      <c r="F23" s="364"/>
      <c r="G23" s="364"/>
      <c r="H23" s="364"/>
      <c r="I23" s="392"/>
    </row>
    <row r="24" spans="1:11" ht="15.75" customHeight="1">
      <c r="A24" s="683" t="s">
        <v>452</v>
      </c>
      <c r="D24" s="371"/>
      <c r="E24" s="371"/>
      <c r="F24" s="371"/>
      <c r="G24" s="371"/>
      <c r="H24" s="371"/>
      <c r="I24" s="371"/>
    </row>
    <row r="25" spans="1:11" ht="11.1" customHeight="1">
      <c r="A25" s="390"/>
      <c r="D25" s="371"/>
      <c r="E25" s="371"/>
      <c r="F25" s="371"/>
      <c r="G25" s="371"/>
      <c r="H25" s="371"/>
      <c r="I25" s="371"/>
    </row>
    <row r="26" spans="1:11" ht="11.1" customHeight="1">
      <c r="A26" s="390"/>
      <c r="D26" s="371"/>
      <c r="E26" s="371"/>
      <c r="F26" s="371"/>
      <c r="G26" s="371"/>
      <c r="H26" s="371"/>
      <c r="I26" s="371"/>
    </row>
    <row r="27" spans="1:11" ht="11.1" customHeight="1">
      <c r="A27" s="390"/>
      <c r="D27" s="371"/>
      <c r="E27" s="371"/>
      <c r="F27" s="371"/>
      <c r="G27" s="371"/>
      <c r="H27" s="371"/>
      <c r="I27" s="371"/>
    </row>
    <row r="28" spans="1:11" ht="11.1" customHeight="1">
      <c r="A28" s="390"/>
      <c r="D28" s="371"/>
      <c r="E28" s="371"/>
      <c r="F28" s="371"/>
      <c r="G28" s="371"/>
      <c r="H28" s="371"/>
      <c r="I28" s="371"/>
    </row>
    <row r="29" spans="1:11" ht="11.1" customHeight="1">
      <c r="A29" s="390"/>
      <c r="D29" s="371"/>
      <c r="E29" s="371"/>
      <c r="F29" s="371"/>
      <c r="G29" s="371"/>
      <c r="H29" s="371"/>
      <c r="I29" s="371"/>
    </row>
    <row r="30" spans="1:11" ht="11.1" customHeight="1">
      <c r="A30" s="390"/>
      <c r="D30" s="371"/>
      <c r="E30" s="371"/>
      <c r="F30" s="371"/>
      <c r="G30" s="371"/>
      <c r="H30" s="371"/>
      <c r="I30" s="371"/>
    </row>
    <row r="31" spans="1:11" ht="11.1" customHeight="1">
      <c r="A31" s="390"/>
      <c r="D31" s="371"/>
      <c r="E31" s="371"/>
      <c r="F31" s="371"/>
      <c r="G31" s="371"/>
      <c r="H31" s="371"/>
      <c r="I31" s="371"/>
    </row>
    <row r="32" spans="1:11" ht="11.1" customHeight="1">
      <c r="A32" s="390"/>
      <c r="D32" s="371"/>
      <c r="E32" s="371"/>
      <c r="F32" s="371"/>
      <c r="G32" s="371"/>
      <c r="H32" s="371"/>
      <c r="I32" s="371"/>
    </row>
    <row r="33" spans="1:9" ht="11.1" customHeight="1">
      <c r="A33" s="390"/>
      <c r="D33" s="371"/>
      <c r="E33" s="371"/>
      <c r="F33" s="371"/>
      <c r="G33" s="371"/>
      <c r="H33" s="371"/>
      <c r="I33" s="371"/>
    </row>
    <row r="34" spans="1:9" ht="11.1" customHeight="1">
      <c r="A34" s="390"/>
      <c r="D34" s="371"/>
      <c r="E34" s="371"/>
      <c r="F34" s="371"/>
      <c r="G34" s="371"/>
      <c r="H34" s="371"/>
      <c r="I34" s="371"/>
    </row>
    <row r="35" spans="1:9" ht="11.1" customHeight="1">
      <c r="A35" s="390"/>
      <c r="D35" s="371"/>
      <c r="E35" s="371"/>
      <c r="F35" s="371"/>
      <c r="G35" s="371"/>
      <c r="H35" s="371"/>
      <c r="I35" s="371"/>
    </row>
    <row r="36" spans="1:9" ht="11.1" customHeight="1">
      <c r="A36" s="390"/>
      <c r="D36" s="371"/>
      <c r="E36" s="371"/>
      <c r="F36" s="371"/>
      <c r="G36" s="371"/>
      <c r="H36" s="371"/>
      <c r="I36" s="371"/>
    </row>
    <row r="37" spans="1:9" ht="11.1" customHeight="1">
      <c r="A37" s="390"/>
      <c r="D37" s="371"/>
      <c r="E37" s="371"/>
      <c r="F37" s="371"/>
      <c r="G37" s="371"/>
      <c r="H37" s="371"/>
      <c r="I37" s="371"/>
    </row>
    <row r="38" spans="1:9" ht="11.1" customHeight="1">
      <c r="A38" s="390"/>
      <c r="D38" s="371"/>
      <c r="E38" s="371"/>
      <c r="F38" s="371"/>
      <c r="G38" s="371"/>
      <c r="H38" s="371"/>
      <c r="I38" s="371"/>
    </row>
    <row r="39" spans="1:9" ht="11.1" customHeight="1">
      <c r="A39" s="390"/>
      <c r="D39" s="371"/>
      <c r="E39" s="371"/>
      <c r="F39" s="371"/>
      <c r="G39" s="371"/>
      <c r="H39" s="371"/>
      <c r="I39" s="371"/>
    </row>
    <row r="40" spans="1:9" ht="12.75" customHeight="1">
      <c r="D40" s="364"/>
      <c r="E40" s="364"/>
      <c r="F40" s="364"/>
      <c r="G40" s="364"/>
      <c r="H40" s="364"/>
      <c r="I40" s="364"/>
    </row>
    <row r="41" spans="1:9" ht="12.75" customHeight="1"/>
  </sheetData>
  <printOptions horizontalCentered="1"/>
  <pageMargins left="0.70866141732283472" right="0.70866141732283472" top="0.74803149606299213" bottom="0.74803149606299213" header="0.31496062992125984" footer="0.31496062992125984"/>
  <pageSetup paperSize="9" scale="90" firstPageNumber="3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3DBDC-C52A-4ECA-8036-B638C4C9ED76}">
  <sheetPr>
    <tabColor rgb="FFC00000"/>
    <pageSetUpPr fitToPage="1"/>
  </sheetPr>
  <dimension ref="A1:H45"/>
  <sheetViews>
    <sheetView zoomScale="130" zoomScaleNormal="130" workbookViewId="0"/>
  </sheetViews>
  <sheetFormatPr defaultRowHeight="12"/>
  <cols>
    <col min="1" max="1" width="4" style="393" customWidth="1"/>
    <col min="2" max="2" width="5.28515625" style="393" customWidth="1"/>
    <col min="3" max="3" width="8.42578125" style="393" customWidth="1"/>
    <col min="4" max="4" width="8" style="394" customWidth="1"/>
    <col min="5" max="5" width="45.42578125" style="393" customWidth="1"/>
    <col min="6" max="6" width="27" style="393" customWidth="1"/>
    <col min="7" max="7" width="13" style="393" customWidth="1"/>
    <col min="8" max="8" width="10.7109375" style="393" customWidth="1"/>
    <col min="9" max="256" width="9.140625" style="393"/>
    <col min="257" max="257" width="4" style="393" customWidth="1"/>
    <col min="258" max="258" width="5.28515625" style="393" customWidth="1"/>
    <col min="259" max="259" width="8.42578125" style="393" customWidth="1"/>
    <col min="260" max="260" width="8" style="393" customWidth="1"/>
    <col min="261" max="261" width="45.42578125" style="393" customWidth="1"/>
    <col min="262" max="262" width="27" style="393" customWidth="1"/>
    <col min="263" max="263" width="13" style="393" customWidth="1"/>
    <col min="264" max="264" width="10.7109375" style="393" customWidth="1"/>
    <col min="265" max="512" width="9.140625" style="393"/>
    <col min="513" max="513" width="4" style="393" customWidth="1"/>
    <col min="514" max="514" width="5.28515625" style="393" customWidth="1"/>
    <col min="515" max="515" width="8.42578125" style="393" customWidth="1"/>
    <col min="516" max="516" width="8" style="393" customWidth="1"/>
    <col min="517" max="517" width="45.42578125" style="393" customWidth="1"/>
    <col min="518" max="518" width="27" style="393" customWidth="1"/>
    <col min="519" max="519" width="13" style="393" customWidth="1"/>
    <col min="520" max="520" width="10.7109375" style="393" customWidth="1"/>
    <col min="521" max="768" width="9.140625" style="393"/>
    <col min="769" max="769" width="4" style="393" customWidth="1"/>
    <col min="770" max="770" width="5.28515625" style="393" customWidth="1"/>
    <col min="771" max="771" width="8.42578125" style="393" customWidth="1"/>
    <col min="772" max="772" width="8" style="393" customWidth="1"/>
    <col min="773" max="773" width="45.42578125" style="393" customWidth="1"/>
    <col min="774" max="774" width="27" style="393" customWidth="1"/>
    <col min="775" max="775" width="13" style="393" customWidth="1"/>
    <col min="776" max="776" width="10.7109375" style="393" customWidth="1"/>
    <col min="777" max="1024" width="9.140625" style="393"/>
    <col min="1025" max="1025" width="4" style="393" customWidth="1"/>
    <col min="1026" max="1026" width="5.28515625" style="393" customWidth="1"/>
    <col min="1027" max="1027" width="8.42578125" style="393" customWidth="1"/>
    <col min="1028" max="1028" width="8" style="393" customWidth="1"/>
    <col min="1029" max="1029" width="45.42578125" style="393" customWidth="1"/>
    <col min="1030" max="1030" width="27" style="393" customWidth="1"/>
    <col min="1031" max="1031" width="13" style="393" customWidth="1"/>
    <col min="1032" max="1032" width="10.7109375" style="393" customWidth="1"/>
    <col min="1033" max="1280" width="9.140625" style="393"/>
    <col min="1281" max="1281" width="4" style="393" customWidth="1"/>
    <col min="1282" max="1282" width="5.28515625" style="393" customWidth="1"/>
    <col min="1283" max="1283" width="8.42578125" style="393" customWidth="1"/>
    <col min="1284" max="1284" width="8" style="393" customWidth="1"/>
    <col min="1285" max="1285" width="45.42578125" style="393" customWidth="1"/>
    <col min="1286" max="1286" width="27" style="393" customWidth="1"/>
    <col min="1287" max="1287" width="13" style="393" customWidth="1"/>
    <col min="1288" max="1288" width="10.7109375" style="393" customWidth="1"/>
    <col min="1289" max="1536" width="9.140625" style="393"/>
    <col min="1537" max="1537" width="4" style="393" customWidth="1"/>
    <col min="1538" max="1538" width="5.28515625" style="393" customWidth="1"/>
    <col min="1539" max="1539" width="8.42578125" style="393" customWidth="1"/>
    <col min="1540" max="1540" width="8" style="393" customWidth="1"/>
    <col min="1541" max="1541" width="45.42578125" style="393" customWidth="1"/>
    <col min="1542" max="1542" width="27" style="393" customWidth="1"/>
    <col min="1543" max="1543" width="13" style="393" customWidth="1"/>
    <col min="1544" max="1544" width="10.7109375" style="393" customWidth="1"/>
    <col min="1545" max="1792" width="9.140625" style="393"/>
    <col min="1793" max="1793" width="4" style="393" customWidth="1"/>
    <col min="1794" max="1794" width="5.28515625" style="393" customWidth="1"/>
    <col min="1795" max="1795" width="8.42578125" style="393" customWidth="1"/>
    <col min="1796" max="1796" width="8" style="393" customWidth="1"/>
    <col min="1797" max="1797" width="45.42578125" style="393" customWidth="1"/>
    <col min="1798" max="1798" width="27" style="393" customWidth="1"/>
    <col min="1799" max="1799" width="13" style="393" customWidth="1"/>
    <col min="1800" max="1800" width="10.7109375" style="393" customWidth="1"/>
    <col min="1801" max="2048" width="9.140625" style="393"/>
    <col min="2049" max="2049" width="4" style="393" customWidth="1"/>
    <col min="2050" max="2050" width="5.28515625" style="393" customWidth="1"/>
    <col min="2051" max="2051" width="8.42578125" style="393" customWidth="1"/>
    <col min="2052" max="2052" width="8" style="393" customWidth="1"/>
    <col min="2053" max="2053" width="45.42578125" style="393" customWidth="1"/>
    <col min="2054" max="2054" width="27" style="393" customWidth="1"/>
    <col min="2055" max="2055" width="13" style="393" customWidth="1"/>
    <col min="2056" max="2056" width="10.7109375" style="393" customWidth="1"/>
    <col min="2057" max="2304" width="9.140625" style="393"/>
    <col min="2305" max="2305" width="4" style="393" customWidth="1"/>
    <col min="2306" max="2306" width="5.28515625" style="393" customWidth="1"/>
    <col min="2307" max="2307" width="8.42578125" style="393" customWidth="1"/>
    <col min="2308" max="2308" width="8" style="393" customWidth="1"/>
    <col min="2309" max="2309" width="45.42578125" style="393" customWidth="1"/>
    <col min="2310" max="2310" width="27" style="393" customWidth="1"/>
    <col min="2311" max="2311" width="13" style="393" customWidth="1"/>
    <col min="2312" max="2312" width="10.7109375" style="393" customWidth="1"/>
    <col min="2313" max="2560" width="9.140625" style="393"/>
    <col min="2561" max="2561" width="4" style="393" customWidth="1"/>
    <col min="2562" max="2562" width="5.28515625" style="393" customWidth="1"/>
    <col min="2563" max="2563" width="8.42578125" style="393" customWidth="1"/>
    <col min="2564" max="2564" width="8" style="393" customWidth="1"/>
    <col min="2565" max="2565" width="45.42578125" style="393" customWidth="1"/>
    <col min="2566" max="2566" width="27" style="393" customWidth="1"/>
    <col min="2567" max="2567" width="13" style="393" customWidth="1"/>
    <col min="2568" max="2568" width="10.7109375" style="393" customWidth="1"/>
    <col min="2569" max="2816" width="9.140625" style="393"/>
    <col min="2817" max="2817" width="4" style="393" customWidth="1"/>
    <col min="2818" max="2818" width="5.28515625" style="393" customWidth="1"/>
    <col min="2819" max="2819" width="8.42578125" style="393" customWidth="1"/>
    <col min="2820" max="2820" width="8" style="393" customWidth="1"/>
    <col min="2821" max="2821" width="45.42578125" style="393" customWidth="1"/>
    <col min="2822" max="2822" width="27" style="393" customWidth="1"/>
    <col min="2823" max="2823" width="13" style="393" customWidth="1"/>
    <col min="2824" max="2824" width="10.7109375" style="393" customWidth="1"/>
    <col min="2825" max="3072" width="9.140625" style="393"/>
    <col min="3073" max="3073" width="4" style="393" customWidth="1"/>
    <col min="3074" max="3074" width="5.28515625" style="393" customWidth="1"/>
    <col min="3075" max="3075" width="8.42578125" style="393" customWidth="1"/>
    <col min="3076" max="3076" width="8" style="393" customWidth="1"/>
    <col min="3077" max="3077" width="45.42578125" style="393" customWidth="1"/>
    <col min="3078" max="3078" width="27" style="393" customWidth="1"/>
    <col min="3079" max="3079" width="13" style="393" customWidth="1"/>
    <col min="3080" max="3080" width="10.7109375" style="393" customWidth="1"/>
    <col min="3081" max="3328" width="9.140625" style="393"/>
    <col min="3329" max="3329" width="4" style="393" customWidth="1"/>
    <col min="3330" max="3330" width="5.28515625" style="393" customWidth="1"/>
    <col min="3331" max="3331" width="8.42578125" style="393" customWidth="1"/>
    <col min="3332" max="3332" width="8" style="393" customWidth="1"/>
    <col min="3333" max="3333" width="45.42578125" style="393" customWidth="1"/>
    <col min="3334" max="3334" width="27" style="393" customWidth="1"/>
    <col min="3335" max="3335" width="13" style="393" customWidth="1"/>
    <col min="3336" max="3336" width="10.7109375" style="393" customWidth="1"/>
    <col min="3337" max="3584" width="9.140625" style="393"/>
    <col min="3585" max="3585" width="4" style="393" customWidth="1"/>
    <col min="3586" max="3586" width="5.28515625" style="393" customWidth="1"/>
    <col min="3587" max="3587" width="8.42578125" style="393" customWidth="1"/>
    <col min="3588" max="3588" width="8" style="393" customWidth="1"/>
    <col min="3589" max="3589" width="45.42578125" style="393" customWidth="1"/>
    <col min="3590" max="3590" width="27" style="393" customWidth="1"/>
    <col min="3591" max="3591" width="13" style="393" customWidth="1"/>
    <col min="3592" max="3592" width="10.7109375" style="393" customWidth="1"/>
    <col min="3593" max="3840" width="9.140625" style="393"/>
    <col min="3841" max="3841" width="4" style="393" customWidth="1"/>
    <col min="3842" max="3842" width="5.28515625" style="393" customWidth="1"/>
    <col min="3843" max="3843" width="8.42578125" style="393" customWidth="1"/>
    <col min="3844" max="3844" width="8" style="393" customWidth="1"/>
    <col min="3845" max="3845" width="45.42578125" style="393" customWidth="1"/>
    <col min="3846" max="3846" width="27" style="393" customWidth="1"/>
    <col min="3847" max="3847" width="13" style="393" customWidth="1"/>
    <col min="3848" max="3848" width="10.7109375" style="393" customWidth="1"/>
    <col min="3849" max="4096" width="9.140625" style="393"/>
    <col min="4097" max="4097" width="4" style="393" customWidth="1"/>
    <col min="4098" max="4098" width="5.28515625" style="393" customWidth="1"/>
    <col min="4099" max="4099" width="8.42578125" style="393" customWidth="1"/>
    <col min="4100" max="4100" width="8" style="393" customWidth="1"/>
    <col min="4101" max="4101" width="45.42578125" style="393" customWidth="1"/>
    <col min="4102" max="4102" width="27" style="393" customWidth="1"/>
    <col min="4103" max="4103" width="13" style="393" customWidth="1"/>
    <col min="4104" max="4104" width="10.7109375" style="393" customWidth="1"/>
    <col min="4105" max="4352" width="9.140625" style="393"/>
    <col min="4353" max="4353" width="4" style="393" customWidth="1"/>
    <col min="4354" max="4354" width="5.28515625" style="393" customWidth="1"/>
    <col min="4355" max="4355" width="8.42578125" style="393" customWidth="1"/>
    <col min="4356" max="4356" width="8" style="393" customWidth="1"/>
    <col min="4357" max="4357" width="45.42578125" style="393" customWidth="1"/>
    <col min="4358" max="4358" width="27" style="393" customWidth="1"/>
    <col min="4359" max="4359" width="13" style="393" customWidth="1"/>
    <col min="4360" max="4360" width="10.7109375" style="393" customWidth="1"/>
    <col min="4361" max="4608" width="9.140625" style="393"/>
    <col min="4609" max="4609" width="4" style="393" customWidth="1"/>
    <col min="4610" max="4610" width="5.28515625" style="393" customWidth="1"/>
    <col min="4611" max="4611" width="8.42578125" style="393" customWidth="1"/>
    <col min="4612" max="4612" width="8" style="393" customWidth="1"/>
    <col min="4613" max="4613" width="45.42578125" style="393" customWidth="1"/>
    <col min="4614" max="4614" width="27" style="393" customWidth="1"/>
    <col min="4615" max="4615" width="13" style="393" customWidth="1"/>
    <col min="4616" max="4616" width="10.7109375" style="393" customWidth="1"/>
    <col min="4617" max="4864" width="9.140625" style="393"/>
    <col min="4865" max="4865" width="4" style="393" customWidth="1"/>
    <col min="4866" max="4866" width="5.28515625" style="393" customWidth="1"/>
    <col min="4867" max="4867" width="8.42578125" style="393" customWidth="1"/>
    <col min="4868" max="4868" width="8" style="393" customWidth="1"/>
    <col min="4869" max="4869" width="45.42578125" style="393" customWidth="1"/>
    <col min="4870" max="4870" width="27" style="393" customWidth="1"/>
    <col min="4871" max="4871" width="13" style="393" customWidth="1"/>
    <col min="4872" max="4872" width="10.7109375" style="393" customWidth="1"/>
    <col min="4873" max="5120" width="9.140625" style="393"/>
    <col min="5121" max="5121" width="4" style="393" customWidth="1"/>
    <col min="5122" max="5122" width="5.28515625" style="393" customWidth="1"/>
    <col min="5123" max="5123" width="8.42578125" style="393" customWidth="1"/>
    <col min="5124" max="5124" width="8" style="393" customWidth="1"/>
    <col min="5125" max="5125" width="45.42578125" style="393" customWidth="1"/>
    <col min="5126" max="5126" width="27" style="393" customWidth="1"/>
    <col min="5127" max="5127" width="13" style="393" customWidth="1"/>
    <col min="5128" max="5128" width="10.7109375" style="393" customWidth="1"/>
    <col min="5129" max="5376" width="9.140625" style="393"/>
    <col min="5377" max="5377" width="4" style="393" customWidth="1"/>
    <col min="5378" max="5378" width="5.28515625" style="393" customWidth="1"/>
    <col min="5379" max="5379" width="8.42578125" style="393" customWidth="1"/>
    <col min="5380" max="5380" width="8" style="393" customWidth="1"/>
    <col min="5381" max="5381" width="45.42578125" style="393" customWidth="1"/>
    <col min="5382" max="5382" width="27" style="393" customWidth="1"/>
    <col min="5383" max="5383" width="13" style="393" customWidth="1"/>
    <col min="5384" max="5384" width="10.7109375" style="393" customWidth="1"/>
    <col min="5385" max="5632" width="9.140625" style="393"/>
    <col min="5633" max="5633" width="4" style="393" customWidth="1"/>
    <col min="5634" max="5634" width="5.28515625" style="393" customWidth="1"/>
    <col min="5635" max="5635" width="8.42578125" style="393" customWidth="1"/>
    <col min="5636" max="5636" width="8" style="393" customWidth="1"/>
    <col min="5637" max="5637" width="45.42578125" style="393" customWidth="1"/>
    <col min="5638" max="5638" width="27" style="393" customWidth="1"/>
    <col min="5639" max="5639" width="13" style="393" customWidth="1"/>
    <col min="5640" max="5640" width="10.7109375" style="393" customWidth="1"/>
    <col min="5641" max="5888" width="9.140625" style="393"/>
    <col min="5889" max="5889" width="4" style="393" customWidth="1"/>
    <col min="5890" max="5890" width="5.28515625" style="393" customWidth="1"/>
    <col min="5891" max="5891" width="8.42578125" style="393" customWidth="1"/>
    <col min="5892" max="5892" width="8" style="393" customWidth="1"/>
    <col min="5893" max="5893" width="45.42578125" style="393" customWidth="1"/>
    <col min="5894" max="5894" width="27" style="393" customWidth="1"/>
    <col min="5895" max="5895" width="13" style="393" customWidth="1"/>
    <col min="5896" max="5896" width="10.7109375" style="393" customWidth="1"/>
    <col min="5897" max="6144" width="9.140625" style="393"/>
    <col min="6145" max="6145" width="4" style="393" customWidth="1"/>
    <col min="6146" max="6146" width="5.28515625" style="393" customWidth="1"/>
    <col min="6147" max="6147" width="8.42578125" style="393" customWidth="1"/>
    <col min="6148" max="6148" width="8" style="393" customWidth="1"/>
    <col min="6149" max="6149" width="45.42578125" style="393" customWidth="1"/>
    <col min="6150" max="6150" width="27" style="393" customWidth="1"/>
    <col min="6151" max="6151" width="13" style="393" customWidth="1"/>
    <col min="6152" max="6152" width="10.7109375" style="393" customWidth="1"/>
    <col min="6153" max="6400" width="9.140625" style="393"/>
    <col min="6401" max="6401" width="4" style="393" customWidth="1"/>
    <col min="6402" max="6402" width="5.28515625" style="393" customWidth="1"/>
    <col min="6403" max="6403" width="8.42578125" style="393" customWidth="1"/>
    <col min="6404" max="6404" width="8" style="393" customWidth="1"/>
    <col min="6405" max="6405" width="45.42578125" style="393" customWidth="1"/>
    <col min="6406" max="6406" width="27" style="393" customWidth="1"/>
    <col min="6407" max="6407" width="13" style="393" customWidth="1"/>
    <col min="6408" max="6408" width="10.7109375" style="393" customWidth="1"/>
    <col min="6409" max="6656" width="9.140625" style="393"/>
    <col min="6657" max="6657" width="4" style="393" customWidth="1"/>
    <col min="6658" max="6658" width="5.28515625" style="393" customWidth="1"/>
    <col min="6659" max="6659" width="8.42578125" style="393" customWidth="1"/>
    <col min="6660" max="6660" width="8" style="393" customWidth="1"/>
    <col min="6661" max="6661" width="45.42578125" style="393" customWidth="1"/>
    <col min="6662" max="6662" width="27" style="393" customWidth="1"/>
    <col min="6663" max="6663" width="13" style="393" customWidth="1"/>
    <col min="6664" max="6664" width="10.7109375" style="393" customWidth="1"/>
    <col min="6665" max="6912" width="9.140625" style="393"/>
    <col min="6913" max="6913" width="4" style="393" customWidth="1"/>
    <col min="6914" max="6914" width="5.28515625" style="393" customWidth="1"/>
    <col min="6915" max="6915" width="8.42578125" style="393" customWidth="1"/>
    <col min="6916" max="6916" width="8" style="393" customWidth="1"/>
    <col min="6917" max="6917" width="45.42578125" style="393" customWidth="1"/>
    <col min="6918" max="6918" width="27" style="393" customWidth="1"/>
    <col min="6919" max="6919" width="13" style="393" customWidth="1"/>
    <col min="6920" max="6920" width="10.7109375" style="393" customWidth="1"/>
    <col min="6921" max="7168" width="9.140625" style="393"/>
    <col min="7169" max="7169" width="4" style="393" customWidth="1"/>
    <col min="7170" max="7170" width="5.28515625" style="393" customWidth="1"/>
    <col min="7171" max="7171" width="8.42578125" style="393" customWidth="1"/>
    <col min="7172" max="7172" width="8" style="393" customWidth="1"/>
    <col min="7173" max="7173" width="45.42578125" style="393" customWidth="1"/>
    <col min="7174" max="7174" width="27" style="393" customWidth="1"/>
    <col min="7175" max="7175" width="13" style="393" customWidth="1"/>
    <col min="7176" max="7176" width="10.7109375" style="393" customWidth="1"/>
    <col min="7177" max="7424" width="9.140625" style="393"/>
    <col min="7425" max="7425" width="4" style="393" customWidth="1"/>
    <col min="7426" max="7426" width="5.28515625" style="393" customWidth="1"/>
    <col min="7427" max="7427" width="8.42578125" style="393" customWidth="1"/>
    <col min="7428" max="7428" width="8" style="393" customWidth="1"/>
    <col min="7429" max="7429" width="45.42578125" style="393" customWidth="1"/>
    <col min="7430" max="7430" width="27" style="393" customWidth="1"/>
    <col min="7431" max="7431" width="13" style="393" customWidth="1"/>
    <col min="7432" max="7432" width="10.7109375" style="393" customWidth="1"/>
    <col min="7433" max="7680" width="9.140625" style="393"/>
    <col min="7681" max="7681" width="4" style="393" customWidth="1"/>
    <col min="7682" max="7682" width="5.28515625" style="393" customWidth="1"/>
    <col min="7683" max="7683" width="8.42578125" style="393" customWidth="1"/>
    <col min="7684" max="7684" width="8" style="393" customWidth="1"/>
    <col min="7685" max="7685" width="45.42578125" style="393" customWidth="1"/>
    <col min="7686" max="7686" width="27" style="393" customWidth="1"/>
    <col min="7687" max="7687" width="13" style="393" customWidth="1"/>
    <col min="7688" max="7688" width="10.7109375" style="393" customWidth="1"/>
    <col min="7689" max="7936" width="9.140625" style="393"/>
    <col min="7937" max="7937" width="4" style="393" customWidth="1"/>
    <col min="7938" max="7938" width="5.28515625" style="393" customWidth="1"/>
    <col min="7939" max="7939" width="8.42578125" style="393" customWidth="1"/>
    <col min="7940" max="7940" width="8" style="393" customWidth="1"/>
    <col min="7941" max="7941" width="45.42578125" style="393" customWidth="1"/>
    <col min="7942" max="7942" width="27" style="393" customWidth="1"/>
    <col min="7943" max="7943" width="13" style="393" customWidth="1"/>
    <col min="7944" max="7944" width="10.7109375" style="393" customWidth="1"/>
    <col min="7945" max="8192" width="9.140625" style="393"/>
    <col min="8193" max="8193" width="4" style="393" customWidth="1"/>
    <col min="8194" max="8194" width="5.28515625" style="393" customWidth="1"/>
    <col min="8195" max="8195" width="8.42578125" style="393" customWidth="1"/>
    <col min="8196" max="8196" width="8" style="393" customWidth="1"/>
    <col min="8197" max="8197" width="45.42578125" style="393" customWidth="1"/>
    <col min="8198" max="8198" width="27" style="393" customWidth="1"/>
    <col min="8199" max="8199" width="13" style="393" customWidth="1"/>
    <col min="8200" max="8200" width="10.7109375" style="393" customWidth="1"/>
    <col min="8201" max="8448" width="9.140625" style="393"/>
    <col min="8449" max="8449" width="4" style="393" customWidth="1"/>
    <col min="8450" max="8450" width="5.28515625" style="393" customWidth="1"/>
    <col min="8451" max="8451" width="8.42578125" style="393" customWidth="1"/>
    <col min="8452" max="8452" width="8" style="393" customWidth="1"/>
    <col min="8453" max="8453" width="45.42578125" style="393" customWidth="1"/>
    <col min="8454" max="8454" width="27" style="393" customWidth="1"/>
    <col min="8455" max="8455" width="13" style="393" customWidth="1"/>
    <col min="8456" max="8456" width="10.7109375" style="393" customWidth="1"/>
    <col min="8457" max="8704" width="9.140625" style="393"/>
    <col min="8705" max="8705" width="4" style="393" customWidth="1"/>
    <col min="8706" max="8706" width="5.28515625" style="393" customWidth="1"/>
    <col min="8707" max="8707" width="8.42578125" style="393" customWidth="1"/>
    <col min="8708" max="8708" width="8" style="393" customWidth="1"/>
    <col min="8709" max="8709" width="45.42578125" style="393" customWidth="1"/>
    <col min="8710" max="8710" width="27" style="393" customWidth="1"/>
    <col min="8711" max="8711" width="13" style="393" customWidth="1"/>
    <col min="8712" max="8712" width="10.7109375" style="393" customWidth="1"/>
    <col min="8713" max="8960" width="9.140625" style="393"/>
    <col min="8961" max="8961" width="4" style="393" customWidth="1"/>
    <col min="8962" max="8962" width="5.28515625" style="393" customWidth="1"/>
    <col min="8963" max="8963" width="8.42578125" style="393" customWidth="1"/>
    <col min="8964" max="8964" width="8" style="393" customWidth="1"/>
    <col min="8965" max="8965" width="45.42578125" style="393" customWidth="1"/>
    <col min="8966" max="8966" width="27" style="393" customWidth="1"/>
    <col min="8967" max="8967" width="13" style="393" customWidth="1"/>
    <col min="8968" max="8968" width="10.7109375" style="393" customWidth="1"/>
    <col min="8969" max="9216" width="9.140625" style="393"/>
    <col min="9217" max="9217" width="4" style="393" customWidth="1"/>
    <col min="9218" max="9218" width="5.28515625" style="393" customWidth="1"/>
    <col min="9219" max="9219" width="8.42578125" style="393" customWidth="1"/>
    <col min="9220" max="9220" width="8" style="393" customWidth="1"/>
    <col min="9221" max="9221" width="45.42578125" style="393" customWidth="1"/>
    <col min="9222" max="9222" width="27" style="393" customWidth="1"/>
    <col min="9223" max="9223" width="13" style="393" customWidth="1"/>
    <col min="9224" max="9224" width="10.7109375" style="393" customWidth="1"/>
    <col min="9225" max="9472" width="9.140625" style="393"/>
    <col min="9473" max="9473" width="4" style="393" customWidth="1"/>
    <col min="9474" max="9474" width="5.28515625" style="393" customWidth="1"/>
    <col min="9475" max="9475" width="8.42578125" style="393" customWidth="1"/>
    <col min="9476" max="9476" width="8" style="393" customWidth="1"/>
    <col min="9477" max="9477" width="45.42578125" style="393" customWidth="1"/>
    <col min="9478" max="9478" width="27" style="393" customWidth="1"/>
    <col min="9479" max="9479" width="13" style="393" customWidth="1"/>
    <col min="9480" max="9480" width="10.7109375" style="393" customWidth="1"/>
    <col min="9481" max="9728" width="9.140625" style="393"/>
    <col min="9729" max="9729" width="4" style="393" customWidth="1"/>
    <col min="9730" max="9730" width="5.28515625" style="393" customWidth="1"/>
    <col min="9731" max="9731" width="8.42578125" style="393" customWidth="1"/>
    <col min="9732" max="9732" width="8" style="393" customWidth="1"/>
    <col min="9733" max="9733" width="45.42578125" style="393" customWidth="1"/>
    <col min="9734" max="9734" width="27" style="393" customWidth="1"/>
    <col min="9735" max="9735" width="13" style="393" customWidth="1"/>
    <col min="9736" max="9736" width="10.7109375" style="393" customWidth="1"/>
    <col min="9737" max="9984" width="9.140625" style="393"/>
    <col min="9985" max="9985" width="4" style="393" customWidth="1"/>
    <col min="9986" max="9986" width="5.28515625" style="393" customWidth="1"/>
    <col min="9987" max="9987" width="8.42578125" style="393" customWidth="1"/>
    <col min="9988" max="9988" width="8" style="393" customWidth="1"/>
    <col min="9989" max="9989" width="45.42578125" style="393" customWidth="1"/>
    <col min="9990" max="9990" width="27" style="393" customWidth="1"/>
    <col min="9991" max="9991" width="13" style="393" customWidth="1"/>
    <col min="9992" max="9992" width="10.7109375" style="393" customWidth="1"/>
    <col min="9993" max="10240" width="9.140625" style="393"/>
    <col min="10241" max="10241" width="4" style="393" customWidth="1"/>
    <col min="10242" max="10242" width="5.28515625" style="393" customWidth="1"/>
    <col min="10243" max="10243" width="8.42578125" style="393" customWidth="1"/>
    <col min="10244" max="10244" width="8" style="393" customWidth="1"/>
    <col min="10245" max="10245" width="45.42578125" style="393" customWidth="1"/>
    <col min="10246" max="10246" width="27" style="393" customWidth="1"/>
    <col min="10247" max="10247" width="13" style="393" customWidth="1"/>
    <col min="10248" max="10248" width="10.7109375" style="393" customWidth="1"/>
    <col min="10249" max="10496" width="9.140625" style="393"/>
    <col min="10497" max="10497" width="4" style="393" customWidth="1"/>
    <col min="10498" max="10498" width="5.28515625" style="393" customWidth="1"/>
    <col min="10499" max="10499" width="8.42578125" style="393" customWidth="1"/>
    <col min="10500" max="10500" width="8" style="393" customWidth="1"/>
    <col min="10501" max="10501" width="45.42578125" style="393" customWidth="1"/>
    <col min="10502" max="10502" width="27" style="393" customWidth="1"/>
    <col min="10503" max="10503" width="13" style="393" customWidth="1"/>
    <col min="10504" max="10504" width="10.7109375" style="393" customWidth="1"/>
    <col min="10505" max="10752" width="9.140625" style="393"/>
    <col min="10753" max="10753" width="4" style="393" customWidth="1"/>
    <col min="10754" max="10754" width="5.28515625" style="393" customWidth="1"/>
    <col min="10755" max="10755" width="8.42578125" style="393" customWidth="1"/>
    <col min="10756" max="10756" width="8" style="393" customWidth="1"/>
    <col min="10757" max="10757" width="45.42578125" style="393" customWidth="1"/>
    <col min="10758" max="10758" width="27" style="393" customWidth="1"/>
    <col min="10759" max="10759" width="13" style="393" customWidth="1"/>
    <col min="10760" max="10760" width="10.7109375" style="393" customWidth="1"/>
    <col min="10761" max="11008" width="9.140625" style="393"/>
    <col min="11009" max="11009" width="4" style="393" customWidth="1"/>
    <col min="11010" max="11010" width="5.28515625" style="393" customWidth="1"/>
    <col min="11011" max="11011" width="8.42578125" style="393" customWidth="1"/>
    <col min="11012" max="11012" width="8" style="393" customWidth="1"/>
    <col min="11013" max="11013" width="45.42578125" style="393" customWidth="1"/>
    <col min="11014" max="11014" width="27" style="393" customWidth="1"/>
    <col min="11015" max="11015" width="13" style="393" customWidth="1"/>
    <col min="11016" max="11016" width="10.7109375" style="393" customWidth="1"/>
    <col min="11017" max="11264" width="9.140625" style="393"/>
    <col min="11265" max="11265" width="4" style="393" customWidth="1"/>
    <col min="11266" max="11266" width="5.28515625" style="393" customWidth="1"/>
    <col min="11267" max="11267" width="8.42578125" style="393" customWidth="1"/>
    <col min="11268" max="11268" width="8" style="393" customWidth="1"/>
    <col min="11269" max="11269" width="45.42578125" style="393" customWidth="1"/>
    <col min="11270" max="11270" width="27" style="393" customWidth="1"/>
    <col min="11271" max="11271" width="13" style="393" customWidth="1"/>
    <col min="11272" max="11272" width="10.7109375" style="393" customWidth="1"/>
    <col min="11273" max="11520" width="9.140625" style="393"/>
    <col min="11521" max="11521" width="4" style="393" customWidth="1"/>
    <col min="11522" max="11522" width="5.28515625" style="393" customWidth="1"/>
    <col min="11523" max="11523" width="8.42578125" style="393" customWidth="1"/>
    <col min="11524" max="11524" width="8" style="393" customWidth="1"/>
    <col min="11525" max="11525" width="45.42578125" style="393" customWidth="1"/>
    <col min="11526" max="11526" width="27" style="393" customWidth="1"/>
    <col min="11527" max="11527" width="13" style="393" customWidth="1"/>
    <col min="11528" max="11528" width="10.7109375" style="393" customWidth="1"/>
    <col min="11529" max="11776" width="9.140625" style="393"/>
    <col min="11777" max="11777" width="4" style="393" customWidth="1"/>
    <col min="11778" max="11778" width="5.28515625" style="393" customWidth="1"/>
    <col min="11779" max="11779" width="8.42578125" style="393" customWidth="1"/>
    <col min="11780" max="11780" width="8" style="393" customWidth="1"/>
    <col min="11781" max="11781" width="45.42578125" style="393" customWidth="1"/>
    <col min="11782" max="11782" width="27" style="393" customWidth="1"/>
    <col min="11783" max="11783" width="13" style="393" customWidth="1"/>
    <col min="11784" max="11784" width="10.7109375" style="393" customWidth="1"/>
    <col min="11785" max="12032" width="9.140625" style="393"/>
    <col min="12033" max="12033" width="4" style="393" customWidth="1"/>
    <col min="12034" max="12034" width="5.28515625" style="393" customWidth="1"/>
    <col min="12035" max="12035" width="8.42578125" style="393" customWidth="1"/>
    <col min="12036" max="12036" width="8" style="393" customWidth="1"/>
    <col min="12037" max="12037" width="45.42578125" style="393" customWidth="1"/>
    <col min="12038" max="12038" width="27" style="393" customWidth="1"/>
    <col min="12039" max="12039" width="13" style="393" customWidth="1"/>
    <col min="12040" max="12040" width="10.7109375" style="393" customWidth="1"/>
    <col min="12041" max="12288" width="9.140625" style="393"/>
    <col min="12289" max="12289" width="4" style="393" customWidth="1"/>
    <col min="12290" max="12290" width="5.28515625" style="393" customWidth="1"/>
    <col min="12291" max="12291" width="8.42578125" style="393" customWidth="1"/>
    <col min="12292" max="12292" width="8" style="393" customWidth="1"/>
    <col min="12293" max="12293" width="45.42578125" style="393" customWidth="1"/>
    <col min="12294" max="12294" width="27" style="393" customWidth="1"/>
    <col min="12295" max="12295" width="13" style="393" customWidth="1"/>
    <col min="12296" max="12296" width="10.7109375" style="393" customWidth="1"/>
    <col min="12297" max="12544" width="9.140625" style="393"/>
    <col min="12545" max="12545" width="4" style="393" customWidth="1"/>
    <col min="12546" max="12546" width="5.28515625" style="393" customWidth="1"/>
    <col min="12547" max="12547" width="8.42578125" style="393" customWidth="1"/>
    <col min="12548" max="12548" width="8" style="393" customWidth="1"/>
    <col min="12549" max="12549" width="45.42578125" style="393" customWidth="1"/>
    <col min="12550" max="12550" width="27" style="393" customWidth="1"/>
    <col min="12551" max="12551" width="13" style="393" customWidth="1"/>
    <col min="12552" max="12552" width="10.7109375" style="393" customWidth="1"/>
    <col min="12553" max="12800" width="9.140625" style="393"/>
    <col min="12801" max="12801" width="4" style="393" customWidth="1"/>
    <col min="12802" max="12802" width="5.28515625" style="393" customWidth="1"/>
    <col min="12803" max="12803" width="8.42578125" style="393" customWidth="1"/>
    <col min="12804" max="12804" width="8" style="393" customWidth="1"/>
    <col min="12805" max="12805" width="45.42578125" style="393" customWidth="1"/>
    <col min="12806" max="12806" width="27" style="393" customWidth="1"/>
    <col min="12807" max="12807" width="13" style="393" customWidth="1"/>
    <col min="12808" max="12808" width="10.7109375" style="393" customWidth="1"/>
    <col min="12809" max="13056" width="9.140625" style="393"/>
    <col min="13057" max="13057" width="4" style="393" customWidth="1"/>
    <col min="13058" max="13058" width="5.28515625" style="393" customWidth="1"/>
    <col min="13059" max="13059" width="8.42578125" style="393" customWidth="1"/>
    <col min="13060" max="13060" width="8" style="393" customWidth="1"/>
    <col min="13061" max="13061" width="45.42578125" style="393" customWidth="1"/>
    <col min="13062" max="13062" width="27" style="393" customWidth="1"/>
    <col min="13063" max="13063" width="13" style="393" customWidth="1"/>
    <col min="13064" max="13064" width="10.7109375" style="393" customWidth="1"/>
    <col min="13065" max="13312" width="9.140625" style="393"/>
    <col min="13313" max="13313" width="4" style="393" customWidth="1"/>
    <col min="13314" max="13314" width="5.28515625" style="393" customWidth="1"/>
    <col min="13315" max="13315" width="8.42578125" style="393" customWidth="1"/>
    <col min="13316" max="13316" width="8" style="393" customWidth="1"/>
    <col min="13317" max="13317" width="45.42578125" style="393" customWidth="1"/>
    <col min="13318" max="13318" width="27" style="393" customWidth="1"/>
    <col min="13319" max="13319" width="13" style="393" customWidth="1"/>
    <col min="13320" max="13320" width="10.7109375" style="393" customWidth="1"/>
    <col min="13321" max="13568" width="9.140625" style="393"/>
    <col min="13569" max="13569" width="4" style="393" customWidth="1"/>
    <col min="13570" max="13570" width="5.28515625" style="393" customWidth="1"/>
    <col min="13571" max="13571" width="8.42578125" style="393" customWidth="1"/>
    <col min="13572" max="13572" width="8" style="393" customWidth="1"/>
    <col min="13573" max="13573" width="45.42578125" style="393" customWidth="1"/>
    <col min="13574" max="13574" width="27" style="393" customWidth="1"/>
    <col min="13575" max="13575" width="13" style="393" customWidth="1"/>
    <col min="13576" max="13576" width="10.7109375" style="393" customWidth="1"/>
    <col min="13577" max="13824" width="9.140625" style="393"/>
    <col min="13825" max="13825" width="4" style="393" customWidth="1"/>
    <col min="13826" max="13826" width="5.28515625" style="393" customWidth="1"/>
    <col min="13827" max="13827" width="8.42578125" style="393" customWidth="1"/>
    <col min="13828" max="13828" width="8" style="393" customWidth="1"/>
    <col min="13829" max="13829" width="45.42578125" style="393" customWidth="1"/>
    <col min="13830" max="13830" width="27" style="393" customWidth="1"/>
    <col min="13831" max="13831" width="13" style="393" customWidth="1"/>
    <col min="13832" max="13832" width="10.7109375" style="393" customWidth="1"/>
    <col min="13833" max="14080" width="9.140625" style="393"/>
    <col min="14081" max="14081" width="4" style="393" customWidth="1"/>
    <col min="14082" max="14082" width="5.28515625" style="393" customWidth="1"/>
    <col min="14083" max="14083" width="8.42578125" style="393" customWidth="1"/>
    <col min="14084" max="14084" width="8" style="393" customWidth="1"/>
    <col min="14085" max="14085" width="45.42578125" style="393" customWidth="1"/>
    <col min="14086" max="14086" width="27" style="393" customWidth="1"/>
    <col min="14087" max="14087" width="13" style="393" customWidth="1"/>
    <col min="14088" max="14088" width="10.7109375" style="393" customWidth="1"/>
    <col min="14089" max="14336" width="9.140625" style="393"/>
    <col min="14337" max="14337" width="4" style="393" customWidth="1"/>
    <col min="14338" max="14338" width="5.28515625" style="393" customWidth="1"/>
    <col min="14339" max="14339" width="8.42578125" style="393" customWidth="1"/>
    <col min="14340" max="14340" width="8" style="393" customWidth="1"/>
    <col min="14341" max="14341" width="45.42578125" style="393" customWidth="1"/>
    <col min="14342" max="14342" width="27" style="393" customWidth="1"/>
    <col min="14343" max="14343" width="13" style="393" customWidth="1"/>
    <col min="14344" max="14344" width="10.7109375" style="393" customWidth="1"/>
    <col min="14345" max="14592" width="9.140625" style="393"/>
    <col min="14593" max="14593" width="4" style="393" customWidth="1"/>
    <col min="14594" max="14594" width="5.28515625" style="393" customWidth="1"/>
    <col min="14595" max="14595" width="8.42578125" style="393" customWidth="1"/>
    <col min="14596" max="14596" width="8" style="393" customWidth="1"/>
    <col min="14597" max="14597" width="45.42578125" style="393" customWidth="1"/>
    <col min="14598" max="14598" width="27" style="393" customWidth="1"/>
    <col min="14599" max="14599" width="13" style="393" customWidth="1"/>
    <col min="14600" max="14600" width="10.7109375" style="393" customWidth="1"/>
    <col min="14601" max="14848" width="9.140625" style="393"/>
    <col min="14849" max="14849" width="4" style="393" customWidth="1"/>
    <col min="14850" max="14850" width="5.28515625" style="393" customWidth="1"/>
    <col min="14851" max="14851" width="8.42578125" style="393" customWidth="1"/>
    <col min="14852" max="14852" width="8" style="393" customWidth="1"/>
    <col min="14853" max="14853" width="45.42578125" style="393" customWidth="1"/>
    <col min="14854" max="14854" width="27" style="393" customWidth="1"/>
    <col min="14855" max="14855" width="13" style="393" customWidth="1"/>
    <col min="14856" max="14856" width="10.7109375" style="393" customWidth="1"/>
    <col min="14857" max="15104" width="9.140625" style="393"/>
    <col min="15105" max="15105" width="4" style="393" customWidth="1"/>
    <col min="15106" max="15106" width="5.28515625" style="393" customWidth="1"/>
    <col min="15107" max="15107" width="8.42578125" style="393" customWidth="1"/>
    <col min="15108" max="15108" width="8" style="393" customWidth="1"/>
    <col min="15109" max="15109" width="45.42578125" style="393" customWidth="1"/>
    <col min="15110" max="15110" width="27" style="393" customWidth="1"/>
    <col min="15111" max="15111" width="13" style="393" customWidth="1"/>
    <col min="15112" max="15112" width="10.7109375" style="393" customWidth="1"/>
    <col min="15113" max="15360" width="9.140625" style="393"/>
    <col min="15361" max="15361" width="4" style="393" customWidth="1"/>
    <col min="15362" max="15362" width="5.28515625" style="393" customWidth="1"/>
    <col min="15363" max="15363" width="8.42578125" style="393" customWidth="1"/>
    <col min="15364" max="15364" width="8" style="393" customWidth="1"/>
    <col min="15365" max="15365" width="45.42578125" style="393" customWidth="1"/>
    <col min="15366" max="15366" width="27" style="393" customWidth="1"/>
    <col min="15367" max="15367" width="13" style="393" customWidth="1"/>
    <col min="15368" max="15368" width="10.7109375" style="393" customWidth="1"/>
    <col min="15369" max="15616" width="9.140625" style="393"/>
    <col min="15617" max="15617" width="4" style="393" customWidth="1"/>
    <col min="15618" max="15618" width="5.28515625" style="393" customWidth="1"/>
    <col min="15619" max="15619" width="8.42578125" style="393" customWidth="1"/>
    <col min="15620" max="15620" width="8" style="393" customWidth="1"/>
    <col min="15621" max="15621" width="45.42578125" style="393" customWidth="1"/>
    <col min="15622" max="15622" width="27" style="393" customWidth="1"/>
    <col min="15623" max="15623" width="13" style="393" customWidth="1"/>
    <col min="15624" max="15624" width="10.7109375" style="393" customWidth="1"/>
    <col min="15625" max="15872" width="9.140625" style="393"/>
    <col min="15873" max="15873" width="4" style="393" customWidth="1"/>
    <col min="15874" max="15874" width="5.28515625" style="393" customWidth="1"/>
    <col min="15875" max="15875" width="8.42578125" style="393" customWidth="1"/>
    <col min="15876" max="15876" width="8" style="393" customWidth="1"/>
    <col min="15877" max="15877" width="45.42578125" style="393" customWidth="1"/>
    <col min="15878" max="15878" width="27" style="393" customWidth="1"/>
    <col min="15879" max="15879" width="13" style="393" customWidth="1"/>
    <col min="15880" max="15880" width="10.7109375" style="393" customWidth="1"/>
    <col min="15881" max="16128" width="9.140625" style="393"/>
    <col min="16129" max="16129" width="4" style="393" customWidth="1"/>
    <col min="16130" max="16130" width="5.28515625" style="393" customWidth="1"/>
    <col min="16131" max="16131" width="8.42578125" style="393" customWidth="1"/>
    <col min="16132" max="16132" width="8" style="393" customWidth="1"/>
    <col min="16133" max="16133" width="45.42578125" style="393" customWidth="1"/>
    <col min="16134" max="16134" width="27" style="393" customWidth="1"/>
    <col min="16135" max="16135" width="13" style="393" customWidth="1"/>
    <col min="16136" max="16136" width="10.7109375" style="393" customWidth="1"/>
    <col min="16137" max="16384" width="9.140625" style="393"/>
  </cols>
  <sheetData>
    <row r="1" spans="1:8" ht="12" customHeight="1">
      <c r="F1" s="395" t="s">
        <v>453</v>
      </c>
    </row>
    <row r="2" spans="1:8" ht="12" customHeight="1">
      <c r="E2" s="396"/>
      <c r="F2" s="7" t="s">
        <v>318</v>
      </c>
    </row>
    <row r="3" spans="1:8" ht="12" customHeight="1">
      <c r="E3" s="396"/>
      <c r="F3" s="5" t="s">
        <v>1</v>
      </c>
    </row>
    <row r="4" spans="1:8" ht="12" customHeight="1">
      <c r="E4" s="396"/>
      <c r="F4" s="7" t="s">
        <v>319</v>
      </c>
    </row>
    <row r="5" spans="1:8" ht="21" customHeight="1">
      <c r="E5" s="396"/>
      <c r="F5" s="396"/>
    </row>
    <row r="6" spans="1:8" ht="15" customHeight="1">
      <c r="A6" s="731" t="s">
        <v>454</v>
      </c>
      <c r="B6" s="731"/>
      <c r="C6" s="731"/>
      <c r="D6" s="731"/>
      <c r="E6" s="731"/>
      <c r="F6" s="731"/>
    </row>
    <row r="7" spans="1:8" ht="15" customHeight="1">
      <c r="A7" s="731" t="s">
        <v>455</v>
      </c>
      <c r="B7" s="731"/>
      <c r="C7" s="731"/>
      <c r="D7" s="731"/>
      <c r="E7" s="731"/>
      <c r="F7" s="731"/>
    </row>
    <row r="8" spans="1:8" ht="13.9" customHeight="1">
      <c r="E8" s="398"/>
      <c r="F8" s="398"/>
    </row>
    <row r="9" spans="1:8" ht="20.25" customHeight="1">
      <c r="E9" s="399"/>
      <c r="F9" s="400" t="s">
        <v>2</v>
      </c>
    </row>
    <row r="10" spans="1:8" ht="19.5" customHeight="1">
      <c r="A10" s="401" t="s">
        <v>29</v>
      </c>
      <c r="B10" s="402" t="s">
        <v>387</v>
      </c>
      <c r="C10" s="402" t="s">
        <v>327</v>
      </c>
      <c r="D10" s="401" t="s">
        <v>456</v>
      </c>
      <c r="E10" s="402" t="s">
        <v>325</v>
      </c>
      <c r="F10" s="402" t="s">
        <v>457</v>
      </c>
    </row>
    <row r="11" spans="1:8" s="405" customFormat="1" ht="9.75" customHeight="1">
      <c r="A11" s="403">
        <v>1</v>
      </c>
      <c r="B11" s="403">
        <v>2</v>
      </c>
      <c r="C11" s="403">
        <v>3</v>
      </c>
      <c r="D11" s="404">
        <v>4</v>
      </c>
      <c r="E11" s="403">
        <v>5</v>
      </c>
      <c r="F11" s="403">
        <v>6</v>
      </c>
    </row>
    <row r="12" spans="1:8" ht="18" customHeight="1">
      <c r="A12" s="406" t="s">
        <v>458</v>
      </c>
      <c r="B12" s="407"/>
      <c r="C12" s="407"/>
      <c r="D12" s="408"/>
      <c r="E12" s="407"/>
      <c r="F12" s="409"/>
    </row>
    <row r="13" spans="1:8" ht="15" customHeight="1">
      <c r="A13" s="410">
        <v>1</v>
      </c>
      <c r="B13" s="410">
        <v>801</v>
      </c>
      <c r="C13" s="410">
        <v>80104</v>
      </c>
      <c r="D13" s="410">
        <v>2310</v>
      </c>
      <c r="E13" s="411" t="s">
        <v>17</v>
      </c>
      <c r="F13" s="412">
        <v>500000</v>
      </c>
      <c r="H13" s="413"/>
    </row>
    <row r="14" spans="1:8" ht="16.5" customHeight="1">
      <c r="A14" s="410">
        <v>2</v>
      </c>
      <c r="B14" s="414">
        <v>851</v>
      </c>
      <c r="C14" s="414">
        <v>85149</v>
      </c>
      <c r="D14" s="415">
        <v>2780</v>
      </c>
      <c r="E14" s="411" t="s">
        <v>459</v>
      </c>
      <c r="F14" s="412">
        <v>21000</v>
      </c>
      <c r="H14" s="413"/>
    </row>
    <row r="15" spans="1:8" ht="24" customHeight="1">
      <c r="A15" s="414">
        <v>3</v>
      </c>
      <c r="B15" s="416">
        <v>851</v>
      </c>
      <c r="C15" s="416">
        <v>85154</v>
      </c>
      <c r="D15" s="416">
        <v>2330</v>
      </c>
      <c r="E15" s="411" t="s">
        <v>460</v>
      </c>
      <c r="F15" s="412">
        <v>5000</v>
      </c>
    </row>
    <row r="16" spans="1:8" ht="22.5" customHeight="1">
      <c r="A16" s="414">
        <v>4</v>
      </c>
      <c r="B16" s="416">
        <v>851</v>
      </c>
      <c r="C16" s="416">
        <v>85154</v>
      </c>
      <c r="D16" s="416">
        <v>2800</v>
      </c>
      <c r="E16" s="411" t="s">
        <v>461</v>
      </c>
      <c r="F16" s="412">
        <f>0+100000</f>
        <v>100000</v>
      </c>
    </row>
    <row r="17" spans="1:6" ht="14.25" customHeight="1">
      <c r="A17" s="414">
        <v>5</v>
      </c>
      <c r="B17" s="415">
        <v>853</v>
      </c>
      <c r="C17" s="415">
        <v>85333</v>
      </c>
      <c r="D17" s="415">
        <v>2320</v>
      </c>
      <c r="E17" s="417" t="s">
        <v>462</v>
      </c>
      <c r="F17" s="412">
        <f>4745993+137771</f>
        <v>4883764</v>
      </c>
    </row>
    <row r="18" spans="1:6" ht="24" customHeight="1">
      <c r="A18" s="414">
        <v>6</v>
      </c>
      <c r="B18" s="418">
        <v>853</v>
      </c>
      <c r="C18" s="419">
        <v>85395</v>
      </c>
      <c r="D18" s="420">
        <v>2800</v>
      </c>
      <c r="E18" s="421" t="s">
        <v>463</v>
      </c>
      <c r="F18" s="412">
        <v>90000</v>
      </c>
    </row>
    <row r="19" spans="1:6" ht="16.5" customHeight="1">
      <c r="A19" s="414">
        <v>7</v>
      </c>
      <c r="B19" s="416">
        <v>921</v>
      </c>
      <c r="C19" s="416">
        <v>92110</v>
      </c>
      <c r="D19" s="420">
        <v>2800</v>
      </c>
      <c r="E19" s="417" t="s">
        <v>464</v>
      </c>
      <c r="F19" s="412">
        <f>F20</f>
        <v>15000</v>
      </c>
    </row>
    <row r="20" spans="1:6" ht="12.75" customHeight="1">
      <c r="A20" s="422"/>
      <c r="B20" s="423"/>
      <c r="C20" s="424"/>
      <c r="D20" s="425"/>
      <c r="E20" s="426" t="s">
        <v>465</v>
      </c>
      <c r="F20" s="427">
        <v>15000</v>
      </c>
    </row>
    <row r="21" spans="1:6" ht="16.899999999999999" customHeight="1">
      <c r="A21" s="414">
        <v>8</v>
      </c>
      <c r="B21" s="416">
        <v>921</v>
      </c>
      <c r="C21" s="416">
        <v>92110</v>
      </c>
      <c r="D21" s="416">
        <v>6220</v>
      </c>
      <c r="E21" s="417" t="s">
        <v>466</v>
      </c>
      <c r="F21" s="412">
        <f>F22</f>
        <v>120000</v>
      </c>
    </row>
    <row r="22" spans="1:6" s="428" customFormat="1" ht="12.75" customHeight="1">
      <c r="A22" s="422"/>
      <c r="B22" s="423"/>
      <c r="C22" s="424"/>
      <c r="D22" s="425"/>
      <c r="E22" s="426" t="s">
        <v>465</v>
      </c>
      <c r="F22" s="427">
        <f>100000+10000+10000</f>
        <v>120000</v>
      </c>
    </row>
    <row r="23" spans="1:6" ht="15.75" customHeight="1">
      <c r="A23" s="410">
        <v>9</v>
      </c>
      <c r="B23" s="416">
        <v>921</v>
      </c>
      <c r="C23" s="416">
        <v>92113</v>
      </c>
      <c r="D23" s="410">
        <v>2800</v>
      </c>
      <c r="E23" s="429" t="s">
        <v>283</v>
      </c>
      <c r="F23" s="430">
        <f>F24</f>
        <v>215000</v>
      </c>
    </row>
    <row r="24" spans="1:6" s="428" customFormat="1" ht="12.75" customHeight="1">
      <c r="A24" s="431"/>
      <c r="B24" s="432"/>
      <c r="C24" s="433"/>
      <c r="D24" s="434"/>
      <c r="E24" s="435" t="s">
        <v>467</v>
      </c>
      <c r="F24" s="436">
        <f>200000+15000</f>
        <v>215000</v>
      </c>
    </row>
    <row r="25" spans="1:6" s="428" customFormat="1" ht="16.899999999999999" customHeight="1">
      <c r="A25" s="410">
        <v>10</v>
      </c>
      <c r="B25" s="416">
        <v>921</v>
      </c>
      <c r="C25" s="416">
        <v>92113</v>
      </c>
      <c r="D25" s="416">
        <v>6220</v>
      </c>
      <c r="E25" s="417" t="s">
        <v>468</v>
      </c>
      <c r="F25" s="412">
        <f>F26</f>
        <v>300000</v>
      </c>
    </row>
    <row r="26" spans="1:6" s="428" customFormat="1" ht="12.75" customHeight="1">
      <c r="A26" s="431"/>
      <c r="B26" s="432"/>
      <c r="C26" s="432"/>
      <c r="D26" s="437"/>
      <c r="E26" s="438" t="s">
        <v>469</v>
      </c>
      <c r="F26" s="439">
        <v>300000</v>
      </c>
    </row>
    <row r="27" spans="1:6" ht="16.899999999999999" customHeight="1">
      <c r="A27" s="410">
        <v>11</v>
      </c>
      <c r="B27" s="416">
        <v>921</v>
      </c>
      <c r="C27" s="416">
        <v>92116</v>
      </c>
      <c r="D27" s="416">
        <v>2800</v>
      </c>
      <c r="E27" s="417" t="s">
        <v>470</v>
      </c>
      <c r="F27" s="412">
        <f>F28</f>
        <v>50000</v>
      </c>
    </row>
    <row r="28" spans="1:6" s="428" customFormat="1" ht="12.75" customHeight="1">
      <c r="A28" s="431"/>
      <c r="B28" s="432"/>
      <c r="C28" s="432"/>
      <c r="D28" s="437"/>
      <c r="E28" s="438" t="s">
        <v>471</v>
      </c>
      <c r="F28" s="439">
        <v>50000</v>
      </c>
    </row>
    <row r="29" spans="1:6" ht="17.25" customHeight="1">
      <c r="A29" s="684"/>
      <c r="B29" s="685"/>
      <c r="C29" s="685"/>
      <c r="D29" s="686"/>
      <c r="E29" s="687" t="s">
        <v>472</v>
      </c>
      <c r="F29" s="688">
        <f>SUM(F13,F14,F15,F16,F17,F18:F19,F21,F23,F25,F27)</f>
        <v>6299764</v>
      </c>
    </row>
    <row r="30" spans="1:6" ht="15.75" customHeight="1">
      <c r="A30" s="406" t="s">
        <v>473</v>
      </c>
      <c r="B30" s="407"/>
      <c r="C30" s="407"/>
      <c r="D30" s="408"/>
      <c r="E30" s="407"/>
      <c r="F30" s="409"/>
    </row>
    <row r="31" spans="1:6" ht="16.899999999999999" customHeight="1">
      <c r="A31" s="410">
        <v>1</v>
      </c>
      <c r="B31" s="416">
        <v>853</v>
      </c>
      <c r="C31" s="416">
        <v>85395</v>
      </c>
      <c r="D31" s="416">
        <v>2510</v>
      </c>
      <c r="E31" s="417" t="s">
        <v>66</v>
      </c>
      <c r="F31" s="412">
        <f>F32</f>
        <v>1186180</v>
      </c>
    </row>
    <row r="32" spans="1:6" s="428" customFormat="1" ht="12.75" customHeight="1">
      <c r="A32" s="431"/>
      <c r="B32" s="432"/>
      <c r="C32" s="433"/>
      <c r="D32" s="434"/>
      <c r="E32" s="440" t="s">
        <v>474</v>
      </c>
      <c r="F32" s="441">
        <f>1186180</f>
        <v>1186180</v>
      </c>
    </row>
    <row r="33" spans="1:6" ht="16.899999999999999" customHeight="1">
      <c r="A33" s="410">
        <v>2</v>
      </c>
      <c r="B33" s="416">
        <v>921</v>
      </c>
      <c r="C33" s="416">
        <v>92110</v>
      </c>
      <c r="D33" s="416">
        <v>2480</v>
      </c>
      <c r="E33" s="417" t="s">
        <v>475</v>
      </c>
      <c r="F33" s="442">
        <f>F34</f>
        <v>1243891.2</v>
      </c>
    </row>
    <row r="34" spans="1:6" s="428" customFormat="1" ht="12.75" customHeight="1">
      <c r="A34" s="431"/>
      <c r="B34" s="432"/>
      <c r="C34" s="433"/>
      <c r="D34" s="443"/>
      <c r="E34" s="444" t="s">
        <v>465</v>
      </c>
      <c r="F34" s="441">
        <f>1200000+43891.2</f>
        <v>1243891.2</v>
      </c>
    </row>
    <row r="35" spans="1:6" ht="16.899999999999999" customHeight="1">
      <c r="A35" s="410">
        <v>3</v>
      </c>
      <c r="B35" s="416">
        <v>921</v>
      </c>
      <c r="C35" s="416">
        <v>92113</v>
      </c>
      <c r="D35" s="416">
        <v>2480</v>
      </c>
      <c r="E35" s="417" t="s">
        <v>283</v>
      </c>
      <c r="F35" s="442">
        <f>F36</f>
        <v>9795363.9900000002</v>
      </c>
    </row>
    <row r="36" spans="1:6" s="428" customFormat="1" ht="12" customHeight="1">
      <c r="A36" s="445"/>
      <c r="B36" s="433"/>
      <c r="C36" s="433"/>
      <c r="D36" s="433"/>
      <c r="E36" s="446" t="s">
        <v>469</v>
      </c>
      <c r="F36" s="447">
        <f>9607800+187563.99</f>
        <v>9795363.9900000002</v>
      </c>
    </row>
    <row r="37" spans="1:6" ht="16.899999999999999" customHeight="1">
      <c r="A37" s="410">
        <v>4</v>
      </c>
      <c r="B37" s="416">
        <v>921</v>
      </c>
      <c r="C37" s="416">
        <v>92114</v>
      </c>
      <c r="D37" s="416">
        <v>2480</v>
      </c>
      <c r="E37" s="417" t="s">
        <v>287</v>
      </c>
      <c r="F37" s="442">
        <f>F38</f>
        <v>2061947.92</v>
      </c>
    </row>
    <row r="38" spans="1:6" s="428" customFormat="1" ht="12.75" customHeight="1">
      <c r="A38" s="431"/>
      <c r="B38" s="432"/>
      <c r="C38" s="432"/>
      <c r="D38" s="432"/>
      <c r="E38" s="446" t="s">
        <v>476</v>
      </c>
      <c r="F38" s="441">
        <f>1996462+44557.92+20928</f>
        <v>2061947.92</v>
      </c>
    </row>
    <row r="39" spans="1:6" ht="16.899999999999999" customHeight="1">
      <c r="A39" s="410">
        <v>5</v>
      </c>
      <c r="B39" s="416">
        <v>921</v>
      </c>
      <c r="C39" s="416">
        <v>92116</v>
      </c>
      <c r="D39" s="416">
        <v>2480</v>
      </c>
      <c r="E39" s="417" t="s">
        <v>470</v>
      </c>
      <c r="F39" s="412">
        <f>F40</f>
        <v>6085780.96</v>
      </c>
    </row>
    <row r="40" spans="1:6" s="428" customFormat="1" ht="12.75" customHeight="1">
      <c r="A40" s="431"/>
      <c r="B40" s="448"/>
      <c r="C40" s="448"/>
      <c r="D40" s="437"/>
      <c r="E40" s="446" t="s">
        <v>471</v>
      </c>
      <c r="F40" s="441">
        <f>5900218+185562.96</f>
        <v>6085780.96</v>
      </c>
    </row>
    <row r="41" spans="1:6" ht="18" customHeight="1">
      <c r="A41" s="684"/>
      <c r="B41" s="685"/>
      <c r="C41" s="685"/>
      <c r="D41" s="686"/>
      <c r="E41" s="687" t="s">
        <v>472</v>
      </c>
      <c r="F41" s="688">
        <f>SUM(F31,F33,F35,F37,F39)</f>
        <v>20373164.07</v>
      </c>
    </row>
    <row r="42" spans="1:6" ht="24.75" customHeight="1">
      <c r="A42" s="406"/>
      <c r="B42" s="689"/>
      <c r="C42" s="689"/>
      <c r="D42" s="690"/>
      <c r="E42" s="691" t="s">
        <v>376</v>
      </c>
      <c r="F42" s="623">
        <f>SUM(F29,F41)</f>
        <v>26672928.07</v>
      </c>
    </row>
    <row r="44" spans="1:6">
      <c r="A44" s="692"/>
      <c r="F44" s="413"/>
    </row>
    <row r="45" spans="1:6">
      <c r="F45" s="413"/>
    </row>
  </sheetData>
  <mergeCells count="2">
    <mergeCell ref="A6:F6"/>
    <mergeCell ref="A7:F7"/>
  </mergeCells>
  <printOptions horizontalCentered="1"/>
  <pageMargins left="0.59055118110236227" right="0.59055118110236227" top="0.74803149606299213" bottom="0.62992125984251968" header="0.31496062992125984" footer="0.31496062992125984"/>
  <pageSetup paperSize="9" scale="91" firstPageNumber="47" orientation="portrait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730B9-17FB-4F2D-8F99-CDCDCFFC25D6}">
  <sheetPr>
    <tabColor rgb="FF00B050"/>
  </sheetPr>
  <dimension ref="A1:H169"/>
  <sheetViews>
    <sheetView zoomScale="130" zoomScaleNormal="130" workbookViewId="0"/>
  </sheetViews>
  <sheetFormatPr defaultRowHeight="12"/>
  <cols>
    <col min="1" max="1" width="4.42578125" style="393" customWidth="1"/>
    <col min="2" max="2" width="5.7109375" style="393" customWidth="1"/>
    <col min="3" max="3" width="8.42578125" style="393" customWidth="1"/>
    <col min="4" max="4" width="6.5703125" style="449" customWidth="1"/>
    <col min="5" max="5" width="47.42578125" style="393" customWidth="1"/>
    <col min="6" max="6" width="21.42578125" style="393" customWidth="1"/>
    <col min="7" max="7" width="9.140625" style="393" customWidth="1"/>
    <col min="8" max="8" width="12.28515625" style="393" customWidth="1"/>
    <col min="9" max="256" width="9.140625" style="393"/>
    <col min="257" max="257" width="4.42578125" style="393" customWidth="1"/>
    <col min="258" max="258" width="5.7109375" style="393" customWidth="1"/>
    <col min="259" max="259" width="8.42578125" style="393" customWidth="1"/>
    <col min="260" max="260" width="6.5703125" style="393" customWidth="1"/>
    <col min="261" max="261" width="47.42578125" style="393" customWidth="1"/>
    <col min="262" max="262" width="21.42578125" style="393" customWidth="1"/>
    <col min="263" max="263" width="9.140625" style="393"/>
    <col min="264" max="264" width="12.28515625" style="393" customWidth="1"/>
    <col min="265" max="512" width="9.140625" style="393"/>
    <col min="513" max="513" width="4.42578125" style="393" customWidth="1"/>
    <col min="514" max="514" width="5.7109375" style="393" customWidth="1"/>
    <col min="515" max="515" width="8.42578125" style="393" customWidth="1"/>
    <col min="516" max="516" width="6.5703125" style="393" customWidth="1"/>
    <col min="517" max="517" width="47.42578125" style="393" customWidth="1"/>
    <col min="518" max="518" width="21.42578125" style="393" customWidth="1"/>
    <col min="519" max="519" width="9.140625" style="393"/>
    <col min="520" max="520" width="12.28515625" style="393" customWidth="1"/>
    <col min="521" max="768" width="9.140625" style="393"/>
    <col min="769" max="769" width="4.42578125" style="393" customWidth="1"/>
    <col min="770" max="770" width="5.7109375" style="393" customWidth="1"/>
    <col min="771" max="771" width="8.42578125" style="393" customWidth="1"/>
    <col min="772" max="772" width="6.5703125" style="393" customWidth="1"/>
    <col min="773" max="773" width="47.42578125" style="393" customWidth="1"/>
    <col min="774" max="774" width="21.42578125" style="393" customWidth="1"/>
    <col min="775" max="775" width="9.140625" style="393"/>
    <col min="776" max="776" width="12.28515625" style="393" customWidth="1"/>
    <col min="777" max="1024" width="9.140625" style="393"/>
    <col min="1025" max="1025" width="4.42578125" style="393" customWidth="1"/>
    <col min="1026" max="1026" width="5.7109375" style="393" customWidth="1"/>
    <col min="1027" max="1027" width="8.42578125" style="393" customWidth="1"/>
    <col min="1028" max="1028" width="6.5703125" style="393" customWidth="1"/>
    <col min="1029" max="1029" width="47.42578125" style="393" customWidth="1"/>
    <col min="1030" max="1030" width="21.42578125" style="393" customWidth="1"/>
    <col min="1031" max="1031" width="9.140625" style="393"/>
    <col min="1032" max="1032" width="12.28515625" style="393" customWidth="1"/>
    <col min="1033" max="1280" width="9.140625" style="393"/>
    <col min="1281" max="1281" width="4.42578125" style="393" customWidth="1"/>
    <col min="1282" max="1282" width="5.7109375" style="393" customWidth="1"/>
    <col min="1283" max="1283" width="8.42578125" style="393" customWidth="1"/>
    <col min="1284" max="1284" width="6.5703125" style="393" customWidth="1"/>
    <col min="1285" max="1285" width="47.42578125" style="393" customWidth="1"/>
    <col min="1286" max="1286" width="21.42578125" style="393" customWidth="1"/>
    <col min="1287" max="1287" width="9.140625" style="393"/>
    <col min="1288" max="1288" width="12.28515625" style="393" customWidth="1"/>
    <col min="1289" max="1536" width="9.140625" style="393"/>
    <col min="1537" max="1537" width="4.42578125" style="393" customWidth="1"/>
    <col min="1538" max="1538" width="5.7109375" style="393" customWidth="1"/>
    <col min="1539" max="1539" width="8.42578125" style="393" customWidth="1"/>
    <col min="1540" max="1540" width="6.5703125" style="393" customWidth="1"/>
    <col min="1541" max="1541" width="47.42578125" style="393" customWidth="1"/>
    <col min="1542" max="1542" width="21.42578125" style="393" customWidth="1"/>
    <col min="1543" max="1543" width="9.140625" style="393"/>
    <col min="1544" max="1544" width="12.28515625" style="393" customWidth="1"/>
    <col min="1545" max="1792" width="9.140625" style="393"/>
    <col min="1793" max="1793" width="4.42578125" style="393" customWidth="1"/>
    <col min="1794" max="1794" width="5.7109375" style="393" customWidth="1"/>
    <col min="1795" max="1795" width="8.42578125" style="393" customWidth="1"/>
    <col min="1796" max="1796" width="6.5703125" style="393" customWidth="1"/>
    <col min="1797" max="1797" width="47.42578125" style="393" customWidth="1"/>
    <col min="1798" max="1798" width="21.42578125" style="393" customWidth="1"/>
    <col min="1799" max="1799" width="9.140625" style="393"/>
    <col min="1800" max="1800" width="12.28515625" style="393" customWidth="1"/>
    <col min="1801" max="2048" width="9.140625" style="393"/>
    <col min="2049" max="2049" width="4.42578125" style="393" customWidth="1"/>
    <col min="2050" max="2050" width="5.7109375" style="393" customWidth="1"/>
    <col min="2051" max="2051" width="8.42578125" style="393" customWidth="1"/>
    <col min="2052" max="2052" width="6.5703125" style="393" customWidth="1"/>
    <col min="2053" max="2053" width="47.42578125" style="393" customWidth="1"/>
    <col min="2054" max="2054" width="21.42578125" style="393" customWidth="1"/>
    <col min="2055" max="2055" width="9.140625" style="393"/>
    <col min="2056" max="2056" width="12.28515625" style="393" customWidth="1"/>
    <col min="2057" max="2304" width="9.140625" style="393"/>
    <col min="2305" max="2305" width="4.42578125" style="393" customWidth="1"/>
    <col min="2306" max="2306" width="5.7109375" style="393" customWidth="1"/>
    <col min="2307" max="2307" width="8.42578125" style="393" customWidth="1"/>
    <col min="2308" max="2308" width="6.5703125" style="393" customWidth="1"/>
    <col min="2309" max="2309" width="47.42578125" style="393" customWidth="1"/>
    <col min="2310" max="2310" width="21.42578125" style="393" customWidth="1"/>
    <col min="2311" max="2311" width="9.140625" style="393"/>
    <col min="2312" max="2312" width="12.28515625" style="393" customWidth="1"/>
    <col min="2313" max="2560" width="9.140625" style="393"/>
    <col min="2561" max="2561" width="4.42578125" style="393" customWidth="1"/>
    <col min="2562" max="2562" width="5.7109375" style="393" customWidth="1"/>
    <col min="2563" max="2563" width="8.42578125" style="393" customWidth="1"/>
    <col min="2564" max="2564" width="6.5703125" style="393" customWidth="1"/>
    <col min="2565" max="2565" width="47.42578125" style="393" customWidth="1"/>
    <col min="2566" max="2566" width="21.42578125" style="393" customWidth="1"/>
    <col min="2567" max="2567" width="9.140625" style="393"/>
    <col min="2568" max="2568" width="12.28515625" style="393" customWidth="1"/>
    <col min="2569" max="2816" width="9.140625" style="393"/>
    <col min="2817" max="2817" width="4.42578125" style="393" customWidth="1"/>
    <col min="2818" max="2818" width="5.7109375" style="393" customWidth="1"/>
    <col min="2819" max="2819" width="8.42578125" style="393" customWidth="1"/>
    <col min="2820" max="2820" width="6.5703125" style="393" customWidth="1"/>
    <col min="2821" max="2821" width="47.42578125" style="393" customWidth="1"/>
    <col min="2822" max="2822" width="21.42578125" style="393" customWidth="1"/>
    <col min="2823" max="2823" width="9.140625" style="393"/>
    <col min="2824" max="2824" width="12.28515625" style="393" customWidth="1"/>
    <col min="2825" max="3072" width="9.140625" style="393"/>
    <col min="3073" max="3073" width="4.42578125" style="393" customWidth="1"/>
    <col min="3074" max="3074" width="5.7109375" style="393" customWidth="1"/>
    <col min="3075" max="3075" width="8.42578125" style="393" customWidth="1"/>
    <col min="3076" max="3076" width="6.5703125" style="393" customWidth="1"/>
    <col min="3077" max="3077" width="47.42578125" style="393" customWidth="1"/>
    <col min="3078" max="3078" width="21.42578125" style="393" customWidth="1"/>
    <col min="3079" max="3079" width="9.140625" style="393"/>
    <col min="3080" max="3080" width="12.28515625" style="393" customWidth="1"/>
    <col min="3081" max="3328" width="9.140625" style="393"/>
    <col min="3329" max="3329" width="4.42578125" style="393" customWidth="1"/>
    <col min="3330" max="3330" width="5.7109375" style="393" customWidth="1"/>
    <col min="3331" max="3331" width="8.42578125" style="393" customWidth="1"/>
    <col min="3332" max="3332" width="6.5703125" style="393" customWidth="1"/>
    <col min="3333" max="3333" width="47.42578125" style="393" customWidth="1"/>
    <col min="3334" max="3334" width="21.42578125" style="393" customWidth="1"/>
    <col min="3335" max="3335" width="9.140625" style="393"/>
    <col min="3336" max="3336" width="12.28515625" style="393" customWidth="1"/>
    <col min="3337" max="3584" width="9.140625" style="393"/>
    <col min="3585" max="3585" width="4.42578125" style="393" customWidth="1"/>
    <col min="3586" max="3586" width="5.7109375" style="393" customWidth="1"/>
    <col min="3587" max="3587" width="8.42578125" style="393" customWidth="1"/>
    <col min="3588" max="3588" width="6.5703125" style="393" customWidth="1"/>
    <col min="3589" max="3589" width="47.42578125" style="393" customWidth="1"/>
    <col min="3590" max="3590" width="21.42578125" style="393" customWidth="1"/>
    <col min="3591" max="3591" width="9.140625" style="393"/>
    <col min="3592" max="3592" width="12.28515625" style="393" customWidth="1"/>
    <col min="3593" max="3840" width="9.140625" style="393"/>
    <col min="3841" max="3841" width="4.42578125" style="393" customWidth="1"/>
    <col min="3842" max="3842" width="5.7109375" style="393" customWidth="1"/>
    <col min="3843" max="3843" width="8.42578125" style="393" customWidth="1"/>
    <col min="3844" max="3844" width="6.5703125" style="393" customWidth="1"/>
    <col min="3845" max="3845" width="47.42578125" style="393" customWidth="1"/>
    <col min="3846" max="3846" width="21.42578125" style="393" customWidth="1"/>
    <col min="3847" max="3847" width="9.140625" style="393"/>
    <col min="3848" max="3848" width="12.28515625" style="393" customWidth="1"/>
    <col min="3849" max="4096" width="9.140625" style="393"/>
    <col min="4097" max="4097" width="4.42578125" style="393" customWidth="1"/>
    <col min="4098" max="4098" width="5.7109375" style="393" customWidth="1"/>
    <col min="4099" max="4099" width="8.42578125" style="393" customWidth="1"/>
    <col min="4100" max="4100" width="6.5703125" style="393" customWidth="1"/>
    <col min="4101" max="4101" width="47.42578125" style="393" customWidth="1"/>
    <col min="4102" max="4102" width="21.42578125" style="393" customWidth="1"/>
    <col min="4103" max="4103" width="9.140625" style="393"/>
    <col min="4104" max="4104" width="12.28515625" style="393" customWidth="1"/>
    <col min="4105" max="4352" width="9.140625" style="393"/>
    <col min="4353" max="4353" width="4.42578125" style="393" customWidth="1"/>
    <col min="4354" max="4354" width="5.7109375" style="393" customWidth="1"/>
    <col min="4355" max="4355" width="8.42578125" style="393" customWidth="1"/>
    <col min="4356" max="4356" width="6.5703125" style="393" customWidth="1"/>
    <col min="4357" max="4357" width="47.42578125" style="393" customWidth="1"/>
    <col min="4358" max="4358" width="21.42578125" style="393" customWidth="1"/>
    <col min="4359" max="4359" width="9.140625" style="393"/>
    <col min="4360" max="4360" width="12.28515625" style="393" customWidth="1"/>
    <col min="4361" max="4608" width="9.140625" style="393"/>
    <col min="4609" max="4609" width="4.42578125" style="393" customWidth="1"/>
    <col min="4610" max="4610" width="5.7109375" style="393" customWidth="1"/>
    <col min="4611" max="4611" width="8.42578125" style="393" customWidth="1"/>
    <col min="4612" max="4612" width="6.5703125" style="393" customWidth="1"/>
    <col min="4613" max="4613" width="47.42578125" style="393" customWidth="1"/>
    <col min="4614" max="4614" width="21.42578125" style="393" customWidth="1"/>
    <col min="4615" max="4615" width="9.140625" style="393"/>
    <col min="4616" max="4616" width="12.28515625" style="393" customWidth="1"/>
    <col min="4617" max="4864" width="9.140625" style="393"/>
    <col min="4865" max="4865" width="4.42578125" style="393" customWidth="1"/>
    <col min="4866" max="4866" width="5.7109375" style="393" customWidth="1"/>
    <col min="4867" max="4867" width="8.42578125" style="393" customWidth="1"/>
    <col min="4868" max="4868" width="6.5703125" style="393" customWidth="1"/>
    <col min="4869" max="4869" width="47.42578125" style="393" customWidth="1"/>
    <col min="4870" max="4870" width="21.42578125" style="393" customWidth="1"/>
    <col min="4871" max="4871" width="9.140625" style="393"/>
    <col min="4872" max="4872" width="12.28515625" style="393" customWidth="1"/>
    <col min="4873" max="5120" width="9.140625" style="393"/>
    <col min="5121" max="5121" width="4.42578125" style="393" customWidth="1"/>
    <col min="5122" max="5122" width="5.7109375" style="393" customWidth="1"/>
    <col min="5123" max="5123" width="8.42578125" style="393" customWidth="1"/>
    <col min="5124" max="5124" width="6.5703125" style="393" customWidth="1"/>
    <col min="5125" max="5125" width="47.42578125" style="393" customWidth="1"/>
    <col min="5126" max="5126" width="21.42578125" style="393" customWidth="1"/>
    <col min="5127" max="5127" width="9.140625" style="393"/>
    <col min="5128" max="5128" width="12.28515625" style="393" customWidth="1"/>
    <col min="5129" max="5376" width="9.140625" style="393"/>
    <col min="5377" max="5377" width="4.42578125" style="393" customWidth="1"/>
    <col min="5378" max="5378" width="5.7109375" style="393" customWidth="1"/>
    <col min="5379" max="5379" width="8.42578125" style="393" customWidth="1"/>
    <col min="5380" max="5380" width="6.5703125" style="393" customWidth="1"/>
    <col min="5381" max="5381" width="47.42578125" style="393" customWidth="1"/>
    <col min="5382" max="5382" width="21.42578125" style="393" customWidth="1"/>
    <col min="5383" max="5383" width="9.140625" style="393"/>
    <col min="5384" max="5384" width="12.28515625" style="393" customWidth="1"/>
    <col min="5385" max="5632" width="9.140625" style="393"/>
    <col min="5633" max="5633" width="4.42578125" style="393" customWidth="1"/>
    <col min="5634" max="5634" width="5.7109375" style="393" customWidth="1"/>
    <col min="5635" max="5635" width="8.42578125" style="393" customWidth="1"/>
    <col min="5636" max="5636" width="6.5703125" style="393" customWidth="1"/>
    <col min="5637" max="5637" width="47.42578125" style="393" customWidth="1"/>
    <col min="5638" max="5638" width="21.42578125" style="393" customWidth="1"/>
    <col min="5639" max="5639" width="9.140625" style="393"/>
    <col min="5640" max="5640" width="12.28515625" style="393" customWidth="1"/>
    <col min="5641" max="5888" width="9.140625" style="393"/>
    <col min="5889" max="5889" width="4.42578125" style="393" customWidth="1"/>
    <col min="5890" max="5890" width="5.7109375" style="393" customWidth="1"/>
    <col min="5891" max="5891" width="8.42578125" style="393" customWidth="1"/>
    <col min="5892" max="5892" width="6.5703125" style="393" customWidth="1"/>
    <col min="5893" max="5893" width="47.42578125" style="393" customWidth="1"/>
    <col min="5894" max="5894" width="21.42578125" style="393" customWidth="1"/>
    <col min="5895" max="5895" width="9.140625" style="393"/>
    <col min="5896" max="5896" width="12.28515625" style="393" customWidth="1"/>
    <col min="5897" max="6144" width="9.140625" style="393"/>
    <col min="6145" max="6145" width="4.42578125" style="393" customWidth="1"/>
    <col min="6146" max="6146" width="5.7109375" style="393" customWidth="1"/>
    <col min="6147" max="6147" width="8.42578125" style="393" customWidth="1"/>
    <col min="6148" max="6148" width="6.5703125" style="393" customWidth="1"/>
    <col min="6149" max="6149" width="47.42578125" style="393" customWidth="1"/>
    <col min="6150" max="6150" width="21.42578125" style="393" customWidth="1"/>
    <col min="6151" max="6151" width="9.140625" style="393"/>
    <col min="6152" max="6152" width="12.28515625" style="393" customWidth="1"/>
    <col min="6153" max="6400" width="9.140625" style="393"/>
    <col min="6401" max="6401" width="4.42578125" style="393" customWidth="1"/>
    <col min="6402" max="6402" width="5.7109375" style="393" customWidth="1"/>
    <col min="6403" max="6403" width="8.42578125" style="393" customWidth="1"/>
    <col min="6404" max="6404" width="6.5703125" style="393" customWidth="1"/>
    <col min="6405" max="6405" width="47.42578125" style="393" customWidth="1"/>
    <col min="6406" max="6406" width="21.42578125" style="393" customWidth="1"/>
    <col min="6407" max="6407" width="9.140625" style="393"/>
    <col min="6408" max="6408" width="12.28515625" style="393" customWidth="1"/>
    <col min="6409" max="6656" width="9.140625" style="393"/>
    <col min="6657" max="6657" width="4.42578125" style="393" customWidth="1"/>
    <col min="6658" max="6658" width="5.7109375" style="393" customWidth="1"/>
    <col min="6659" max="6659" width="8.42578125" style="393" customWidth="1"/>
    <col min="6660" max="6660" width="6.5703125" style="393" customWidth="1"/>
    <col min="6661" max="6661" width="47.42578125" style="393" customWidth="1"/>
    <col min="6662" max="6662" width="21.42578125" style="393" customWidth="1"/>
    <col min="6663" max="6663" width="9.140625" style="393"/>
    <col min="6664" max="6664" width="12.28515625" style="393" customWidth="1"/>
    <col min="6665" max="6912" width="9.140625" style="393"/>
    <col min="6913" max="6913" width="4.42578125" style="393" customWidth="1"/>
    <col min="6914" max="6914" width="5.7109375" style="393" customWidth="1"/>
    <col min="6915" max="6915" width="8.42578125" style="393" customWidth="1"/>
    <col min="6916" max="6916" width="6.5703125" style="393" customWidth="1"/>
    <col min="6917" max="6917" width="47.42578125" style="393" customWidth="1"/>
    <col min="6918" max="6918" width="21.42578125" style="393" customWidth="1"/>
    <col min="6919" max="6919" width="9.140625" style="393"/>
    <col min="6920" max="6920" width="12.28515625" style="393" customWidth="1"/>
    <col min="6921" max="7168" width="9.140625" style="393"/>
    <col min="7169" max="7169" width="4.42578125" style="393" customWidth="1"/>
    <col min="7170" max="7170" width="5.7109375" style="393" customWidth="1"/>
    <col min="7171" max="7171" width="8.42578125" style="393" customWidth="1"/>
    <col min="7172" max="7172" width="6.5703125" style="393" customWidth="1"/>
    <col min="7173" max="7173" width="47.42578125" style="393" customWidth="1"/>
    <col min="7174" max="7174" width="21.42578125" style="393" customWidth="1"/>
    <col min="7175" max="7175" width="9.140625" style="393"/>
    <col min="7176" max="7176" width="12.28515625" style="393" customWidth="1"/>
    <col min="7177" max="7424" width="9.140625" style="393"/>
    <col min="7425" max="7425" width="4.42578125" style="393" customWidth="1"/>
    <col min="7426" max="7426" width="5.7109375" style="393" customWidth="1"/>
    <col min="7427" max="7427" width="8.42578125" style="393" customWidth="1"/>
    <col min="7428" max="7428" width="6.5703125" style="393" customWidth="1"/>
    <col min="7429" max="7429" width="47.42578125" style="393" customWidth="1"/>
    <col min="7430" max="7430" width="21.42578125" style="393" customWidth="1"/>
    <col min="7431" max="7431" width="9.140625" style="393"/>
    <col min="7432" max="7432" width="12.28515625" style="393" customWidth="1"/>
    <col min="7433" max="7680" width="9.140625" style="393"/>
    <col min="7681" max="7681" width="4.42578125" style="393" customWidth="1"/>
    <col min="7682" max="7682" width="5.7109375" style="393" customWidth="1"/>
    <col min="7683" max="7683" width="8.42578125" style="393" customWidth="1"/>
    <col min="7684" max="7684" width="6.5703125" style="393" customWidth="1"/>
    <col min="7685" max="7685" width="47.42578125" style="393" customWidth="1"/>
    <col min="7686" max="7686" width="21.42578125" style="393" customWidth="1"/>
    <col min="7687" max="7687" width="9.140625" style="393"/>
    <col min="7688" max="7688" width="12.28515625" style="393" customWidth="1"/>
    <col min="7689" max="7936" width="9.140625" style="393"/>
    <col min="7937" max="7937" width="4.42578125" style="393" customWidth="1"/>
    <col min="7938" max="7938" width="5.7109375" style="393" customWidth="1"/>
    <col min="7939" max="7939" width="8.42578125" style="393" customWidth="1"/>
    <col min="7940" max="7940" width="6.5703125" style="393" customWidth="1"/>
    <col min="7941" max="7941" width="47.42578125" style="393" customWidth="1"/>
    <col min="7942" max="7942" width="21.42578125" style="393" customWidth="1"/>
    <col min="7943" max="7943" width="9.140625" style="393"/>
    <col min="7944" max="7944" width="12.28515625" style="393" customWidth="1"/>
    <col min="7945" max="8192" width="9.140625" style="393"/>
    <col min="8193" max="8193" width="4.42578125" style="393" customWidth="1"/>
    <col min="8194" max="8194" width="5.7109375" style="393" customWidth="1"/>
    <col min="8195" max="8195" width="8.42578125" style="393" customWidth="1"/>
    <col min="8196" max="8196" width="6.5703125" style="393" customWidth="1"/>
    <col min="8197" max="8197" width="47.42578125" style="393" customWidth="1"/>
    <col min="8198" max="8198" width="21.42578125" style="393" customWidth="1"/>
    <col min="8199" max="8199" width="9.140625" style="393"/>
    <col min="8200" max="8200" width="12.28515625" style="393" customWidth="1"/>
    <col min="8201" max="8448" width="9.140625" style="393"/>
    <col min="8449" max="8449" width="4.42578125" style="393" customWidth="1"/>
    <col min="8450" max="8450" width="5.7109375" style="393" customWidth="1"/>
    <col min="8451" max="8451" width="8.42578125" style="393" customWidth="1"/>
    <col min="8452" max="8452" width="6.5703125" style="393" customWidth="1"/>
    <col min="8453" max="8453" width="47.42578125" style="393" customWidth="1"/>
    <col min="8454" max="8454" width="21.42578125" style="393" customWidth="1"/>
    <col min="8455" max="8455" width="9.140625" style="393"/>
    <col min="8456" max="8456" width="12.28515625" style="393" customWidth="1"/>
    <col min="8457" max="8704" width="9.140625" style="393"/>
    <col min="8705" max="8705" width="4.42578125" style="393" customWidth="1"/>
    <col min="8706" max="8706" width="5.7109375" style="393" customWidth="1"/>
    <col min="8707" max="8707" width="8.42578125" style="393" customWidth="1"/>
    <col min="8708" max="8708" width="6.5703125" style="393" customWidth="1"/>
    <col min="8709" max="8709" width="47.42578125" style="393" customWidth="1"/>
    <col min="8710" max="8710" width="21.42578125" style="393" customWidth="1"/>
    <col min="8711" max="8711" width="9.140625" style="393"/>
    <col min="8712" max="8712" width="12.28515625" style="393" customWidth="1"/>
    <col min="8713" max="8960" width="9.140625" style="393"/>
    <col min="8961" max="8961" width="4.42578125" style="393" customWidth="1"/>
    <col min="8962" max="8962" width="5.7109375" style="393" customWidth="1"/>
    <col min="8963" max="8963" width="8.42578125" style="393" customWidth="1"/>
    <col min="8964" max="8964" width="6.5703125" style="393" customWidth="1"/>
    <col min="8965" max="8965" width="47.42578125" style="393" customWidth="1"/>
    <col min="8966" max="8966" width="21.42578125" style="393" customWidth="1"/>
    <col min="8967" max="8967" width="9.140625" style="393"/>
    <col min="8968" max="8968" width="12.28515625" style="393" customWidth="1"/>
    <col min="8969" max="9216" width="9.140625" style="393"/>
    <col min="9217" max="9217" width="4.42578125" style="393" customWidth="1"/>
    <col min="9218" max="9218" width="5.7109375" style="393" customWidth="1"/>
    <col min="9219" max="9219" width="8.42578125" style="393" customWidth="1"/>
    <col min="9220" max="9220" width="6.5703125" style="393" customWidth="1"/>
    <col min="9221" max="9221" width="47.42578125" style="393" customWidth="1"/>
    <col min="9222" max="9222" width="21.42578125" style="393" customWidth="1"/>
    <col min="9223" max="9223" width="9.140625" style="393"/>
    <col min="9224" max="9224" width="12.28515625" style="393" customWidth="1"/>
    <col min="9225" max="9472" width="9.140625" style="393"/>
    <col min="9473" max="9473" width="4.42578125" style="393" customWidth="1"/>
    <col min="9474" max="9474" width="5.7109375" style="393" customWidth="1"/>
    <col min="9475" max="9475" width="8.42578125" style="393" customWidth="1"/>
    <col min="9476" max="9476" width="6.5703125" style="393" customWidth="1"/>
    <col min="9477" max="9477" width="47.42578125" style="393" customWidth="1"/>
    <col min="9478" max="9478" width="21.42578125" style="393" customWidth="1"/>
    <col min="9479" max="9479" width="9.140625" style="393"/>
    <col min="9480" max="9480" width="12.28515625" style="393" customWidth="1"/>
    <col min="9481" max="9728" width="9.140625" style="393"/>
    <col min="9729" max="9729" width="4.42578125" style="393" customWidth="1"/>
    <col min="9730" max="9730" width="5.7109375" style="393" customWidth="1"/>
    <col min="9731" max="9731" width="8.42578125" style="393" customWidth="1"/>
    <col min="9732" max="9732" width="6.5703125" style="393" customWidth="1"/>
    <col min="9733" max="9733" width="47.42578125" style="393" customWidth="1"/>
    <col min="9734" max="9734" width="21.42578125" style="393" customWidth="1"/>
    <col min="9735" max="9735" width="9.140625" style="393"/>
    <col min="9736" max="9736" width="12.28515625" style="393" customWidth="1"/>
    <col min="9737" max="9984" width="9.140625" style="393"/>
    <col min="9985" max="9985" width="4.42578125" style="393" customWidth="1"/>
    <col min="9986" max="9986" width="5.7109375" style="393" customWidth="1"/>
    <col min="9987" max="9987" width="8.42578125" style="393" customWidth="1"/>
    <col min="9988" max="9988" width="6.5703125" style="393" customWidth="1"/>
    <col min="9989" max="9989" width="47.42578125" style="393" customWidth="1"/>
    <col min="9990" max="9990" width="21.42578125" style="393" customWidth="1"/>
    <col min="9991" max="9991" width="9.140625" style="393"/>
    <col min="9992" max="9992" width="12.28515625" style="393" customWidth="1"/>
    <col min="9993" max="10240" width="9.140625" style="393"/>
    <col min="10241" max="10241" width="4.42578125" style="393" customWidth="1"/>
    <col min="10242" max="10242" width="5.7109375" style="393" customWidth="1"/>
    <col min="10243" max="10243" width="8.42578125" style="393" customWidth="1"/>
    <col min="10244" max="10244" width="6.5703125" style="393" customWidth="1"/>
    <col min="10245" max="10245" width="47.42578125" style="393" customWidth="1"/>
    <col min="10246" max="10246" width="21.42578125" style="393" customWidth="1"/>
    <col min="10247" max="10247" width="9.140625" style="393"/>
    <col min="10248" max="10248" width="12.28515625" style="393" customWidth="1"/>
    <col min="10249" max="10496" width="9.140625" style="393"/>
    <col min="10497" max="10497" width="4.42578125" style="393" customWidth="1"/>
    <col min="10498" max="10498" width="5.7109375" style="393" customWidth="1"/>
    <col min="10499" max="10499" width="8.42578125" style="393" customWidth="1"/>
    <col min="10500" max="10500" width="6.5703125" style="393" customWidth="1"/>
    <col min="10501" max="10501" width="47.42578125" style="393" customWidth="1"/>
    <col min="10502" max="10502" width="21.42578125" style="393" customWidth="1"/>
    <col min="10503" max="10503" width="9.140625" style="393"/>
    <col min="10504" max="10504" width="12.28515625" style="393" customWidth="1"/>
    <col min="10505" max="10752" width="9.140625" style="393"/>
    <col min="10753" max="10753" width="4.42578125" style="393" customWidth="1"/>
    <col min="10754" max="10754" width="5.7109375" style="393" customWidth="1"/>
    <col min="10755" max="10755" width="8.42578125" style="393" customWidth="1"/>
    <col min="10756" max="10756" width="6.5703125" style="393" customWidth="1"/>
    <col min="10757" max="10757" width="47.42578125" style="393" customWidth="1"/>
    <col min="10758" max="10758" width="21.42578125" style="393" customWidth="1"/>
    <col min="10759" max="10759" width="9.140625" style="393"/>
    <col min="10760" max="10760" width="12.28515625" style="393" customWidth="1"/>
    <col min="10761" max="11008" width="9.140625" style="393"/>
    <col min="11009" max="11009" width="4.42578125" style="393" customWidth="1"/>
    <col min="11010" max="11010" width="5.7109375" style="393" customWidth="1"/>
    <col min="11011" max="11011" width="8.42578125" style="393" customWidth="1"/>
    <col min="11012" max="11012" width="6.5703125" style="393" customWidth="1"/>
    <col min="11013" max="11013" width="47.42578125" style="393" customWidth="1"/>
    <col min="11014" max="11014" width="21.42578125" style="393" customWidth="1"/>
    <col min="11015" max="11015" width="9.140625" style="393"/>
    <col min="11016" max="11016" width="12.28515625" style="393" customWidth="1"/>
    <col min="11017" max="11264" width="9.140625" style="393"/>
    <col min="11265" max="11265" width="4.42578125" style="393" customWidth="1"/>
    <col min="11266" max="11266" width="5.7109375" style="393" customWidth="1"/>
    <col min="11267" max="11267" width="8.42578125" style="393" customWidth="1"/>
    <col min="11268" max="11268" width="6.5703125" style="393" customWidth="1"/>
    <col min="11269" max="11269" width="47.42578125" style="393" customWidth="1"/>
    <col min="11270" max="11270" width="21.42578125" style="393" customWidth="1"/>
    <col min="11271" max="11271" width="9.140625" style="393"/>
    <col min="11272" max="11272" width="12.28515625" style="393" customWidth="1"/>
    <col min="11273" max="11520" width="9.140625" style="393"/>
    <col min="11521" max="11521" width="4.42578125" style="393" customWidth="1"/>
    <col min="11522" max="11522" width="5.7109375" style="393" customWidth="1"/>
    <col min="11523" max="11523" width="8.42578125" style="393" customWidth="1"/>
    <col min="11524" max="11524" width="6.5703125" style="393" customWidth="1"/>
    <col min="11525" max="11525" width="47.42578125" style="393" customWidth="1"/>
    <col min="11526" max="11526" width="21.42578125" style="393" customWidth="1"/>
    <col min="11527" max="11527" width="9.140625" style="393"/>
    <col min="11528" max="11528" width="12.28515625" style="393" customWidth="1"/>
    <col min="11529" max="11776" width="9.140625" style="393"/>
    <col min="11777" max="11777" width="4.42578125" style="393" customWidth="1"/>
    <col min="11778" max="11778" width="5.7109375" style="393" customWidth="1"/>
    <col min="11779" max="11779" width="8.42578125" style="393" customWidth="1"/>
    <col min="11780" max="11780" width="6.5703125" style="393" customWidth="1"/>
    <col min="11781" max="11781" width="47.42578125" style="393" customWidth="1"/>
    <col min="11782" max="11782" width="21.42578125" style="393" customWidth="1"/>
    <col min="11783" max="11783" width="9.140625" style="393"/>
    <col min="11784" max="11784" width="12.28515625" style="393" customWidth="1"/>
    <col min="11785" max="12032" width="9.140625" style="393"/>
    <col min="12033" max="12033" width="4.42578125" style="393" customWidth="1"/>
    <col min="12034" max="12034" width="5.7109375" style="393" customWidth="1"/>
    <col min="12035" max="12035" width="8.42578125" style="393" customWidth="1"/>
    <col min="12036" max="12036" width="6.5703125" style="393" customWidth="1"/>
    <col min="12037" max="12037" width="47.42578125" style="393" customWidth="1"/>
    <col min="12038" max="12038" width="21.42578125" style="393" customWidth="1"/>
    <col min="12039" max="12039" width="9.140625" style="393"/>
    <col min="12040" max="12040" width="12.28515625" style="393" customWidth="1"/>
    <col min="12041" max="12288" width="9.140625" style="393"/>
    <col min="12289" max="12289" width="4.42578125" style="393" customWidth="1"/>
    <col min="12290" max="12290" width="5.7109375" style="393" customWidth="1"/>
    <col min="12291" max="12291" width="8.42578125" style="393" customWidth="1"/>
    <col min="12292" max="12292" width="6.5703125" style="393" customWidth="1"/>
    <col min="12293" max="12293" width="47.42578125" style="393" customWidth="1"/>
    <col min="12294" max="12294" width="21.42578125" style="393" customWidth="1"/>
    <col min="12295" max="12295" width="9.140625" style="393"/>
    <col min="12296" max="12296" width="12.28515625" style="393" customWidth="1"/>
    <col min="12297" max="12544" width="9.140625" style="393"/>
    <col min="12545" max="12545" width="4.42578125" style="393" customWidth="1"/>
    <col min="12546" max="12546" width="5.7109375" style="393" customWidth="1"/>
    <col min="12547" max="12547" width="8.42578125" style="393" customWidth="1"/>
    <col min="12548" max="12548" width="6.5703125" style="393" customWidth="1"/>
    <col min="12549" max="12549" width="47.42578125" style="393" customWidth="1"/>
    <col min="12550" max="12550" width="21.42578125" style="393" customWidth="1"/>
    <col min="12551" max="12551" width="9.140625" style="393"/>
    <col min="12552" max="12552" width="12.28515625" style="393" customWidth="1"/>
    <col min="12553" max="12800" width="9.140625" style="393"/>
    <col min="12801" max="12801" width="4.42578125" style="393" customWidth="1"/>
    <col min="12802" max="12802" width="5.7109375" style="393" customWidth="1"/>
    <col min="12803" max="12803" width="8.42578125" style="393" customWidth="1"/>
    <col min="12804" max="12804" width="6.5703125" style="393" customWidth="1"/>
    <col min="12805" max="12805" width="47.42578125" style="393" customWidth="1"/>
    <col min="12806" max="12806" width="21.42578125" style="393" customWidth="1"/>
    <col min="12807" max="12807" width="9.140625" style="393"/>
    <col min="12808" max="12808" width="12.28515625" style="393" customWidth="1"/>
    <col min="12809" max="13056" width="9.140625" style="393"/>
    <col min="13057" max="13057" width="4.42578125" style="393" customWidth="1"/>
    <col min="13058" max="13058" width="5.7109375" style="393" customWidth="1"/>
    <col min="13059" max="13059" width="8.42578125" style="393" customWidth="1"/>
    <col min="13060" max="13060" width="6.5703125" style="393" customWidth="1"/>
    <col min="13061" max="13061" width="47.42578125" style="393" customWidth="1"/>
    <col min="13062" max="13062" width="21.42578125" style="393" customWidth="1"/>
    <col min="13063" max="13063" width="9.140625" style="393"/>
    <col min="13064" max="13064" width="12.28515625" style="393" customWidth="1"/>
    <col min="13065" max="13312" width="9.140625" style="393"/>
    <col min="13313" max="13313" width="4.42578125" style="393" customWidth="1"/>
    <col min="13314" max="13314" width="5.7109375" style="393" customWidth="1"/>
    <col min="13315" max="13315" width="8.42578125" style="393" customWidth="1"/>
    <col min="13316" max="13316" width="6.5703125" style="393" customWidth="1"/>
    <col min="13317" max="13317" width="47.42578125" style="393" customWidth="1"/>
    <col min="13318" max="13318" width="21.42578125" style="393" customWidth="1"/>
    <col min="13319" max="13319" width="9.140625" style="393"/>
    <col min="13320" max="13320" width="12.28515625" style="393" customWidth="1"/>
    <col min="13321" max="13568" width="9.140625" style="393"/>
    <col min="13569" max="13569" width="4.42578125" style="393" customWidth="1"/>
    <col min="13570" max="13570" width="5.7109375" style="393" customWidth="1"/>
    <col min="13571" max="13571" width="8.42578125" style="393" customWidth="1"/>
    <col min="13572" max="13572" width="6.5703125" style="393" customWidth="1"/>
    <col min="13573" max="13573" width="47.42578125" style="393" customWidth="1"/>
    <col min="13574" max="13574" width="21.42578125" style="393" customWidth="1"/>
    <col min="13575" max="13575" width="9.140625" style="393"/>
    <col min="13576" max="13576" width="12.28515625" style="393" customWidth="1"/>
    <col min="13577" max="13824" width="9.140625" style="393"/>
    <col min="13825" max="13825" width="4.42578125" style="393" customWidth="1"/>
    <col min="13826" max="13826" width="5.7109375" style="393" customWidth="1"/>
    <col min="13827" max="13827" width="8.42578125" style="393" customWidth="1"/>
    <col min="13828" max="13828" width="6.5703125" style="393" customWidth="1"/>
    <col min="13829" max="13829" width="47.42578125" style="393" customWidth="1"/>
    <col min="13830" max="13830" width="21.42578125" style="393" customWidth="1"/>
    <col min="13831" max="13831" width="9.140625" style="393"/>
    <col min="13832" max="13832" width="12.28515625" style="393" customWidth="1"/>
    <col min="13833" max="14080" width="9.140625" style="393"/>
    <col min="14081" max="14081" width="4.42578125" style="393" customWidth="1"/>
    <col min="14082" max="14082" width="5.7109375" style="393" customWidth="1"/>
    <col min="14083" max="14083" width="8.42578125" style="393" customWidth="1"/>
    <col min="14084" max="14084" width="6.5703125" style="393" customWidth="1"/>
    <col min="14085" max="14085" width="47.42578125" style="393" customWidth="1"/>
    <col min="14086" max="14086" width="21.42578125" style="393" customWidth="1"/>
    <col min="14087" max="14087" width="9.140625" style="393"/>
    <col min="14088" max="14088" width="12.28515625" style="393" customWidth="1"/>
    <col min="14089" max="14336" width="9.140625" style="393"/>
    <col min="14337" max="14337" width="4.42578125" style="393" customWidth="1"/>
    <col min="14338" max="14338" width="5.7109375" style="393" customWidth="1"/>
    <col min="14339" max="14339" width="8.42578125" style="393" customWidth="1"/>
    <col min="14340" max="14340" width="6.5703125" style="393" customWidth="1"/>
    <col min="14341" max="14341" width="47.42578125" style="393" customWidth="1"/>
    <col min="14342" max="14342" width="21.42578125" style="393" customWidth="1"/>
    <col min="14343" max="14343" width="9.140625" style="393"/>
    <col min="14344" max="14344" width="12.28515625" style="393" customWidth="1"/>
    <col min="14345" max="14592" width="9.140625" style="393"/>
    <col min="14593" max="14593" width="4.42578125" style="393" customWidth="1"/>
    <col min="14594" max="14594" width="5.7109375" style="393" customWidth="1"/>
    <col min="14595" max="14595" width="8.42578125" style="393" customWidth="1"/>
    <col min="14596" max="14596" width="6.5703125" style="393" customWidth="1"/>
    <col min="14597" max="14597" width="47.42578125" style="393" customWidth="1"/>
    <col min="14598" max="14598" width="21.42578125" style="393" customWidth="1"/>
    <col min="14599" max="14599" width="9.140625" style="393"/>
    <col min="14600" max="14600" width="12.28515625" style="393" customWidth="1"/>
    <col min="14601" max="14848" width="9.140625" style="393"/>
    <col min="14849" max="14849" width="4.42578125" style="393" customWidth="1"/>
    <col min="14850" max="14850" width="5.7109375" style="393" customWidth="1"/>
    <col min="14851" max="14851" width="8.42578125" style="393" customWidth="1"/>
    <col min="14852" max="14852" width="6.5703125" style="393" customWidth="1"/>
    <col min="14853" max="14853" width="47.42578125" style="393" customWidth="1"/>
    <col min="14854" max="14854" width="21.42578125" style="393" customWidth="1"/>
    <col min="14855" max="14855" width="9.140625" style="393"/>
    <col min="14856" max="14856" width="12.28515625" style="393" customWidth="1"/>
    <col min="14857" max="15104" width="9.140625" style="393"/>
    <col min="15105" max="15105" width="4.42578125" style="393" customWidth="1"/>
    <col min="15106" max="15106" width="5.7109375" style="393" customWidth="1"/>
    <col min="15107" max="15107" width="8.42578125" style="393" customWidth="1"/>
    <col min="15108" max="15108" width="6.5703125" style="393" customWidth="1"/>
    <col min="15109" max="15109" width="47.42578125" style="393" customWidth="1"/>
    <col min="15110" max="15110" width="21.42578125" style="393" customWidth="1"/>
    <col min="15111" max="15111" width="9.140625" style="393"/>
    <col min="15112" max="15112" width="12.28515625" style="393" customWidth="1"/>
    <col min="15113" max="15360" width="9.140625" style="393"/>
    <col min="15361" max="15361" width="4.42578125" style="393" customWidth="1"/>
    <col min="15362" max="15362" width="5.7109375" style="393" customWidth="1"/>
    <col min="15363" max="15363" width="8.42578125" style="393" customWidth="1"/>
    <col min="15364" max="15364" width="6.5703125" style="393" customWidth="1"/>
    <col min="15365" max="15365" width="47.42578125" style="393" customWidth="1"/>
    <col min="15366" max="15366" width="21.42578125" style="393" customWidth="1"/>
    <col min="15367" max="15367" width="9.140625" style="393"/>
    <col min="15368" max="15368" width="12.28515625" style="393" customWidth="1"/>
    <col min="15369" max="15616" width="9.140625" style="393"/>
    <col min="15617" max="15617" width="4.42578125" style="393" customWidth="1"/>
    <col min="15618" max="15618" width="5.7109375" style="393" customWidth="1"/>
    <col min="15619" max="15619" width="8.42578125" style="393" customWidth="1"/>
    <col min="15620" max="15620" width="6.5703125" style="393" customWidth="1"/>
    <col min="15621" max="15621" width="47.42578125" style="393" customWidth="1"/>
    <col min="15622" max="15622" width="21.42578125" style="393" customWidth="1"/>
    <col min="15623" max="15623" width="9.140625" style="393"/>
    <col min="15624" max="15624" width="12.28515625" style="393" customWidth="1"/>
    <col min="15625" max="15872" width="9.140625" style="393"/>
    <col min="15873" max="15873" width="4.42578125" style="393" customWidth="1"/>
    <col min="15874" max="15874" width="5.7109375" style="393" customWidth="1"/>
    <col min="15875" max="15875" width="8.42578125" style="393" customWidth="1"/>
    <col min="15876" max="15876" width="6.5703125" style="393" customWidth="1"/>
    <col min="15877" max="15877" width="47.42578125" style="393" customWidth="1"/>
    <col min="15878" max="15878" width="21.42578125" style="393" customWidth="1"/>
    <col min="15879" max="15879" width="9.140625" style="393"/>
    <col min="15880" max="15880" width="12.28515625" style="393" customWidth="1"/>
    <col min="15881" max="16128" width="9.140625" style="393"/>
    <col min="16129" max="16129" width="4.42578125" style="393" customWidth="1"/>
    <col min="16130" max="16130" width="5.7109375" style="393" customWidth="1"/>
    <col min="16131" max="16131" width="8.42578125" style="393" customWidth="1"/>
    <col min="16132" max="16132" width="6.5703125" style="393" customWidth="1"/>
    <col min="16133" max="16133" width="47.42578125" style="393" customWidth="1"/>
    <col min="16134" max="16134" width="21.42578125" style="393" customWidth="1"/>
    <col min="16135" max="16135" width="9.140625" style="393"/>
    <col min="16136" max="16136" width="12.28515625" style="393" customWidth="1"/>
    <col min="16137" max="16384" width="9.140625" style="393"/>
  </cols>
  <sheetData>
    <row r="1" spans="1:8" ht="18.75" customHeight="1">
      <c r="E1" s="395" t="s">
        <v>477</v>
      </c>
      <c r="F1" s="428"/>
    </row>
    <row r="2" spans="1:8">
      <c r="E2" s="395" t="s">
        <v>580</v>
      </c>
      <c r="F2" s="428"/>
    </row>
    <row r="3" spans="1:8">
      <c r="E3" s="397" t="s">
        <v>478</v>
      </c>
      <c r="F3" s="428"/>
    </row>
    <row r="4" spans="1:8">
      <c r="E4" s="395" t="s">
        <v>581</v>
      </c>
      <c r="F4" s="428"/>
    </row>
    <row r="5" spans="1:8">
      <c r="E5" s="396"/>
    </row>
    <row r="6" spans="1:8" ht="22.5" customHeight="1">
      <c r="A6" s="450" t="s">
        <v>454</v>
      </c>
      <c r="B6" s="450"/>
      <c r="C6" s="450"/>
      <c r="D6" s="451"/>
      <c r="E6" s="450"/>
      <c r="F6" s="450"/>
    </row>
    <row r="7" spans="1:8" ht="15.75" customHeight="1">
      <c r="A7" s="450" t="s">
        <v>479</v>
      </c>
      <c r="B7" s="450"/>
      <c r="C7" s="450"/>
      <c r="D7" s="451"/>
      <c r="E7" s="450"/>
      <c r="F7" s="450"/>
    </row>
    <row r="8" spans="1:8" ht="12.75" customHeight="1">
      <c r="F8" s="400" t="s">
        <v>2</v>
      </c>
    </row>
    <row r="9" spans="1:8" ht="20.25" customHeight="1">
      <c r="A9" s="401" t="s">
        <v>29</v>
      </c>
      <c r="B9" s="452" t="s">
        <v>387</v>
      </c>
      <c r="C9" s="452" t="s">
        <v>327</v>
      </c>
      <c r="D9" s="420" t="s">
        <v>456</v>
      </c>
      <c r="E9" s="453" t="s">
        <v>325</v>
      </c>
      <c r="F9" s="452" t="s">
        <v>457</v>
      </c>
    </row>
    <row r="10" spans="1:8" s="458" customFormat="1" ht="10.5" customHeight="1">
      <c r="A10" s="454">
        <v>1</v>
      </c>
      <c r="B10" s="455">
        <v>2</v>
      </c>
      <c r="C10" s="455">
        <v>3</v>
      </c>
      <c r="D10" s="456">
        <v>4</v>
      </c>
      <c r="E10" s="457">
        <v>5</v>
      </c>
      <c r="F10" s="455">
        <v>6</v>
      </c>
    </row>
    <row r="11" spans="1:8" ht="17.25" customHeight="1">
      <c r="A11" s="406" t="s">
        <v>458</v>
      </c>
      <c r="B11" s="407"/>
      <c r="C11" s="407"/>
      <c r="D11" s="459"/>
      <c r="E11" s="407"/>
      <c r="F11" s="409"/>
    </row>
    <row r="12" spans="1:8" ht="27" customHeight="1">
      <c r="A12" s="417">
        <v>1</v>
      </c>
      <c r="B12" s="460">
        <v>630</v>
      </c>
      <c r="C12" s="460">
        <v>63003</v>
      </c>
      <c r="D12" s="420">
        <v>2360</v>
      </c>
      <c r="E12" s="411" t="s">
        <v>131</v>
      </c>
      <c r="F12" s="412">
        <f>15000</f>
        <v>15000</v>
      </c>
      <c r="G12" s="461"/>
    </row>
    <row r="13" spans="1:8" ht="36.75" customHeight="1">
      <c r="A13" s="417">
        <v>2</v>
      </c>
      <c r="B13" s="462">
        <v>700</v>
      </c>
      <c r="C13" s="462">
        <v>70007</v>
      </c>
      <c r="D13" s="463" t="s">
        <v>480</v>
      </c>
      <c r="E13" s="464" t="s">
        <v>481</v>
      </c>
      <c r="F13" s="465">
        <f>69974.62+3682.88</f>
        <v>73657.5</v>
      </c>
      <c r="G13" s="461"/>
    </row>
    <row r="14" spans="1:8" ht="27" customHeight="1">
      <c r="A14" s="417">
        <v>3</v>
      </c>
      <c r="B14" s="462">
        <v>700</v>
      </c>
      <c r="C14" s="462">
        <v>70095</v>
      </c>
      <c r="D14" s="466">
        <v>6230</v>
      </c>
      <c r="E14" s="467" t="s">
        <v>482</v>
      </c>
      <c r="F14" s="412">
        <f>1500000</f>
        <v>1500000</v>
      </c>
      <c r="G14" s="461"/>
    </row>
    <row r="15" spans="1:8" ht="26.25" customHeight="1">
      <c r="A15" s="417">
        <v>4</v>
      </c>
      <c r="B15" s="462">
        <v>750</v>
      </c>
      <c r="C15" s="462">
        <v>75095</v>
      </c>
      <c r="D15" s="420">
        <v>2360</v>
      </c>
      <c r="E15" s="468" t="s">
        <v>483</v>
      </c>
      <c r="F15" s="412">
        <f>200000</f>
        <v>200000</v>
      </c>
      <c r="H15" s="413"/>
    </row>
    <row r="16" spans="1:8" ht="15.75" customHeight="1">
      <c r="A16" s="469">
        <v>5</v>
      </c>
      <c r="B16" s="470">
        <v>755</v>
      </c>
      <c r="C16" s="470">
        <v>75515</v>
      </c>
      <c r="D16" s="471">
        <v>2360</v>
      </c>
      <c r="E16" s="472" t="s">
        <v>484</v>
      </c>
      <c r="F16" s="473">
        <f>142101+0.12</f>
        <v>142101.12</v>
      </c>
      <c r="H16" s="413"/>
    </row>
    <row r="17" spans="1:8" ht="15.75" customHeight="1">
      <c r="A17" s="417">
        <v>6</v>
      </c>
      <c r="B17" s="417">
        <v>801</v>
      </c>
      <c r="C17" s="417">
        <v>80101</v>
      </c>
      <c r="D17" s="474">
        <v>2340</v>
      </c>
      <c r="E17" s="475" t="s">
        <v>15</v>
      </c>
      <c r="F17" s="412">
        <f>859+932+842+932+902.25+932.32+902.25+932.32</f>
        <v>7234.1399999999994</v>
      </c>
      <c r="H17" s="413"/>
    </row>
    <row r="18" spans="1:8" ht="15.75" customHeight="1">
      <c r="A18" s="476"/>
      <c r="B18" s="477"/>
      <c r="C18" s="478"/>
      <c r="D18" s="479"/>
      <c r="E18" s="480" t="s">
        <v>485</v>
      </c>
      <c r="F18" s="473"/>
      <c r="H18" s="413"/>
    </row>
    <row r="19" spans="1:8" ht="15.75" customHeight="1">
      <c r="A19" s="417">
        <v>7</v>
      </c>
      <c r="B19" s="417">
        <v>801</v>
      </c>
      <c r="C19" s="475">
        <v>80104</v>
      </c>
      <c r="D19" s="474">
        <v>2340</v>
      </c>
      <c r="E19" s="475" t="s">
        <v>17</v>
      </c>
      <c r="F19" s="412">
        <f>3850+5350+5607+6272+6069.75+7135.47+6905.27+7022.83</f>
        <v>48212.320000000007</v>
      </c>
      <c r="H19" s="413"/>
    </row>
    <row r="20" spans="1:8" ht="15.75" customHeight="1">
      <c r="A20" s="481"/>
      <c r="B20" s="482"/>
      <c r="C20" s="482"/>
      <c r="D20" s="483"/>
      <c r="E20" s="484" t="s">
        <v>486</v>
      </c>
      <c r="F20" s="485"/>
      <c r="H20" s="413"/>
    </row>
    <row r="21" spans="1:8" ht="15.75" customHeight="1">
      <c r="A21" s="476"/>
      <c r="B21" s="477"/>
      <c r="C21" s="477"/>
      <c r="D21" s="486"/>
      <c r="E21" s="487" t="s">
        <v>487</v>
      </c>
      <c r="F21" s="488"/>
      <c r="H21" s="413"/>
    </row>
    <row r="22" spans="1:8" ht="15.75" customHeight="1">
      <c r="A22" s="476"/>
      <c r="B22" s="477"/>
      <c r="C22" s="477"/>
      <c r="D22" s="486"/>
      <c r="E22" s="487" t="s">
        <v>488</v>
      </c>
      <c r="F22" s="489"/>
      <c r="H22" s="413"/>
    </row>
    <row r="23" spans="1:8" ht="15.75" customHeight="1">
      <c r="A23" s="476"/>
      <c r="B23" s="477"/>
      <c r="C23" s="477"/>
      <c r="D23" s="486"/>
      <c r="E23" s="484" t="s">
        <v>489</v>
      </c>
      <c r="F23" s="489"/>
      <c r="H23" s="413"/>
    </row>
    <row r="24" spans="1:8" ht="15.75" customHeight="1">
      <c r="A24" s="490"/>
      <c r="B24" s="491"/>
      <c r="C24" s="491"/>
      <c r="D24" s="492"/>
      <c r="E24" s="493" t="s">
        <v>490</v>
      </c>
      <c r="F24" s="494"/>
      <c r="H24" s="413"/>
    </row>
    <row r="25" spans="1:8" ht="15.75" customHeight="1">
      <c r="A25" s="495">
        <v>8</v>
      </c>
      <c r="B25" s="495">
        <v>801</v>
      </c>
      <c r="C25" s="496">
        <v>80115</v>
      </c>
      <c r="D25" s="474">
        <v>2340</v>
      </c>
      <c r="E25" s="496" t="s">
        <v>19</v>
      </c>
      <c r="F25" s="465">
        <f>1204+1290+1167+1293+1252+1293+1251+1295</f>
        <v>10045</v>
      </c>
      <c r="H25" s="413"/>
    </row>
    <row r="26" spans="1:8" ht="24" customHeight="1">
      <c r="A26" s="497"/>
      <c r="B26" s="498"/>
      <c r="C26" s="499"/>
      <c r="D26" s="500"/>
      <c r="E26" s="480" t="s">
        <v>491</v>
      </c>
      <c r="F26" s="473"/>
      <c r="H26" s="413"/>
    </row>
    <row r="27" spans="1:8" ht="15.75" customHeight="1">
      <c r="A27" s="417">
        <v>9</v>
      </c>
      <c r="B27" s="417">
        <v>801</v>
      </c>
      <c r="C27" s="475">
        <v>80117</v>
      </c>
      <c r="D27" s="474">
        <v>2340</v>
      </c>
      <c r="E27" s="475" t="s">
        <v>492</v>
      </c>
      <c r="F27" s="412">
        <f>5441+5905+4502+4738+4587+4738+5731+5932</f>
        <v>41574</v>
      </c>
      <c r="H27" s="413"/>
    </row>
    <row r="28" spans="1:8" ht="12.75" customHeight="1">
      <c r="A28" s="481"/>
      <c r="B28" s="482"/>
      <c r="C28" s="482"/>
      <c r="D28" s="501"/>
      <c r="E28" s="502" t="s">
        <v>493</v>
      </c>
      <c r="F28" s="485"/>
      <c r="H28" s="413"/>
    </row>
    <row r="29" spans="1:8" ht="15.75" customHeight="1">
      <c r="A29" s="417">
        <v>10</v>
      </c>
      <c r="B29" s="417">
        <v>801</v>
      </c>
      <c r="C29" s="475">
        <v>80120</v>
      </c>
      <c r="D29" s="474">
        <v>2340</v>
      </c>
      <c r="E29" s="475" t="s">
        <v>20</v>
      </c>
      <c r="F29" s="412">
        <f>7435+8963+8109+8980+8691+8980+8689+10082</f>
        <v>69929</v>
      </c>
      <c r="H29" s="413"/>
    </row>
    <row r="30" spans="1:8" ht="27.75" customHeight="1">
      <c r="A30" s="476"/>
      <c r="B30" s="477"/>
      <c r="C30" s="482"/>
      <c r="D30" s="483"/>
      <c r="E30" s="503" t="s">
        <v>494</v>
      </c>
      <c r="F30" s="488"/>
      <c r="H30" s="413"/>
    </row>
    <row r="31" spans="1:8" ht="25.5" customHeight="1">
      <c r="A31" s="490"/>
      <c r="B31" s="491"/>
      <c r="C31" s="491"/>
      <c r="D31" s="492"/>
      <c r="E31" s="504" t="s">
        <v>495</v>
      </c>
      <c r="F31" s="494"/>
      <c r="H31" s="413"/>
    </row>
    <row r="32" spans="1:8" ht="25.5" customHeight="1">
      <c r="A32" s="505">
        <v>11</v>
      </c>
      <c r="B32" s="505">
        <v>801</v>
      </c>
      <c r="C32" s="506">
        <v>80153</v>
      </c>
      <c r="D32" s="507">
        <v>2830</v>
      </c>
      <c r="E32" s="508" t="s">
        <v>496</v>
      </c>
      <c r="F32" s="509">
        <f>47832.29+7644.73</f>
        <v>55477.020000000004</v>
      </c>
      <c r="H32" s="413"/>
    </row>
    <row r="33" spans="1:8" ht="12.75" customHeight="1">
      <c r="A33" s="510"/>
      <c r="B33" s="511"/>
      <c r="C33" s="511"/>
      <c r="D33" s="483"/>
      <c r="E33" s="512" t="s">
        <v>497</v>
      </c>
      <c r="F33" s="513"/>
      <c r="H33" s="413"/>
    </row>
    <row r="34" spans="1:8" ht="12.75" customHeight="1">
      <c r="A34" s="514"/>
      <c r="B34" s="515"/>
      <c r="C34" s="515"/>
      <c r="D34" s="492"/>
      <c r="E34" s="516" t="s">
        <v>498</v>
      </c>
      <c r="F34" s="517"/>
      <c r="H34" s="413"/>
    </row>
    <row r="35" spans="1:8" ht="24" customHeight="1">
      <c r="A35" s="417">
        <v>12</v>
      </c>
      <c r="B35" s="462">
        <v>801</v>
      </c>
      <c r="C35" s="462">
        <v>80195</v>
      </c>
      <c r="D35" s="463" t="s">
        <v>480</v>
      </c>
      <c r="E35" s="464" t="s">
        <v>499</v>
      </c>
      <c r="F35" s="518">
        <f>420889.55+24732</f>
        <v>445621.55</v>
      </c>
      <c r="H35" s="413"/>
    </row>
    <row r="36" spans="1:8" ht="37.5" customHeight="1">
      <c r="A36" s="417">
        <v>13</v>
      </c>
      <c r="B36" s="462">
        <v>801</v>
      </c>
      <c r="C36" s="462">
        <v>80195</v>
      </c>
      <c r="D36" s="463" t="s">
        <v>480</v>
      </c>
      <c r="E36" s="464" t="s">
        <v>500</v>
      </c>
      <c r="F36" s="518">
        <f>295836.29+17383.71</f>
        <v>313220</v>
      </c>
      <c r="H36" s="413"/>
    </row>
    <row r="37" spans="1:8" ht="26.25" customHeight="1">
      <c r="A37" s="417">
        <v>14</v>
      </c>
      <c r="B37" s="462">
        <v>801</v>
      </c>
      <c r="C37" s="462">
        <v>80195</v>
      </c>
      <c r="D37" s="463" t="s">
        <v>480</v>
      </c>
      <c r="E37" s="464" t="s">
        <v>501</v>
      </c>
      <c r="F37" s="518">
        <f>4514565.51+265281.51</f>
        <v>4779847.0199999996</v>
      </c>
      <c r="H37" s="413"/>
    </row>
    <row r="38" spans="1:8" ht="15" customHeight="1">
      <c r="A38" s="469">
        <v>15</v>
      </c>
      <c r="B38" s="470">
        <v>851</v>
      </c>
      <c r="C38" s="470">
        <v>85153</v>
      </c>
      <c r="D38" s="519">
        <v>2360</v>
      </c>
      <c r="E38" s="520" t="s">
        <v>502</v>
      </c>
      <c r="F38" s="518">
        <f>70000-21235</f>
        <v>48765</v>
      </c>
      <c r="H38" s="413"/>
    </row>
    <row r="39" spans="1:8" ht="36" customHeight="1">
      <c r="A39" s="417">
        <v>16</v>
      </c>
      <c r="B39" s="462">
        <v>851</v>
      </c>
      <c r="C39" s="462">
        <v>85154</v>
      </c>
      <c r="D39" s="420">
        <v>2360</v>
      </c>
      <c r="E39" s="468" t="s">
        <v>503</v>
      </c>
      <c r="F39" s="412">
        <f>615000+230000-26681</f>
        <v>818319</v>
      </c>
    </row>
    <row r="40" spans="1:8" ht="24.75" customHeight="1">
      <c r="A40" s="521">
        <v>17</v>
      </c>
      <c r="B40" s="522">
        <v>851</v>
      </c>
      <c r="C40" s="523">
        <v>85195</v>
      </c>
      <c r="D40" s="524">
        <v>2360</v>
      </c>
      <c r="E40" s="525" t="s">
        <v>504</v>
      </c>
      <c r="F40" s="412">
        <f>82500+96000+40000</f>
        <v>218500</v>
      </c>
    </row>
    <row r="41" spans="1:8" ht="16.5" customHeight="1">
      <c r="A41" s="417">
        <v>18</v>
      </c>
      <c r="B41" s="417">
        <v>852</v>
      </c>
      <c r="C41" s="417">
        <v>85219</v>
      </c>
      <c r="D41" s="526">
        <v>2830</v>
      </c>
      <c r="E41" s="527" t="s">
        <v>505</v>
      </c>
      <c r="F41" s="412">
        <f>401117-72636</f>
        <v>328481</v>
      </c>
    </row>
    <row r="42" spans="1:8" ht="24.75" customHeight="1">
      <c r="A42" s="521">
        <v>19</v>
      </c>
      <c r="B42" s="528">
        <v>852</v>
      </c>
      <c r="C42" s="529">
        <v>85228</v>
      </c>
      <c r="D42" s="524">
        <v>2360</v>
      </c>
      <c r="E42" s="530" t="s">
        <v>506</v>
      </c>
      <c r="F42" s="412">
        <f>F43+F44</f>
        <v>15269576.52</v>
      </c>
    </row>
    <row r="43" spans="1:8" s="428" customFormat="1" ht="13.5" customHeight="1">
      <c r="A43" s="531" t="s">
        <v>507</v>
      </c>
      <c r="B43" s="532"/>
      <c r="C43" s="533"/>
      <c r="D43" s="534"/>
      <c r="E43" s="535" t="s">
        <v>508</v>
      </c>
      <c r="F43" s="536">
        <f>9183600-86.65+160669.17-137771-298500-2426</f>
        <v>8905485.5199999996</v>
      </c>
    </row>
    <row r="44" spans="1:8" s="428" customFormat="1" ht="13.5" customHeight="1">
      <c r="A44" s="537" t="s">
        <v>509</v>
      </c>
      <c r="B44" s="538"/>
      <c r="C44" s="539"/>
      <c r="D44" s="540"/>
      <c r="E44" s="541" t="s">
        <v>510</v>
      </c>
      <c r="F44" s="542">
        <f>3789100+1020660+1554331</f>
        <v>6364091</v>
      </c>
    </row>
    <row r="45" spans="1:8" ht="25.5" customHeight="1">
      <c r="A45" s="417" t="s">
        <v>511</v>
      </c>
      <c r="B45" s="462">
        <v>852</v>
      </c>
      <c r="C45" s="462">
        <v>85295</v>
      </c>
      <c r="D45" s="420">
        <v>2360</v>
      </c>
      <c r="E45" s="468" t="s">
        <v>512</v>
      </c>
      <c r="F45" s="412">
        <f>2691864</f>
        <v>2691864</v>
      </c>
    </row>
    <row r="46" spans="1:8" ht="38.25" customHeight="1">
      <c r="A46" s="417">
        <v>21</v>
      </c>
      <c r="B46" s="462">
        <v>853</v>
      </c>
      <c r="C46" s="462">
        <v>85395</v>
      </c>
      <c r="D46" s="420">
        <v>2360</v>
      </c>
      <c r="E46" s="468" t="s">
        <v>513</v>
      </c>
      <c r="F46" s="412">
        <f>20000-915</f>
        <v>19085</v>
      </c>
    </row>
    <row r="47" spans="1:8" ht="25.5" customHeight="1">
      <c r="A47" s="469">
        <v>22</v>
      </c>
      <c r="B47" s="470">
        <v>855</v>
      </c>
      <c r="C47" s="470">
        <v>85510</v>
      </c>
      <c r="D47" s="543" t="s">
        <v>514</v>
      </c>
      <c r="E47" s="468" t="s">
        <v>102</v>
      </c>
      <c r="F47" s="412">
        <f>3019200-5.74+343644-5554.02</f>
        <v>3357284.2399999998</v>
      </c>
    </row>
    <row r="48" spans="1:8" ht="24.75" customHeight="1">
      <c r="A48" s="417">
        <v>23</v>
      </c>
      <c r="B48" s="462">
        <v>900</v>
      </c>
      <c r="C48" s="462">
        <v>90001</v>
      </c>
      <c r="D48" s="420">
        <v>6230</v>
      </c>
      <c r="E48" s="544" t="s">
        <v>515</v>
      </c>
      <c r="F48" s="412">
        <f>250000-68690.58</f>
        <v>181309.41999999998</v>
      </c>
    </row>
    <row r="49" spans="1:8" ht="22.5" customHeight="1">
      <c r="A49" s="545">
        <v>24</v>
      </c>
      <c r="B49" s="462">
        <v>900</v>
      </c>
      <c r="C49" s="462">
        <v>90005</v>
      </c>
      <c r="D49" s="420">
        <v>6230</v>
      </c>
      <c r="E49" s="546" t="s">
        <v>516</v>
      </c>
      <c r="F49" s="430">
        <f>2820700</f>
        <v>2820700</v>
      </c>
    </row>
    <row r="50" spans="1:8" ht="37.5" customHeight="1">
      <c r="A50" s="545">
        <v>25</v>
      </c>
      <c r="B50" s="462">
        <v>900</v>
      </c>
      <c r="C50" s="462">
        <v>90005</v>
      </c>
      <c r="D50" s="420">
        <v>2360</v>
      </c>
      <c r="E50" s="546" t="s">
        <v>517</v>
      </c>
      <c r="F50" s="430">
        <v>87000</v>
      </c>
    </row>
    <row r="51" spans="1:8" s="428" customFormat="1" ht="15" customHeight="1">
      <c r="A51" s="547">
        <v>26</v>
      </c>
      <c r="B51" s="548">
        <v>921</v>
      </c>
      <c r="C51" s="548">
        <v>92120</v>
      </c>
      <c r="D51" s="549">
        <v>2720</v>
      </c>
      <c r="E51" s="550" t="s">
        <v>518</v>
      </c>
      <c r="F51" s="430">
        <f>800000-50000</f>
        <v>750000</v>
      </c>
    </row>
    <row r="52" spans="1:8" s="428" customFormat="1" ht="47.25" customHeight="1">
      <c r="A52" s="417">
        <v>27</v>
      </c>
      <c r="B52" s="462">
        <v>921</v>
      </c>
      <c r="C52" s="462">
        <v>92120</v>
      </c>
      <c r="D52" s="420">
        <v>6570</v>
      </c>
      <c r="E52" s="525" t="s">
        <v>519</v>
      </c>
      <c r="F52" s="412">
        <f>3572000</f>
        <v>3572000</v>
      </c>
    </row>
    <row r="53" spans="1:8" ht="36.75" customHeight="1">
      <c r="A53" s="417">
        <v>28</v>
      </c>
      <c r="B53" s="462">
        <v>921</v>
      </c>
      <c r="C53" s="462">
        <v>92195</v>
      </c>
      <c r="D53" s="551">
        <v>2360</v>
      </c>
      <c r="E53" s="468" t="s">
        <v>520</v>
      </c>
      <c r="F53" s="430">
        <f>600000</f>
        <v>600000</v>
      </c>
    </row>
    <row r="54" spans="1:8" ht="15.6" customHeight="1">
      <c r="A54" s="469">
        <v>29</v>
      </c>
      <c r="B54" s="470">
        <v>926</v>
      </c>
      <c r="C54" s="470">
        <v>92605</v>
      </c>
      <c r="D54" s="543">
        <v>2360</v>
      </c>
      <c r="E54" s="472" t="s">
        <v>521</v>
      </c>
      <c r="F54" s="412">
        <f>4850000+10000+500-5500</f>
        <v>4855000</v>
      </c>
    </row>
    <row r="55" spans="1:8" s="399" customFormat="1" ht="21" customHeight="1">
      <c r="A55" s="693"/>
      <c r="B55" s="694"/>
      <c r="C55" s="694"/>
      <c r="D55" s="552"/>
      <c r="E55" s="694" t="s">
        <v>522</v>
      </c>
      <c r="F55" s="695">
        <f>SUM(F12,F13,F14,F15,F16,F17,F19,F25,F27,F29,F32,F35,F36,F37,F38,F39,F40,F41,F42,F45,F46,F47,F48,F49,F50,F51,F52,F53,F54)</f>
        <v>43319802.849999994</v>
      </c>
      <c r="H55" s="553"/>
    </row>
    <row r="56" spans="1:8" ht="21" customHeight="1">
      <c r="A56" s="406" t="s">
        <v>473</v>
      </c>
      <c r="B56" s="407"/>
      <c r="C56" s="407"/>
      <c r="D56" s="459"/>
      <c r="E56" s="407"/>
      <c r="F56" s="409"/>
    </row>
    <row r="57" spans="1:8" ht="21.75" customHeight="1">
      <c r="A57" s="401" t="s">
        <v>29</v>
      </c>
      <c r="B57" s="452" t="s">
        <v>387</v>
      </c>
      <c r="C57" s="452" t="s">
        <v>327</v>
      </c>
      <c r="D57" s="471"/>
      <c r="E57" s="453" t="s">
        <v>523</v>
      </c>
      <c r="F57" s="401" t="s">
        <v>457</v>
      </c>
    </row>
    <row r="58" spans="1:8" ht="24" customHeight="1">
      <c r="A58" s="417">
        <v>1</v>
      </c>
      <c r="B58" s="462">
        <v>801</v>
      </c>
      <c r="C58" s="462">
        <v>80101</v>
      </c>
      <c r="D58" s="551" t="s">
        <v>524</v>
      </c>
      <c r="E58" s="554" t="s">
        <v>15</v>
      </c>
      <c r="F58" s="412">
        <f>13982584.36-300000+400000</f>
        <v>14082584.359999999</v>
      </c>
    </row>
    <row r="59" spans="1:8" s="428" customFormat="1" ht="13.5" customHeight="1">
      <c r="A59" s="555"/>
      <c r="B59" s="556"/>
      <c r="C59" s="557"/>
      <c r="D59" s="558"/>
      <c r="E59" s="559" t="s">
        <v>525</v>
      </c>
      <c r="F59" s="560"/>
    </row>
    <row r="60" spans="1:8" s="428" customFormat="1" ht="13.5" customHeight="1">
      <c r="A60" s="561"/>
      <c r="B60" s="397"/>
      <c r="C60" s="562"/>
      <c r="D60" s="563"/>
      <c r="E60" s="564" t="s">
        <v>526</v>
      </c>
      <c r="F60" s="565"/>
      <c r="G60" s="566"/>
    </row>
    <row r="61" spans="1:8" s="428" customFormat="1" ht="23.25" customHeight="1">
      <c r="A61" s="561"/>
      <c r="B61" s="397"/>
      <c r="C61" s="562"/>
      <c r="D61" s="567"/>
      <c r="E61" s="503" t="s">
        <v>527</v>
      </c>
      <c r="F61" s="568"/>
    </row>
    <row r="62" spans="1:8" s="428" customFormat="1" ht="25.5" customHeight="1">
      <c r="A62" s="561"/>
      <c r="B62" s="397"/>
      <c r="C62" s="562"/>
      <c r="D62" s="567"/>
      <c r="E62" s="569" t="s">
        <v>528</v>
      </c>
      <c r="F62" s="565"/>
    </row>
    <row r="63" spans="1:8" s="428" customFormat="1" ht="24" customHeight="1">
      <c r="A63" s="570"/>
      <c r="B63" s="448"/>
      <c r="C63" s="444"/>
      <c r="D63" s="571"/>
      <c r="E63" s="572" t="s">
        <v>529</v>
      </c>
      <c r="F63" s="573"/>
    </row>
    <row r="64" spans="1:8" ht="13.9" customHeight="1">
      <c r="A64" s="547">
        <v>2</v>
      </c>
      <c r="B64" s="548">
        <v>801</v>
      </c>
      <c r="C64" s="548">
        <v>80103</v>
      </c>
      <c r="D64" s="549">
        <v>2540</v>
      </c>
      <c r="E64" s="550" t="s">
        <v>174</v>
      </c>
      <c r="F64" s="473">
        <v>218379.2</v>
      </c>
    </row>
    <row r="65" spans="1:6" s="428" customFormat="1" ht="26.25" customHeight="1">
      <c r="A65" s="561"/>
      <c r="B65" s="397"/>
      <c r="C65" s="562"/>
      <c r="D65" s="567"/>
      <c r="E65" s="574" t="s">
        <v>527</v>
      </c>
      <c r="F65" s="560"/>
    </row>
    <row r="66" spans="1:6" ht="24" customHeight="1">
      <c r="A66" s="417">
        <v>3</v>
      </c>
      <c r="B66" s="462">
        <v>801</v>
      </c>
      <c r="C66" s="462">
        <v>80104</v>
      </c>
      <c r="D66" s="551" t="s">
        <v>524</v>
      </c>
      <c r="E66" s="554" t="s">
        <v>17</v>
      </c>
      <c r="F66" s="412">
        <f>13575820-200000+700000+300000</f>
        <v>14375820</v>
      </c>
    </row>
    <row r="67" spans="1:6" s="428" customFormat="1" ht="13.5" customHeight="1">
      <c r="A67" s="555"/>
      <c r="B67" s="556"/>
      <c r="C67" s="557"/>
      <c r="D67" s="558"/>
      <c r="E67" s="559" t="s">
        <v>487</v>
      </c>
      <c r="F67" s="560"/>
    </row>
    <row r="68" spans="1:6" s="428" customFormat="1" ht="13.5" customHeight="1">
      <c r="A68" s="561"/>
      <c r="B68" s="397"/>
      <c r="C68" s="562"/>
      <c r="D68" s="567"/>
      <c r="E68" s="484" t="s">
        <v>486</v>
      </c>
      <c r="F68" s="565"/>
    </row>
    <row r="69" spans="1:6" s="428" customFormat="1" ht="13.5" customHeight="1">
      <c r="A69" s="561"/>
      <c r="B69" s="397"/>
      <c r="C69" s="562"/>
      <c r="D69" s="567"/>
      <c r="E69" s="484" t="s">
        <v>530</v>
      </c>
      <c r="F69" s="565"/>
    </row>
    <row r="70" spans="1:6" s="428" customFormat="1" ht="13.5" customHeight="1">
      <c r="A70" s="561"/>
      <c r="B70" s="397"/>
      <c r="C70" s="562"/>
      <c r="D70" s="567"/>
      <c r="E70" s="484" t="s">
        <v>531</v>
      </c>
      <c r="F70" s="565"/>
    </row>
    <row r="71" spans="1:6" s="428" customFormat="1" ht="13.5" customHeight="1">
      <c r="A71" s="561"/>
      <c r="B71" s="397"/>
      <c r="C71" s="562"/>
      <c r="D71" s="567"/>
      <c r="E71" s="569" t="s">
        <v>532</v>
      </c>
      <c r="F71" s="565"/>
    </row>
    <row r="72" spans="1:6" s="428" customFormat="1" ht="13.5" customHeight="1">
      <c r="A72" s="561"/>
      <c r="B72" s="397"/>
      <c r="C72" s="562"/>
      <c r="D72" s="567"/>
      <c r="E72" s="569" t="s">
        <v>488</v>
      </c>
      <c r="F72" s="565"/>
    </row>
    <row r="73" spans="1:6" s="428" customFormat="1" ht="13.5" customHeight="1">
      <c r="A73" s="561"/>
      <c r="B73" s="397"/>
      <c r="C73" s="562"/>
      <c r="D73" s="567"/>
      <c r="E73" s="484" t="s">
        <v>490</v>
      </c>
      <c r="F73" s="565"/>
    </row>
    <row r="74" spans="1:6" s="428" customFormat="1" ht="13.5" customHeight="1">
      <c r="A74" s="561"/>
      <c r="B74" s="397"/>
      <c r="C74" s="562"/>
      <c r="D74" s="567"/>
      <c r="E74" s="484" t="s">
        <v>489</v>
      </c>
      <c r="F74" s="565"/>
    </row>
    <row r="75" spans="1:6" s="428" customFormat="1" ht="13.5" customHeight="1">
      <c r="A75" s="570"/>
      <c r="B75" s="448"/>
      <c r="C75" s="444"/>
      <c r="D75" s="571"/>
      <c r="E75" s="504" t="s">
        <v>533</v>
      </c>
      <c r="F75" s="575"/>
    </row>
    <row r="76" spans="1:6" s="428" customFormat="1" ht="13.5" customHeight="1">
      <c r="A76" s="561"/>
      <c r="B76" s="397"/>
      <c r="C76" s="562"/>
      <c r="D76" s="567"/>
      <c r="E76" s="576" t="s">
        <v>534</v>
      </c>
      <c r="F76" s="568"/>
    </row>
    <row r="77" spans="1:6" s="428" customFormat="1" ht="13.5" customHeight="1">
      <c r="A77" s="561"/>
      <c r="B77" s="397"/>
      <c r="C77" s="562"/>
      <c r="D77" s="567"/>
      <c r="E77" s="577" t="s">
        <v>535</v>
      </c>
      <c r="F77" s="565"/>
    </row>
    <row r="78" spans="1:6" s="428" customFormat="1" ht="13.5" customHeight="1">
      <c r="A78" s="561"/>
      <c r="B78" s="397"/>
      <c r="C78" s="562"/>
      <c r="D78" s="567"/>
      <c r="E78" s="577" t="s">
        <v>536</v>
      </c>
      <c r="F78" s="565"/>
    </row>
    <row r="79" spans="1:6" s="428" customFormat="1" ht="13.5" customHeight="1">
      <c r="A79" s="561"/>
      <c r="B79" s="397"/>
      <c r="C79" s="562"/>
      <c r="D79" s="567"/>
      <c r="E79" s="576" t="s">
        <v>537</v>
      </c>
      <c r="F79" s="568"/>
    </row>
    <row r="80" spans="1:6" s="428" customFormat="1" ht="13.5" customHeight="1">
      <c r="A80" s="570"/>
      <c r="B80" s="448"/>
      <c r="C80" s="444"/>
      <c r="D80" s="571"/>
      <c r="E80" s="578" t="s">
        <v>538</v>
      </c>
      <c r="F80" s="573"/>
    </row>
    <row r="81" spans="1:6" ht="16.5" customHeight="1">
      <c r="A81" s="417">
        <v>4</v>
      </c>
      <c r="B81" s="462">
        <v>801</v>
      </c>
      <c r="C81" s="462">
        <v>80106</v>
      </c>
      <c r="D81" s="420">
        <v>2540</v>
      </c>
      <c r="E81" s="472" t="s">
        <v>539</v>
      </c>
      <c r="F81" s="412">
        <f>258564-100000</f>
        <v>158564</v>
      </c>
    </row>
    <row r="82" spans="1:6" s="428" customFormat="1" ht="13.5" customHeight="1">
      <c r="A82" s="561"/>
      <c r="B82" s="397"/>
      <c r="C82" s="562"/>
      <c r="D82" s="579"/>
      <c r="E82" s="580" t="s">
        <v>540</v>
      </c>
      <c r="F82" s="581"/>
    </row>
    <row r="83" spans="1:6" ht="13.5" customHeight="1">
      <c r="A83" s="547">
        <v>5</v>
      </c>
      <c r="B83" s="548">
        <v>801</v>
      </c>
      <c r="C83" s="548">
        <v>80115</v>
      </c>
      <c r="D83" s="582">
        <v>2540</v>
      </c>
      <c r="E83" s="583" t="s">
        <v>19</v>
      </c>
      <c r="F83" s="473">
        <f>4256329.44-200000</f>
        <v>4056329.4400000004</v>
      </c>
    </row>
    <row r="84" spans="1:6" s="428" customFormat="1" ht="24" customHeight="1">
      <c r="A84" s="584"/>
      <c r="B84" s="585"/>
      <c r="C84" s="440"/>
      <c r="D84" s="586"/>
      <c r="E84" s="587" t="s">
        <v>541</v>
      </c>
      <c r="F84" s="588"/>
    </row>
    <row r="85" spans="1:6" ht="13.5" customHeight="1">
      <c r="A85" s="547">
        <v>6</v>
      </c>
      <c r="B85" s="548">
        <v>801</v>
      </c>
      <c r="C85" s="548">
        <v>80116</v>
      </c>
      <c r="D85" s="582">
        <v>2540</v>
      </c>
      <c r="E85" s="583" t="s">
        <v>186</v>
      </c>
      <c r="F85" s="473">
        <v>9878519.3000000007</v>
      </c>
    </row>
    <row r="86" spans="1:6" s="428" customFormat="1" ht="13.5" customHeight="1">
      <c r="A86" s="555"/>
      <c r="B86" s="556"/>
      <c r="C86" s="557"/>
      <c r="D86" s="558"/>
      <c r="E86" s="589" t="s">
        <v>542</v>
      </c>
      <c r="F86" s="560"/>
    </row>
    <row r="87" spans="1:6" s="428" customFormat="1" ht="25.5" customHeight="1">
      <c r="A87" s="561"/>
      <c r="B87" s="397"/>
      <c r="C87" s="562"/>
      <c r="D87" s="567"/>
      <c r="E87" s="564" t="s">
        <v>543</v>
      </c>
      <c r="F87" s="565"/>
    </row>
    <row r="88" spans="1:6" s="428" customFormat="1" ht="13.5" customHeight="1">
      <c r="A88" s="561"/>
      <c r="B88" s="397"/>
      <c r="C88" s="562"/>
      <c r="D88" s="567"/>
      <c r="E88" s="577" t="s">
        <v>544</v>
      </c>
      <c r="F88" s="565"/>
    </row>
    <row r="89" spans="1:6" s="428" customFormat="1" ht="13.5" customHeight="1">
      <c r="A89" s="561"/>
      <c r="B89" s="397"/>
      <c r="C89" s="562"/>
      <c r="D89" s="567"/>
      <c r="E89" s="564" t="s">
        <v>545</v>
      </c>
      <c r="F89" s="565"/>
    </row>
    <row r="90" spans="1:6" s="428" customFormat="1" ht="13.5" customHeight="1">
      <c r="A90" s="561"/>
      <c r="B90" s="397"/>
      <c r="C90" s="562"/>
      <c r="D90" s="567"/>
      <c r="E90" s="577" t="s">
        <v>546</v>
      </c>
      <c r="F90" s="565"/>
    </row>
    <row r="91" spans="1:6" s="428" customFormat="1" ht="13.5" customHeight="1">
      <c r="A91" s="561"/>
      <c r="B91" s="397"/>
      <c r="C91" s="562"/>
      <c r="D91" s="567"/>
      <c r="E91" s="577" t="s">
        <v>547</v>
      </c>
      <c r="F91" s="565"/>
    </row>
    <row r="92" spans="1:6" s="428" customFormat="1" ht="13.5" customHeight="1">
      <c r="A92" s="561"/>
      <c r="B92" s="397"/>
      <c r="C92" s="562"/>
      <c r="D92" s="590"/>
      <c r="E92" s="591" t="s">
        <v>548</v>
      </c>
      <c r="F92" s="568"/>
    </row>
    <row r="93" spans="1:6" s="428" customFormat="1" ht="13.5" customHeight="1">
      <c r="A93" s="561"/>
      <c r="B93" s="397"/>
      <c r="C93" s="562"/>
      <c r="D93" s="590"/>
      <c r="E93" s="592" t="s">
        <v>549</v>
      </c>
      <c r="F93" s="565"/>
    </row>
    <row r="94" spans="1:6" s="428" customFormat="1" ht="13.5" customHeight="1">
      <c r="A94" s="561"/>
      <c r="B94" s="397"/>
      <c r="C94" s="562"/>
      <c r="D94" s="593"/>
      <c r="E94" s="576" t="s">
        <v>550</v>
      </c>
      <c r="F94" s="568"/>
    </row>
    <row r="95" spans="1:6" s="428" customFormat="1" ht="22.5" customHeight="1">
      <c r="A95" s="570"/>
      <c r="B95" s="448"/>
      <c r="C95" s="444"/>
      <c r="D95" s="571"/>
      <c r="E95" s="572" t="s">
        <v>551</v>
      </c>
      <c r="F95" s="573"/>
    </row>
    <row r="96" spans="1:6" ht="24" customHeight="1">
      <c r="A96" s="417">
        <v>7</v>
      </c>
      <c r="B96" s="417">
        <v>801</v>
      </c>
      <c r="C96" s="417">
        <v>80117</v>
      </c>
      <c r="D96" s="594" t="s">
        <v>524</v>
      </c>
      <c r="E96" s="554" t="s">
        <v>187</v>
      </c>
      <c r="F96" s="412">
        <f>3686408.18+675000+600000</f>
        <v>4961408.18</v>
      </c>
    </row>
    <row r="97" spans="1:6" s="428" customFormat="1" ht="13.5" customHeight="1">
      <c r="A97" s="561"/>
      <c r="B97" s="397"/>
      <c r="C97" s="562"/>
      <c r="D97" s="567"/>
      <c r="E97" s="595" t="s">
        <v>493</v>
      </c>
      <c r="F97" s="568"/>
    </row>
    <row r="98" spans="1:6" s="428" customFormat="1" ht="24" customHeight="1">
      <c r="A98" s="570"/>
      <c r="B98" s="448"/>
      <c r="C98" s="444"/>
      <c r="D98" s="571"/>
      <c r="E98" s="596" t="s">
        <v>552</v>
      </c>
      <c r="F98" s="573"/>
    </row>
    <row r="99" spans="1:6" ht="24" customHeight="1">
      <c r="A99" s="417">
        <v>8</v>
      </c>
      <c r="B99" s="417">
        <v>801</v>
      </c>
      <c r="C99" s="417">
        <v>80120</v>
      </c>
      <c r="D99" s="594" t="s">
        <v>524</v>
      </c>
      <c r="E99" s="554" t="s">
        <v>20</v>
      </c>
      <c r="F99" s="412">
        <f>8557242.3+200000</f>
        <v>8757242.3000000007</v>
      </c>
    </row>
    <row r="100" spans="1:6" s="428" customFormat="1" ht="25.5" customHeight="1">
      <c r="A100" s="561"/>
      <c r="B100" s="397"/>
      <c r="C100" s="562"/>
      <c r="D100" s="567"/>
      <c r="E100" s="569" t="s">
        <v>553</v>
      </c>
      <c r="F100" s="565"/>
    </row>
    <row r="101" spans="1:6" s="428" customFormat="1" ht="24.75" customHeight="1">
      <c r="A101" s="561"/>
      <c r="B101" s="397"/>
      <c r="C101" s="562"/>
      <c r="D101" s="567"/>
      <c r="E101" s="569" t="s">
        <v>554</v>
      </c>
      <c r="F101" s="565"/>
    </row>
    <row r="102" spans="1:6" s="428" customFormat="1" ht="13.5" customHeight="1">
      <c r="A102" s="561"/>
      <c r="B102" s="397"/>
      <c r="C102" s="562"/>
      <c r="D102" s="567"/>
      <c r="E102" s="577" t="s">
        <v>555</v>
      </c>
      <c r="F102" s="565"/>
    </row>
    <row r="103" spans="1:6" s="428" customFormat="1" ht="13.5" customHeight="1">
      <c r="A103" s="570"/>
      <c r="B103" s="448"/>
      <c r="C103" s="444"/>
      <c r="D103" s="571"/>
      <c r="E103" s="578" t="s">
        <v>556</v>
      </c>
      <c r="F103" s="573"/>
    </row>
    <row r="104" spans="1:6" ht="26.25" customHeight="1">
      <c r="A104" s="417">
        <v>9</v>
      </c>
      <c r="B104" s="417">
        <v>801</v>
      </c>
      <c r="C104" s="417">
        <v>80122</v>
      </c>
      <c r="D104" s="594" t="s">
        <v>524</v>
      </c>
      <c r="E104" s="554" t="s">
        <v>189</v>
      </c>
      <c r="F104" s="412">
        <f>5186178-200000-3275000</f>
        <v>1711178</v>
      </c>
    </row>
    <row r="105" spans="1:6" s="428" customFormat="1" ht="12.75" customHeight="1">
      <c r="A105" s="561"/>
      <c r="B105" s="397"/>
      <c r="C105" s="562"/>
      <c r="D105" s="567"/>
      <c r="E105" s="564" t="s">
        <v>557</v>
      </c>
      <c r="F105" s="565"/>
    </row>
    <row r="106" spans="1:6" s="428" customFormat="1" ht="23.25" customHeight="1">
      <c r="A106" s="561"/>
      <c r="B106" s="397"/>
      <c r="C106" s="562"/>
      <c r="D106" s="590"/>
      <c r="E106" s="564" t="s">
        <v>558</v>
      </c>
      <c r="F106" s="565"/>
    </row>
    <row r="107" spans="1:6" s="428" customFormat="1" ht="13.5" customHeight="1">
      <c r="A107" s="561"/>
      <c r="B107" s="397"/>
      <c r="C107" s="562"/>
      <c r="D107" s="590"/>
      <c r="E107" s="597" t="s">
        <v>559</v>
      </c>
      <c r="F107" s="565"/>
    </row>
    <row r="108" spans="1:6" s="428" customFormat="1" ht="13.5" customHeight="1">
      <c r="A108" s="561"/>
      <c r="B108" s="397"/>
      <c r="C108" s="562"/>
      <c r="D108" s="567"/>
      <c r="E108" s="564" t="s">
        <v>560</v>
      </c>
      <c r="F108" s="565"/>
    </row>
    <row r="109" spans="1:6" s="428" customFormat="1" ht="13.5" customHeight="1">
      <c r="A109" s="561"/>
      <c r="B109" s="397"/>
      <c r="C109" s="562"/>
      <c r="D109" s="567"/>
      <c r="E109" s="484" t="s">
        <v>561</v>
      </c>
      <c r="F109" s="565"/>
    </row>
    <row r="110" spans="1:6" s="428" customFormat="1" ht="13.5" customHeight="1">
      <c r="A110" s="561"/>
      <c r="B110" s="397"/>
      <c r="C110" s="562"/>
      <c r="D110" s="567"/>
      <c r="E110" s="484" t="s">
        <v>562</v>
      </c>
      <c r="F110" s="565"/>
    </row>
    <row r="111" spans="1:6" s="428" customFormat="1" ht="13.5" customHeight="1">
      <c r="A111" s="561"/>
      <c r="B111" s="397"/>
      <c r="C111" s="562"/>
      <c r="D111" s="567"/>
      <c r="E111" s="577" t="s">
        <v>563</v>
      </c>
      <c r="F111" s="565"/>
    </row>
    <row r="112" spans="1:6" ht="48" customHeight="1">
      <c r="A112" s="417">
        <v>10</v>
      </c>
      <c r="B112" s="462">
        <v>801</v>
      </c>
      <c r="C112" s="462">
        <v>80149</v>
      </c>
      <c r="D112" s="551" t="s">
        <v>524</v>
      </c>
      <c r="E112" s="468" t="s">
        <v>564</v>
      </c>
      <c r="F112" s="412">
        <f>4668693.52+1000000</f>
        <v>5668693.5199999996</v>
      </c>
    </row>
    <row r="113" spans="1:6" s="428" customFormat="1" ht="13.5" customHeight="1">
      <c r="A113" s="561"/>
      <c r="B113" s="397"/>
      <c r="C113" s="562"/>
      <c r="D113" s="567"/>
      <c r="E113" s="569" t="s">
        <v>534</v>
      </c>
      <c r="F113" s="565"/>
    </row>
    <row r="114" spans="1:6" s="428" customFormat="1" ht="13.5" customHeight="1">
      <c r="A114" s="561"/>
      <c r="B114" s="397"/>
      <c r="C114" s="562"/>
      <c r="D114" s="567"/>
      <c r="E114" s="569" t="s">
        <v>565</v>
      </c>
      <c r="F114" s="565"/>
    </row>
    <row r="115" spans="1:6" s="428" customFormat="1" ht="13.5" customHeight="1">
      <c r="A115" s="561"/>
      <c r="B115" s="397"/>
      <c r="C115" s="562"/>
      <c r="D115" s="567"/>
      <c r="E115" s="598" t="s">
        <v>487</v>
      </c>
      <c r="F115" s="568"/>
    </row>
    <row r="116" spans="1:6" s="428" customFormat="1" ht="13.5" customHeight="1">
      <c r="A116" s="561"/>
      <c r="B116" s="397"/>
      <c r="C116" s="562"/>
      <c r="D116" s="567"/>
      <c r="E116" s="484" t="s">
        <v>530</v>
      </c>
      <c r="F116" s="565"/>
    </row>
    <row r="117" spans="1:6" s="428" customFormat="1" ht="13.5" customHeight="1">
      <c r="A117" s="561"/>
      <c r="B117" s="397"/>
      <c r="C117" s="562"/>
      <c r="D117" s="567"/>
      <c r="E117" s="569" t="s">
        <v>566</v>
      </c>
      <c r="F117" s="565"/>
    </row>
    <row r="118" spans="1:6" s="428" customFormat="1" ht="13.5" customHeight="1">
      <c r="A118" s="561"/>
      <c r="B118" s="397"/>
      <c r="C118" s="562"/>
      <c r="D118" s="567"/>
      <c r="E118" s="569" t="s">
        <v>567</v>
      </c>
      <c r="F118" s="565"/>
    </row>
    <row r="119" spans="1:6" s="428" customFormat="1" ht="13.5" customHeight="1">
      <c r="A119" s="570"/>
      <c r="B119" s="448"/>
      <c r="C119" s="444"/>
      <c r="D119" s="571"/>
      <c r="E119" s="504" t="s">
        <v>488</v>
      </c>
      <c r="F119" s="575"/>
    </row>
    <row r="120" spans="1:6" s="428" customFormat="1" ht="13.5" customHeight="1">
      <c r="A120" s="561"/>
      <c r="B120" s="397"/>
      <c r="C120" s="562"/>
      <c r="D120" s="590"/>
      <c r="E120" s="598" t="s">
        <v>490</v>
      </c>
      <c r="F120" s="568"/>
    </row>
    <row r="121" spans="1:6" s="428" customFormat="1" ht="13.5" customHeight="1">
      <c r="A121" s="561"/>
      <c r="B121" s="397"/>
      <c r="C121" s="562"/>
      <c r="D121" s="563"/>
      <c r="E121" s="599" t="s">
        <v>486</v>
      </c>
      <c r="F121" s="600"/>
    </row>
    <row r="122" spans="1:6" s="428" customFormat="1" ht="13.5" customHeight="1">
      <c r="A122" s="561"/>
      <c r="B122" s="397"/>
      <c r="C122" s="562"/>
      <c r="D122" s="567"/>
      <c r="E122" s="598" t="s">
        <v>568</v>
      </c>
      <c r="F122" s="568"/>
    </row>
    <row r="123" spans="1:6" s="428" customFormat="1" ht="13.5" customHeight="1">
      <c r="A123" s="561"/>
      <c r="B123" s="397"/>
      <c r="C123" s="562"/>
      <c r="D123" s="567"/>
      <c r="E123" s="487" t="s">
        <v>536</v>
      </c>
      <c r="F123" s="601"/>
    </row>
    <row r="124" spans="1:6" s="428" customFormat="1" ht="13.5" customHeight="1">
      <c r="A124" s="561"/>
      <c r="B124" s="397"/>
      <c r="C124" s="562"/>
      <c r="D124" s="567"/>
      <c r="E124" s="602" t="s">
        <v>538</v>
      </c>
      <c r="F124" s="568"/>
    </row>
    <row r="125" spans="1:6" s="428" customFormat="1" ht="13.5" customHeight="1">
      <c r="A125" s="570"/>
      <c r="B125" s="448"/>
      <c r="C125" s="444"/>
      <c r="D125" s="571"/>
      <c r="E125" s="603" t="s">
        <v>537</v>
      </c>
      <c r="F125" s="573"/>
    </row>
    <row r="126" spans="1:6" ht="36" customHeight="1">
      <c r="A126" s="417">
        <v>11</v>
      </c>
      <c r="B126" s="417">
        <v>801</v>
      </c>
      <c r="C126" s="417">
        <v>80150</v>
      </c>
      <c r="D126" s="594" t="s">
        <v>524</v>
      </c>
      <c r="E126" s="468" t="s">
        <v>569</v>
      </c>
      <c r="F126" s="412">
        <v>983068.01</v>
      </c>
    </row>
    <row r="127" spans="1:6" s="428" customFormat="1" ht="25.5" customHeight="1">
      <c r="A127" s="561"/>
      <c r="B127" s="397"/>
      <c r="C127" s="562"/>
      <c r="D127" s="567"/>
      <c r="E127" s="564" t="s">
        <v>570</v>
      </c>
      <c r="F127" s="565"/>
    </row>
    <row r="128" spans="1:6" s="428" customFormat="1" ht="25.9" customHeight="1">
      <c r="A128" s="561"/>
      <c r="B128" s="397"/>
      <c r="C128" s="562"/>
      <c r="D128" s="567"/>
      <c r="E128" s="569" t="s">
        <v>528</v>
      </c>
      <c r="F128" s="565"/>
    </row>
    <row r="129" spans="1:7" s="428" customFormat="1" ht="13.5" customHeight="1">
      <c r="A129" s="561"/>
      <c r="B129" s="397"/>
      <c r="C129" s="562"/>
      <c r="D129" s="567"/>
      <c r="E129" s="569" t="s">
        <v>525</v>
      </c>
      <c r="F129" s="565"/>
    </row>
    <row r="130" spans="1:7" s="428" customFormat="1" ht="13.5" customHeight="1">
      <c r="A130" s="570"/>
      <c r="B130" s="448"/>
      <c r="C130" s="444"/>
      <c r="D130" s="571"/>
      <c r="E130" s="572" t="s">
        <v>526</v>
      </c>
      <c r="F130" s="573"/>
      <c r="G130" s="566"/>
    </row>
    <row r="131" spans="1:7" ht="13.5" customHeight="1">
      <c r="A131" s="417">
        <v>12</v>
      </c>
      <c r="B131" s="417">
        <v>801</v>
      </c>
      <c r="C131" s="417">
        <v>80151</v>
      </c>
      <c r="D131" s="500">
        <v>2540</v>
      </c>
      <c r="E131" s="604" t="s">
        <v>201</v>
      </c>
      <c r="F131" s="412">
        <v>54992.29</v>
      </c>
    </row>
    <row r="132" spans="1:7" s="428" customFormat="1" ht="13.5" customHeight="1">
      <c r="A132" s="555"/>
      <c r="B132" s="556"/>
      <c r="C132" s="557"/>
      <c r="D132" s="605"/>
      <c r="E132" s="606" t="s">
        <v>571</v>
      </c>
      <c r="F132" s="560"/>
    </row>
    <row r="133" spans="1:7" s="428" customFormat="1" ht="13.5" customHeight="1">
      <c r="A133" s="570"/>
      <c r="B133" s="448"/>
      <c r="C133" s="444"/>
      <c r="D133" s="607"/>
      <c r="E133" s="608" t="s">
        <v>547</v>
      </c>
      <c r="F133" s="573"/>
    </row>
    <row r="134" spans="1:7" ht="95.25" customHeight="1">
      <c r="A134" s="417">
        <v>13</v>
      </c>
      <c r="B134" s="417">
        <v>801</v>
      </c>
      <c r="C134" s="417">
        <v>80152</v>
      </c>
      <c r="D134" s="594" t="s">
        <v>524</v>
      </c>
      <c r="E134" s="468" t="s">
        <v>572</v>
      </c>
      <c r="F134" s="412">
        <f>1305840.69+100000</f>
        <v>1405840.69</v>
      </c>
    </row>
    <row r="135" spans="1:7" s="428" customFormat="1" ht="13.5" customHeight="1">
      <c r="A135" s="561"/>
      <c r="B135" s="397"/>
      <c r="C135" s="562"/>
      <c r="D135" s="567"/>
      <c r="E135" s="502" t="s">
        <v>493</v>
      </c>
      <c r="F135" s="568"/>
    </row>
    <row r="136" spans="1:7" s="428" customFormat="1" ht="13.5" customHeight="1">
      <c r="A136" s="561"/>
      <c r="B136" s="397"/>
      <c r="C136" s="562"/>
      <c r="D136" s="567"/>
      <c r="E136" s="484" t="s">
        <v>556</v>
      </c>
      <c r="F136" s="565"/>
    </row>
    <row r="137" spans="1:7" s="428" customFormat="1" ht="22.9" customHeight="1">
      <c r="A137" s="561"/>
      <c r="B137" s="397"/>
      <c r="C137" s="562"/>
      <c r="D137" s="563"/>
      <c r="E137" s="609" t="s">
        <v>541</v>
      </c>
      <c r="F137" s="568"/>
    </row>
    <row r="138" spans="1:7" s="428" customFormat="1" ht="24.75" customHeight="1">
      <c r="A138" s="561"/>
      <c r="B138" s="397"/>
      <c r="C138" s="562"/>
      <c r="D138" s="567"/>
      <c r="E138" s="569" t="s">
        <v>554</v>
      </c>
      <c r="F138" s="565"/>
    </row>
    <row r="139" spans="1:7" s="428" customFormat="1" ht="13.5" customHeight="1">
      <c r="A139" s="561"/>
      <c r="B139" s="397"/>
      <c r="C139" s="562"/>
      <c r="D139" s="567"/>
      <c r="E139" s="484" t="s">
        <v>555</v>
      </c>
      <c r="F139" s="565"/>
    </row>
    <row r="140" spans="1:7" s="428" customFormat="1" ht="24" customHeight="1">
      <c r="A140" s="570"/>
      <c r="B140" s="448"/>
      <c r="C140" s="444"/>
      <c r="D140" s="571"/>
      <c r="E140" s="572" t="s">
        <v>552</v>
      </c>
      <c r="F140" s="573"/>
    </row>
    <row r="141" spans="1:7" ht="15" customHeight="1">
      <c r="A141" s="610">
        <v>14</v>
      </c>
      <c r="B141" s="610">
        <v>853</v>
      </c>
      <c r="C141" s="610">
        <v>85311</v>
      </c>
      <c r="D141" s="611">
        <v>2580</v>
      </c>
      <c r="E141" s="612" t="s">
        <v>573</v>
      </c>
      <c r="F141" s="518">
        <f>280800+12525</f>
        <v>293325</v>
      </c>
    </row>
    <row r="142" spans="1:7" s="428" customFormat="1" ht="13.5" customHeight="1">
      <c r="A142" s="584"/>
      <c r="B142" s="585"/>
      <c r="C142" s="444"/>
      <c r="D142" s="613"/>
      <c r="E142" s="614" t="s">
        <v>574</v>
      </c>
      <c r="F142" s="573"/>
    </row>
    <row r="143" spans="1:7" ht="13.5" customHeight="1">
      <c r="A143" s="547">
        <v>15</v>
      </c>
      <c r="B143" s="547">
        <v>854</v>
      </c>
      <c r="C143" s="547">
        <v>85402</v>
      </c>
      <c r="D143" s="611">
        <v>2540</v>
      </c>
      <c r="E143" s="583" t="s">
        <v>250</v>
      </c>
      <c r="F143" s="473">
        <f>1338913.09-200000</f>
        <v>1138913.0900000001</v>
      </c>
    </row>
    <row r="144" spans="1:7" s="428" customFormat="1" ht="13.5" customHeight="1">
      <c r="A144" s="584"/>
      <c r="B144" s="585"/>
      <c r="C144" s="440"/>
      <c r="D144" s="586"/>
      <c r="E144" s="615" t="s">
        <v>575</v>
      </c>
      <c r="F144" s="588"/>
    </row>
    <row r="145" spans="1:6" ht="14.25" customHeight="1">
      <c r="A145" s="547">
        <v>16</v>
      </c>
      <c r="B145" s="547">
        <v>854</v>
      </c>
      <c r="C145" s="547">
        <v>85404</v>
      </c>
      <c r="D145" s="611">
        <v>2540</v>
      </c>
      <c r="E145" s="583" t="s">
        <v>576</v>
      </c>
      <c r="F145" s="473">
        <f>989786.53+200000</f>
        <v>1189786.53</v>
      </c>
    </row>
    <row r="146" spans="1:6" s="428" customFormat="1" ht="13.5" customHeight="1">
      <c r="A146" s="561"/>
      <c r="B146" s="397"/>
      <c r="C146" s="562"/>
      <c r="D146" s="567"/>
      <c r="E146" s="577" t="s">
        <v>536</v>
      </c>
      <c r="F146" s="568"/>
    </row>
    <row r="147" spans="1:6" s="428" customFormat="1" ht="13.5" customHeight="1">
      <c r="A147" s="561"/>
      <c r="B147" s="397"/>
      <c r="C147" s="562"/>
      <c r="D147" s="567"/>
      <c r="E147" s="487" t="s">
        <v>530</v>
      </c>
      <c r="F147" s="565"/>
    </row>
    <row r="148" spans="1:6" s="428" customFormat="1" ht="13.5" customHeight="1">
      <c r="A148" s="561"/>
      <c r="B148" s="397"/>
      <c r="C148" s="562"/>
      <c r="D148" s="567"/>
      <c r="E148" s="569" t="s">
        <v>565</v>
      </c>
      <c r="F148" s="565"/>
    </row>
    <row r="149" spans="1:6" s="428" customFormat="1" ht="13.5" customHeight="1">
      <c r="A149" s="561"/>
      <c r="B149" s="397"/>
      <c r="C149" s="562"/>
      <c r="D149" s="567"/>
      <c r="E149" s="484" t="s">
        <v>490</v>
      </c>
      <c r="F149" s="565"/>
    </row>
    <row r="150" spans="1:6" s="428" customFormat="1" ht="13.5" customHeight="1">
      <c r="A150" s="561"/>
      <c r="B150" s="397"/>
      <c r="C150" s="562"/>
      <c r="D150" s="567"/>
      <c r="E150" s="569" t="s">
        <v>566</v>
      </c>
      <c r="F150" s="565"/>
    </row>
    <row r="151" spans="1:6" s="428" customFormat="1" ht="13.5" customHeight="1">
      <c r="A151" s="561"/>
      <c r="B151" s="397"/>
      <c r="C151" s="562"/>
      <c r="D151" s="567"/>
      <c r="E151" s="569" t="s">
        <v>488</v>
      </c>
      <c r="F151" s="565"/>
    </row>
    <row r="152" spans="1:6" s="428" customFormat="1" ht="13.5" customHeight="1">
      <c r="A152" s="561"/>
      <c r="B152" s="397"/>
      <c r="C152" s="562"/>
      <c r="D152" s="567"/>
      <c r="E152" s="598" t="s">
        <v>487</v>
      </c>
      <c r="F152" s="568"/>
    </row>
    <row r="153" spans="1:6" s="428" customFormat="1" ht="13.5" customHeight="1">
      <c r="A153" s="561"/>
      <c r="B153" s="397"/>
      <c r="C153" s="562"/>
      <c r="D153" s="567"/>
      <c r="E153" s="569" t="s">
        <v>567</v>
      </c>
      <c r="F153" s="565"/>
    </row>
    <row r="154" spans="1:6" s="428" customFormat="1" ht="13.5" customHeight="1">
      <c r="A154" s="570"/>
      <c r="B154" s="448"/>
      <c r="C154" s="444"/>
      <c r="D154" s="616"/>
      <c r="E154" s="617" t="s">
        <v>486</v>
      </c>
      <c r="F154" s="573"/>
    </row>
    <row r="155" spans="1:6" ht="25.5" customHeight="1">
      <c r="A155" s="495">
        <v>17</v>
      </c>
      <c r="B155" s="495">
        <v>854</v>
      </c>
      <c r="C155" s="495">
        <v>85406</v>
      </c>
      <c r="D155" s="500">
        <v>2540</v>
      </c>
      <c r="E155" s="618" t="s">
        <v>577</v>
      </c>
      <c r="F155" s="412">
        <v>123905.02</v>
      </c>
    </row>
    <row r="156" spans="1:6" s="428" customFormat="1" ht="13.5" customHeight="1">
      <c r="A156" s="555"/>
      <c r="B156" s="556"/>
      <c r="C156" s="557"/>
      <c r="D156" s="579"/>
      <c r="E156" s="619" t="s">
        <v>578</v>
      </c>
      <c r="F156" s="560"/>
    </row>
    <row r="157" spans="1:6" ht="12.75" customHeight="1">
      <c r="A157" s="547">
        <v>18</v>
      </c>
      <c r="B157" s="547">
        <v>854</v>
      </c>
      <c r="C157" s="547">
        <v>85410</v>
      </c>
      <c r="D157" s="611">
        <v>2590</v>
      </c>
      <c r="E157" s="583" t="s">
        <v>24</v>
      </c>
      <c r="F157" s="473">
        <f>1365082.91+200000</f>
        <v>1565082.91</v>
      </c>
    </row>
    <row r="158" spans="1:6" s="428" customFormat="1" ht="13.5" customHeight="1">
      <c r="A158" s="584"/>
      <c r="B158" s="585"/>
      <c r="C158" s="440"/>
      <c r="D158" s="613"/>
      <c r="E158" s="614" t="s">
        <v>579</v>
      </c>
      <c r="F158" s="620"/>
    </row>
    <row r="159" spans="1:6" ht="14.25" customHeight="1">
      <c r="A159" s="696"/>
      <c r="B159" s="687"/>
      <c r="C159" s="687"/>
      <c r="D159" s="459"/>
      <c r="E159" s="687" t="s">
        <v>522</v>
      </c>
      <c r="F159" s="688">
        <f>SUM(F58:F158)</f>
        <v>70623631.839999989</v>
      </c>
    </row>
    <row r="160" spans="1:6" ht="15.75" customHeight="1">
      <c r="A160" s="621"/>
      <c r="B160" s="622"/>
      <c r="C160" s="622"/>
      <c r="D160" s="459"/>
      <c r="E160" s="622" t="s">
        <v>376</v>
      </c>
      <c r="F160" s="623">
        <f>SUM(F55,F159)</f>
        <v>113943434.68999998</v>
      </c>
    </row>
    <row r="162" spans="1:7" ht="12.6" customHeight="1">
      <c r="A162" s="692"/>
      <c r="F162" s="413"/>
    </row>
    <row r="163" spans="1:7">
      <c r="F163" s="413"/>
      <c r="G163" s="428"/>
    </row>
    <row r="164" spans="1:7">
      <c r="F164" s="413"/>
      <c r="G164" s="428"/>
    </row>
    <row r="165" spans="1:7">
      <c r="F165" s="413"/>
    </row>
    <row r="166" spans="1:7">
      <c r="F166" s="413"/>
    </row>
    <row r="167" spans="1:7">
      <c r="F167" s="413"/>
    </row>
    <row r="168" spans="1:7">
      <c r="F168" s="413"/>
    </row>
    <row r="169" spans="1:7">
      <c r="F169" s="413"/>
    </row>
  </sheetData>
  <pageMargins left="0.51181102362204722" right="0.51181102362204722" top="0.70866141732283472" bottom="0.70866141732283472" header="0.31496062992125984" footer="0.31496062992125984"/>
  <pageSetup paperSize="9" firstPageNumber="48" orientation="portrait" r:id="rId1"/>
  <headerFooter>
    <oddFooter>&amp;C&amp;8&amp;P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F2859-12E6-42D5-9D47-838A66BE6565}">
  <dimension ref="A1:G36"/>
  <sheetViews>
    <sheetView zoomScale="120" zoomScaleNormal="120" workbookViewId="0"/>
  </sheetViews>
  <sheetFormatPr defaultRowHeight="15"/>
  <cols>
    <col min="1" max="1" width="4.42578125" style="624" customWidth="1"/>
    <col min="2" max="2" width="8.42578125" style="624" customWidth="1"/>
    <col min="3" max="3" width="47.42578125" style="624" customWidth="1"/>
    <col min="4" max="4" width="16.42578125" style="624" customWidth="1"/>
    <col min="5" max="5" width="14" style="624" customWidth="1"/>
    <col min="6" max="6" width="14.140625" style="624" customWidth="1"/>
    <col min="7" max="7" width="16.140625" style="624" customWidth="1"/>
    <col min="8" max="256" width="9.140625" style="624"/>
    <col min="257" max="257" width="4.42578125" style="624" customWidth="1"/>
    <col min="258" max="258" width="7.5703125" style="624" customWidth="1"/>
    <col min="259" max="259" width="47.42578125" style="624" customWidth="1"/>
    <col min="260" max="260" width="14.85546875" style="624" customWidth="1"/>
    <col min="261" max="261" width="14" style="624" customWidth="1"/>
    <col min="262" max="262" width="14.140625" style="624" customWidth="1"/>
    <col min="263" max="263" width="14.7109375" style="624" customWidth="1"/>
    <col min="264" max="512" width="9.140625" style="624"/>
    <col min="513" max="513" width="4.42578125" style="624" customWidth="1"/>
    <col min="514" max="514" width="7.5703125" style="624" customWidth="1"/>
    <col min="515" max="515" width="47.42578125" style="624" customWidth="1"/>
    <col min="516" max="516" width="14.85546875" style="624" customWidth="1"/>
    <col min="517" max="517" width="14" style="624" customWidth="1"/>
    <col min="518" max="518" width="14.140625" style="624" customWidth="1"/>
    <col min="519" max="519" width="14.7109375" style="624" customWidth="1"/>
    <col min="520" max="768" width="9.140625" style="624"/>
    <col min="769" max="769" width="4.42578125" style="624" customWidth="1"/>
    <col min="770" max="770" width="7.5703125" style="624" customWidth="1"/>
    <col min="771" max="771" width="47.42578125" style="624" customWidth="1"/>
    <col min="772" max="772" width="14.85546875" style="624" customWidth="1"/>
    <col min="773" max="773" width="14" style="624" customWidth="1"/>
    <col min="774" max="774" width="14.140625" style="624" customWidth="1"/>
    <col min="775" max="775" width="14.7109375" style="624" customWidth="1"/>
    <col min="776" max="1024" width="9.140625" style="624"/>
    <col min="1025" max="1025" width="4.42578125" style="624" customWidth="1"/>
    <col min="1026" max="1026" width="7.5703125" style="624" customWidth="1"/>
    <col min="1027" max="1027" width="47.42578125" style="624" customWidth="1"/>
    <col min="1028" max="1028" width="14.85546875" style="624" customWidth="1"/>
    <col min="1029" max="1029" width="14" style="624" customWidth="1"/>
    <col min="1030" max="1030" width="14.140625" style="624" customWidth="1"/>
    <col min="1031" max="1031" width="14.7109375" style="624" customWidth="1"/>
    <col min="1032" max="1280" width="9.140625" style="624"/>
    <col min="1281" max="1281" width="4.42578125" style="624" customWidth="1"/>
    <col min="1282" max="1282" width="7.5703125" style="624" customWidth="1"/>
    <col min="1283" max="1283" width="47.42578125" style="624" customWidth="1"/>
    <col min="1284" max="1284" width="14.85546875" style="624" customWidth="1"/>
    <col min="1285" max="1285" width="14" style="624" customWidth="1"/>
    <col min="1286" max="1286" width="14.140625" style="624" customWidth="1"/>
    <col min="1287" max="1287" width="14.7109375" style="624" customWidth="1"/>
    <col min="1288" max="1536" width="9.140625" style="624"/>
    <col min="1537" max="1537" width="4.42578125" style="624" customWidth="1"/>
    <col min="1538" max="1538" width="7.5703125" style="624" customWidth="1"/>
    <col min="1539" max="1539" width="47.42578125" style="624" customWidth="1"/>
    <col min="1540" max="1540" width="14.85546875" style="624" customWidth="1"/>
    <col min="1541" max="1541" width="14" style="624" customWidth="1"/>
    <col min="1542" max="1542" width="14.140625" style="624" customWidth="1"/>
    <col min="1543" max="1543" width="14.7109375" style="624" customWidth="1"/>
    <col min="1544" max="1792" width="9.140625" style="624"/>
    <col min="1793" max="1793" width="4.42578125" style="624" customWidth="1"/>
    <col min="1794" max="1794" width="7.5703125" style="624" customWidth="1"/>
    <col min="1795" max="1795" width="47.42578125" style="624" customWidth="1"/>
    <col min="1796" max="1796" width="14.85546875" style="624" customWidth="1"/>
    <col min="1797" max="1797" width="14" style="624" customWidth="1"/>
    <col min="1798" max="1798" width="14.140625" style="624" customWidth="1"/>
    <col min="1799" max="1799" width="14.7109375" style="624" customWidth="1"/>
    <col min="1800" max="2048" width="9.140625" style="624"/>
    <col min="2049" max="2049" width="4.42578125" style="624" customWidth="1"/>
    <col min="2050" max="2050" width="7.5703125" style="624" customWidth="1"/>
    <col min="2051" max="2051" width="47.42578125" style="624" customWidth="1"/>
    <col min="2052" max="2052" width="14.85546875" style="624" customWidth="1"/>
    <col min="2053" max="2053" width="14" style="624" customWidth="1"/>
    <col min="2054" max="2054" width="14.140625" style="624" customWidth="1"/>
    <col min="2055" max="2055" width="14.7109375" style="624" customWidth="1"/>
    <col min="2056" max="2304" width="9.140625" style="624"/>
    <col min="2305" max="2305" width="4.42578125" style="624" customWidth="1"/>
    <col min="2306" max="2306" width="7.5703125" style="624" customWidth="1"/>
    <col min="2307" max="2307" width="47.42578125" style="624" customWidth="1"/>
    <col min="2308" max="2308" width="14.85546875" style="624" customWidth="1"/>
    <col min="2309" max="2309" width="14" style="624" customWidth="1"/>
    <col min="2310" max="2310" width="14.140625" style="624" customWidth="1"/>
    <col min="2311" max="2311" width="14.7109375" style="624" customWidth="1"/>
    <col min="2312" max="2560" width="9.140625" style="624"/>
    <col min="2561" max="2561" width="4.42578125" style="624" customWidth="1"/>
    <col min="2562" max="2562" width="7.5703125" style="624" customWidth="1"/>
    <col min="2563" max="2563" width="47.42578125" style="624" customWidth="1"/>
    <col min="2564" max="2564" width="14.85546875" style="624" customWidth="1"/>
    <col min="2565" max="2565" width="14" style="624" customWidth="1"/>
    <col min="2566" max="2566" width="14.140625" style="624" customWidth="1"/>
    <col min="2567" max="2567" width="14.7109375" style="624" customWidth="1"/>
    <col min="2568" max="2816" width="9.140625" style="624"/>
    <col min="2817" max="2817" width="4.42578125" style="624" customWidth="1"/>
    <col min="2818" max="2818" width="7.5703125" style="624" customWidth="1"/>
    <col min="2819" max="2819" width="47.42578125" style="624" customWidth="1"/>
    <col min="2820" max="2820" width="14.85546875" style="624" customWidth="1"/>
    <col min="2821" max="2821" width="14" style="624" customWidth="1"/>
    <col min="2822" max="2822" width="14.140625" style="624" customWidth="1"/>
    <col min="2823" max="2823" width="14.7109375" style="624" customWidth="1"/>
    <col min="2824" max="3072" width="9.140625" style="624"/>
    <col min="3073" max="3073" width="4.42578125" style="624" customWidth="1"/>
    <col min="3074" max="3074" width="7.5703125" style="624" customWidth="1"/>
    <col min="3075" max="3075" width="47.42578125" style="624" customWidth="1"/>
    <col min="3076" max="3076" width="14.85546875" style="624" customWidth="1"/>
    <col min="3077" max="3077" width="14" style="624" customWidth="1"/>
    <col min="3078" max="3078" width="14.140625" style="624" customWidth="1"/>
    <col min="3079" max="3079" width="14.7109375" style="624" customWidth="1"/>
    <col min="3080" max="3328" width="9.140625" style="624"/>
    <col min="3329" max="3329" width="4.42578125" style="624" customWidth="1"/>
    <col min="3330" max="3330" width="7.5703125" style="624" customWidth="1"/>
    <col min="3331" max="3331" width="47.42578125" style="624" customWidth="1"/>
    <col min="3332" max="3332" width="14.85546875" style="624" customWidth="1"/>
    <col min="3333" max="3333" width="14" style="624" customWidth="1"/>
    <col min="3334" max="3334" width="14.140625" style="624" customWidth="1"/>
    <col min="3335" max="3335" width="14.7109375" style="624" customWidth="1"/>
    <col min="3336" max="3584" width="9.140625" style="624"/>
    <col min="3585" max="3585" width="4.42578125" style="624" customWidth="1"/>
    <col min="3586" max="3586" width="7.5703125" style="624" customWidth="1"/>
    <col min="3587" max="3587" width="47.42578125" style="624" customWidth="1"/>
    <col min="3588" max="3588" width="14.85546875" style="624" customWidth="1"/>
    <col min="3589" max="3589" width="14" style="624" customWidth="1"/>
    <col min="3590" max="3590" width="14.140625" style="624" customWidth="1"/>
    <col min="3591" max="3591" width="14.7109375" style="624" customWidth="1"/>
    <col min="3592" max="3840" width="9.140625" style="624"/>
    <col min="3841" max="3841" width="4.42578125" style="624" customWidth="1"/>
    <col min="3842" max="3842" width="7.5703125" style="624" customWidth="1"/>
    <col min="3843" max="3843" width="47.42578125" style="624" customWidth="1"/>
    <col min="3844" max="3844" width="14.85546875" style="624" customWidth="1"/>
    <col min="3845" max="3845" width="14" style="624" customWidth="1"/>
    <col min="3846" max="3846" width="14.140625" style="624" customWidth="1"/>
    <col min="3847" max="3847" width="14.7109375" style="624" customWidth="1"/>
    <col min="3848" max="4096" width="9.140625" style="624"/>
    <col min="4097" max="4097" width="4.42578125" style="624" customWidth="1"/>
    <col min="4098" max="4098" width="7.5703125" style="624" customWidth="1"/>
    <col min="4099" max="4099" width="47.42578125" style="624" customWidth="1"/>
    <col min="4100" max="4100" width="14.85546875" style="624" customWidth="1"/>
    <col min="4101" max="4101" width="14" style="624" customWidth="1"/>
    <col min="4102" max="4102" width="14.140625" style="624" customWidth="1"/>
    <col min="4103" max="4103" width="14.7109375" style="624" customWidth="1"/>
    <col min="4104" max="4352" width="9.140625" style="624"/>
    <col min="4353" max="4353" width="4.42578125" style="624" customWidth="1"/>
    <col min="4354" max="4354" width="7.5703125" style="624" customWidth="1"/>
    <col min="4355" max="4355" width="47.42578125" style="624" customWidth="1"/>
    <col min="4356" max="4356" width="14.85546875" style="624" customWidth="1"/>
    <col min="4357" max="4357" width="14" style="624" customWidth="1"/>
    <col min="4358" max="4358" width="14.140625" style="624" customWidth="1"/>
    <col min="4359" max="4359" width="14.7109375" style="624" customWidth="1"/>
    <col min="4360" max="4608" width="9.140625" style="624"/>
    <col min="4609" max="4609" width="4.42578125" style="624" customWidth="1"/>
    <col min="4610" max="4610" width="7.5703125" style="624" customWidth="1"/>
    <col min="4611" max="4611" width="47.42578125" style="624" customWidth="1"/>
    <col min="4612" max="4612" width="14.85546875" style="624" customWidth="1"/>
    <col min="4613" max="4613" width="14" style="624" customWidth="1"/>
    <col min="4614" max="4614" width="14.140625" style="624" customWidth="1"/>
    <col min="4615" max="4615" width="14.7109375" style="624" customWidth="1"/>
    <col min="4616" max="4864" width="9.140625" style="624"/>
    <col min="4865" max="4865" width="4.42578125" style="624" customWidth="1"/>
    <col min="4866" max="4866" width="7.5703125" style="624" customWidth="1"/>
    <col min="4867" max="4867" width="47.42578125" style="624" customWidth="1"/>
    <col min="4868" max="4868" width="14.85546875" style="624" customWidth="1"/>
    <col min="4869" max="4869" width="14" style="624" customWidth="1"/>
    <col min="4870" max="4870" width="14.140625" style="624" customWidth="1"/>
    <col min="4871" max="4871" width="14.7109375" style="624" customWidth="1"/>
    <col min="4872" max="5120" width="9.140625" style="624"/>
    <col min="5121" max="5121" width="4.42578125" style="624" customWidth="1"/>
    <col min="5122" max="5122" width="7.5703125" style="624" customWidth="1"/>
    <col min="5123" max="5123" width="47.42578125" style="624" customWidth="1"/>
    <col min="5124" max="5124" width="14.85546875" style="624" customWidth="1"/>
    <col min="5125" max="5125" width="14" style="624" customWidth="1"/>
    <col min="5126" max="5126" width="14.140625" style="624" customWidth="1"/>
    <col min="5127" max="5127" width="14.7109375" style="624" customWidth="1"/>
    <col min="5128" max="5376" width="9.140625" style="624"/>
    <col min="5377" max="5377" width="4.42578125" style="624" customWidth="1"/>
    <col min="5378" max="5378" width="7.5703125" style="624" customWidth="1"/>
    <col min="5379" max="5379" width="47.42578125" style="624" customWidth="1"/>
    <col min="5380" max="5380" width="14.85546875" style="624" customWidth="1"/>
    <col min="5381" max="5381" width="14" style="624" customWidth="1"/>
    <col min="5382" max="5382" width="14.140625" style="624" customWidth="1"/>
    <col min="5383" max="5383" width="14.7109375" style="624" customWidth="1"/>
    <col min="5384" max="5632" width="9.140625" style="624"/>
    <col min="5633" max="5633" width="4.42578125" style="624" customWidth="1"/>
    <col min="5634" max="5634" width="7.5703125" style="624" customWidth="1"/>
    <col min="5635" max="5635" width="47.42578125" style="624" customWidth="1"/>
    <col min="5636" max="5636" width="14.85546875" style="624" customWidth="1"/>
    <col min="5637" max="5637" width="14" style="624" customWidth="1"/>
    <col min="5638" max="5638" width="14.140625" style="624" customWidth="1"/>
    <col min="5639" max="5639" width="14.7109375" style="624" customWidth="1"/>
    <col min="5640" max="5888" width="9.140625" style="624"/>
    <col min="5889" max="5889" width="4.42578125" style="624" customWidth="1"/>
    <col min="5890" max="5890" width="7.5703125" style="624" customWidth="1"/>
    <col min="5891" max="5891" width="47.42578125" style="624" customWidth="1"/>
    <col min="5892" max="5892" width="14.85546875" style="624" customWidth="1"/>
    <col min="5893" max="5893" width="14" style="624" customWidth="1"/>
    <col min="5894" max="5894" width="14.140625" style="624" customWidth="1"/>
    <col min="5895" max="5895" width="14.7109375" style="624" customWidth="1"/>
    <col min="5896" max="6144" width="9.140625" style="624"/>
    <col min="6145" max="6145" width="4.42578125" style="624" customWidth="1"/>
    <col min="6146" max="6146" width="7.5703125" style="624" customWidth="1"/>
    <col min="6147" max="6147" width="47.42578125" style="624" customWidth="1"/>
    <col min="6148" max="6148" width="14.85546875" style="624" customWidth="1"/>
    <col min="6149" max="6149" width="14" style="624" customWidth="1"/>
    <col min="6150" max="6150" width="14.140625" style="624" customWidth="1"/>
    <col min="6151" max="6151" width="14.7109375" style="624" customWidth="1"/>
    <col min="6152" max="6400" width="9.140625" style="624"/>
    <col min="6401" max="6401" width="4.42578125" style="624" customWidth="1"/>
    <col min="6402" max="6402" width="7.5703125" style="624" customWidth="1"/>
    <col min="6403" max="6403" width="47.42578125" style="624" customWidth="1"/>
    <col min="6404" max="6404" width="14.85546875" style="624" customWidth="1"/>
    <col min="6405" max="6405" width="14" style="624" customWidth="1"/>
    <col min="6406" max="6406" width="14.140625" style="624" customWidth="1"/>
    <col min="6407" max="6407" width="14.7109375" style="624" customWidth="1"/>
    <col min="6408" max="6656" width="9.140625" style="624"/>
    <col min="6657" max="6657" width="4.42578125" style="624" customWidth="1"/>
    <col min="6658" max="6658" width="7.5703125" style="624" customWidth="1"/>
    <col min="6659" max="6659" width="47.42578125" style="624" customWidth="1"/>
    <col min="6660" max="6660" width="14.85546875" style="624" customWidth="1"/>
    <col min="6661" max="6661" width="14" style="624" customWidth="1"/>
    <col min="6662" max="6662" width="14.140625" style="624" customWidth="1"/>
    <col min="6663" max="6663" width="14.7109375" style="624" customWidth="1"/>
    <col min="6664" max="6912" width="9.140625" style="624"/>
    <col min="6913" max="6913" width="4.42578125" style="624" customWidth="1"/>
    <col min="6914" max="6914" width="7.5703125" style="624" customWidth="1"/>
    <col min="6915" max="6915" width="47.42578125" style="624" customWidth="1"/>
    <col min="6916" max="6916" width="14.85546875" style="624" customWidth="1"/>
    <col min="6917" max="6917" width="14" style="624" customWidth="1"/>
    <col min="6918" max="6918" width="14.140625" style="624" customWidth="1"/>
    <col min="6919" max="6919" width="14.7109375" style="624" customWidth="1"/>
    <col min="6920" max="7168" width="9.140625" style="624"/>
    <col min="7169" max="7169" width="4.42578125" style="624" customWidth="1"/>
    <col min="7170" max="7170" width="7.5703125" style="624" customWidth="1"/>
    <col min="7171" max="7171" width="47.42578125" style="624" customWidth="1"/>
    <col min="7172" max="7172" width="14.85546875" style="624" customWidth="1"/>
    <col min="7173" max="7173" width="14" style="624" customWidth="1"/>
    <col min="7174" max="7174" width="14.140625" style="624" customWidth="1"/>
    <col min="7175" max="7175" width="14.7109375" style="624" customWidth="1"/>
    <col min="7176" max="7424" width="9.140625" style="624"/>
    <col min="7425" max="7425" width="4.42578125" style="624" customWidth="1"/>
    <col min="7426" max="7426" width="7.5703125" style="624" customWidth="1"/>
    <col min="7427" max="7427" width="47.42578125" style="624" customWidth="1"/>
    <col min="7428" max="7428" width="14.85546875" style="624" customWidth="1"/>
    <col min="7429" max="7429" width="14" style="624" customWidth="1"/>
    <col min="7430" max="7430" width="14.140625" style="624" customWidth="1"/>
    <col min="7431" max="7431" width="14.7109375" style="624" customWidth="1"/>
    <col min="7432" max="7680" width="9.140625" style="624"/>
    <col min="7681" max="7681" width="4.42578125" style="624" customWidth="1"/>
    <col min="7682" max="7682" width="7.5703125" style="624" customWidth="1"/>
    <col min="7683" max="7683" width="47.42578125" style="624" customWidth="1"/>
    <col min="7684" max="7684" width="14.85546875" style="624" customWidth="1"/>
    <col min="7685" max="7685" width="14" style="624" customWidth="1"/>
    <col min="7686" max="7686" width="14.140625" style="624" customWidth="1"/>
    <col min="7687" max="7687" width="14.7109375" style="624" customWidth="1"/>
    <col min="7688" max="7936" width="9.140625" style="624"/>
    <col min="7937" max="7937" width="4.42578125" style="624" customWidth="1"/>
    <col min="7938" max="7938" width="7.5703125" style="624" customWidth="1"/>
    <col min="7939" max="7939" width="47.42578125" style="624" customWidth="1"/>
    <col min="7940" max="7940" width="14.85546875" style="624" customWidth="1"/>
    <col min="7941" max="7941" width="14" style="624" customWidth="1"/>
    <col min="7942" max="7942" width="14.140625" style="624" customWidth="1"/>
    <col min="7943" max="7943" width="14.7109375" style="624" customWidth="1"/>
    <col min="7944" max="8192" width="9.140625" style="624"/>
    <col min="8193" max="8193" width="4.42578125" style="624" customWidth="1"/>
    <col min="8194" max="8194" width="7.5703125" style="624" customWidth="1"/>
    <col min="8195" max="8195" width="47.42578125" style="624" customWidth="1"/>
    <col min="8196" max="8196" width="14.85546875" style="624" customWidth="1"/>
    <col min="8197" max="8197" width="14" style="624" customWidth="1"/>
    <col min="8198" max="8198" width="14.140625" style="624" customWidth="1"/>
    <col min="8199" max="8199" width="14.7109375" style="624" customWidth="1"/>
    <col min="8200" max="8448" width="9.140625" style="624"/>
    <col min="8449" max="8449" width="4.42578125" style="624" customWidth="1"/>
    <col min="8450" max="8450" width="7.5703125" style="624" customWidth="1"/>
    <col min="8451" max="8451" width="47.42578125" style="624" customWidth="1"/>
    <col min="8452" max="8452" width="14.85546875" style="624" customWidth="1"/>
    <col min="8453" max="8453" width="14" style="624" customWidth="1"/>
    <col min="8454" max="8454" width="14.140625" style="624" customWidth="1"/>
    <col min="8455" max="8455" width="14.7109375" style="624" customWidth="1"/>
    <col min="8456" max="8704" width="9.140625" style="624"/>
    <col min="8705" max="8705" width="4.42578125" style="624" customWidth="1"/>
    <col min="8706" max="8706" width="7.5703125" style="624" customWidth="1"/>
    <col min="8707" max="8707" width="47.42578125" style="624" customWidth="1"/>
    <col min="8708" max="8708" width="14.85546875" style="624" customWidth="1"/>
    <col min="8709" max="8709" width="14" style="624" customWidth="1"/>
    <col min="8710" max="8710" width="14.140625" style="624" customWidth="1"/>
    <col min="8711" max="8711" width="14.7109375" style="624" customWidth="1"/>
    <col min="8712" max="8960" width="9.140625" style="624"/>
    <col min="8961" max="8961" width="4.42578125" style="624" customWidth="1"/>
    <col min="8962" max="8962" width="7.5703125" style="624" customWidth="1"/>
    <col min="8963" max="8963" width="47.42578125" style="624" customWidth="1"/>
    <col min="8964" max="8964" width="14.85546875" style="624" customWidth="1"/>
    <col min="8965" max="8965" width="14" style="624" customWidth="1"/>
    <col min="8966" max="8966" width="14.140625" style="624" customWidth="1"/>
    <col min="8967" max="8967" width="14.7109375" style="624" customWidth="1"/>
    <col min="8968" max="9216" width="9.140625" style="624"/>
    <col min="9217" max="9217" width="4.42578125" style="624" customWidth="1"/>
    <col min="9218" max="9218" width="7.5703125" style="624" customWidth="1"/>
    <col min="9219" max="9219" width="47.42578125" style="624" customWidth="1"/>
    <col min="9220" max="9220" width="14.85546875" style="624" customWidth="1"/>
    <col min="9221" max="9221" width="14" style="624" customWidth="1"/>
    <col min="9222" max="9222" width="14.140625" style="624" customWidth="1"/>
    <col min="9223" max="9223" width="14.7109375" style="624" customWidth="1"/>
    <col min="9224" max="9472" width="9.140625" style="624"/>
    <col min="9473" max="9473" width="4.42578125" style="624" customWidth="1"/>
    <col min="9474" max="9474" width="7.5703125" style="624" customWidth="1"/>
    <col min="9475" max="9475" width="47.42578125" style="624" customWidth="1"/>
    <col min="9476" max="9476" width="14.85546875" style="624" customWidth="1"/>
    <col min="9477" max="9477" width="14" style="624" customWidth="1"/>
    <col min="9478" max="9478" width="14.140625" style="624" customWidth="1"/>
    <col min="9479" max="9479" width="14.7109375" style="624" customWidth="1"/>
    <col min="9480" max="9728" width="9.140625" style="624"/>
    <col min="9729" max="9729" width="4.42578125" style="624" customWidth="1"/>
    <col min="9730" max="9730" width="7.5703125" style="624" customWidth="1"/>
    <col min="9731" max="9731" width="47.42578125" style="624" customWidth="1"/>
    <col min="9732" max="9732" width="14.85546875" style="624" customWidth="1"/>
    <col min="9733" max="9733" width="14" style="624" customWidth="1"/>
    <col min="9734" max="9734" width="14.140625" style="624" customWidth="1"/>
    <col min="9735" max="9735" width="14.7109375" style="624" customWidth="1"/>
    <col min="9736" max="9984" width="9.140625" style="624"/>
    <col min="9985" max="9985" width="4.42578125" style="624" customWidth="1"/>
    <col min="9986" max="9986" width="7.5703125" style="624" customWidth="1"/>
    <col min="9987" max="9987" width="47.42578125" style="624" customWidth="1"/>
    <col min="9988" max="9988" width="14.85546875" style="624" customWidth="1"/>
    <col min="9989" max="9989" width="14" style="624" customWidth="1"/>
    <col min="9990" max="9990" width="14.140625" style="624" customWidth="1"/>
    <col min="9991" max="9991" width="14.7109375" style="624" customWidth="1"/>
    <col min="9992" max="10240" width="9.140625" style="624"/>
    <col min="10241" max="10241" width="4.42578125" style="624" customWidth="1"/>
    <col min="10242" max="10242" width="7.5703125" style="624" customWidth="1"/>
    <col min="10243" max="10243" width="47.42578125" style="624" customWidth="1"/>
    <col min="10244" max="10244" width="14.85546875" style="624" customWidth="1"/>
    <col min="10245" max="10245" width="14" style="624" customWidth="1"/>
    <col min="10246" max="10246" width="14.140625" style="624" customWidth="1"/>
    <col min="10247" max="10247" width="14.7109375" style="624" customWidth="1"/>
    <col min="10248" max="10496" width="9.140625" style="624"/>
    <col min="10497" max="10497" width="4.42578125" style="624" customWidth="1"/>
    <col min="10498" max="10498" width="7.5703125" style="624" customWidth="1"/>
    <col min="10499" max="10499" width="47.42578125" style="624" customWidth="1"/>
    <col min="10500" max="10500" width="14.85546875" style="624" customWidth="1"/>
    <col min="10501" max="10501" width="14" style="624" customWidth="1"/>
    <col min="10502" max="10502" width="14.140625" style="624" customWidth="1"/>
    <col min="10503" max="10503" width="14.7109375" style="624" customWidth="1"/>
    <col min="10504" max="10752" width="9.140625" style="624"/>
    <col min="10753" max="10753" width="4.42578125" style="624" customWidth="1"/>
    <col min="10754" max="10754" width="7.5703125" style="624" customWidth="1"/>
    <col min="10755" max="10755" width="47.42578125" style="624" customWidth="1"/>
    <col min="10756" max="10756" width="14.85546875" style="624" customWidth="1"/>
    <col min="10757" max="10757" width="14" style="624" customWidth="1"/>
    <col min="10758" max="10758" width="14.140625" style="624" customWidth="1"/>
    <col min="10759" max="10759" width="14.7109375" style="624" customWidth="1"/>
    <col min="10760" max="11008" width="9.140625" style="624"/>
    <col min="11009" max="11009" width="4.42578125" style="624" customWidth="1"/>
    <col min="11010" max="11010" width="7.5703125" style="624" customWidth="1"/>
    <col min="11011" max="11011" width="47.42578125" style="624" customWidth="1"/>
    <col min="11012" max="11012" width="14.85546875" style="624" customWidth="1"/>
    <col min="11013" max="11013" width="14" style="624" customWidth="1"/>
    <col min="11014" max="11014" width="14.140625" style="624" customWidth="1"/>
    <col min="11015" max="11015" width="14.7109375" style="624" customWidth="1"/>
    <col min="11016" max="11264" width="9.140625" style="624"/>
    <col min="11265" max="11265" width="4.42578125" style="624" customWidth="1"/>
    <col min="11266" max="11266" width="7.5703125" style="624" customWidth="1"/>
    <col min="11267" max="11267" width="47.42578125" style="624" customWidth="1"/>
    <col min="11268" max="11268" width="14.85546875" style="624" customWidth="1"/>
    <col min="11269" max="11269" width="14" style="624" customWidth="1"/>
    <col min="11270" max="11270" width="14.140625" style="624" customWidth="1"/>
    <col min="11271" max="11271" width="14.7109375" style="624" customWidth="1"/>
    <col min="11272" max="11520" width="9.140625" style="624"/>
    <col min="11521" max="11521" width="4.42578125" style="624" customWidth="1"/>
    <col min="11522" max="11522" width="7.5703125" style="624" customWidth="1"/>
    <col min="11523" max="11523" width="47.42578125" style="624" customWidth="1"/>
    <col min="11524" max="11524" width="14.85546875" style="624" customWidth="1"/>
    <col min="11525" max="11525" width="14" style="624" customWidth="1"/>
    <col min="11526" max="11526" width="14.140625" style="624" customWidth="1"/>
    <col min="11527" max="11527" width="14.7109375" style="624" customWidth="1"/>
    <col min="11528" max="11776" width="9.140625" style="624"/>
    <col min="11777" max="11777" width="4.42578125" style="624" customWidth="1"/>
    <col min="11778" max="11778" width="7.5703125" style="624" customWidth="1"/>
    <col min="11779" max="11779" width="47.42578125" style="624" customWidth="1"/>
    <col min="11780" max="11780" width="14.85546875" style="624" customWidth="1"/>
    <col min="11781" max="11781" width="14" style="624" customWidth="1"/>
    <col min="11782" max="11782" width="14.140625" style="624" customWidth="1"/>
    <col min="11783" max="11783" width="14.7109375" style="624" customWidth="1"/>
    <col min="11784" max="12032" width="9.140625" style="624"/>
    <col min="12033" max="12033" width="4.42578125" style="624" customWidth="1"/>
    <col min="12034" max="12034" width="7.5703125" style="624" customWidth="1"/>
    <col min="12035" max="12035" width="47.42578125" style="624" customWidth="1"/>
    <col min="12036" max="12036" width="14.85546875" style="624" customWidth="1"/>
    <col min="12037" max="12037" width="14" style="624" customWidth="1"/>
    <col min="12038" max="12038" width="14.140625" style="624" customWidth="1"/>
    <col min="12039" max="12039" width="14.7109375" style="624" customWidth="1"/>
    <col min="12040" max="12288" width="9.140625" style="624"/>
    <col min="12289" max="12289" width="4.42578125" style="624" customWidth="1"/>
    <col min="12290" max="12290" width="7.5703125" style="624" customWidth="1"/>
    <col min="12291" max="12291" width="47.42578125" style="624" customWidth="1"/>
    <col min="12292" max="12292" width="14.85546875" style="624" customWidth="1"/>
    <col min="12293" max="12293" width="14" style="624" customWidth="1"/>
    <col min="12294" max="12294" width="14.140625" style="624" customWidth="1"/>
    <col min="12295" max="12295" width="14.7109375" style="624" customWidth="1"/>
    <col min="12296" max="12544" width="9.140625" style="624"/>
    <col min="12545" max="12545" width="4.42578125" style="624" customWidth="1"/>
    <col min="12546" max="12546" width="7.5703125" style="624" customWidth="1"/>
    <col min="12547" max="12547" width="47.42578125" style="624" customWidth="1"/>
    <col min="12548" max="12548" width="14.85546875" style="624" customWidth="1"/>
    <col min="12549" max="12549" width="14" style="624" customWidth="1"/>
    <col min="12550" max="12550" width="14.140625" style="624" customWidth="1"/>
    <col min="12551" max="12551" width="14.7109375" style="624" customWidth="1"/>
    <col min="12552" max="12800" width="9.140625" style="624"/>
    <col min="12801" max="12801" width="4.42578125" style="624" customWidth="1"/>
    <col min="12802" max="12802" width="7.5703125" style="624" customWidth="1"/>
    <col min="12803" max="12803" width="47.42578125" style="624" customWidth="1"/>
    <col min="12804" max="12804" width="14.85546875" style="624" customWidth="1"/>
    <col min="12805" max="12805" width="14" style="624" customWidth="1"/>
    <col min="12806" max="12806" width="14.140625" style="624" customWidth="1"/>
    <col min="12807" max="12807" width="14.7109375" style="624" customWidth="1"/>
    <col min="12808" max="13056" width="9.140625" style="624"/>
    <col min="13057" max="13057" width="4.42578125" style="624" customWidth="1"/>
    <col min="13058" max="13058" width="7.5703125" style="624" customWidth="1"/>
    <col min="13059" max="13059" width="47.42578125" style="624" customWidth="1"/>
    <col min="13060" max="13060" width="14.85546875" style="624" customWidth="1"/>
    <col min="13061" max="13061" width="14" style="624" customWidth="1"/>
    <col min="13062" max="13062" width="14.140625" style="624" customWidth="1"/>
    <col min="13063" max="13063" width="14.7109375" style="624" customWidth="1"/>
    <col min="13064" max="13312" width="9.140625" style="624"/>
    <col min="13313" max="13313" width="4.42578125" style="624" customWidth="1"/>
    <col min="13314" max="13314" width="7.5703125" style="624" customWidth="1"/>
    <col min="13315" max="13315" width="47.42578125" style="624" customWidth="1"/>
    <col min="13316" max="13316" width="14.85546875" style="624" customWidth="1"/>
    <col min="13317" max="13317" width="14" style="624" customWidth="1"/>
    <col min="13318" max="13318" width="14.140625" style="624" customWidth="1"/>
    <col min="13319" max="13319" width="14.7109375" style="624" customWidth="1"/>
    <col min="13320" max="13568" width="9.140625" style="624"/>
    <col min="13569" max="13569" width="4.42578125" style="624" customWidth="1"/>
    <col min="13570" max="13570" width="7.5703125" style="624" customWidth="1"/>
    <col min="13571" max="13571" width="47.42578125" style="624" customWidth="1"/>
    <col min="13572" max="13572" width="14.85546875" style="624" customWidth="1"/>
    <col min="13573" max="13573" width="14" style="624" customWidth="1"/>
    <col min="13574" max="13574" width="14.140625" style="624" customWidth="1"/>
    <col min="13575" max="13575" width="14.7109375" style="624" customWidth="1"/>
    <col min="13576" max="13824" width="9.140625" style="624"/>
    <col min="13825" max="13825" width="4.42578125" style="624" customWidth="1"/>
    <col min="13826" max="13826" width="7.5703125" style="624" customWidth="1"/>
    <col min="13827" max="13827" width="47.42578125" style="624" customWidth="1"/>
    <col min="13828" max="13828" width="14.85546875" style="624" customWidth="1"/>
    <col min="13829" max="13829" width="14" style="624" customWidth="1"/>
    <col min="13830" max="13830" width="14.140625" style="624" customWidth="1"/>
    <col min="13831" max="13831" width="14.7109375" style="624" customWidth="1"/>
    <col min="13832" max="14080" width="9.140625" style="624"/>
    <col min="14081" max="14081" width="4.42578125" style="624" customWidth="1"/>
    <col min="14082" max="14082" width="7.5703125" style="624" customWidth="1"/>
    <col min="14083" max="14083" width="47.42578125" style="624" customWidth="1"/>
    <col min="14084" max="14084" width="14.85546875" style="624" customWidth="1"/>
    <col min="14085" max="14085" width="14" style="624" customWidth="1"/>
    <col min="14086" max="14086" width="14.140625" style="624" customWidth="1"/>
    <col min="14087" max="14087" width="14.7109375" style="624" customWidth="1"/>
    <col min="14088" max="14336" width="9.140625" style="624"/>
    <col min="14337" max="14337" width="4.42578125" style="624" customWidth="1"/>
    <col min="14338" max="14338" width="7.5703125" style="624" customWidth="1"/>
    <col min="14339" max="14339" width="47.42578125" style="624" customWidth="1"/>
    <col min="14340" max="14340" width="14.85546875" style="624" customWidth="1"/>
    <col min="14341" max="14341" width="14" style="624" customWidth="1"/>
    <col min="14342" max="14342" width="14.140625" style="624" customWidth="1"/>
    <col min="14343" max="14343" width="14.7109375" style="624" customWidth="1"/>
    <col min="14344" max="14592" width="9.140625" style="624"/>
    <col min="14593" max="14593" width="4.42578125" style="624" customWidth="1"/>
    <col min="14594" max="14594" width="7.5703125" style="624" customWidth="1"/>
    <col min="14595" max="14595" width="47.42578125" style="624" customWidth="1"/>
    <col min="14596" max="14596" width="14.85546875" style="624" customWidth="1"/>
    <col min="14597" max="14597" width="14" style="624" customWidth="1"/>
    <col min="14598" max="14598" width="14.140625" style="624" customWidth="1"/>
    <col min="14599" max="14599" width="14.7109375" style="624" customWidth="1"/>
    <col min="14600" max="14848" width="9.140625" style="624"/>
    <col min="14849" max="14849" width="4.42578125" style="624" customWidth="1"/>
    <col min="14850" max="14850" width="7.5703125" style="624" customWidth="1"/>
    <col min="14851" max="14851" width="47.42578125" style="624" customWidth="1"/>
    <col min="14852" max="14852" width="14.85546875" style="624" customWidth="1"/>
    <col min="14853" max="14853" width="14" style="624" customWidth="1"/>
    <col min="14854" max="14854" width="14.140625" style="624" customWidth="1"/>
    <col min="14855" max="14855" width="14.7109375" style="624" customWidth="1"/>
    <col min="14856" max="15104" width="9.140625" style="624"/>
    <col min="15105" max="15105" width="4.42578125" style="624" customWidth="1"/>
    <col min="15106" max="15106" width="7.5703125" style="624" customWidth="1"/>
    <col min="15107" max="15107" width="47.42578125" style="624" customWidth="1"/>
    <col min="15108" max="15108" width="14.85546875" style="624" customWidth="1"/>
    <col min="15109" max="15109" width="14" style="624" customWidth="1"/>
    <col min="15110" max="15110" width="14.140625" style="624" customWidth="1"/>
    <col min="15111" max="15111" width="14.7109375" style="624" customWidth="1"/>
    <col min="15112" max="15360" width="9.140625" style="624"/>
    <col min="15361" max="15361" width="4.42578125" style="624" customWidth="1"/>
    <col min="15362" max="15362" width="7.5703125" style="624" customWidth="1"/>
    <col min="15363" max="15363" width="47.42578125" style="624" customWidth="1"/>
    <col min="15364" max="15364" width="14.85546875" style="624" customWidth="1"/>
    <col min="15365" max="15365" width="14" style="624" customWidth="1"/>
    <col min="15366" max="15366" width="14.140625" style="624" customWidth="1"/>
    <col min="15367" max="15367" width="14.7109375" style="624" customWidth="1"/>
    <col min="15368" max="15616" width="9.140625" style="624"/>
    <col min="15617" max="15617" width="4.42578125" style="624" customWidth="1"/>
    <col min="15618" max="15618" width="7.5703125" style="624" customWidth="1"/>
    <col min="15619" max="15619" width="47.42578125" style="624" customWidth="1"/>
    <col min="15620" max="15620" width="14.85546875" style="624" customWidth="1"/>
    <col min="15621" max="15621" width="14" style="624" customWidth="1"/>
    <col min="15622" max="15622" width="14.140625" style="624" customWidth="1"/>
    <col min="15623" max="15623" width="14.7109375" style="624" customWidth="1"/>
    <col min="15624" max="15872" width="9.140625" style="624"/>
    <col min="15873" max="15873" width="4.42578125" style="624" customWidth="1"/>
    <col min="15874" max="15874" width="7.5703125" style="624" customWidth="1"/>
    <col min="15875" max="15875" width="47.42578125" style="624" customWidth="1"/>
    <col min="15876" max="15876" width="14.85546875" style="624" customWidth="1"/>
    <col min="15877" max="15877" width="14" style="624" customWidth="1"/>
    <col min="15878" max="15878" width="14.140625" style="624" customWidth="1"/>
    <col min="15879" max="15879" width="14.7109375" style="624" customWidth="1"/>
    <col min="15880" max="16128" width="9.140625" style="624"/>
    <col min="16129" max="16129" width="4.42578125" style="624" customWidth="1"/>
    <col min="16130" max="16130" width="7.5703125" style="624" customWidth="1"/>
    <col min="16131" max="16131" width="47.42578125" style="624" customWidth="1"/>
    <col min="16132" max="16132" width="14.85546875" style="624" customWidth="1"/>
    <col min="16133" max="16133" width="14" style="624" customWidth="1"/>
    <col min="16134" max="16134" width="14.140625" style="624" customWidth="1"/>
    <col min="16135" max="16135" width="14.7109375" style="624" customWidth="1"/>
    <col min="16136" max="16384" width="9.140625" style="624"/>
  </cols>
  <sheetData>
    <row r="1" spans="1:7">
      <c r="F1" s="7" t="s">
        <v>320</v>
      </c>
    </row>
    <row r="2" spans="1:7">
      <c r="F2" s="5" t="s">
        <v>318</v>
      </c>
    </row>
    <row r="3" spans="1:7">
      <c r="F3" s="5" t="s">
        <v>1</v>
      </c>
    </row>
    <row r="4" spans="1:7">
      <c r="F4" s="5" t="s">
        <v>319</v>
      </c>
    </row>
    <row r="6" spans="1:7" s="181" customFormat="1" ht="15" customHeight="1">
      <c r="A6" s="732" t="s">
        <v>46</v>
      </c>
      <c r="B6" s="732"/>
      <c r="C6" s="732"/>
      <c r="D6" s="732"/>
      <c r="E6" s="732"/>
      <c r="F6" s="732"/>
      <c r="G6" s="732"/>
    </row>
    <row r="7" spans="1:7" s="181" customFormat="1" ht="15" customHeight="1">
      <c r="A7" s="182" t="s">
        <v>47</v>
      </c>
      <c r="B7" s="182"/>
      <c r="C7" s="182"/>
      <c r="D7" s="182"/>
      <c r="E7" s="182"/>
      <c r="F7" s="182"/>
      <c r="G7" s="182"/>
    </row>
    <row r="8" spans="1:7">
      <c r="A8" s="733" t="s">
        <v>48</v>
      </c>
      <c r="B8" s="733"/>
      <c r="C8" s="733"/>
      <c r="D8" s="733"/>
      <c r="E8" s="733"/>
      <c r="F8" s="733"/>
      <c r="G8" s="733"/>
    </row>
    <row r="9" spans="1:7" ht="8.25" customHeight="1">
      <c r="A9" s="697"/>
      <c r="B9" s="697"/>
      <c r="C9" s="697"/>
      <c r="D9" s="697"/>
      <c r="E9" s="697"/>
      <c r="F9" s="697"/>
      <c r="G9" s="183" t="s">
        <v>2</v>
      </c>
    </row>
    <row r="10" spans="1:7">
      <c r="A10" s="184"/>
      <c r="B10" s="184"/>
      <c r="C10" s="184"/>
      <c r="D10" s="734" t="s">
        <v>49</v>
      </c>
      <c r="E10" s="185"/>
      <c r="F10" s="186"/>
      <c r="G10" s="734" t="s">
        <v>50</v>
      </c>
    </row>
    <row r="11" spans="1:7">
      <c r="A11" s="187" t="s">
        <v>29</v>
      </c>
      <c r="B11" s="187" t="s">
        <v>4</v>
      </c>
      <c r="C11" s="187" t="s">
        <v>51</v>
      </c>
      <c r="D11" s="735"/>
      <c r="E11" s="735" t="s">
        <v>52</v>
      </c>
      <c r="F11" s="735" t="s">
        <v>53</v>
      </c>
      <c r="G11" s="735"/>
    </row>
    <row r="12" spans="1:7">
      <c r="A12" s="187"/>
      <c r="B12" s="188"/>
      <c r="C12" s="187"/>
      <c r="D12" s="735"/>
      <c r="E12" s="735"/>
      <c r="F12" s="735"/>
      <c r="G12" s="735"/>
    </row>
    <row r="13" spans="1:7">
      <c r="A13" s="188"/>
      <c r="B13" s="188" t="s">
        <v>5</v>
      </c>
      <c r="C13" s="188"/>
      <c r="D13" s="736"/>
      <c r="E13" s="736"/>
      <c r="F13" s="736"/>
      <c r="G13" s="736"/>
    </row>
    <row r="14" spans="1:7" ht="11.25" customHeight="1">
      <c r="A14" s="189">
        <v>1</v>
      </c>
      <c r="B14" s="189">
        <v>2</v>
      </c>
      <c r="C14" s="189">
        <v>3</v>
      </c>
      <c r="D14" s="189">
        <v>4</v>
      </c>
      <c r="E14" s="189">
        <v>5</v>
      </c>
      <c r="F14" s="189">
        <v>6</v>
      </c>
      <c r="G14" s="189">
        <v>7</v>
      </c>
    </row>
    <row r="15" spans="1:7" s="697" customFormat="1">
      <c r="A15" s="190"/>
      <c r="B15" s="191">
        <v>801</v>
      </c>
      <c r="C15" s="698"/>
      <c r="D15" s="699"/>
      <c r="E15" s="699"/>
      <c r="F15" s="699"/>
      <c r="G15" s="699"/>
    </row>
    <row r="16" spans="1:7">
      <c r="A16" s="192" t="s">
        <v>30</v>
      </c>
      <c r="B16" s="700">
        <v>80101</v>
      </c>
      <c r="C16" s="193" t="s">
        <v>15</v>
      </c>
      <c r="D16" s="701">
        <v>39.53</v>
      </c>
      <c r="E16" s="701">
        <v>858954.02</v>
      </c>
      <c r="F16" s="701">
        <v>858993.55</v>
      </c>
      <c r="G16" s="701">
        <v>0</v>
      </c>
    </row>
    <row r="17" spans="1:7">
      <c r="A17" s="192" t="s">
        <v>31</v>
      </c>
      <c r="B17" s="700">
        <v>80102</v>
      </c>
      <c r="C17" s="194" t="s">
        <v>54</v>
      </c>
      <c r="D17" s="702">
        <v>0</v>
      </c>
      <c r="E17" s="702">
        <v>25736</v>
      </c>
      <c r="F17" s="702">
        <v>25736</v>
      </c>
      <c r="G17" s="702">
        <v>0</v>
      </c>
    </row>
    <row r="18" spans="1:7">
      <c r="A18" s="192" t="s">
        <v>32</v>
      </c>
      <c r="B18" s="700">
        <v>80104</v>
      </c>
      <c r="C18" s="194" t="s">
        <v>17</v>
      </c>
      <c r="D18" s="702">
        <v>7844.47</v>
      </c>
      <c r="E18" s="702">
        <v>5749622</v>
      </c>
      <c r="F18" s="702">
        <v>5757466.4699999997</v>
      </c>
      <c r="G18" s="702">
        <v>0</v>
      </c>
    </row>
    <row r="19" spans="1:7">
      <c r="A19" s="192" t="s">
        <v>33</v>
      </c>
      <c r="B19" s="700">
        <v>80115</v>
      </c>
      <c r="C19" s="194" t="s">
        <v>19</v>
      </c>
      <c r="D19" s="702">
        <v>45.34</v>
      </c>
      <c r="E19" s="702">
        <v>1161998</v>
      </c>
      <c r="F19" s="702">
        <v>1162043.3400000001</v>
      </c>
      <c r="G19" s="702">
        <v>0</v>
      </c>
    </row>
    <row r="20" spans="1:7">
      <c r="A20" s="192" t="s">
        <v>34</v>
      </c>
      <c r="B20" s="700">
        <v>80120</v>
      </c>
      <c r="C20" s="194" t="s">
        <v>20</v>
      </c>
      <c r="D20" s="703">
        <v>538.15</v>
      </c>
      <c r="E20" s="702">
        <v>277650</v>
      </c>
      <c r="F20" s="702">
        <v>278188.15000000002</v>
      </c>
      <c r="G20" s="702">
        <v>0</v>
      </c>
    </row>
    <row r="21" spans="1:7">
      <c r="A21" s="192" t="s">
        <v>35</v>
      </c>
      <c r="B21" s="700">
        <v>80132</v>
      </c>
      <c r="C21" s="194" t="s">
        <v>55</v>
      </c>
      <c r="D21" s="702">
        <v>0</v>
      </c>
      <c r="E21" s="702">
        <v>94030</v>
      </c>
      <c r="F21" s="702">
        <v>94030</v>
      </c>
      <c r="G21" s="704">
        <v>0</v>
      </c>
    </row>
    <row r="22" spans="1:7" ht="25.5">
      <c r="A22" s="195" t="s">
        <v>36</v>
      </c>
      <c r="B22" s="705">
        <v>80140</v>
      </c>
      <c r="C22" s="196" t="s">
        <v>56</v>
      </c>
      <c r="D22" s="706">
        <v>0</v>
      </c>
      <c r="E22" s="706">
        <v>169270</v>
      </c>
      <c r="F22" s="706">
        <v>169270</v>
      </c>
      <c r="G22" s="706">
        <v>0</v>
      </c>
    </row>
    <row r="23" spans="1:7" ht="14.25" customHeight="1">
      <c r="A23" s="192" t="s">
        <v>37</v>
      </c>
      <c r="B23" s="705">
        <v>80142</v>
      </c>
      <c r="C23" s="196" t="s">
        <v>57</v>
      </c>
      <c r="D23" s="702">
        <v>0</v>
      </c>
      <c r="E23" s="702">
        <v>319147</v>
      </c>
      <c r="F23" s="702">
        <v>319147</v>
      </c>
      <c r="G23" s="702">
        <v>0</v>
      </c>
    </row>
    <row r="24" spans="1:7" ht="14.25" customHeight="1">
      <c r="A24" s="192" t="s">
        <v>38</v>
      </c>
      <c r="B24" s="705">
        <v>80144</v>
      </c>
      <c r="C24" s="196" t="s">
        <v>58</v>
      </c>
      <c r="D24" s="702">
        <v>0</v>
      </c>
      <c r="E24" s="702">
        <v>114800</v>
      </c>
      <c r="F24" s="702">
        <v>114800</v>
      </c>
      <c r="G24" s="702">
        <v>0</v>
      </c>
    </row>
    <row r="25" spans="1:7">
      <c r="A25" s="192" t="s">
        <v>39</v>
      </c>
      <c r="B25" s="705">
        <v>80148</v>
      </c>
      <c r="C25" s="194" t="s">
        <v>12</v>
      </c>
      <c r="D25" s="703">
        <v>370.05</v>
      </c>
      <c r="E25" s="703">
        <v>3479009</v>
      </c>
      <c r="F25" s="703">
        <v>3479379.05</v>
      </c>
      <c r="G25" s="703">
        <v>0</v>
      </c>
    </row>
    <row r="26" spans="1:7">
      <c r="A26" s="707"/>
      <c r="B26" s="197">
        <v>854</v>
      </c>
      <c r="C26" s="198"/>
      <c r="D26" s="708"/>
      <c r="E26" s="708"/>
      <c r="F26" s="708"/>
      <c r="G26" s="708"/>
    </row>
    <row r="27" spans="1:7" ht="25.5">
      <c r="A27" s="709" t="s">
        <v>30</v>
      </c>
      <c r="B27" s="199">
        <v>85406</v>
      </c>
      <c r="C27" s="200" t="s">
        <v>321</v>
      </c>
      <c r="D27" s="706">
        <v>0</v>
      </c>
      <c r="E27" s="706">
        <v>4960</v>
      </c>
      <c r="F27" s="706">
        <v>4960</v>
      </c>
      <c r="G27" s="706">
        <v>0</v>
      </c>
    </row>
    <row r="28" spans="1:7">
      <c r="A28" s="710" t="s">
        <v>31</v>
      </c>
      <c r="B28" s="700">
        <v>85410</v>
      </c>
      <c r="C28" s="194" t="s">
        <v>24</v>
      </c>
      <c r="D28" s="702">
        <v>10.42</v>
      </c>
      <c r="E28" s="702">
        <v>619650</v>
      </c>
      <c r="F28" s="702">
        <v>619660.42000000004</v>
      </c>
      <c r="G28" s="702">
        <v>0</v>
      </c>
    </row>
    <row r="29" spans="1:7" ht="26.25" customHeight="1">
      <c r="A29" s="709" t="s">
        <v>32</v>
      </c>
      <c r="B29" s="705">
        <v>85412</v>
      </c>
      <c r="C29" s="200" t="s">
        <v>59</v>
      </c>
      <c r="D29" s="706">
        <v>0</v>
      </c>
      <c r="E29" s="706">
        <v>19850</v>
      </c>
      <c r="F29" s="706">
        <v>19850</v>
      </c>
      <c r="G29" s="706">
        <v>0</v>
      </c>
    </row>
    <row r="30" spans="1:7">
      <c r="A30" s="710" t="s">
        <v>33</v>
      </c>
      <c r="B30" s="700">
        <v>85417</v>
      </c>
      <c r="C30" s="200" t="s">
        <v>60</v>
      </c>
      <c r="D30" s="702">
        <v>40</v>
      </c>
      <c r="E30" s="702">
        <v>103400</v>
      </c>
      <c r="F30" s="702">
        <v>103440</v>
      </c>
      <c r="G30" s="702">
        <v>0</v>
      </c>
    </row>
    <row r="31" spans="1:7">
      <c r="A31" s="711" t="s">
        <v>34</v>
      </c>
      <c r="B31" s="712">
        <v>85420</v>
      </c>
      <c r="C31" s="201" t="s">
        <v>61</v>
      </c>
      <c r="D31" s="713">
        <v>0</v>
      </c>
      <c r="E31" s="713">
        <v>28830</v>
      </c>
      <c r="F31" s="713">
        <v>28830</v>
      </c>
      <c r="G31" s="714">
        <v>0</v>
      </c>
    </row>
    <row r="32" spans="1:7" s="718" customFormat="1" ht="21.75" customHeight="1">
      <c r="A32" s="715"/>
      <c r="B32" s="715"/>
      <c r="C32" s="716" t="s">
        <v>62</v>
      </c>
      <c r="D32" s="717">
        <f>SUM(D16:D31)</f>
        <v>8887.9599999999991</v>
      </c>
      <c r="E32" s="717">
        <f>SUM(E16:E31)</f>
        <v>13026906.02</v>
      </c>
      <c r="F32" s="717">
        <f>SUM(F16:F31)</f>
        <v>13035793.979999999</v>
      </c>
      <c r="G32" s="717">
        <f>SUM(G16:G31)</f>
        <v>0</v>
      </c>
    </row>
    <row r="34" spans="1:3">
      <c r="A34" s="240"/>
      <c r="B34" s="240"/>
      <c r="C34" s="202"/>
    </row>
    <row r="35" spans="1:3">
      <c r="A35" s="240"/>
      <c r="B35" s="240"/>
      <c r="C35" s="202"/>
    </row>
    <row r="36" spans="1:3">
      <c r="A36" s="240"/>
      <c r="B36" s="240"/>
      <c r="C36" s="202"/>
    </row>
  </sheetData>
  <mergeCells count="6">
    <mergeCell ref="A6:G6"/>
    <mergeCell ref="A8:G8"/>
    <mergeCell ref="D10:D13"/>
    <mergeCell ref="G10:G13"/>
    <mergeCell ref="E11:E13"/>
    <mergeCell ref="F11:F13"/>
  </mergeCells>
  <pageMargins left="0.70866141732283472" right="0.70866141732283472" top="0.55118110236220474" bottom="0.74803149606299213" header="0.31496062992125984" footer="0.31496062992125984"/>
  <pageSetup paperSize="9" firstPageNumber="52" orientation="landscape" useFirstPageNumber="1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4B575-E70D-45E6-9ED0-A3A9AC196189}">
  <sheetPr>
    <tabColor rgb="FFFF99FF"/>
  </sheetPr>
  <dimension ref="A1:WVO200"/>
  <sheetViews>
    <sheetView zoomScale="130" zoomScaleNormal="130" workbookViewId="0"/>
  </sheetViews>
  <sheetFormatPr defaultRowHeight="15"/>
  <cols>
    <col min="1" max="1" width="3.7109375" style="697" customWidth="1"/>
    <col min="2" max="2" width="33.42578125" style="697" customWidth="1"/>
    <col min="3" max="3" width="8.5703125" style="697" customWidth="1"/>
    <col min="4" max="4" width="9.42578125" style="697" customWidth="1"/>
    <col min="5" max="5" width="8.140625" style="697" customWidth="1"/>
    <col min="6" max="6" width="13" style="624" customWidth="1"/>
    <col min="7" max="7" width="13.5703125" style="624" customWidth="1"/>
    <col min="8" max="8" width="9.140625" style="624"/>
    <col min="9" max="9" width="12.42578125" style="624" customWidth="1"/>
    <col min="10" max="76" width="9.140625" style="624"/>
    <col min="77" max="253" width="9.140625" style="697"/>
    <col min="254" max="254" width="5.28515625" style="697" customWidth="1"/>
    <col min="255" max="255" width="8" style="697" customWidth="1"/>
    <col min="256" max="256" width="5.85546875" style="697" customWidth="1"/>
    <col min="257" max="257" width="9.42578125" style="697" customWidth="1"/>
    <col min="258" max="258" width="11.28515625" style="697" customWidth="1"/>
    <col min="259" max="259" width="11" style="697" customWidth="1"/>
    <col min="260" max="260" width="13.140625" style="697" customWidth="1"/>
    <col min="261" max="261" width="11.7109375" style="697" customWidth="1"/>
    <col min="262" max="262" width="11.140625" style="697" customWidth="1"/>
    <col min="263" max="263" width="11.7109375" style="697" customWidth="1"/>
    <col min="264" max="509" width="9.140625" style="697"/>
    <col min="510" max="510" width="5.28515625" style="697" customWidth="1"/>
    <col min="511" max="511" width="8" style="697" customWidth="1"/>
    <col min="512" max="512" width="5.85546875" style="697" customWidth="1"/>
    <col min="513" max="513" width="9.42578125" style="697" customWidth="1"/>
    <col min="514" max="514" width="11.28515625" style="697" customWidth="1"/>
    <col min="515" max="515" width="11" style="697" customWidth="1"/>
    <col min="516" max="516" width="13.140625" style="697" customWidth="1"/>
    <col min="517" max="517" width="11.7109375" style="697" customWidth="1"/>
    <col min="518" max="518" width="11.140625" style="697" customWidth="1"/>
    <col min="519" max="519" width="11.7109375" style="697" customWidth="1"/>
    <col min="520" max="765" width="9.140625" style="697"/>
    <col min="766" max="766" width="5.28515625" style="697" customWidth="1"/>
    <col min="767" max="767" width="8" style="697" customWidth="1"/>
    <col min="768" max="768" width="5.85546875" style="697" customWidth="1"/>
    <col min="769" max="769" width="9.42578125" style="697" customWidth="1"/>
    <col min="770" max="770" width="11.28515625" style="697" customWidth="1"/>
    <col min="771" max="771" width="11" style="697" customWidth="1"/>
    <col min="772" max="772" width="13.140625" style="697" customWidth="1"/>
    <col min="773" max="773" width="11.7109375" style="697" customWidth="1"/>
    <col min="774" max="774" width="11.140625" style="697" customWidth="1"/>
    <col min="775" max="775" width="11.7109375" style="697" customWidth="1"/>
    <col min="776" max="1021" width="9.140625" style="697"/>
    <col min="1022" max="1022" width="5.28515625" style="697" customWidth="1"/>
    <col min="1023" max="1023" width="8" style="697" customWidth="1"/>
    <col min="1024" max="1024" width="5.85546875" style="697" customWidth="1"/>
    <col min="1025" max="1025" width="9.42578125" style="697" customWidth="1"/>
    <col min="1026" max="1026" width="11.28515625" style="697" customWidth="1"/>
    <col min="1027" max="1027" width="11" style="697" customWidth="1"/>
    <col min="1028" max="1028" width="13.140625" style="697" customWidth="1"/>
    <col min="1029" max="1029" width="11.7109375" style="697" customWidth="1"/>
    <col min="1030" max="1030" width="11.140625" style="697" customWidth="1"/>
    <col min="1031" max="1031" width="11.7109375" style="697" customWidth="1"/>
    <col min="1032" max="1277" width="9.140625" style="697"/>
    <col min="1278" max="1278" width="5.28515625" style="697" customWidth="1"/>
    <col min="1279" max="1279" width="8" style="697" customWidth="1"/>
    <col min="1280" max="1280" width="5.85546875" style="697" customWidth="1"/>
    <col min="1281" max="1281" width="9.42578125" style="697" customWidth="1"/>
    <col min="1282" max="1282" width="11.28515625" style="697" customWidth="1"/>
    <col min="1283" max="1283" width="11" style="697" customWidth="1"/>
    <col min="1284" max="1284" width="13.140625" style="697" customWidth="1"/>
    <col min="1285" max="1285" width="11.7109375" style="697" customWidth="1"/>
    <col min="1286" max="1286" width="11.140625" style="697" customWidth="1"/>
    <col min="1287" max="1287" width="11.7109375" style="697" customWidth="1"/>
    <col min="1288" max="1533" width="9.140625" style="697"/>
    <col min="1534" max="1534" width="5.28515625" style="697" customWidth="1"/>
    <col min="1535" max="1535" width="8" style="697" customWidth="1"/>
    <col min="1536" max="1536" width="5.85546875" style="697" customWidth="1"/>
    <col min="1537" max="1537" width="9.42578125" style="697" customWidth="1"/>
    <col min="1538" max="1538" width="11.28515625" style="697" customWidth="1"/>
    <col min="1539" max="1539" width="11" style="697" customWidth="1"/>
    <col min="1540" max="1540" width="13.140625" style="697" customWidth="1"/>
    <col min="1541" max="1541" width="11.7109375" style="697" customWidth="1"/>
    <col min="1542" max="1542" width="11.140625" style="697" customWidth="1"/>
    <col min="1543" max="1543" width="11.7109375" style="697" customWidth="1"/>
    <col min="1544" max="1789" width="9.140625" style="697"/>
    <col min="1790" max="1790" width="5.28515625" style="697" customWidth="1"/>
    <col min="1791" max="1791" width="8" style="697" customWidth="1"/>
    <col min="1792" max="1792" width="5.85546875" style="697" customWidth="1"/>
    <col min="1793" max="1793" width="9.42578125" style="697" customWidth="1"/>
    <col min="1794" max="1794" width="11.28515625" style="697" customWidth="1"/>
    <col min="1795" max="1795" width="11" style="697" customWidth="1"/>
    <col min="1796" max="1796" width="13.140625" style="697" customWidth="1"/>
    <col min="1797" max="1797" width="11.7109375" style="697" customWidth="1"/>
    <col min="1798" max="1798" width="11.140625" style="697" customWidth="1"/>
    <col min="1799" max="1799" width="11.7109375" style="697" customWidth="1"/>
    <col min="1800" max="2045" width="9.140625" style="697"/>
    <col min="2046" max="2046" width="5.28515625" style="697" customWidth="1"/>
    <col min="2047" max="2047" width="8" style="697" customWidth="1"/>
    <col min="2048" max="2048" width="5.85546875" style="697" customWidth="1"/>
    <col min="2049" max="2049" width="9.42578125" style="697" customWidth="1"/>
    <col min="2050" max="2050" width="11.28515625" style="697" customWidth="1"/>
    <col min="2051" max="2051" width="11" style="697" customWidth="1"/>
    <col min="2052" max="2052" width="13.140625" style="697" customWidth="1"/>
    <col min="2053" max="2053" width="11.7109375" style="697" customWidth="1"/>
    <col min="2054" max="2054" width="11.140625" style="697" customWidth="1"/>
    <col min="2055" max="2055" width="11.7109375" style="697" customWidth="1"/>
    <col min="2056" max="2301" width="9.140625" style="697"/>
    <col min="2302" max="2302" width="5.28515625" style="697" customWidth="1"/>
    <col min="2303" max="2303" width="8" style="697" customWidth="1"/>
    <col min="2304" max="2304" width="5.85546875" style="697" customWidth="1"/>
    <col min="2305" max="2305" width="9.42578125" style="697" customWidth="1"/>
    <col min="2306" max="2306" width="11.28515625" style="697" customWidth="1"/>
    <col min="2307" max="2307" width="11" style="697" customWidth="1"/>
    <col min="2308" max="2308" width="13.140625" style="697" customWidth="1"/>
    <col min="2309" max="2309" width="11.7109375" style="697" customWidth="1"/>
    <col min="2310" max="2310" width="11.140625" style="697" customWidth="1"/>
    <col min="2311" max="2311" width="11.7109375" style="697" customWidth="1"/>
    <col min="2312" max="2557" width="9.140625" style="697"/>
    <col min="2558" max="2558" width="5.28515625" style="697" customWidth="1"/>
    <col min="2559" max="2559" width="8" style="697" customWidth="1"/>
    <col min="2560" max="2560" width="5.85546875" style="697" customWidth="1"/>
    <col min="2561" max="2561" width="9.42578125" style="697" customWidth="1"/>
    <col min="2562" max="2562" width="11.28515625" style="697" customWidth="1"/>
    <col min="2563" max="2563" width="11" style="697" customWidth="1"/>
    <col min="2564" max="2564" width="13.140625" style="697" customWidth="1"/>
    <col min="2565" max="2565" width="11.7109375" style="697" customWidth="1"/>
    <col min="2566" max="2566" width="11.140625" style="697" customWidth="1"/>
    <col min="2567" max="2567" width="11.7109375" style="697" customWidth="1"/>
    <col min="2568" max="2813" width="9.140625" style="697"/>
    <col min="2814" max="2814" width="5.28515625" style="697" customWidth="1"/>
    <col min="2815" max="2815" width="8" style="697" customWidth="1"/>
    <col min="2816" max="2816" width="5.85546875" style="697" customWidth="1"/>
    <col min="2817" max="2817" width="9.42578125" style="697" customWidth="1"/>
    <col min="2818" max="2818" width="11.28515625" style="697" customWidth="1"/>
    <col min="2819" max="2819" width="11" style="697" customWidth="1"/>
    <col min="2820" max="2820" width="13.140625" style="697" customWidth="1"/>
    <col min="2821" max="2821" width="11.7109375" style="697" customWidth="1"/>
    <col min="2822" max="2822" width="11.140625" style="697" customWidth="1"/>
    <col min="2823" max="2823" width="11.7109375" style="697" customWidth="1"/>
    <col min="2824" max="3069" width="9.140625" style="697"/>
    <col min="3070" max="3070" width="5.28515625" style="697" customWidth="1"/>
    <col min="3071" max="3071" width="8" style="697" customWidth="1"/>
    <col min="3072" max="3072" width="5.85546875" style="697" customWidth="1"/>
    <col min="3073" max="3073" width="9.42578125" style="697" customWidth="1"/>
    <col min="3074" max="3074" width="11.28515625" style="697" customWidth="1"/>
    <col min="3075" max="3075" width="11" style="697" customWidth="1"/>
    <col min="3076" max="3076" width="13.140625" style="697" customWidth="1"/>
    <col min="3077" max="3077" width="11.7109375" style="697" customWidth="1"/>
    <col min="3078" max="3078" width="11.140625" style="697" customWidth="1"/>
    <col min="3079" max="3079" width="11.7109375" style="697" customWidth="1"/>
    <col min="3080" max="3325" width="9.140625" style="697"/>
    <col min="3326" max="3326" width="5.28515625" style="697" customWidth="1"/>
    <col min="3327" max="3327" width="8" style="697" customWidth="1"/>
    <col min="3328" max="3328" width="5.85546875" style="697" customWidth="1"/>
    <col min="3329" max="3329" width="9.42578125" style="697" customWidth="1"/>
    <col min="3330" max="3330" width="11.28515625" style="697" customWidth="1"/>
    <col min="3331" max="3331" width="11" style="697" customWidth="1"/>
    <col min="3332" max="3332" width="13.140625" style="697" customWidth="1"/>
    <col min="3333" max="3333" width="11.7109375" style="697" customWidth="1"/>
    <col min="3334" max="3334" width="11.140625" style="697" customWidth="1"/>
    <col min="3335" max="3335" width="11.7109375" style="697" customWidth="1"/>
    <col min="3336" max="3581" width="9.140625" style="697"/>
    <col min="3582" max="3582" width="5.28515625" style="697" customWidth="1"/>
    <col min="3583" max="3583" width="8" style="697" customWidth="1"/>
    <col min="3584" max="3584" width="5.85546875" style="697" customWidth="1"/>
    <col min="3585" max="3585" width="9.42578125" style="697" customWidth="1"/>
    <col min="3586" max="3586" width="11.28515625" style="697" customWidth="1"/>
    <col min="3587" max="3587" width="11" style="697" customWidth="1"/>
    <col min="3588" max="3588" width="13.140625" style="697" customWidth="1"/>
    <col min="3589" max="3589" width="11.7109375" style="697" customWidth="1"/>
    <col min="3590" max="3590" width="11.140625" style="697" customWidth="1"/>
    <col min="3591" max="3591" width="11.7109375" style="697" customWidth="1"/>
    <col min="3592" max="3837" width="9.140625" style="697"/>
    <col min="3838" max="3838" width="5.28515625" style="697" customWidth="1"/>
    <col min="3839" max="3839" width="8" style="697" customWidth="1"/>
    <col min="3840" max="3840" width="5.85546875" style="697" customWidth="1"/>
    <col min="3841" max="3841" width="9.42578125" style="697" customWidth="1"/>
    <col min="3842" max="3842" width="11.28515625" style="697" customWidth="1"/>
    <col min="3843" max="3843" width="11" style="697" customWidth="1"/>
    <col min="3844" max="3844" width="13.140625" style="697" customWidth="1"/>
    <col min="3845" max="3845" width="11.7109375" style="697" customWidth="1"/>
    <col min="3846" max="3846" width="11.140625" style="697" customWidth="1"/>
    <col min="3847" max="3847" width="11.7109375" style="697" customWidth="1"/>
    <col min="3848" max="4093" width="9.140625" style="697"/>
    <col min="4094" max="4094" width="5.28515625" style="697" customWidth="1"/>
    <col min="4095" max="4095" width="8" style="697" customWidth="1"/>
    <col min="4096" max="4096" width="5.85546875" style="697" customWidth="1"/>
    <col min="4097" max="4097" width="9.42578125" style="697" customWidth="1"/>
    <col min="4098" max="4098" width="11.28515625" style="697" customWidth="1"/>
    <col min="4099" max="4099" width="11" style="697" customWidth="1"/>
    <col min="4100" max="4100" width="13.140625" style="697" customWidth="1"/>
    <col min="4101" max="4101" width="11.7109375" style="697" customWidth="1"/>
    <col min="4102" max="4102" width="11.140625" style="697" customWidth="1"/>
    <col min="4103" max="4103" width="11.7109375" style="697" customWidth="1"/>
    <col min="4104" max="4349" width="9.140625" style="697"/>
    <col min="4350" max="4350" width="5.28515625" style="697" customWidth="1"/>
    <col min="4351" max="4351" width="8" style="697" customWidth="1"/>
    <col min="4352" max="4352" width="5.85546875" style="697" customWidth="1"/>
    <col min="4353" max="4353" width="9.42578125" style="697" customWidth="1"/>
    <col min="4354" max="4354" width="11.28515625" style="697" customWidth="1"/>
    <col min="4355" max="4355" width="11" style="697" customWidth="1"/>
    <col min="4356" max="4356" width="13.140625" style="697" customWidth="1"/>
    <col min="4357" max="4357" width="11.7109375" style="697" customWidth="1"/>
    <col min="4358" max="4358" width="11.140625" style="697" customWidth="1"/>
    <col min="4359" max="4359" width="11.7109375" style="697" customWidth="1"/>
    <col min="4360" max="4605" width="9.140625" style="697"/>
    <col min="4606" max="4606" width="5.28515625" style="697" customWidth="1"/>
    <col min="4607" max="4607" width="8" style="697" customWidth="1"/>
    <col min="4608" max="4608" width="5.85546875" style="697" customWidth="1"/>
    <col min="4609" max="4609" width="9.42578125" style="697" customWidth="1"/>
    <col min="4610" max="4610" width="11.28515625" style="697" customWidth="1"/>
    <col min="4611" max="4611" width="11" style="697" customWidth="1"/>
    <col min="4612" max="4612" width="13.140625" style="697" customWidth="1"/>
    <col min="4613" max="4613" width="11.7109375" style="697" customWidth="1"/>
    <col min="4614" max="4614" width="11.140625" style="697" customWidth="1"/>
    <col min="4615" max="4615" width="11.7109375" style="697" customWidth="1"/>
    <col min="4616" max="4861" width="9.140625" style="697"/>
    <col min="4862" max="4862" width="5.28515625" style="697" customWidth="1"/>
    <col min="4863" max="4863" width="8" style="697" customWidth="1"/>
    <col min="4864" max="4864" width="5.85546875" style="697" customWidth="1"/>
    <col min="4865" max="4865" width="9.42578125" style="697" customWidth="1"/>
    <col min="4866" max="4866" width="11.28515625" style="697" customWidth="1"/>
    <col min="4867" max="4867" width="11" style="697" customWidth="1"/>
    <col min="4868" max="4868" width="13.140625" style="697" customWidth="1"/>
    <col min="4869" max="4869" width="11.7109375" style="697" customWidth="1"/>
    <col min="4870" max="4870" width="11.140625" style="697" customWidth="1"/>
    <col min="4871" max="4871" width="11.7109375" style="697" customWidth="1"/>
    <col min="4872" max="5117" width="9.140625" style="697"/>
    <col min="5118" max="5118" width="5.28515625" style="697" customWidth="1"/>
    <col min="5119" max="5119" width="8" style="697" customWidth="1"/>
    <col min="5120" max="5120" width="5.85546875" style="697" customWidth="1"/>
    <col min="5121" max="5121" width="9.42578125" style="697" customWidth="1"/>
    <col min="5122" max="5122" width="11.28515625" style="697" customWidth="1"/>
    <col min="5123" max="5123" width="11" style="697" customWidth="1"/>
    <col min="5124" max="5124" width="13.140625" style="697" customWidth="1"/>
    <col min="5125" max="5125" width="11.7109375" style="697" customWidth="1"/>
    <col min="5126" max="5126" width="11.140625" style="697" customWidth="1"/>
    <col min="5127" max="5127" width="11.7109375" style="697" customWidth="1"/>
    <col min="5128" max="5373" width="9.140625" style="697"/>
    <col min="5374" max="5374" width="5.28515625" style="697" customWidth="1"/>
    <col min="5375" max="5375" width="8" style="697" customWidth="1"/>
    <col min="5376" max="5376" width="5.85546875" style="697" customWidth="1"/>
    <col min="5377" max="5377" width="9.42578125" style="697" customWidth="1"/>
    <col min="5378" max="5378" width="11.28515625" style="697" customWidth="1"/>
    <col min="5379" max="5379" width="11" style="697" customWidth="1"/>
    <col min="5380" max="5380" width="13.140625" style="697" customWidth="1"/>
    <col min="5381" max="5381" width="11.7109375" style="697" customWidth="1"/>
    <col min="5382" max="5382" width="11.140625" style="697" customWidth="1"/>
    <col min="5383" max="5383" width="11.7109375" style="697" customWidth="1"/>
    <col min="5384" max="5629" width="9.140625" style="697"/>
    <col min="5630" max="5630" width="5.28515625" style="697" customWidth="1"/>
    <col min="5631" max="5631" width="8" style="697" customWidth="1"/>
    <col min="5632" max="5632" width="5.85546875" style="697" customWidth="1"/>
    <col min="5633" max="5633" width="9.42578125" style="697" customWidth="1"/>
    <col min="5634" max="5634" width="11.28515625" style="697" customWidth="1"/>
    <col min="5635" max="5635" width="11" style="697" customWidth="1"/>
    <col min="5636" max="5636" width="13.140625" style="697" customWidth="1"/>
    <col min="5637" max="5637" width="11.7109375" style="697" customWidth="1"/>
    <col min="5638" max="5638" width="11.140625" style="697" customWidth="1"/>
    <col min="5639" max="5639" width="11.7109375" style="697" customWidth="1"/>
    <col min="5640" max="5885" width="9.140625" style="697"/>
    <col min="5886" max="5886" width="5.28515625" style="697" customWidth="1"/>
    <col min="5887" max="5887" width="8" style="697" customWidth="1"/>
    <col min="5888" max="5888" width="5.85546875" style="697" customWidth="1"/>
    <col min="5889" max="5889" width="9.42578125" style="697" customWidth="1"/>
    <col min="5890" max="5890" width="11.28515625" style="697" customWidth="1"/>
    <col min="5891" max="5891" width="11" style="697" customWidth="1"/>
    <col min="5892" max="5892" width="13.140625" style="697" customWidth="1"/>
    <col min="5893" max="5893" width="11.7109375" style="697" customWidth="1"/>
    <col min="5894" max="5894" width="11.140625" style="697" customWidth="1"/>
    <col min="5895" max="5895" width="11.7109375" style="697" customWidth="1"/>
    <col min="5896" max="6141" width="9.140625" style="697"/>
    <col min="6142" max="6142" width="5.28515625" style="697" customWidth="1"/>
    <col min="6143" max="6143" width="8" style="697" customWidth="1"/>
    <col min="6144" max="6144" width="5.85546875" style="697" customWidth="1"/>
    <col min="6145" max="6145" width="9.42578125" style="697" customWidth="1"/>
    <col min="6146" max="6146" width="11.28515625" style="697" customWidth="1"/>
    <col min="6147" max="6147" width="11" style="697" customWidth="1"/>
    <col min="6148" max="6148" width="13.140625" style="697" customWidth="1"/>
    <col min="6149" max="6149" width="11.7109375" style="697" customWidth="1"/>
    <col min="6150" max="6150" width="11.140625" style="697" customWidth="1"/>
    <col min="6151" max="6151" width="11.7109375" style="697" customWidth="1"/>
    <col min="6152" max="6397" width="9.140625" style="697"/>
    <col min="6398" max="6398" width="5.28515625" style="697" customWidth="1"/>
    <col min="6399" max="6399" width="8" style="697" customWidth="1"/>
    <col min="6400" max="6400" width="5.85546875" style="697" customWidth="1"/>
    <col min="6401" max="6401" width="9.42578125" style="697" customWidth="1"/>
    <col min="6402" max="6402" width="11.28515625" style="697" customWidth="1"/>
    <col min="6403" max="6403" width="11" style="697" customWidth="1"/>
    <col min="6404" max="6404" width="13.140625" style="697" customWidth="1"/>
    <col min="6405" max="6405" width="11.7109375" style="697" customWidth="1"/>
    <col min="6406" max="6406" width="11.140625" style="697" customWidth="1"/>
    <col min="6407" max="6407" width="11.7109375" style="697" customWidth="1"/>
    <col min="6408" max="6653" width="9.140625" style="697"/>
    <col min="6654" max="6654" width="5.28515625" style="697" customWidth="1"/>
    <col min="6655" max="6655" width="8" style="697" customWidth="1"/>
    <col min="6656" max="6656" width="5.85546875" style="697" customWidth="1"/>
    <col min="6657" max="6657" width="9.42578125" style="697" customWidth="1"/>
    <col min="6658" max="6658" width="11.28515625" style="697" customWidth="1"/>
    <col min="6659" max="6659" width="11" style="697" customWidth="1"/>
    <col min="6660" max="6660" width="13.140625" style="697" customWidth="1"/>
    <col min="6661" max="6661" width="11.7109375" style="697" customWidth="1"/>
    <col min="6662" max="6662" width="11.140625" style="697" customWidth="1"/>
    <col min="6663" max="6663" width="11.7109375" style="697" customWidth="1"/>
    <col min="6664" max="6909" width="9.140625" style="697"/>
    <col min="6910" max="6910" width="5.28515625" style="697" customWidth="1"/>
    <col min="6911" max="6911" width="8" style="697" customWidth="1"/>
    <col min="6912" max="6912" width="5.85546875" style="697" customWidth="1"/>
    <col min="6913" max="6913" width="9.42578125" style="697" customWidth="1"/>
    <col min="6914" max="6914" width="11.28515625" style="697" customWidth="1"/>
    <col min="6915" max="6915" width="11" style="697" customWidth="1"/>
    <col min="6916" max="6916" width="13.140625" style="697" customWidth="1"/>
    <col min="6917" max="6917" width="11.7109375" style="697" customWidth="1"/>
    <col min="6918" max="6918" width="11.140625" style="697" customWidth="1"/>
    <col min="6919" max="6919" width="11.7109375" style="697" customWidth="1"/>
    <col min="6920" max="7165" width="9.140625" style="697"/>
    <col min="7166" max="7166" width="5.28515625" style="697" customWidth="1"/>
    <col min="7167" max="7167" width="8" style="697" customWidth="1"/>
    <col min="7168" max="7168" width="5.85546875" style="697" customWidth="1"/>
    <col min="7169" max="7169" width="9.42578125" style="697" customWidth="1"/>
    <col min="7170" max="7170" width="11.28515625" style="697" customWidth="1"/>
    <col min="7171" max="7171" width="11" style="697" customWidth="1"/>
    <col min="7172" max="7172" width="13.140625" style="697" customWidth="1"/>
    <col min="7173" max="7173" width="11.7109375" style="697" customWidth="1"/>
    <col min="7174" max="7174" width="11.140625" style="697" customWidth="1"/>
    <col min="7175" max="7175" width="11.7109375" style="697" customWidth="1"/>
    <col min="7176" max="7421" width="9.140625" style="697"/>
    <col min="7422" max="7422" width="5.28515625" style="697" customWidth="1"/>
    <col min="7423" max="7423" width="8" style="697" customWidth="1"/>
    <col min="7424" max="7424" width="5.85546875" style="697" customWidth="1"/>
    <col min="7425" max="7425" width="9.42578125" style="697" customWidth="1"/>
    <col min="7426" max="7426" width="11.28515625" style="697" customWidth="1"/>
    <col min="7427" max="7427" width="11" style="697" customWidth="1"/>
    <col min="7428" max="7428" width="13.140625" style="697" customWidth="1"/>
    <col min="7429" max="7429" width="11.7109375" style="697" customWidth="1"/>
    <col min="7430" max="7430" width="11.140625" style="697" customWidth="1"/>
    <col min="7431" max="7431" width="11.7109375" style="697" customWidth="1"/>
    <col min="7432" max="7677" width="9.140625" style="697"/>
    <col min="7678" max="7678" width="5.28515625" style="697" customWidth="1"/>
    <col min="7679" max="7679" width="8" style="697" customWidth="1"/>
    <col min="7680" max="7680" width="5.85546875" style="697" customWidth="1"/>
    <col min="7681" max="7681" width="9.42578125" style="697" customWidth="1"/>
    <col min="7682" max="7682" width="11.28515625" style="697" customWidth="1"/>
    <col min="7683" max="7683" width="11" style="697" customWidth="1"/>
    <col min="7684" max="7684" width="13.140625" style="697" customWidth="1"/>
    <col min="7685" max="7685" width="11.7109375" style="697" customWidth="1"/>
    <col min="7686" max="7686" width="11.140625" style="697" customWidth="1"/>
    <col min="7687" max="7687" width="11.7109375" style="697" customWidth="1"/>
    <col min="7688" max="7933" width="9.140625" style="697"/>
    <col min="7934" max="7934" width="5.28515625" style="697" customWidth="1"/>
    <col min="7935" max="7935" width="8" style="697" customWidth="1"/>
    <col min="7936" max="7936" width="5.85546875" style="697" customWidth="1"/>
    <col min="7937" max="7937" width="9.42578125" style="697" customWidth="1"/>
    <col min="7938" max="7938" width="11.28515625" style="697" customWidth="1"/>
    <col min="7939" max="7939" width="11" style="697" customWidth="1"/>
    <col min="7940" max="7940" width="13.140625" style="697" customWidth="1"/>
    <col min="7941" max="7941" width="11.7109375" style="697" customWidth="1"/>
    <col min="7942" max="7942" width="11.140625" style="697" customWidth="1"/>
    <col min="7943" max="7943" width="11.7109375" style="697" customWidth="1"/>
    <col min="7944" max="8189" width="9.140625" style="697"/>
    <col min="8190" max="8190" width="5.28515625" style="697" customWidth="1"/>
    <col min="8191" max="8191" width="8" style="697" customWidth="1"/>
    <col min="8192" max="8192" width="5.85546875" style="697" customWidth="1"/>
    <col min="8193" max="8193" width="9.42578125" style="697" customWidth="1"/>
    <col min="8194" max="8194" width="11.28515625" style="697" customWidth="1"/>
    <col min="8195" max="8195" width="11" style="697" customWidth="1"/>
    <col min="8196" max="8196" width="13.140625" style="697" customWidth="1"/>
    <col min="8197" max="8197" width="11.7109375" style="697" customWidth="1"/>
    <col min="8198" max="8198" width="11.140625" style="697" customWidth="1"/>
    <col min="8199" max="8199" width="11.7109375" style="697" customWidth="1"/>
    <col min="8200" max="8445" width="9.140625" style="697"/>
    <col min="8446" max="8446" width="5.28515625" style="697" customWidth="1"/>
    <col min="8447" max="8447" width="8" style="697" customWidth="1"/>
    <col min="8448" max="8448" width="5.85546875" style="697" customWidth="1"/>
    <col min="8449" max="8449" width="9.42578125" style="697" customWidth="1"/>
    <col min="8450" max="8450" width="11.28515625" style="697" customWidth="1"/>
    <col min="8451" max="8451" width="11" style="697" customWidth="1"/>
    <col min="8452" max="8452" width="13.140625" style="697" customWidth="1"/>
    <col min="8453" max="8453" width="11.7109375" style="697" customWidth="1"/>
    <col min="8454" max="8454" width="11.140625" style="697" customWidth="1"/>
    <col min="8455" max="8455" width="11.7109375" style="697" customWidth="1"/>
    <col min="8456" max="8701" width="9.140625" style="697"/>
    <col min="8702" max="8702" width="5.28515625" style="697" customWidth="1"/>
    <col min="8703" max="8703" width="8" style="697" customWidth="1"/>
    <col min="8704" max="8704" width="5.85546875" style="697" customWidth="1"/>
    <col min="8705" max="8705" width="9.42578125" style="697" customWidth="1"/>
    <col min="8706" max="8706" width="11.28515625" style="697" customWidth="1"/>
    <col min="8707" max="8707" width="11" style="697" customWidth="1"/>
    <col min="8708" max="8708" width="13.140625" style="697" customWidth="1"/>
    <col min="8709" max="8709" width="11.7109375" style="697" customWidth="1"/>
    <col min="8710" max="8710" width="11.140625" style="697" customWidth="1"/>
    <col min="8711" max="8711" width="11.7109375" style="697" customWidth="1"/>
    <col min="8712" max="8957" width="9.140625" style="697"/>
    <col min="8958" max="8958" width="5.28515625" style="697" customWidth="1"/>
    <col min="8959" max="8959" width="8" style="697" customWidth="1"/>
    <col min="8960" max="8960" width="5.85546875" style="697" customWidth="1"/>
    <col min="8961" max="8961" width="9.42578125" style="697" customWidth="1"/>
    <col min="8962" max="8962" width="11.28515625" style="697" customWidth="1"/>
    <col min="8963" max="8963" width="11" style="697" customWidth="1"/>
    <col min="8964" max="8964" width="13.140625" style="697" customWidth="1"/>
    <col min="8965" max="8965" width="11.7109375" style="697" customWidth="1"/>
    <col min="8966" max="8966" width="11.140625" style="697" customWidth="1"/>
    <col min="8967" max="8967" width="11.7109375" style="697" customWidth="1"/>
    <col min="8968" max="9213" width="9.140625" style="697"/>
    <col min="9214" max="9214" width="5.28515625" style="697" customWidth="1"/>
    <col min="9215" max="9215" width="8" style="697" customWidth="1"/>
    <col min="9216" max="9216" width="5.85546875" style="697" customWidth="1"/>
    <col min="9217" max="9217" width="9.42578125" style="697" customWidth="1"/>
    <col min="9218" max="9218" width="11.28515625" style="697" customWidth="1"/>
    <col min="9219" max="9219" width="11" style="697" customWidth="1"/>
    <col min="9220" max="9220" width="13.140625" style="697" customWidth="1"/>
    <col min="9221" max="9221" width="11.7109375" style="697" customWidth="1"/>
    <col min="9222" max="9222" width="11.140625" style="697" customWidth="1"/>
    <col min="9223" max="9223" width="11.7109375" style="697" customWidth="1"/>
    <col min="9224" max="9469" width="9.140625" style="697"/>
    <col min="9470" max="9470" width="5.28515625" style="697" customWidth="1"/>
    <col min="9471" max="9471" width="8" style="697" customWidth="1"/>
    <col min="9472" max="9472" width="5.85546875" style="697" customWidth="1"/>
    <col min="9473" max="9473" width="9.42578125" style="697" customWidth="1"/>
    <col min="9474" max="9474" width="11.28515625" style="697" customWidth="1"/>
    <col min="9475" max="9475" width="11" style="697" customWidth="1"/>
    <col min="9476" max="9476" width="13.140625" style="697" customWidth="1"/>
    <col min="9477" max="9477" width="11.7109375" style="697" customWidth="1"/>
    <col min="9478" max="9478" width="11.140625" style="697" customWidth="1"/>
    <col min="9479" max="9479" width="11.7109375" style="697" customWidth="1"/>
    <col min="9480" max="9725" width="9.140625" style="697"/>
    <col min="9726" max="9726" width="5.28515625" style="697" customWidth="1"/>
    <col min="9727" max="9727" width="8" style="697" customWidth="1"/>
    <col min="9728" max="9728" width="5.85546875" style="697" customWidth="1"/>
    <col min="9729" max="9729" width="9.42578125" style="697" customWidth="1"/>
    <col min="9730" max="9730" width="11.28515625" style="697" customWidth="1"/>
    <col min="9731" max="9731" width="11" style="697" customWidth="1"/>
    <col min="9732" max="9732" width="13.140625" style="697" customWidth="1"/>
    <col min="9733" max="9733" width="11.7109375" style="697" customWidth="1"/>
    <col min="9734" max="9734" width="11.140625" style="697" customWidth="1"/>
    <col min="9735" max="9735" width="11.7109375" style="697" customWidth="1"/>
    <col min="9736" max="9981" width="9.140625" style="697"/>
    <col min="9982" max="9982" width="5.28515625" style="697" customWidth="1"/>
    <col min="9983" max="9983" width="8" style="697" customWidth="1"/>
    <col min="9984" max="9984" width="5.85546875" style="697" customWidth="1"/>
    <col min="9985" max="9985" width="9.42578125" style="697" customWidth="1"/>
    <col min="9986" max="9986" width="11.28515625" style="697" customWidth="1"/>
    <col min="9987" max="9987" width="11" style="697" customWidth="1"/>
    <col min="9988" max="9988" width="13.140625" style="697" customWidth="1"/>
    <col min="9989" max="9989" width="11.7109375" style="697" customWidth="1"/>
    <col min="9990" max="9990" width="11.140625" style="697" customWidth="1"/>
    <col min="9991" max="9991" width="11.7109375" style="697" customWidth="1"/>
    <col min="9992" max="10237" width="9.140625" style="697"/>
    <col min="10238" max="10238" width="5.28515625" style="697" customWidth="1"/>
    <col min="10239" max="10239" width="8" style="697" customWidth="1"/>
    <col min="10240" max="10240" width="5.85546875" style="697" customWidth="1"/>
    <col min="10241" max="10241" width="9.42578125" style="697" customWidth="1"/>
    <col min="10242" max="10242" width="11.28515625" style="697" customWidth="1"/>
    <col min="10243" max="10243" width="11" style="697" customWidth="1"/>
    <col min="10244" max="10244" width="13.140625" style="697" customWidth="1"/>
    <col min="10245" max="10245" width="11.7109375" style="697" customWidth="1"/>
    <col min="10246" max="10246" width="11.140625" style="697" customWidth="1"/>
    <col min="10247" max="10247" width="11.7109375" style="697" customWidth="1"/>
    <col min="10248" max="10493" width="9.140625" style="697"/>
    <col min="10494" max="10494" width="5.28515625" style="697" customWidth="1"/>
    <col min="10495" max="10495" width="8" style="697" customWidth="1"/>
    <col min="10496" max="10496" width="5.85546875" style="697" customWidth="1"/>
    <col min="10497" max="10497" width="9.42578125" style="697" customWidth="1"/>
    <col min="10498" max="10498" width="11.28515625" style="697" customWidth="1"/>
    <col min="10499" max="10499" width="11" style="697" customWidth="1"/>
    <col min="10500" max="10500" width="13.140625" style="697" customWidth="1"/>
    <col min="10501" max="10501" width="11.7109375" style="697" customWidth="1"/>
    <col min="10502" max="10502" width="11.140625" style="697" customWidth="1"/>
    <col min="10503" max="10503" width="11.7109375" style="697" customWidth="1"/>
    <col min="10504" max="10749" width="9.140625" style="697"/>
    <col min="10750" max="10750" width="5.28515625" style="697" customWidth="1"/>
    <col min="10751" max="10751" width="8" style="697" customWidth="1"/>
    <col min="10752" max="10752" width="5.85546875" style="697" customWidth="1"/>
    <col min="10753" max="10753" width="9.42578125" style="697" customWidth="1"/>
    <col min="10754" max="10754" width="11.28515625" style="697" customWidth="1"/>
    <col min="10755" max="10755" width="11" style="697" customWidth="1"/>
    <col min="10756" max="10756" width="13.140625" style="697" customWidth="1"/>
    <col min="10757" max="10757" width="11.7109375" style="697" customWidth="1"/>
    <col min="10758" max="10758" width="11.140625" style="697" customWidth="1"/>
    <col min="10759" max="10759" width="11.7109375" style="697" customWidth="1"/>
    <col min="10760" max="11005" width="9.140625" style="697"/>
    <col min="11006" max="11006" width="5.28515625" style="697" customWidth="1"/>
    <col min="11007" max="11007" width="8" style="697" customWidth="1"/>
    <col min="11008" max="11008" width="5.85546875" style="697" customWidth="1"/>
    <col min="11009" max="11009" width="9.42578125" style="697" customWidth="1"/>
    <col min="11010" max="11010" width="11.28515625" style="697" customWidth="1"/>
    <col min="11011" max="11011" width="11" style="697" customWidth="1"/>
    <col min="11012" max="11012" width="13.140625" style="697" customWidth="1"/>
    <col min="11013" max="11013" width="11.7109375" style="697" customWidth="1"/>
    <col min="11014" max="11014" width="11.140625" style="697" customWidth="1"/>
    <col min="11015" max="11015" width="11.7109375" style="697" customWidth="1"/>
    <col min="11016" max="11261" width="9.140625" style="697"/>
    <col min="11262" max="11262" width="5.28515625" style="697" customWidth="1"/>
    <col min="11263" max="11263" width="8" style="697" customWidth="1"/>
    <col min="11264" max="11264" width="5.85546875" style="697" customWidth="1"/>
    <col min="11265" max="11265" width="9.42578125" style="697" customWidth="1"/>
    <col min="11266" max="11266" width="11.28515625" style="697" customWidth="1"/>
    <col min="11267" max="11267" width="11" style="697" customWidth="1"/>
    <col min="11268" max="11268" width="13.140625" style="697" customWidth="1"/>
    <col min="11269" max="11269" width="11.7109375" style="697" customWidth="1"/>
    <col min="11270" max="11270" width="11.140625" style="697" customWidth="1"/>
    <col min="11271" max="11271" width="11.7109375" style="697" customWidth="1"/>
    <col min="11272" max="11517" width="9.140625" style="697"/>
    <col min="11518" max="11518" width="5.28515625" style="697" customWidth="1"/>
    <col min="11519" max="11519" width="8" style="697" customWidth="1"/>
    <col min="11520" max="11520" width="5.85546875" style="697" customWidth="1"/>
    <col min="11521" max="11521" width="9.42578125" style="697" customWidth="1"/>
    <col min="11522" max="11522" width="11.28515625" style="697" customWidth="1"/>
    <col min="11523" max="11523" width="11" style="697" customWidth="1"/>
    <col min="11524" max="11524" width="13.140625" style="697" customWidth="1"/>
    <col min="11525" max="11525" width="11.7109375" style="697" customWidth="1"/>
    <col min="11526" max="11526" width="11.140625" style="697" customWidth="1"/>
    <col min="11527" max="11527" width="11.7109375" style="697" customWidth="1"/>
    <col min="11528" max="11773" width="9.140625" style="697"/>
    <col min="11774" max="11774" width="5.28515625" style="697" customWidth="1"/>
    <col min="11775" max="11775" width="8" style="697" customWidth="1"/>
    <col min="11776" max="11776" width="5.85546875" style="697" customWidth="1"/>
    <col min="11777" max="11777" width="9.42578125" style="697" customWidth="1"/>
    <col min="11778" max="11778" width="11.28515625" style="697" customWidth="1"/>
    <col min="11779" max="11779" width="11" style="697" customWidth="1"/>
    <col min="11780" max="11780" width="13.140625" style="697" customWidth="1"/>
    <col min="11781" max="11781" width="11.7109375" style="697" customWidth="1"/>
    <col min="11782" max="11782" width="11.140625" style="697" customWidth="1"/>
    <col min="11783" max="11783" width="11.7109375" style="697" customWidth="1"/>
    <col min="11784" max="12029" width="9.140625" style="697"/>
    <col min="12030" max="12030" width="5.28515625" style="697" customWidth="1"/>
    <col min="12031" max="12031" width="8" style="697" customWidth="1"/>
    <col min="12032" max="12032" width="5.85546875" style="697" customWidth="1"/>
    <col min="12033" max="12033" width="9.42578125" style="697" customWidth="1"/>
    <col min="12034" max="12034" width="11.28515625" style="697" customWidth="1"/>
    <col min="12035" max="12035" width="11" style="697" customWidth="1"/>
    <col min="12036" max="12036" width="13.140625" style="697" customWidth="1"/>
    <col min="12037" max="12037" width="11.7109375" style="697" customWidth="1"/>
    <col min="12038" max="12038" width="11.140625" style="697" customWidth="1"/>
    <col min="12039" max="12039" width="11.7109375" style="697" customWidth="1"/>
    <col min="12040" max="12285" width="9.140625" style="697"/>
    <col min="12286" max="12286" width="5.28515625" style="697" customWidth="1"/>
    <col min="12287" max="12287" width="8" style="697" customWidth="1"/>
    <col min="12288" max="12288" width="5.85546875" style="697" customWidth="1"/>
    <col min="12289" max="12289" width="9.42578125" style="697" customWidth="1"/>
    <col min="12290" max="12290" width="11.28515625" style="697" customWidth="1"/>
    <col min="12291" max="12291" width="11" style="697" customWidth="1"/>
    <col min="12292" max="12292" width="13.140625" style="697" customWidth="1"/>
    <col min="12293" max="12293" width="11.7109375" style="697" customWidth="1"/>
    <col min="12294" max="12294" width="11.140625" style="697" customWidth="1"/>
    <col min="12295" max="12295" width="11.7109375" style="697" customWidth="1"/>
    <col min="12296" max="12541" width="9.140625" style="697"/>
    <col min="12542" max="12542" width="5.28515625" style="697" customWidth="1"/>
    <col min="12543" max="12543" width="8" style="697" customWidth="1"/>
    <col min="12544" max="12544" width="5.85546875" style="697" customWidth="1"/>
    <col min="12545" max="12545" width="9.42578125" style="697" customWidth="1"/>
    <col min="12546" max="12546" width="11.28515625" style="697" customWidth="1"/>
    <col min="12547" max="12547" width="11" style="697" customWidth="1"/>
    <col min="12548" max="12548" width="13.140625" style="697" customWidth="1"/>
    <col min="12549" max="12549" width="11.7109375" style="697" customWidth="1"/>
    <col min="12550" max="12550" width="11.140625" style="697" customWidth="1"/>
    <col min="12551" max="12551" width="11.7109375" style="697" customWidth="1"/>
    <col min="12552" max="12797" width="9.140625" style="697"/>
    <col min="12798" max="12798" width="5.28515625" style="697" customWidth="1"/>
    <col min="12799" max="12799" width="8" style="697" customWidth="1"/>
    <col min="12800" max="12800" width="5.85546875" style="697" customWidth="1"/>
    <col min="12801" max="12801" width="9.42578125" style="697" customWidth="1"/>
    <col min="12802" max="12802" width="11.28515625" style="697" customWidth="1"/>
    <col min="12803" max="12803" width="11" style="697" customWidth="1"/>
    <col min="12804" max="12804" width="13.140625" style="697" customWidth="1"/>
    <col min="12805" max="12805" width="11.7109375" style="697" customWidth="1"/>
    <col min="12806" max="12806" width="11.140625" style="697" customWidth="1"/>
    <col min="12807" max="12807" width="11.7109375" style="697" customWidth="1"/>
    <col min="12808" max="13053" width="9.140625" style="697"/>
    <col min="13054" max="13054" width="5.28515625" style="697" customWidth="1"/>
    <col min="13055" max="13055" width="8" style="697" customWidth="1"/>
    <col min="13056" max="13056" width="5.85546875" style="697" customWidth="1"/>
    <col min="13057" max="13057" width="9.42578125" style="697" customWidth="1"/>
    <col min="13058" max="13058" width="11.28515625" style="697" customWidth="1"/>
    <col min="13059" max="13059" width="11" style="697" customWidth="1"/>
    <col min="13060" max="13060" width="13.140625" style="697" customWidth="1"/>
    <col min="13061" max="13061" width="11.7109375" style="697" customWidth="1"/>
    <col min="13062" max="13062" width="11.140625" style="697" customWidth="1"/>
    <col min="13063" max="13063" width="11.7109375" style="697" customWidth="1"/>
    <col min="13064" max="13309" width="9.140625" style="697"/>
    <col min="13310" max="13310" width="5.28515625" style="697" customWidth="1"/>
    <col min="13311" max="13311" width="8" style="697" customWidth="1"/>
    <col min="13312" max="13312" width="5.85546875" style="697" customWidth="1"/>
    <col min="13313" max="13313" width="9.42578125" style="697" customWidth="1"/>
    <col min="13314" max="13314" width="11.28515625" style="697" customWidth="1"/>
    <col min="13315" max="13315" width="11" style="697" customWidth="1"/>
    <col min="13316" max="13316" width="13.140625" style="697" customWidth="1"/>
    <col min="13317" max="13317" width="11.7109375" style="697" customWidth="1"/>
    <col min="13318" max="13318" width="11.140625" style="697" customWidth="1"/>
    <col min="13319" max="13319" width="11.7109375" style="697" customWidth="1"/>
    <col min="13320" max="13565" width="9.140625" style="697"/>
    <col min="13566" max="13566" width="5.28515625" style="697" customWidth="1"/>
    <col min="13567" max="13567" width="8" style="697" customWidth="1"/>
    <col min="13568" max="13568" width="5.85546875" style="697" customWidth="1"/>
    <col min="13569" max="13569" width="9.42578125" style="697" customWidth="1"/>
    <col min="13570" max="13570" width="11.28515625" style="697" customWidth="1"/>
    <col min="13571" max="13571" width="11" style="697" customWidth="1"/>
    <col min="13572" max="13572" width="13.140625" style="697" customWidth="1"/>
    <col min="13573" max="13573" width="11.7109375" style="697" customWidth="1"/>
    <col min="13574" max="13574" width="11.140625" style="697" customWidth="1"/>
    <col min="13575" max="13575" width="11.7109375" style="697" customWidth="1"/>
    <col min="13576" max="13821" width="9.140625" style="697"/>
    <col min="13822" max="13822" width="5.28515625" style="697" customWidth="1"/>
    <col min="13823" max="13823" width="8" style="697" customWidth="1"/>
    <col min="13824" max="13824" width="5.85546875" style="697" customWidth="1"/>
    <col min="13825" max="13825" width="9.42578125" style="697" customWidth="1"/>
    <col min="13826" max="13826" width="11.28515625" style="697" customWidth="1"/>
    <col min="13827" max="13827" width="11" style="697" customWidth="1"/>
    <col min="13828" max="13828" width="13.140625" style="697" customWidth="1"/>
    <col min="13829" max="13829" width="11.7109375" style="697" customWidth="1"/>
    <col min="13830" max="13830" width="11.140625" style="697" customWidth="1"/>
    <col min="13831" max="13831" width="11.7109375" style="697" customWidth="1"/>
    <col min="13832" max="14077" width="9.140625" style="697"/>
    <col min="14078" max="14078" width="5.28515625" style="697" customWidth="1"/>
    <col min="14079" max="14079" width="8" style="697" customWidth="1"/>
    <col min="14080" max="14080" width="5.85546875" style="697" customWidth="1"/>
    <col min="14081" max="14081" width="9.42578125" style="697" customWidth="1"/>
    <col min="14082" max="14082" width="11.28515625" style="697" customWidth="1"/>
    <col min="14083" max="14083" width="11" style="697" customWidth="1"/>
    <col min="14084" max="14084" width="13.140625" style="697" customWidth="1"/>
    <col min="14085" max="14085" width="11.7109375" style="697" customWidth="1"/>
    <col min="14086" max="14086" width="11.140625" style="697" customWidth="1"/>
    <col min="14087" max="14087" width="11.7109375" style="697" customWidth="1"/>
    <col min="14088" max="14333" width="9.140625" style="697"/>
    <col min="14334" max="14334" width="5.28515625" style="697" customWidth="1"/>
    <col min="14335" max="14335" width="8" style="697" customWidth="1"/>
    <col min="14336" max="14336" width="5.85546875" style="697" customWidth="1"/>
    <col min="14337" max="14337" width="9.42578125" style="697" customWidth="1"/>
    <col min="14338" max="14338" width="11.28515625" style="697" customWidth="1"/>
    <col min="14339" max="14339" width="11" style="697" customWidth="1"/>
    <col min="14340" max="14340" width="13.140625" style="697" customWidth="1"/>
    <col min="14341" max="14341" width="11.7109375" style="697" customWidth="1"/>
    <col min="14342" max="14342" width="11.140625" style="697" customWidth="1"/>
    <col min="14343" max="14343" width="11.7109375" style="697" customWidth="1"/>
    <col min="14344" max="14589" width="9.140625" style="697"/>
    <col min="14590" max="14590" width="5.28515625" style="697" customWidth="1"/>
    <col min="14591" max="14591" width="8" style="697" customWidth="1"/>
    <col min="14592" max="14592" width="5.85546875" style="697" customWidth="1"/>
    <col min="14593" max="14593" width="9.42578125" style="697" customWidth="1"/>
    <col min="14594" max="14594" width="11.28515625" style="697" customWidth="1"/>
    <col min="14595" max="14595" width="11" style="697" customWidth="1"/>
    <col min="14596" max="14596" width="13.140625" style="697" customWidth="1"/>
    <col min="14597" max="14597" width="11.7109375" style="697" customWidth="1"/>
    <col min="14598" max="14598" width="11.140625" style="697" customWidth="1"/>
    <col min="14599" max="14599" width="11.7109375" style="697" customWidth="1"/>
    <col min="14600" max="14845" width="9.140625" style="697"/>
    <col min="14846" max="14846" width="5.28515625" style="697" customWidth="1"/>
    <col min="14847" max="14847" width="8" style="697" customWidth="1"/>
    <col min="14848" max="14848" width="5.85546875" style="697" customWidth="1"/>
    <col min="14849" max="14849" width="9.42578125" style="697" customWidth="1"/>
    <col min="14850" max="14850" width="11.28515625" style="697" customWidth="1"/>
    <col min="14851" max="14851" width="11" style="697" customWidth="1"/>
    <col min="14852" max="14852" width="13.140625" style="697" customWidth="1"/>
    <col min="14853" max="14853" width="11.7109375" style="697" customWidth="1"/>
    <col min="14854" max="14854" width="11.140625" style="697" customWidth="1"/>
    <col min="14855" max="14855" width="11.7109375" style="697" customWidth="1"/>
    <col min="14856" max="15101" width="9.140625" style="697"/>
    <col min="15102" max="15102" width="5.28515625" style="697" customWidth="1"/>
    <col min="15103" max="15103" width="8" style="697" customWidth="1"/>
    <col min="15104" max="15104" width="5.85546875" style="697" customWidth="1"/>
    <col min="15105" max="15105" width="9.42578125" style="697" customWidth="1"/>
    <col min="15106" max="15106" width="11.28515625" style="697" customWidth="1"/>
    <col min="15107" max="15107" width="11" style="697" customWidth="1"/>
    <col min="15108" max="15108" width="13.140625" style="697" customWidth="1"/>
    <col min="15109" max="15109" width="11.7109375" style="697" customWidth="1"/>
    <col min="15110" max="15110" width="11.140625" style="697" customWidth="1"/>
    <col min="15111" max="15111" width="11.7109375" style="697" customWidth="1"/>
    <col min="15112" max="15357" width="9.140625" style="697"/>
    <col min="15358" max="15358" width="5.28515625" style="697" customWidth="1"/>
    <col min="15359" max="15359" width="8" style="697" customWidth="1"/>
    <col min="15360" max="15360" width="5.85546875" style="697" customWidth="1"/>
    <col min="15361" max="15361" width="9.42578125" style="697" customWidth="1"/>
    <col min="15362" max="15362" width="11.28515625" style="697" customWidth="1"/>
    <col min="15363" max="15363" width="11" style="697" customWidth="1"/>
    <col min="15364" max="15364" width="13.140625" style="697" customWidth="1"/>
    <col min="15365" max="15365" width="11.7109375" style="697" customWidth="1"/>
    <col min="15366" max="15366" width="11.140625" style="697" customWidth="1"/>
    <col min="15367" max="15367" width="11.7109375" style="697" customWidth="1"/>
    <col min="15368" max="15613" width="9.140625" style="697"/>
    <col min="15614" max="15614" width="5.28515625" style="697" customWidth="1"/>
    <col min="15615" max="15615" width="8" style="697" customWidth="1"/>
    <col min="15616" max="15616" width="5.85546875" style="697" customWidth="1"/>
    <col min="15617" max="15617" width="9.42578125" style="697" customWidth="1"/>
    <col min="15618" max="15618" width="11.28515625" style="697" customWidth="1"/>
    <col min="15619" max="15619" width="11" style="697" customWidth="1"/>
    <col min="15620" max="15620" width="13.140625" style="697" customWidth="1"/>
    <col min="15621" max="15621" width="11.7109375" style="697" customWidth="1"/>
    <col min="15622" max="15622" width="11.140625" style="697" customWidth="1"/>
    <col min="15623" max="15623" width="11.7109375" style="697" customWidth="1"/>
    <col min="15624" max="15869" width="9.140625" style="697"/>
    <col min="15870" max="15870" width="5.28515625" style="697" customWidth="1"/>
    <col min="15871" max="15871" width="8" style="697" customWidth="1"/>
    <col min="15872" max="15872" width="5.85546875" style="697" customWidth="1"/>
    <col min="15873" max="15873" width="9.42578125" style="697" customWidth="1"/>
    <col min="15874" max="15874" width="11.28515625" style="697" customWidth="1"/>
    <col min="15875" max="15875" width="11" style="697" customWidth="1"/>
    <col min="15876" max="15876" width="13.140625" style="697" customWidth="1"/>
    <col min="15877" max="15877" width="11.7109375" style="697" customWidth="1"/>
    <col min="15878" max="15878" width="11.140625" style="697" customWidth="1"/>
    <col min="15879" max="15879" width="11.7109375" style="697" customWidth="1"/>
    <col min="15880" max="16125" width="9.140625" style="697"/>
    <col min="16126" max="16126" width="5.28515625" style="697" customWidth="1"/>
    <col min="16127" max="16127" width="8" style="697" customWidth="1"/>
    <col min="16128" max="16128" width="5.85546875" style="697" customWidth="1"/>
    <col min="16129" max="16129" width="9.42578125" style="697" customWidth="1"/>
    <col min="16130" max="16130" width="11.28515625" style="697" customWidth="1"/>
    <col min="16131" max="16131" width="11" style="697" customWidth="1"/>
    <col min="16132" max="16132" width="13.140625" style="697" customWidth="1"/>
    <col min="16133" max="16133" width="11.7109375" style="697" customWidth="1"/>
    <col min="16134" max="16134" width="11.140625" style="697" customWidth="1"/>
    <col min="16135" max="16135" width="11.7109375" style="697" customWidth="1"/>
    <col min="16136" max="16384" width="9.140625" style="697"/>
  </cols>
  <sheetData>
    <row r="1" spans="1:72" ht="12.75" customHeight="1">
      <c r="A1" s="203"/>
      <c r="F1" s="7" t="s">
        <v>322</v>
      </c>
    </row>
    <row r="2" spans="1:72" ht="12.75" customHeight="1">
      <c r="F2" s="7" t="s">
        <v>318</v>
      </c>
    </row>
    <row r="3" spans="1:72" ht="12.75" customHeight="1">
      <c r="F3" s="5" t="s">
        <v>1</v>
      </c>
    </row>
    <row r="4" spans="1:72" ht="12.75" customHeight="1">
      <c r="F4" s="7" t="s">
        <v>319</v>
      </c>
    </row>
    <row r="5" spans="1:72" ht="12.75" customHeight="1"/>
    <row r="6" spans="1:72" ht="13.5" customHeight="1">
      <c r="A6" s="182" t="s">
        <v>323</v>
      </c>
      <c r="B6" s="182"/>
      <c r="C6" s="182"/>
      <c r="D6" s="182"/>
      <c r="E6" s="182"/>
      <c r="F6" s="182"/>
      <c r="G6" s="182"/>
      <c r="J6" s="5"/>
    </row>
    <row r="7" spans="1:72" ht="12.75" customHeight="1">
      <c r="A7" s="182" t="s">
        <v>324</v>
      </c>
      <c r="B7" s="204"/>
      <c r="C7" s="204"/>
      <c r="D7" s="204"/>
      <c r="E7" s="204"/>
      <c r="F7" s="204"/>
      <c r="G7" s="204"/>
      <c r="J7" s="5"/>
    </row>
    <row r="8" spans="1:72" ht="9" customHeight="1">
      <c r="A8" s="205"/>
      <c r="B8" s="206"/>
      <c r="C8" s="206"/>
      <c r="D8" s="206"/>
      <c r="E8" s="206"/>
      <c r="F8" s="206"/>
      <c r="G8" s="206"/>
      <c r="J8" s="5"/>
    </row>
    <row r="9" spans="1:72" ht="11.25" customHeight="1">
      <c r="G9" s="207" t="s">
        <v>2</v>
      </c>
    </row>
    <row r="10" spans="1:72" s="211" customFormat="1" ht="36.75" customHeight="1">
      <c r="A10" s="208" t="s">
        <v>29</v>
      </c>
      <c r="B10" s="208" t="s">
        <v>325</v>
      </c>
      <c r="C10" s="208" t="s">
        <v>326</v>
      </c>
      <c r="D10" s="208" t="s">
        <v>327</v>
      </c>
      <c r="E10" s="209" t="s">
        <v>6</v>
      </c>
      <c r="F10" s="209" t="s">
        <v>328</v>
      </c>
      <c r="G10" s="209" t="s">
        <v>329</v>
      </c>
      <c r="H10" s="210"/>
      <c r="I10" s="210"/>
      <c r="J10" s="210"/>
      <c r="K10" s="210"/>
      <c r="L10" s="210"/>
      <c r="M10" s="210"/>
      <c r="N10" s="210"/>
      <c r="O10" s="210"/>
      <c r="P10" s="210"/>
      <c r="Q10" s="210"/>
      <c r="R10" s="210"/>
      <c r="S10" s="210"/>
      <c r="T10" s="210"/>
      <c r="U10" s="210"/>
      <c r="V10" s="210"/>
      <c r="W10" s="210"/>
      <c r="X10" s="210"/>
      <c r="Y10" s="210"/>
      <c r="Z10" s="210"/>
      <c r="AA10" s="210"/>
      <c r="AB10" s="210"/>
      <c r="AC10" s="210"/>
      <c r="AD10" s="210"/>
      <c r="AE10" s="210"/>
      <c r="AF10" s="210"/>
      <c r="AG10" s="210"/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  <c r="BI10" s="210"/>
      <c r="BJ10" s="210"/>
      <c r="BK10" s="210"/>
      <c r="BL10" s="210"/>
      <c r="BM10" s="210"/>
      <c r="BN10" s="210"/>
      <c r="BO10" s="210"/>
      <c r="BP10" s="210"/>
      <c r="BQ10" s="210"/>
      <c r="BR10" s="210"/>
      <c r="BS10" s="210"/>
      <c r="BT10" s="210"/>
    </row>
    <row r="11" spans="1:72" s="214" customFormat="1" ht="10.5" customHeight="1">
      <c r="A11" s="212">
        <v>1</v>
      </c>
      <c r="B11" s="212">
        <v>2</v>
      </c>
      <c r="C11" s="212">
        <v>3</v>
      </c>
      <c r="D11" s="212">
        <v>4</v>
      </c>
      <c r="E11" s="212">
        <v>5</v>
      </c>
      <c r="F11" s="212">
        <v>6</v>
      </c>
      <c r="G11" s="212">
        <v>7</v>
      </c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213"/>
      <c r="Z11" s="213"/>
      <c r="AA11" s="213"/>
      <c r="AB11" s="213"/>
      <c r="AC11" s="213"/>
      <c r="AD11" s="213"/>
      <c r="AE11" s="213"/>
      <c r="AF11" s="213"/>
      <c r="AG11" s="213"/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  <c r="BI11" s="213"/>
      <c r="BJ11" s="213"/>
      <c r="BK11" s="213"/>
      <c r="BL11" s="213"/>
      <c r="BM11" s="213"/>
      <c r="BN11" s="213"/>
      <c r="BO11" s="213"/>
      <c r="BP11" s="213"/>
      <c r="BQ11" s="213"/>
      <c r="BR11" s="213"/>
      <c r="BS11" s="213"/>
      <c r="BT11" s="213"/>
    </row>
    <row r="12" spans="1:72" s="719" customFormat="1" ht="15.75" customHeight="1">
      <c r="A12" s="215"/>
      <c r="B12" s="216"/>
      <c r="C12" s="217"/>
      <c r="D12" s="217"/>
      <c r="E12" s="218" t="s">
        <v>86</v>
      </c>
      <c r="F12" s="219">
        <f>2000-60+501+32+352+39+1200</f>
        <v>4064</v>
      </c>
      <c r="G12" s="220" t="s">
        <v>330</v>
      </c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202"/>
      <c r="AB12" s="202"/>
      <c r="AC12" s="202"/>
      <c r="AD12" s="202"/>
      <c r="AE12" s="202"/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  <c r="AP12" s="202"/>
      <c r="AQ12" s="202"/>
      <c r="AR12" s="202"/>
      <c r="AS12" s="202"/>
      <c r="AT12" s="202"/>
      <c r="AU12" s="202"/>
      <c r="AV12" s="202"/>
      <c r="AW12" s="202"/>
      <c r="AX12" s="202"/>
      <c r="AY12" s="202"/>
      <c r="AZ12" s="202"/>
      <c r="BA12" s="202"/>
      <c r="BB12" s="202"/>
      <c r="BC12" s="202"/>
      <c r="BD12" s="202"/>
      <c r="BE12" s="202"/>
      <c r="BF12" s="202"/>
      <c r="BG12" s="202"/>
      <c r="BH12" s="202"/>
      <c r="BI12" s="202"/>
      <c r="BJ12" s="202"/>
      <c r="BK12" s="202"/>
      <c r="BL12" s="202"/>
      <c r="BM12" s="202"/>
      <c r="BN12" s="202"/>
      <c r="BO12" s="202"/>
      <c r="BP12" s="202"/>
      <c r="BQ12" s="202"/>
      <c r="BR12" s="202"/>
      <c r="BS12" s="202"/>
      <c r="BT12" s="202"/>
    </row>
    <row r="13" spans="1:72" s="719" customFormat="1" ht="24">
      <c r="A13" s="221" t="s">
        <v>30</v>
      </c>
      <c r="B13" s="222" t="s">
        <v>331</v>
      </c>
      <c r="C13" s="217" t="s">
        <v>78</v>
      </c>
      <c r="D13" s="217" t="s">
        <v>332</v>
      </c>
      <c r="E13" s="223" t="s">
        <v>330</v>
      </c>
      <c r="F13" s="224" t="s">
        <v>330</v>
      </c>
      <c r="G13" s="225">
        <f>SUM(G15)</f>
        <v>4064</v>
      </c>
      <c r="H13" s="202"/>
      <c r="I13" s="202"/>
      <c r="J13" s="202"/>
      <c r="K13" s="202"/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  <c r="Z13" s="202"/>
      <c r="AA13" s="202"/>
      <c r="AB13" s="202"/>
      <c r="AC13" s="202"/>
      <c r="AD13" s="202"/>
      <c r="AE13" s="202"/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2"/>
      <c r="BE13" s="202"/>
      <c r="BF13" s="202"/>
      <c r="BG13" s="202"/>
      <c r="BH13" s="202"/>
      <c r="BI13" s="202"/>
      <c r="BJ13" s="202"/>
      <c r="BK13" s="202"/>
      <c r="BL13" s="202"/>
      <c r="BM13" s="202"/>
      <c r="BN13" s="202"/>
      <c r="BO13" s="202"/>
      <c r="BP13" s="202"/>
      <c r="BQ13" s="202"/>
      <c r="BR13" s="202"/>
      <c r="BS13" s="202"/>
      <c r="BT13" s="202"/>
    </row>
    <row r="14" spans="1:72" s="719" customFormat="1" ht="6" customHeight="1">
      <c r="A14" s="215"/>
      <c r="B14" s="226"/>
      <c r="C14" s="217"/>
      <c r="D14" s="217"/>
      <c r="E14" s="217"/>
      <c r="F14" s="227"/>
      <c r="G14" s="720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2"/>
      <c r="AD14" s="202"/>
      <c r="AE14" s="202"/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  <c r="BG14" s="202"/>
      <c r="BH14" s="202"/>
      <c r="BI14" s="202"/>
      <c r="BJ14" s="202"/>
      <c r="BK14" s="202"/>
      <c r="BL14" s="202"/>
      <c r="BM14" s="202"/>
      <c r="BN14" s="202"/>
      <c r="BO14" s="202"/>
      <c r="BP14" s="202"/>
      <c r="BQ14" s="202"/>
      <c r="BR14" s="202"/>
      <c r="BS14" s="202"/>
      <c r="BT14" s="202"/>
    </row>
    <row r="15" spans="1:72" s="719" customFormat="1" ht="15.75" customHeight="1">
      <c r="A15" s="215"/>
      <c r="B15" s="721" t="s">
        <v>333</v>
      </c>
      <c r="C15" s="217"/>
      <c r="D15" s="217"/>
      <c r="E15" s="217"/>
      <c r="F15" s="227"/>
      <c r="G15" s="720">
        <f>SUM(G16:G16)</f>
        <v>4064</v>
      </c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2"/>
      <c r="BE15" s="202"/>
      <c r="BF15" s="202"/>
      <c r="BG15" s="202"/>
      <c r="BH15" s="202"/>
      <c r="BI15" s="202"/>
      <c r="BJ15" s="202"/>
      <c r="BK15" s="202"/>
      <c r="BL15" s="202"/>
      <c r="BM15" s="202"/>
      <c r="BN15" s="202"/>
      <c r="BO15" s="202"/>
      <c r="BP15" s="202"/>
      <c r="BQ15" s="202"/>
      <c r="BR15" s="202"/>
      <c r="BS15" s="202"/>
      <c r="BT15" s="202"/>
    </row>
    <row r="16" spans="1:72" s="719" customFormat="1" ht="15.75" customHeight="1">
      <c r="A16" s="215"/>
      <c r="B16" s="721"/>
      <c r="C16" s="217"/>
      <c r="D16" s="217"/>
      <c r="E16" s="217" t="s">
        <v>334</v>
      </c>
      <c r="F16" s="227" t="s">
        <v>330</v>
      </c>
      <c r="G16" s="228">
        <f>2000-60+501+32+352+39+1200</f>
        <v>4064</v>
      </c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</row>
    <row r="17" spans="1:72" s="719" customFormat="1" ht="6" customHeight="1">
      <c r="A17" s="229"/>
      <c r="B17" s="230"/>
      <c r="C17" s="231"/>
      <c r="D17" s="218"/>
      <c r="E17" s="218"/>
      <c r="F17" s="220"/>
      <c r="G17" s="23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202"/>
      <c r="AU17" s="202"/>
      <c r="AV17" s="202"/>
      <c r="AW17" s="202"/>
      <c r="AX17" s="202"/>
      <c r="AY17" s="202"/>
      <c r="AZ17" s="202"/>
      <c r="BA17" s="202"/>
      <c r="BB17" s="202"/>
      <c r="BC17" s="202"/>
      <c r="BD17" s="202"/>
      <c r="BE17" s="202"/>
      <c r="BF17" s="202"/>
      <c r="BG17" s="202"/>
      <c r="BH17" s="202"/>
      <c r="BI17" s="202"/>
      <c r="BJ17" s="202"/>
      <c r="BK17" s="202"/>
      <c r="BL17" s="202"/>
      <c r="BM17" s="202"/>
      <c r="BN17" s="202"/>
      <c r="BO17" s="202"/>
      <c r="BP17" s="202"/>
      <c r="BQ17" s="202"/>
      <c r="BR17" s="202"/>
      <c r="BS17" s="202"/>
      <c r="BT17" s="202"/>
    </row>
    <row r="18" spans="1:72" s="719" customFormat="1" ht="15.75" customHeight="1">
      <c r="A18" s="215"/>
      <c r="B18" s="216"/>
      <c r="C18" s="217"/>
      <c r="D18" s="217"/>
      <c r="E18" s="218" t="s">
        <v>86</v>
      </c>
      <c r="F18" s="219">
        <f>34108+25734+25791+25677+25329+25003+21876+28430+25835</f>
        <v>237783</v>
      </c>
      <c r="G18" s="220" t="s">
        <v>330</v>
      </c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2"/>
      <c r="AH18" s="202"/>
      <c r="AI18" s="202"/>
      <c r="AJ18" s="202"/>
      <c r="AK18" s="202"/>
      <c r="AL18" s="202"/>
      <c r="AM18" s="202"/>
      <c r="AN18" s="202"/>
      <c r="AO18" s="202"/>
      <c r="AP18" s="202"/>
      <c r="AQ18" s="202"/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2"/>
      <c r="BE18" s="202"/>
      <c r="BF18" s="202"/>
      <c r="BG18" s="202"/>
      <c r="BH18" s="202"/>
      <c r="BI18" s="202"/>
      <c r="BJ18" s="202"/>
      <c r="BK18" s="202"/>
      <c r="BL18" s="202"/>
      <c r="BM18" s="202"/>
      <c r="BN18" s="202"/>
      <c r="BO18" s="202"/>
      <c r="BP18" s="202"/>
      <c r="BQ18" s="202"/>
      <c r="BR18" s="202"/>
      <c r="BS18" s="202"/>
      <c r="BT18" s="202"/>
    </row>
    <row r="19" spans="1:72" s="719" customFormat="1" ht="20.25" customHeight="1">
      <c r="A19" s="221" t="s">
        <v>31</v>
      </c>
      <c r="B19" s="233" t="s">
        <v>335</v>
      </c>
      <c r="C19" s="217" t="s">
        <v>336</v>
      </c>
      <c r="D19" s="217" t="s">
        <v>337</v>
      </c>
      <c r="E19" s="223" t="s">
        <v>330</v>
      </c>
      <c r="F19" s="224" t="s">
        <v>330</v>
      </c>
      <c r="G19" s="225">
        <f>SUM(G21)</f>
        <v>237783</v>
      </c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2"/>
      <c r="BN19" s="202"/>
      <c r="BO19" s="202"/>
      <c r="BP19" s="202"/>
      <c r="BQ19" s="202"/>
      <c r="BR19" s="202"/>
      <c r="BS19" s="202"/>
      <c r="BT19" s="202"/>
    </row>
    <row r="20" spans="1:72" s="719" customFormat="1" ht="6" customHeight="1">
      <c r="A20" s="215"/>
      <c r="B20" s="226"/>
      <c r="C20" s="217"/>
      <c r="D20" s="217"/>
      <c r="E20" s="217"/>
      <c r="F20" s="227"/>
      <c r="G20" s="720"/>
      <c r="H20" s="202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2"/>
      <c r="AU20" s="202"/>
      <c r="AV20" s="202"/>
      <c r="AW20" s="202"/>
      <c r="AX20" s="202"/>
      <c r="AY20" s="202"/>
      <c r="AZ20" s="202"/>
      <c r="BA20" s="202"/>
      <c r="BB20" s="202"/>
      <c r="BC20" s="202"/>
      <c r="BD20" s="202"/>
      <c r="BE20" s="202"/>
      <c r="BF20" s="202"/>
      <c r="BG20" s="202"/>
      <c r="BH20" s="202"/>
      <c r="BI20" s="202"/>
      <c r="BJ20" s="202"/>
      <c r="BK20" s="202"/>
      <c r="BL20" s="202"/>
      <c r="BM20" s="202"/>
      <c r="BN20" s="202"/>
      <c r="BO20" s="202"/>
      <c r="BP20" s="202"/>
      <c r="BQ20" s="202"/>
      <c r="BR20" s="202"/>
      <c r="BS20" s="202"/>
      <c r="BT20" s="202"/>
    </row>
    <row r="21" spans="1:72" s="719" customFormat="1" ht="15.75" customHeight="1">
      <c r="A21" s="215"/>
      <c r="B21" s="721" t="s">
        <v>333</v>
      </c>
      <c r="C21" s="217"/>
      <c r="D21" s="217"/>
      <c r="E21" s="217"/>
      <c r="F21" s="227"/>
      <c r="G21" s="720">
        <f>SUM(G22:G24)</f>
        <v>237783</v>
      </c>
      <c r="H21" s="202"/>
      <c r="I21" s="202"/>
      <c r="J21" s="202"/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02"/>
      <c r="Z21" s="202"/>
      <c r="AA21" s="202"/>
      <c r="AB21" s="202"/>
      <c r="AC21" s="202"/>
      <c r="AD21" s="202"/>
      <c r="AE21" s="202"/>
      <c r="AF21" s="202"/>
      <c r="AG21" s="202"/>
      <c r="AH21" s="202"/>
      <c r="AI21" s="202"/>
      <c r="AJ21" s="202"/>
      <c r="AK21" s="202"/>
      <c r="AL21" s="202"/>
      <c r="AM21" s="202"/>
      <c r="AN21" s="202"/>
      <c r="AO21" s="202"/>
      <c r="AP21" s="202"/>
      <c r="AQ21" s="202"/>
      <c r="AR21" s="202"/>
      <c r="AS21" s="202"/>
      <c r="AT21" s="202"/>
      <c r="AU21" s="202"/>
      <c r="AV21" s="202"/>
      <c r="AW21" s="202"/>
      <c r="AX21" s="202"/>
      <c r="AY21" s="202"/>
      <c r="AZ21" s="202"/>
      <c r="BA21" s="202"/>
      <c r="BB21" s="202"/>
      <c r="BC21" s="202"/>
      <c r="BD21" s="202"/>
      <c r="BE21" s="202"/>
      <c r="BF21" s="202"/>
      <c r="BG21" s="202"/>
      <c r="BH21" s="202"/>
      <c r="BI21" s="202"/>
      <c r="BJ21" s="202"/>
      <c r="BK21" s="202"/>
      <c r="BL21" s="202"/>
      <c r="BM21" s="202"/>
      <c r="BN21" s="202"/>
      <c r="BO21" s="202"/>
      <c r="BP21" s="202"/>
      <c r="BQ21" s="202"/>
      <c r="BR21" s="202"/>
      <c r="BS21" s="202"/>
      <c r="BT21" s="202"/>
    </row>
    <row r="22" spans="1:72" s="719" customFormat="1" ht="15.75" customHeight="1">
      <c r="A22" s="215"/>
      <c r="B22" s="216"/>
      <c r="C22" s="217"/>
      <c r="D22" s="217"/>
      <c r="E22" s="217" t="s">
        <v>334</v>
      </c>
      <c r="F22" s="227" t="s">
        <v>330</v>
      </c>
      <c r="G22" s="228">
        <f>33132+25271+25189+24950+24440+24322+21198+27848+25250</f>
        <v>231600</v>
      </c>
      <c r="H22" s="202"/>
      <c r="I22" s="202"/>
      <c r="J22" s="202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  <c r="BG22" s="202"/>
      <c r="BH22" s="202"/>
      <c r="BI22" s="202"/>
      <c r="BJ22" s="202"/>
      <c r="BK22" s="202"/>
      <c r="BL22" s="202"/>
      <c r="BM22" s="202"/>
      <c r="BN22" s="202"/>
      <c r="BO22" s="202"/>
      <c r="BP22" s="202"/>
      <c r="BQ22" s="202"/>
      <c r="BR22" s="202"/>
      <c r="BS22" s="202"/>
      <c r="BT22" s="202"/>
    </row>
    <row r="23" spans="1:72" s="719" customFormat="1" ht="15.75" customHeight="1">
      <c r="A23" s="215"/>
      <c r="B23" s="216"/>
      <c r="C23" s="217"/>
      <c r="D23" s="217"/>
      <c r="E23" s="217" t="s">
        <v>338</v>
      </c>
      <c r="F23" s="227" t="s">
        <v>330</v>
      </c>
      <c r="G23" s="228">
        <f>814+386+502+606+741+568+565+485+488</f>
        <v>5155</v>
      </c>
      <c r="H23" s="202"/>
      <c r="I23" s="202"/>
      <c r="J23" s="202"/>
      <c r="K23" s="202"/>
      <c r="L23" s="202"/>
      <c r="M23" s="202"/>
      <c r="N23" s="202"/>
      <c r="O23" s="202"/>
      <c r="P23" s="202"/>
      <c r="Q23" s="202"/>
      <c r="R23" s="202"/>
      <c r="S23" s="202"/>
      <c r="T23" s="202"/>
      <c r="U23" s="202"/>
      <c r="V23" s="202"/>
      <c r="W23" s="202"/>
      <c r="X23" s="202"/>
      <c r="Y23" s="202"/>
      <c r="Z23" s="202"/>
      <c r="AA23" s="202"/>
      <c r="AB23" s="202"/>
      <c r="AC23" s="202"/>
      <c r="AD23" s="202"/>
      <c r="AE23" s="202"/>
      <c r="AF23" s="202"/>
      <c r="AG23" s="202"/>
      <c r="AH23" s="202"/>
      <c r="AI23" s="202"/>
      <c r="AJ23" s="202"/>
      <c r="AK23" s="202"/>
      <c r="AL23" s="202"/>
      <c r="AM23" s="202"/>
      <c r="AN23" s="202"/>
      <c r="AO23" s="202"/>
      <c r="AP23" s="202"/>
      <c r="AQ23" s="202"/>
      <c r="AR23" s="202"/>
      <c r="AS23" s="202"/>
      <c r="AT23" s="202"/>
      <c r="AU23" s="202"/>
      <c r="AV23" s="202"/>
      <c r="AW23" s="202"/>
      <c r="AX23" s="202"/>
      <c r="AY23" s="202"/>
      <c r="AZ23" s="202"/>
      <c r="BA23" s="202"/>
      <c r="BB23" s="202"/>
      <c r="BC23" s="202"/>
      <c r="BD23" s="202"/>
      <c r="BE23" s="202"/>
      <c r="BF23" s="202"/>
      <c r="BG23" s="202"/>
      <c r="BH23" s="202"/>
      <c r="BI23" s="202"/>
      <c r="BJ23" s="202"/>
      <c r="BK23" s="202"/>
      <c r="BL23" s="202"/>
      <c r="BM23" s="202"/>
      <c r="BN23" s="202"/>
      <c r="BO23" s="202"/>
      <c r="BP23" s="202"/>
      <c r="BQ23" s="202"/>
      <c r="BR23" s="202"/>
      <c r="BS23" s="202"/>
      <c r="BT23" s="202"/>
    </row>
    <row r="24" spans="1:72" s="719" customFormat="1" ht="15.75" customHeight="1">
      <c r="A24" s="215"/>
      <c r="B24" s="216"/>
      <c r="C24" s="234"/>
      <c r="D24" s="217"/>
      <c r="E24" s="217" t="s">
        <v>339</v>
      </c>
      <c r="F24" s="227" t="s">
        <v>330</v>
      </c>
      <c r="G24" s="228">
        <f>162+77+100+121+148+113+113+97+97</f>
        <v>1028</v>
      </c>
      <c r="H24" s="202"/>
      <c r="I24" s="202"/>
      <c r="J24" s="202"/>
      <c r="K24" s="202"/>
      <c r="L24" s="202"/>
      <c r="M24" s="202"/>
      <c r="N24" s="202"/>
      <c r="O24" s="202"/>
      <c r="P24" s="202"/>
      <c r="Q24" s="202"/>
      <c r="R24" s="202"/>
      <c r="S24" s="202"/>
      <c r="T24" s="202"/>
      <c r="U24" s="202"/>
      <c r="V24" s="202"/>
      <c r="W24" s="202"/>
      <c r="X24" s="202"/>
      <c r="Y24" s="202"/>
      <c r="Z24" s="202"/>
      <c r="AA24" s="202"/>
      <c r="AB24" s="202"/>
      <c r="AC24" s="202"/>
      <c r="AD24" s="202"/>
      <c r="AE24" s="202"/>
      <c r="AF24" s="202"/>
      <c r="AG24" s="202"/>
      <c r="AH24" s="202"/>
      <c r="AI24" s="202"/>
      <c r="AJ24" s="202"/>
      <c r="AK24" s="202"/>
      <c r="AL24" s="202"/>
      <c r="AM24" s="202"/>
      <c r="AN24" s="202"/>
      <c r="AO24" s="202"/>
      <c r="AP24" s="202"/>
      <c r="AQ24" s="202"/>
      <c r="AR24" s="202"/>
      <c r="AS24" s="202"/>
      <c r="AT24" s="202"/>
      <c r="AU24" s="202"/>
      <c r="AV24" s="202"/>
      <c r="AW24" s="202"/>
      <c r="AX24" s="202"/>
      <c r="AY24" s="202"/>
      <c r="AZ24" s="202"/>
      <c r="BA24" s="202"/>
      <c r="BB24" s="202"/>
      <c r="BC24" s="202"/>
      <c r="BD24" s="202"/>
      <c r="BE24" s="202"/>
      <c r="BF24" s="202"/>
      <c r="BG24" s="202"/>
      <c r="BH24" s="202"/>
      <c r="BI24" s="202"/>
      <c r="BJ24" s="202"/>
      <c r="BK24" s="202"/>
      <c r="BL24" s="202"/>
      <c r="BM24" s="202"/>
      <c r="BN24" s="202"/>
      <c r="BO24" s="202"/>
      <c r="BP24" s="202"/>
      <c r="BQ24" s="202"/>
      <c r="BR24" s="202"/>
      <c r="BS24" s="202"/>
      <c r="BT24" s="202"/>
    </row>
    <row r="25" spans="1:72" s="719" customFormat="1" ht="8.25" customHeight="1">
      <c r="A25" s="229"/>
      <c r="B25" s="230"/>
      <c r="C25" s="231"/>
      <c r="D25" s="218"/>
      <c r="E25" s="218"/>
      <c r="F25" s="220"/>
      <c r="G25" s="232"/>
      <c r="H25" s="202"/>
      <c r="I25" s="202"/>
      <c r="J25" s="202"/>
      <c r="K25" s="202"/>
      <c r="L25" s="202"/>
      <c r="M25" s="202"/>
      <c r="N25" s="202"/>
      <c r="O25" s="202"/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  <c r="AA25" s="202"/>
      <c r="AB25" s="202"/>
      <c r="AC25" s="202"/>
      <c r="AD25" s="202"/>
      <c r="AE25" s="202"/>
      <c r="AF25" s="202"/>
      <c r="AG25" s="202"/>
      <c r="AH25" s="202"/>
      <c r="AI25" s="202"/>
      <c r="AJ25" s="202"/>
      <c r="AK25" s="202"/>
      <c r="AL25" s="202"/>
      <c r="AM25" s="202"/>
      <c r="AN25" s="202"/>
      <c r="AO25" s="202"/>
      <c r="AP25" s="202"/>
      <c r="AQ25" s="202"/>
      <c r="AR25" s="202"/>
      <c r="AS25" s="202"/>
      <c r="AT25" s="202"/>
      <c r="AU25" s="202"/>
      <c r="AV25" s="202"/>
      <c r="AW25" s="202"/>
      <c r="AX25" s="202"/>
      <c r="AY25" s="202"/>
      <c r="AZ25" s="202"/>
      <c r="BA25" s="202"/>
      <c r="BB25" s="202"/>
      <c r="BC25" s="202"/>
      <c r="BD25" s="202"/>
      <c r="BE25" s="202"/>
      <c r="BF25" s="202"/>
      <c r="BG25" s="202"/>
      <c r="BH25" s="202"/>
      <c r="BI25" s="202"/>
      <c r="BJ25" s="202"/>
      <c r="BK25" s="202"/>
      <c r="BL25" s="202"/>
      <c r="BM25" s="202"/>
      <c r="BN25" s="202"/>
      <c r="BO25" s="202"/>
      <c r="BP25" s="202"/>
      <c r="BQ25" s="202"/>
      <c r="BR25" s="202"/>
      <c r="BS25" s="202"/>
      <c r="BT25" s="202"/>
    </row>
    <row r="26" spans="1:72" s="719" customFormat="1" ht="15.75" customHeight="1">
      <c r="A26" s="215"/>
      <c r="B26" s="216"/>
      <c r="C26" s="217"/>
      <c r="D26" s="217"/>
      <c r="E26" s="218" t="s">
        <v>86</v>
      </c>
      <c r="F26" s="219">
        <f>500+2500+665+55+55+255+755+1533</f>
        <v>6318</v>
      </c>
      <c r="G26" s="220" t="s">
        <v>330</v>
      </c>
      <c r="H26" s="202"/>
      <c r="I26" s="202"/>
      <c r="J26" s="202"/>
      <c r="K26" s="202"/>
      <c r="L26" s="202"/>
      <c r="M26" s="202"/>
      <c r="N26" s="202"/>
      <c r="O26" s="202"/>
      <c r="P26" s="202"/>
      <c r="Q26" s="202"/>
      <c r="R26" s="202"/>
      <c r="S26" s="202"/>
      <c r="T26" s="202"/>
      <c r="U26" s="202"/>
      <c r="V26" s="202"/>
      <c r="W26" s="202"/>
      <c r="X26" s="202"/>
      <c r="Y26" s="202"/>
      <c r="Z26" s="202"/>
      <c r="AA26" s="202"/>
      <c r="AB26" s="202"/>
      <c r="AC26" s="202"/>
      <c r="AD26" s="202"/>
      <c r="AE26" s="202"/>
      <c r="AF26" s="202"/>
      <c r="AG26" s="202"/>
      <c r="AH26" s="202"/>
      <c r="AI26" s="202"/>
      <c r="AJ26" s="202"/>
      <c r="AK26" s="202"/>
      <c r="AL26" s="202"/>
      <c r="AM26" s="202"/>
      <c r="AN26" s="202"/>
      <c r="AO26" s="202"/>
      <c r="AP26" s="202"/>
      <c r="AQ26" s="202"/>
      <c r="AR26" s="202"/>
      <c r="AS26" s="202"/>
      <c r="AT26" s="202"/>
      <c r="AU26" s="202"/>
      <c r="AV26" s="202"/>
      <c r="AW26" s="202"/>
      <c r="AX26" s="202"/>
      <c r="AY26" s="202"/>
      <c r="AZ26" s="202"/>
      <c r="BA26" s="202"/>
      <c r="BB26" s="202"/>
      <c r="BC26" s="202"/>
      <c r="BD26" s="202"/>
      <c r="BE26" s="202"/>
      <c r="BF26" s="202"/>
      <c r="BG26" s="202"/>
      <c r="BH26" s="202"/>
      <c r="BI26" s="202"/>
      <c r="BJ26" s="202"/>
      <c r="BK26" s="202"/>
      <c r="BL26" s="202"/>
      <c r="BM26" s="202"/>
      <c r="BN26" s="202"/>
      <c r="BO26" s="202"/>
      <c r="BP26" s="202"/>
      <c r="BQ26" s="202"/>
      <c r="BR26" s="202"/>
      <c r="BS26" s="202"/>
      <c r="BT26" s="202"/>
    </row>
    <row r="27" spans="1:72" s="719" customFormat="1" ht="15.75" customHeight="1">
      <c r="A27" s="221" t="s">
        <v>32</v>
      </c>
      <c r="B27" s="233" t="s">
        <v>340</v>
      </c>
      <c r="C27" s="217" t="s">
        <v>78</v>
      </c>
      <c r="D27" s="217" t="s">
        <v>341</v>
      </c>
      <c r="E27" s="223" t="s">
        <v>330</v>
      </c>
      <c r="F27" s="224" t="s">
        <v>330</v>
      </c>
      <c r="G27" s="225">
        <f>SUM(G29)</f>
        <v>6318</v>
      </c>
      <c r="H27" s="202"/>
      <c r="I27" s="202"/>
      <c r="J27" s="202"/>
      <c r="K27" s="202"/>
      <c r="L27" s="202"/>
      <c r="M27" s="202"/>
      <c r="N27" s="202"/>
      <c r="O27" s="202"/>
      <c r="P27" s="202"/>
      <c r="Q27" s="202"/>
      <c r="R27" s="202"/>
      <c r="S27" s="202"/>
      <c r="T27" s="202"/>
      <c r="U27" s="202"/>
      <c r="V27" s="202"/>
      <c r="W27" s="202"/>
      <c r="X27" s="202"/>
      <c r="Y27" s="202"/>
      <c r="Z27" s="202"/>
      <c r="AA27" s="202"/>
      <c r="AB27" s="202"/>
      <c r="AC27" s="202"/>
      <c r="AD27" s="202"/>
      <c r="AE27" s="202"/>
      <c r="AF27" s="202"/>
      <c r="AG27" s="202"/>
      <c r="AH27" s="202"/>
      <c r="AI27" s="202"/>
      <c r="AJ27" s="202"/>
      <c r="AK27" s="202"/>
      <c r="AL27" s="202"/>
      <c r="AM27" s="202"/>
      <c r="AN27" s="202"/>
      <c r="AO27" s="202"/>
      <c r="AP27" s="202"/>
      <c r="AQ27" s="202"/>
      <c r="AR27" s="202"/>
      <c r="AS27" s="202"/>
      <c r="AT27" s="202"/>
      <c r="AU27" s="202"/>
      <c r="AV27" s="202"/>
      <c r="AW27" s="202"/>
      <c r="AX27" s="202"/>
      <c r="AY27" s="202"/>
      <c r="AZ27" s="202"/>
      <c r="BA27" s="202"/>
      <c r="BB27" s="202"/>
      <c r="BC27" s="202"/>
      <c r="BD27" s="202"/>
      <c r="BE27" s="202"/>
      <c r="BF27" s="202"/>
      <c r="BG27" s="202"/>
      <c r="BH27" s="202"/>
      <c r="BI27" s="202"/>
      <c r="BJ27" s="202"/>
      <c r="BK27" s="202"/>
      <c r="BL27" s="202"/>
      <c r="BM27" s="202"/>
      <c r="BN27" s="202"/>
      <c r="BO27" s="202"/>
      <c r="BP27" s="202"/>
      <c r="BQ27" s="202"/>
      <c r="BR27" s="202"/>
      <c r="BS27" s="202"/>
      <c r="BT27" s="202"/>
    </row>
    <row r="28" spans="1:72" s="719" customFormat="1" ht="5.25" customHeight="1">
      <c r="A28" s="215"/>
      <c r="B28" s="226"/>
      <c r="C28" s="217"/>
      <c r="D28" s="217"/>
      <c r="E28" s="217"/>
      <c r="F28" s="227"/>
      <c r="G28" s="720"/>
      <c r="H28" s="202"/>
      <c r="I28" s="202"/>
      <c r="J28" s="202"/>
      <c r="K28" s="202"/>
      <c r="L28" s="202"/>
      <c r="M28" s="202"/>
      <c r="N28" s="202"/>
      <c r="O28" s="202"/>
      <c r="P28" s="202"/>
      <c r="Q28" s="202"/>
      <c r="R28" s="202"/>
      <c r="S28" s="202"/>
      <c r="T28" s="202"/>
      <c r="U28" s="202"/>
      <c r="V28" s="202"/>
      <c r="W28" s="202"/>
      <c r="X28" s="202"/>
      <c r="Y28" s="202"/>
      <c r="Z28" s="202"/>
      <c r="AA28" s="202"/>
      <c r="AB28" s="202"/>
      <c r="AC28" s="202"/>
      <c r="AD28" s="202"/>
      <c r="AE28" s="202"/>
      <c r="AF28" s="202"/>
      <c r="AG28" s="202"/>
      <c r="AH28" s="202"/>
      <c r="AI28" s="202"/>
      <c r="AJ28" s="202"/>
      <c r="AK28" s="202"/>
      <c r="AL28" s="202"/>
      <c r="AM28" s="202"/>
      <c r="AN28" s="202"/>
      <c r="AO28" s="202"/>
      <c r="AP28" s="202"/>
      <c r="AQ28" s="202"/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2"/>
      <c r="BE28" s="202"/>
      <c r="BF28" s="202"/>
      <c r="BG28" s="202"/>
      <c r="BH28" s="202"/>
      <c r="BI28" s="202"/>
      <c r="BJ28" s="202"/>
      <c r="BK28" s="202"/>
      <c r="BL28" s="202"/>
      <c r="BM28" s="202"/>
      <c r="BN28" s="202"/>
      <c r="BO28" s="202"/>
      <c r="BP28" s="202"/>
      <c r="BQ28" s="202"/>
      <c r="BR28" s="202"/>
      <c r="BS28" s="202"/>
      <c r="BT28" s="202"/>
    </row>
    <row r="29" spans="1:72" s="719" customFormat="1" ht="15.75" customHeight="1">
      <c r="A29" s="215"/>
      <c r="B29" s="721" t="s">
        <v>231</v>
      </c>
      <c r="C29" s="217"/>
      <c r="D29" s="217"/>
      <c r="E29" s="217"/>
      <c r="F29" s="227"/>
      <c r="G29" s="720">
        <f>SUM(G30:G30)</f>
        <v>6318</v>
      </c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2"/>
      <c r="V29" s="202"/>
      <c r="W29" s="202"/>
      <c r="X29" s="202"/>
      <c r="Y29" s="202"/>
      <c r="Z29" s="202"/>
      <c r="AA29" s="202"/>
      <c r="AB29" s="202"/>
      <c r="AC29" s="202"/>
      <c r="AD29" s="202"/>
      <c r="AE29" s="202"/>
      <c r="AF29" s="202"/>
      <c r="AG29" s="202"/>
      <c r="AH29" s="202"/>
      <c r="AI29" s="202"/>
      <c r="AJ29" s="202"/>
      <c r="AK29" s="202"/>
      <c r="AL29" s="202"/>
      <c r="AM29" s="202"/>
      <c r="AN29" s="202"/>
      <c r="AO29" s="202"/>
      <c r="AP29" s="202"/>
      <c r="AQ29" s="202"/>
      <c r="AR29" s="202"/>
      <c r="AS29" s="202"/>
      <c r="AT29" s="202"/>
      <c r="AU29" s="202"/>
      <c r="AV29" s="202"/>
      <c r="AW29" s="202"/>
      <c r="AX29" s="202"/>
      <c r="AY29" s="202"/>
      <c r="AZ29" s="202"/>
      <c r="BA29" s="202"/>
      <c r="BB29" s="202"/>
      <c r="BC29" s="202"/>
      <c r="BD29" s="202"/>
      <c r="BE29" s="202"/>
      <c r="BF29" s="202"/>
      <c r="BG29" s="202"/>
      <c r="BH29" s="202"/>
      <c r="BI29" s="202"/>
      <c r="BJ29" s="202"/>
      <c r="BK29" s="202"/>
      <c r="BL29" s="202"/>
      <c r="BM29" s="202"/>
      <c r="BN29" s="202"/>
      <c r="BO29" s="202"/>
      <c r="BP29" s="202"/>
      <c r="BQ29" s="202"/>
      <c r="BR29" s="202"/>
      <c r="BS29" s="202"/>
      <c r="BT29" s="202"/>
    </row>
    <row r="30" spans="1:72" s="719" customFormat="1" ht="15.75" customHeight="1">
      <c r="A30" s="215"/>
      <c r="B30" s="216"/>
      <c r="C30" s="234"/>
      <c r="D30" s="217"/>
      <c r="E30" s="217" t="s">
        <v>334</v>
      </c>
      <c r="F30" s="227" t="s">
        <v>330</v>
      </c>
      <c r="G30" s="228">
        <f>500+2500+665+55+55+255+755+1533</f>
        <v>6318</v>
      </c>
      <c r="H30" s="202"/>
      <c r="I30" s="202"/>
      <c r="J30" s="202"/>
      <c r="K30" s="202"/>
      <c r="L30" s="202"/>
      <c r="M30" s="202"/>
      <c r="N30" s="202"/>
      <c r="O30" s="202"/>
      <c r="P30" s="202"/>
      <c r="Q30" s="202"/>
      <c r="R30" s="202"/>
      <c r="S30" s="202"/>
      <c r="T30" s="202"/>
      <c r="U30" s="202"/>
      <c r="V30" s="202"/>
      <c r="W30" s="202"/>
      <c r="X30" s="202"/>
      <c r="Y30" s="202"/>
      <c r="Z30" s="202"/>
      <c r="AA30" s="202"/>
      <c r="AB30" s="202"/>
      <c r="AC30" s="202"/>
      <c r="AD30" s="202"/>
      <c r="AE30" s="202"/>
      <c r="AF30" s="202"/>
      <c r="AG30" s="202"/>
      <c r="AH30" s="202"/>
      <c r="AI30" s="202"/>
      <c r="AJ30" s="202"/>
      <c r="AK30" s="202"/>
      <c r="AL30" s="202"/>
      <c r="AM30" s="202"/>
      <c r="AN30" s="202"/>
      <c r="AO30" s="202"/>
      <c r="AP30" s="202"/>
      <c r="AQ30" s="202"/>
      <c r="AR30" s="202"/>
      <c r="AS30" s="202"/>
      <c r="AT30" s="202"/>
      <c r="AU30" s="202"/>
      <c r="AV30" s="202"/>
      <c r="AW30" s="202"/>
      <c r="AX30" s="202"/>
      <c r="AY30" s="202"/>
      <c r="AZ30" s="202"/>
      <c r="BA30" s="202"/>
      <c r="BB30" s="202"/>
      <c r="BC30" s="202"/>
      <c r="BD30" s="202"/>
      <c r="BE30" s="202"/>
      <c r="BF30" s="202"/>
      <c r="BG30" s="202"/>
      <c r="BH30" s="202"/>
      <c r="BI30" s="202"/>
      <c r="BJ30" s="202"/>
      <c r="BK30" s="202"/>
      <c r="BL30" s="202"/>
      <c r="BM30" s="202"/>
      <c r="BN30" s="202"/>
      <c r="BO30" s="202"/>
      <c r="BP30" s="202"/>
      <c r="BQ30" s="202"/>
      <c r="BR30" s="202"/>
      <c r="BS30" s="202"/>
      <c r="BT30" s="202"/>
    </row>
    <row r="31" spans="1:72" s="719" customFormat="1" ht="7.5" customHeight="1">
      <c r="A31" s="229"/>
      <c r="B31" s="230"/>
      <c r="C31" s="231"/>
      <c r="D31" s="218"/>
      <c r="E31" s="218"/>
      <c r="F31" s="220"/>
      <c r="G31" s="232"/>
      <c r="H31" s="202"/>
      <c r="I31" s="202"/>
      <c r="J31" s="202"/>
      <c r="K31" s="202"/>
      <c r="L31" s="202"/>
      <c r="M31" s="202"/>
      <c r="N31" s="202"/>
      <c r="O31" s="202"/>
      <c r="P31" s="202"/>
      <c r="Q31" s="202"/>
      <c r="R31" s="202"/>
      <c r="S31" s="202"/>
      <c r="T31" s="202"/>
      <c r="U31" s="202"/>
      <c r="V31" s="202"/>
      <c r="W31" s="202"/>
      <c r="X31" s="202"/>
      <c r="Y31" s="202"/>
      <c r="Z31" s="202"/>
      <c r="AA31" s="202"/>
      <c r="AB31" s="202"/>
      <c r="AC31" s="202"/>
      <c r="AD31" s="202"/>
      <c r="AE31" s="202"/>
      <c r="AF31" s="202"/>
      <c r="AG31" s="202"/>
      <c r="AH31" s="202"/>
      <c r="AI31" s="202"/>
      <c r="AJ31" s="202"/>
      <c r="AK31" s="202"/>
      <c r="AL31" s="202"/>
      <c r="AM31" s="202"/>
      <c r="AN31" s="202"/>
      <c r="AO31" s="202"/>
      <c r="AP31" s="202"/>
      <c r="AQ31" s="202"/>
      <c r="AR31" s="202"/>
      <c r="AS31" s="202"/>
      <c r="AT31" s="202"/>
      <c r="AU31" s="202"/>
      <c r="AV31" s="202"/>
      <c r="AW31" s="202"/>
      <c r="AX31" s="202"/>
      <c r="AY31" s="202"/>
      <c r="AZ31" s="202"/>
      <c r="BA31" s="202"/>
      <c r="BB31" s="202"/>
      <c r="BC31" s="202"/>
      <c r="BD31" s="202"/>
      <c r="BE31" s="202"/>
      <c r="BF31" s="202"/>
      <c r="BG31" s="202"/>
      <c r="BH31" s="202"/>
      <c r="BI31" s="202"/>
      <c r="BJ31" s="202"/>
      <c r="BK31" s="202"/>
      <c r="BL31" s="202"/>
      <c r="BM31" s="202"/>
      <c r="BN31" s="202"/>
      <c r="BO31" s="202"/>
      <c r="BP31" s="202"/>
      <c r="BQ31" s="202"/>
      <c r="BR31" s="202"/>
      <c r="BS31" s="202"/>
      <c r="BT31" s="202"/>
    </row>
    <row r="32" spans="1:72" s="719" customFormat="1" ht="15.75" customHeight="1">
      <c r="A32" s="215"/>
      <c r="B32" s="216"/>
      <c r="C32" s="217"/>
      <c r="D32" s="217"/>
      <c r="E32" s="218" t="s">
        <v>86</v>
      </c>
      <c r="F32" s="219">
        <f>12816+12816+12816+16394+16394+16394+16394+16394+16394</f>
        <v>136812</v>
      </c>
      <c r="G32" s="220" t="s">
        <v>330</v>
      </c>
      <c r="H32" s="202"/>
      <c r="I32" s="202"/>
      <c r="J32" s="202"/>
      <c r="K32" s="202"/>
      <c r="L32" s="202"/>
      <c r="M32" s="202"/>
      <c r="N32" s="202"/>
      <c r="O32" s="202"/>
      <c r="P32" s="202"/>
      <c r="Q32" s="202"/>
      <c r="R32" s="202"/>
      <c r="S32" s="202"/>
      <c r="T32" s="202"/>
      <c r="U32" s="202"/>
      <c r="V32" s="202"/>
      <c r="W32" s="202"/>
      <c r="X32" s="202"/>
      <c r="Y32" s="202"/>
      <c r="Z32" s="202"/>
      <c r="AA32" s="202"/>
      <c r="AB32" s="202"/>
      <c r="AC32" s="202"/>
      <c r="AD32" s="202"/>
      <c r="AE32" s="202"/>
      <c r="AF32" s="202"/>
      <c r="AG32" s="202"/>
      <c r="AH32" s="202"/>
      <c r="AI32" s="202"/>
      <c r="AJ32" s="202"/>
      <c r="AK32" s="202"/>
      <c r="AL32" s="202"/>
      <c r="AM32" s="202"/>
      <c r="AN32" s="202"/>
      <c r="AO32" s="202"/>
      <c r="AP32" s="202"/>
      <c r="AQ32" s="202"/>
      <c r="AR32" s="202"/>
      <c r="AS32" s="202"/>
      <c r="AT32" s="202"/>
      <c r="AU32" s="202"/>
      <c r="AV32" s="202"/>
      <c r="AW32" s="202"/>
      <c r="AX32" s="202"/>
      <c r="AY32" s="202"/>
      <c r="AZ32" s="202"/>
      <c r="BA32" s="202"/>
      <c r="BB32" s="202"/>
      <c r="BC32" s="202"/>
      <c r="BD32" s="202"/>
      <c r="BE32" s="202"/>
      <c r="BF32" s="202"/>
      <c r="BG32" s="202"/>
      <c r="BH32" s="202"/>
      <c r="BI32" s="202"/>
      <c r="BJ32" s="202"/>
      <c r="BK32" s="202"/>
      <c r="BL32" s="202"/>
      <c r="BM32" s="202"/>
      <c r="BN32" s="202"/>
      <c r="BO32" s="202"/>
      <c r="BP32" s="202"/>
      <c r="BQ32" s="202"/>
      <c r="BR32" s="202"/>
      <c r="BS32" s="202"/>
      <c r="BT32" s="202"/>
    </row>
    <row r="33" spans="1:72" s="719" customFormat="1" ht="48" customHeight="1">
      <c r="A33" s="221" t="s">
        <v>33</v>
      </c>
      <c r="B33" s="233" t="s">
        <v>342</v>
      </c>
      <c r="C33" s="217" t="s">
        <v>336</v>
      </c>
      <c r="D33" s="217" t="s">
        <v>343</v>
      </c>
      <c r="E33" s="223" t="s">
        <v>330</v>
      </c>
      <c r="F33" s="224" t="s">
        <v>330</v>
      </c>
      <c r="G33" s="225">
        <f>SUM(G35)</f>
        <v>136812</v>
      </c>
      <c r="H33" s="202"/>
      <c r="I33" s="202"/>
      <c r="J33" s="202"/>
      <c r="K33" s="202"/>
      <c r="L33" s="202"/>
      <c r="M33" s="202"/>
      <c r="N33" s="202"/>
      <c r="O33" s="202"/>
      <c r="P33" s="202"/>
      <c r="Q33" s="202"/>
      <c r="R33" s="202"/>
      <c r="S33" s="202"/>
      <c r="T33" s="202"/>
      <c r="U33" s="202"/>
      <c r="V33" s="202"/>
      <c r="W33" s="202"/>
      <c r="X33" s="202"/>
      <c r="Y33" s="202"/>
      <c r="Z33" s="202"/>
      <c r="AA33" s="202"/>
      <c r="AB33" s="202"/>
      <c r="AC33" s="202"/>
      <c r="AD33" s="202"/>
      <c r="AE33" s="202"/>
      <c r="AF33" s="202"/>
      <c r="AG33" s="202"/>
      <c r="AH33" s="202"/>
      <c r="AI33" s="202"/>
      <c r="AJ33" s="202"/>
      <c r="AK33" s="202"/>
      <c r="AL33" s="202"/>
      <c r="AM33" s="202"/>
      <c r="AN33" s="202"/>
      <c r="AO33" s="202"/>
      <c r="AP33" s="202"/>
      <c r="AQ33" s="202"/>
      <c r="AR33" s="202"/>
      <c r="AS33" s="202"/>
      <c r="AT33" s="202"/>
      <c r="AU33" s="202"/>
      <c r="AV33" s="202"/>
      <c r="AW33" s="202"/>
      <c r="AX33" s="202"/>
      <c r="AY33" s="202"/>
      <c r="AZ33" s="202"/>
      <c r="BA33" s="202"/>
      <c r="BB33" s="202"/>
      <c r="BC33" s="202"/>
      <c r="BD33" s="202"/>
      <c r="BE33" s="202"/>
      <c r="BF33" s="202"/>
      <c r="BG33" s="202"/>
      <c r="BH33" s="202"/>
      <c r="BI33" s="202"/>
      <c r="BJ33" s="202"/>
      <c r="BK33" s="202"/>
      <c r="BL33" s="202"/>
      <c r="BM33" s="202"/>
      <c r="BN33" s="202"/>
      <c r="BO33" s="202"/>
      <c r="BP33" s="202"/>
      <c r="BQ33" s="202"/>
      <c r="BR33" s="202"/>
      <c r="BS33" s="202"/>
      <c r="BT33" s="202"/>
    </row>
    <row r="34" spans="1:72" s="719" customFormat="1" ht="8.25" customHeight="1">
      <c r="A34" s="215"/>
      <c r="B34" s="226"/>
      <c r="C34" s="217"/>
      <c r="D34" s="217"/>
      <c r="E34" s="217"/>
      <c r="F34" s="227"/>
      <c r="G34" s="720"/>
      <c r="H34" s="202"/>
      <c r="I34" s="202"/>
      <c r="J34" s="202"/>
      <c r="K34" s="202"/>
      <c r="L34" s="202"/>
      <c r="M34" s="202"/>
      <c r="N34" s="202"/>
      <c r="O34" s="202"/>
      <c r="P34" s="202"/>
      <c r="Q34" s="202"/>
      <c r="R34" s="202"/>
      <c r="S34" s="202"/>
      <c r="T34" s="202"/>
      <c r="U34" s="202"/>
      <c r="V34" s="202"/>
      <c r="W34" s="202"/>
      <c r="X34" s="202"/>
      <c r="Y34" s="202"/>
      <c r="Z34" s="202"/>
      <c r="AA34" s="202"/>
      <c r="AB34" s="202"/>
      <c r="AC34" s="202"/>
      <c r="AD34" s="202"/>
      <c r="AE34" s="202"/>
      <c r="AF34" s="202"/>
      <c r="AG34" s="202"/>
      <c r="AH34" s="202"/>
      <c r="AI34" s="202"/>
      <c r="AJ34" s="202"/>
      <c r="AK34" s="202"/>
      <c r="AL34" s="202"/>
      <c r="AM34" s="202"/>
      <c r="AN34" s="202"/>
      <c r="AO34" s="202"/>
      <c r="AP34" s="202"/>
      <c r="AQ34" s="202"/>
      <c r="AR34" s="202"/>
      <c r="AS34" s="202"/>
      <c r="AT34" s="202"/>
      <c r="AU34" s="202"/>
      <c r="AV34" s="202"/>
      <c r="AW34" s="202"/>
      <c r="AX34" s="202"/>
      <c r="AY34" s="202"/>
      <c r="AZ34" s="202"/>
      <c r="BA34" s="202"/>
      <c r="BB34" s="202"/>
      <c r="BC34" s="202"/>
      <c r="BD34" s="202"/>
      <c r="BE34" s="202"/>
      <c r="BF34" s="202"/>
      <c r="BG34" s="202"/>
      <c r="BH34" s="202"/>
      <c r="BI34" s="202"/>
      <c r="BJ34" s="202"/>
      <c r="BK34" s="202"/>
      <c r="BL34" s="202"/>
      <c r="BM34" s="202"/>
      <c r="BN34" s="202"/>
      <c r="BO34" s="202"/>
      <c r="BP34" s="202"/>
      <c r="BQ34" s="202"/>
      <c r="BR34" s="202"/>
      <c r="BS34" s="202"/>
      <c r="BT34" s="202"/>
    </row>
    <row r="35" spans="1:72" s="719" customFormat="1" ht="15.75" customHeight="1">
      <c r="A35" s="215"/>
      <c r="B35" s="721" t="s">
        <v>260</v>
      </c>
      <c r="C35" s="217"/>
      <c r="D35" s="217"/>
      <c r="E35" s="217"/>
      <c r="F35" s="227"/>
      <c r="G35" s="720">
        <f>SUM(G36:G39)</f>
        <v>136812</v>
      </c>
      <c r="H35" s="202"/>
      <c r="I35" s="202"/>
      <c r="J35" s="202"/>
      <c r="K35" s="202"/>
      <c r="L35" s="202"/>
      <c r="M35" s="202"/>
      <c r="N35" s="202"/>
      <c r="O35" s="202"/>
      <c r="P35" s="202"/>
      <c r="Q35" s="202"/>
      <c r="R35" s="202"/>
      <c r="S35" s="202"/>
      <c r="T35" s="202"/>
      <c r="U35" s="202"/>
      <c r="V35" s="202"/>
      <c r="W35" s="202"/>
      <c r="X35" s="202"/>
      <c r="Y35" s="202"/>
      <c r="Z35" s="202"/>
      <c r="AA35" s="202"/>
      <c r="AB35" s="202"/>
      <c r="AC35" s="202"/>
      <c r="AD35" s="202"/>
      <c r="AE35" s="202"/>
      <c r="AF35" s="202"/>
      <c r="AG35" s="202"/>
      <c r="AH35" s="202"/>
      <c r="AI35" s="202"/>
      <c r="AJ35" s="202"/>
      <c r="AK35" s="202"/>
      <c r="AL35" s="202"/>
      <c r="AM35" s="202"/>
      <c r="AN35" s="202"/>
      <c r="AO35" s="202"/>
      <c r="AP35" s="202"/>
      <c r="AQ35" s="202"/>
      <c r="AR35" s="202"/>
      <c r="AS35" s="202"/>
      <c r="AT35" s="202"/>
      <c r="AU35" s="202"/>
      <c r="AV35" s="202"/>
      <c r="AW35" s="202"/>
      <c r="AX35" s="202"/>
      <c r="AY35" s="202"/>
      <c r="AZ35" s="202"/>
      <c r="BA35" s="202"/>
      <c r="BB35" s="202"/>
      <c r="BC35" s="202"/>
      <c r="BD35" s="202"/>
      <c r="BE35" s="202"/>
      <c r="BF35" s="202"/>
      <c r="BG35" s="202"/>
      <c r="BH35" s="202"/>
      <c r="BI35" s="202"/>
      <c r="BJ35" s="202"/>
      <c r="BK35" s="202"/>
      <c r="BL35" s="202"/>
      <c r="BM35" s="202"/>
      <c r="BN35" s="202"/>
      <c r="BO35" s="202"/>
      <c r="BP35" s="202"/>
      <c r="BQ35" s="202"/>
      <c r="BR35" s="202"/>
      <c r="BS35" s="202"/>
      <c r="BT35" s="202"/>
    </row>
    <row r="36" spans="1:72" s="719" customFormat="1" ht="15.75" customHeight="1">
      <c r="A36" s="215"/>
      <c r="B36" s="216"/>
      <c r="C36" s="234"/>
      <c r="D36" s="217"/>
      <c r="E36" s="217" t="s">
        <v>270</v>
      </c>
      <c r="F36" s="227" t="s">
        <v>330</v>
      </c>
      <c r="G36" s="228">
        <f>1025+1025+1025+1312+1312+1312+1312+1312+1312</f>
        <v>10947</v>
      </c>
      <c r="H36" s="202"/>
      <c r="I36" s="202"/>
      <c r="J36" s="202"/>
      <c r="K36" s="202"/>
      <c r="L36" s="202"/>
      <c r="M36" s="202"/>
      <c r="N36" s="202"/>
      <c r="O36" s="202"/>
      <c r="P36" s="202"/>
      <c r="Q36" s="202"/>
      <c r="R36" s="202"/>
      <c r="S36" s="202"/>
      <c r="T36" s="202"/>
      <c r="U36" s="202"/>
      <c r="V36" s="202"/>
      <c r="W36" s="202"/>
      <c r="X36" s="202"/>
      <c r="Y36" s="202"/>
      <c r="Z36" s="202"/>
      <c r="AA36" s="202"/>
      <c r="AB36" s="202"/>
      <c r="AC36" s="202"/>
      <c r="AD36" s="202"/>
      <c r="AE36" s="202"/>
      <c r="AF36" s="202"/>
      <c r="AG36" s="202"/>
      <c r="AH36" s="202"/>
      <c r="AI36" s="202"/>
      <c r="AJ36" s="202"/>
      <c r="AK36" s="202"/>
      <c r="AL36" s="202"/>
      <c r="AM36" s="202"/>
      <c r="AN36" s="202"/>
      <c r="AO36" s="202"/>
      <c r="AP36" s="202"/>
      <c r="AQ36" s="202"/>
      <c r="AR36" s="202"/>
      <c r="AS36" s="202"/>
      <c r="AT36" s="202"/>
      <c r="AU36" s="202"/>
      <c r="AV36" s="202"/>
      <c r="AW36" s="202"/>
      <c r="AX36" s="202"/>
      <c r="AY36" s="202"/>
      <c r="AZ36" s="202"/>
      <c r="BA36" s="202"/>
      <c r="BB36" s="202"/>
      <c r="BC36" s="202"/>
      <c r="BD36" s="202"/>
      <c r="BE36" s="202"/>
      <c r="BF36" s="202"/>
      <c r="BG36" s="202"/>
      <c r="BH36" s="202"/>
      <c r="BI36" s="202"/>
      <c r="BJ36" s="202"/>
      <c r="BK36" s="202"/>
      <c r="BL36" s="202"/>
      <c r="BM36" s="202"/>
      <c r="BN36" s="202"/>
      <c r="BO36" s="202"/>
      <c r="BP36" s="202"/>
      <c r="BQ36" s="202"/>
      <c r="BR36" s="202"/>
      <c r="BS36" s="202"/>
      <c r="BT36" s="202"/>
    </row>
    <row r="37" spans="1:72" s="719" customFormat="1" ht="15.75" customHeight="1">
      <c r="A37" s="215"/>
      <c r="B37" s="216"/>
      <c r="C37" s="234"/>
      <c r="D37" s="217"/>
      <c r="E37" s="217" t="s">
        <v>344</v>
      </c>
      <c r="F37" s="227" t="s">
        <v>330</v>
      </c>
      <c r="G37" s="228">
        <f>1666+1666+1666+2131+2131+2131+2131+2131+2131</f>
        <v>17784</v>
      </c>
      <c r="H37" s="202"/>
      <c r="I37" s="202"/>
      <c r="J37" s="202"/>
      <c r="K37" s="202"/>
      <c r="L37" s="202"/>
      <c r="M37" s="202"/>
      <c r="N37" s="202"/>
      <c r="O37" s="202"/>
      <c r="P37" s="202"/>
      <c r="Q37" s="202"/>
      <c r="R37" s="202"/>
      <c r="S37" s="202"/>
      <c r="T37" s="202"/>
      <c r="U37" s="202"/>
      <c r="V37" s="202"/>
      <c r="W37" s="202"/>
      <c r="X37" s="202"/>
      <c r="Y37" s="202"/>
      <c r="Z37" s="202"/>
      <c r="AA37" s="202"/>
      <c r="AB37" s="202"/>
      <c r="AC37" s="202"/>
      <c r="AD37" s="202"/>
      <c r="AE37" s="202"/>
      <c r="AF37" s="202"/>
      <c r="AG37" s="202"/>
      <c r="AH37" s="202"/>
      <c r="AI37" s="202"/>
      <c r="AJ37" s="202"/>
      <c r="AK37" s="202"/>
      <c r="AL37" s="202"/>
      <c r="AM37" s="202"/>
      <c r="AN37" s="202"/>
      <c r="AO37" s="202"/>
      <c r="AP37" s="202"/>
      <c r="AQ37" s="202"/>
      <c r="AR37" s="202"/>
      <c r="AS37" s="202"/>
      <c r="AT37" s="202"/>
      <c r="AU37" s="202"/>
      <c r="AV37" s="202"/>
      <c r="AW37" s="202"/>
      <c r="AX37" s="202"/>
      <c r="AY37" s="202"/>
      <c r="AZ37" s="202"/>
      <c r="BA37" s="202"/>
      <c r="BB37" s="202"/>
      <c r="BC37" s="202"/>
      <c r="BD37" s="202"/>
      <c r="BE37" s="202"/>
      <c r="BF37" s="202"/>
      <c r="BG37" s="202"/>
      <c r="BH37" s="202"/>
      <c r="BI37" s="202"/>
      <c r="BJ37" s="202"/>
      <c r="BK37" s="202"/>
      <c r="BL37" s="202"/>
      <c r="BM37" s="202"/>
      <c r="BN37" s="202"/>
      <c r="BO37" s="202"/>
      <c r="BP37" s="202"/>
      <c r="BQ37" s="202"/>
      <c r="BR37" s="202"/>
      <c r="BS37" s="202"/>
      <c r="BT37" s="202"/>
    </row>
    <row r="38" spans="1:72" s="719" customFormat="1" ht="15.75" customHeight="1">
      <c r="A38" s="215"/>
      <c r="B38" s="216"/>
      <c r="C38" s="234"/>
      <c r="D38" s="217"/>
      <c r="E38" s="217" t="s">
        <v>338</v>
      </c>
      <c r="F38" s="227" t="s">
        <v>330</v>
      </c>
      <c r="G38" s="228">
        <f>8331+8331+8331+10656+10656+10656+10656+10656+10656</f>
        <v>88929</v>
      </c>
      <c r="H38" s="202"/>
      <c r="I38" s="202"/>
      <c r="J38" s="202"/>
      <c r="K38" s="202"/>
      <c r="L38" s="202"/>
      <c r="M38" s="202"/>
      <c r="N38" s="202"/>
      <c r="O38" s="202"/>
      <c r="P38" s="202"/>
      <c r="Q38" s="202"/>
      <c r="R38" s="202"/>
      <c r="S38" s="202"/>
      <c r="T38" s="202"/>
      <c r="U38" s="202"/>
      <c r="V38" s="202"/>
      <c r="W38" s="202"/>
      <c r="X38" s="202"/>
      <c r="Y38" s="202"/>
      <c r="Z38" s="202"/>
      <c r="AA38" s="202"/>
      <c r="AB38" s="202"/>
      <c r="AC38" s="202"/>
      <c r="AD38" s="202"/>
      <c r="AE38" s="202"/>
      <c r="AF38" s="202"/>
      <c r="AG38" s="202"/>
      <c r="AH38" s="202"/>
      <c r="AI38" s="202"/>
      <c r="AJ38" s="202"/>
      <c r="AK38" s="202"/>
      <c r="AL38" s="202"/>
      <c r="AM38" s="202"/>
      <c r="AN38" s="202"/>
      <c r="AO38" s="202"/>
      <c r="AP38" s="202"/>
      <c r="AQ38" s="202"/>
      <c r="AR38" s="202"/>
      <c r="AS38" s="202"/>
      <c r="AT38" s="202"/>
      <c r="AU38" s="202"/>
      <c r="AV38" s="202"/>
      <c r="AW38" s="202"/>
      <c r="AX38" s="202"/>
      <c r="AY38" s="202"/>
      <c r="AZ38" s="202"/>
      <c r="BA38" s="202"/>
      <c r="BB38" s="202"/>
      <c r="BC38" s="202"/>
      <c r="BD38" s="202"/>
      <c r="BE38" s="202"/>
      <c r="BF38" s="202"/>
      <c r="BG38" s="202"/>
      <c r="BH38" s="202"/>
      <c r="BI38" s="202"/>
      <c r="BJ38" s="202"/>
      <c r="BK38" s="202"/>
      <c r="BL38" s="202"/>
      <c r="BM38" s="202"/>
      <c r="BN38" s="202"/>
      <c r="BO38" s="202"/>
      <c r="BP38" s="202"/>
      <c r="BQ38" s="202"/>
      <c r="BR38" s="202"/>
      <c r="BS38" s="202"/>
      <c r="BT38" s="202"/>
    </row>
    <row r="39" spans="1:72" s="719" customFormat="1" ht="15.75" customHeight="1">
      <c r="A39" s="215"/>
      <c r="B39" s="216"/>
      <c r="C39" s="234"/>
      <c r="D39" s="217"/>
      <c r="E39" s="217" t="s">
        <v>339</v>
      </c>
      <c r="F39" s="227" t="s">
        <v>330</v>
      </c>
      <c r="G39" s="228">
        <f>1794+1794+1794+2295+2295+2295+2295+2295+2295</f>
        <v>19152</v>
      </c>
      <c r="H39" s="202"/>
      <c r="I39" s="202"/>
      <c r="J39" s="202"/>
      <c r="K39" s="202"/>
      <c r="L39" s="202"/>
      <c r="M39" s="202"/>
      <c r="N39" s="202"/>
      <c r="O39" s="202"/>
      <c r="P39" s="202"/>
      <c r="Q39" s="202"/>
      <c r="R39" s="202"/>
      <c r="S39" s="202"/>
      <c r="T39" s="202"/>
      <c r="U39" s="202"/>
      <c r="V39" s="202"/>
      <c r="W39" s="202"/>
      <c r="X39" s="202"/>
      <c r="Y39" s="202"/>
      <c r="Z39" s="202"/>
      <c r="AA39" s="202"/>
      <c r="AB39" s="202"/>
      <c r="AC39" s="202"/>
      <c r="AD39" s="202"/>
      <c r="AE39" s="202"/>
      <c r="AF39" s="202"/>
      <c r="AG39" s="202"/>
      <c r="AH39" s="202"/>
      <c r="AI39" s="202"/>
      <c r="AJ39" s="202"/>
      <c r="AK39" s="202"/>
      <c r="AL39" s="202"/>
      <c r="AM39" s="202"/>
      <c r="AN39" s="202"/>
      <c r="AO39" s="202"/>
      <c r="AP39" s="202"/>
      <c r="AQ39" s="202"/>
      <c r="AR39" s="202"/>
      <c r="AS39" s="202"/>
      <c r="AT39" s="202"/>
      <c r="AU39" s="202"/>
      <c r="AV39" s="202"/>
      <c r="AW39" s="202"/>
      <c r="AX39" s="202"/>
      <c r="AY39" s="202"/>
      <c r="AZ39" s="202"/>
      <c r="BA39" s="202"/>
      <c r="BB39" s="202"/>
      <c r="BC39" s="202"/>
      <c r="BD39" s="202"/>
      <c r="BE39" s="202"/>
      <c r="BF39" s="202"/>
      <c r="BG39" s="202"/>
      <c r="BH39" s="202"/>
      <c r="BI39" s="202"/>
      <c r="BJ39" s="202"/>
      <c r="BK39" s="202"/>
      <c r="BL39" s="202"/>
      <c r="BM39" s="202"/>
      <c r="BN39" s="202"/>
      <c r="BO39" s="202"/>
      <c r="BP39" s="202"/>
      <c r="BQ39" s="202"/>
      <c r="BR39" s="202"/>
      <c r="BS39" s="202"/>
      <c r="BT39" s="202"/>
    </row>
    <row r="40" spans="1:72" s="719" customFormat="1" ht="8.25" customHeight="1">
      <c r="A40" s="229"/>
      <c r="B40" s="230"/>
      <c r="C40" s="231"/>
      <c r="D40" s="218"/>
      <c r="E40" s="218"/>
      <c r="F40" s="220"/>
      <c r="G40" s="23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2"/>
      <c r="Y40" s="202"/>
      <c r="Z40" s="202"/>
      <c r="AA40" s="202"/>
      <c r="AB40" s="202"/>
      <c r="AC40" s="202"/>
      <c r="AD40" s="202"/>
      <c r="AE40" s="202"/>
      <c r="AF40" s="202"/>
      <c r="AG40" s="202"/>
      <c r="AH40" s="202"/>
      <c r="AI40" s="202"/>
      <c r="AJ40" s="202"/>
      <c r="AK40" s="202"/>
      <c r="AL40" s="202"/>
      <c r="AM40" s="202"/>
      <c r="AN40" s="202"/>
      <c r="AO40" s="202"/>
      <c r="AP40" s="202"/>
      <c r="AQ40" s="202"/>
      <c r="AR40" s="202"/>
      <c r="AS40" s="202"/>
      <c r="AT40" s="202"/>
      <c r="AU40" s="202"/>
      <c r="AV40" s="202"/>
      <c r="AW40" s="202"/>
      <c r="AX40" s="202"/>
      <c r="AY40" s="202"/>
      <c r="AZ40" s="202"/>
      <c r="BA40" s="202"/>
      <c r="BB40" s="202"/>
      <c r="BC40" s="202"/>
      <c r="BD40" s="202"/>
      <c r="BE40" s="202"/>
      <c r="BF40" s="202"/>
      <c r="BG40" s="202"/>
      <c r="BH40" s="202"/>
      <c r="BI40" s="202"/>
      <c r="BJ40" s="202"/>
      <c r="BK40" s="202"/>
      <c r="BL40" s="202"/>
      <c r="BM40" s="202"/>
      <c r="BN40" s="202"/>
      <c r="BO40" s="202"/>
      <c r="BP40" s="202"/>
      <c r="BQ40" s="202"/>
      <c r="BR40" s="202"/>
      <c r="BS40" s="202"/>
      <c r="BT40" s="202"/>
    </row>
    <row r="41" spans="1:72" s="719" customFormat="1" ht="15.75" customHeight="1">
      <c r="A41" s="215"/>
      <c r="B41" s="216"/>
      <c r="C41" s="217" t="s">
        <v>345</v>
      </c>
      <c r="D41" s="217" t="s">
        <v>346</v>
      </c>
      <c r="E41" s="218" t="s">
        <v>86</v>
      </c>
      <c r="F41" s="219">
        <f>372460+401339+406885+368932+394845+405679+390119+395758+393566</f>
        <v>3529583</v>
      </c>
      <c r="G41" s="220" t="s">
        <v>330</v>
      </c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2"/>
      <c r="AI41" s="202"/>
      <c r="AJ41" s="202"/>
      <c r="AK41" s="202"/>
      <c r="AL41" s="202"/>
      <c r="AM41" s="202"/>
      <c r="AN41" s="202"/>
      <c r="AO41" s="202"/>
      <c r="AP41" s="202"/>
      <c r="AQ41" s="202"/>
      <c r="AR41" s="202"/>
      <c r="AS41" s="202"/>
      <c r="AT41" s="202"/>
      <c r="AU41" s="202"/>
      <c r="AV41" s="202"/>
      <c r="AW41" s="202"/>
      <c r="AX41" s="202"/>
      <c r="AY41" s="202"/>
      <c r="AZ41" s="202"/>
      <c r="BA41" s="202"/>
      <c r="BB41" s="202"/>
      <c r="BC41" s="202"/>
      <c r="BD41" s="202"/>
      <c r="BE41" s="202"/>
      <c r="BF41" s="202"/>
      <c r="BG41" s="202"/>
      <c r="BH41" s="202"/>
      <c r="BI41" s="202"/>
      <c r="BJ41" s="202"/>
      <c r="BK41" s="202"/>
      <c r="BL41" s="202"/>
      <c r="BM41" s="202"/>
      <c r="BN41" s="202"/>
      <c r="BO41" s="202"/>
      <c r="BP41" s="202"/>
      <c r="BQ41" s="202"/>
      <c r="BR41" s="202"/>
      <c r="BS41" s="202"/>
      <c r="BT41" s="202"/>
    </row>
    <row r="42" spans="1:72" s="719" customFormat="1" ht="22.5" customHeight="1">
      <c r="A42" s="221" t="s">
        <v>34</v>
      </c>
      <c r="B42" s="222" t="s">
        <v>347</v>
      </c>
      <c r="C42" s="217"/>
      <c r="D42" s="217"/>
      <c r="E42" s="223" t="s">
        <v>330</v>
      </c>
      <c r="F42" s="224" t="s">
        <v>330</v>
      </c>
      <c r="G42" s="225">
        <f>SUM(G44,G53,G58,G67,G74,G79,G84,G93,G98,G105,G114,G119,G126,G135,G140,G149,G156)</f>
        <v>4158046.14</v>
      </c>
      <c r="H42" s="202"/>
      <c r="I42" s="722"/>
      <c r="J42" s="202"/>
      <c r="K42" s="202"/>
      <c r="L42" s="202"/>
      <c r="M42" s="202"/>
      <c r="N42" s="202"/>
      <c r="O42" s="202"/>
      <c r="P42" s="202"/>
      <c r="Q42" s="202"/>
      <c r="R42" s="202"/>
      <c r="S42" s="202"/>
      <c r="T42" s="202"/>
      <c r="U42" s="202"/>
      <c r="V42" s="202"/>
      <c r="W42" s="202"/>
      <c r="X42" s="202"/>
      <c r="Y42" s="202"/>
      <c r="Z42" s="202"/>
      <c r="AA42" s="202"/>
      <c r="AB42" s="202"/>
      <c r="AC42" s="202"/>
      <c r="AD42" s="202"/>
      <c r="AE42" s="202"/>
      <c r="AF42" s="202"/>
      <c r="AG42" s="202"/>
      <c r="AH42" s="202"/>
      <c r="AI42" s="202"/>
      <c r="AJ42" s="202"/>
      <c r="AK42" s="202"/>
      <c r="AL42" s="202"/>
      <c r="AM42" s="202"/>
      <c r="AN42" s="202"/>
      <c r="AO42" s="202"/>
      <c r="AP42" s="202"/>
      <c r="AQ42" s="202"/>
      <c r="AR42" s="202"/>
      <c r="AS42" s="202"/>
      <c r="AT42" s="202"/>
      <c r="AU42" s="202"/>
      <c r="AV42" s="202"/>
      <c r="AW42" s="202"/>
      <c r="AX42" s="202"/>
      <c r="AY42" s="202"/>
      <c r="AZ42" s="202"/>
      <c r="BA42" s="202"/>
      <c r="BB42" s="202"/>
      <c r="BC42" s="202"/>
      <c r="BD42" s="202"/>
      <c r="BE42" s="202"/>
      <c r="BF42" s="202"/>
      <c r="BG42" s="202"/>
      <c r="BH42" s="202"/>
      <c r="BI42" s="202"/>
      <c r="BJ42" s="202"/>
      <c r="BK42" s="202"/>
      <c r="BL42" s="202"/>
      <c r="BM42" s="202"/>
      <c r="BN42" s="202"/>
      <c r="BO42" s="202"/>
      <c r="BP42" s="202"/>
      <c r="BQ42" s="202"/>
      <c r="BR42" s="202"/>
      <c r="BS42" s="202"/>
      <c r="BT42" s="202"/>
    </row>
    <row r="43" spans="1:72" s="719" customFormat="1" ht="6.75" customHeight="1">
      <c r="A43" s="215"/>
      <c r="B43" s="216"/>
      <c r="C43" s="234"/>
      <c r="D43" s="217"/>
      <c r="E43" s="217"/>
      <c r="F43" s="227"/>
      <c r="G43" s="228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202"/>
      <c r="T43" s="202"/>
      <c r="U43" s="202"/>
      <c r="V43" s="202"/>
      <c r="W43" s="202"/>
      <c r="X43" s="202"/>
      <c r="Y43" s="202"/>
      <c r="Z43" s="202"/>
      <c r="AA43" s="202"/>
      <c r="AB43" s="202"/>
      <c r="AC43" s="202"/>
      <c r="AD43" s="202"/>
      <c r="AE43" s="202"/>
      <c r="AF43" s="202"/>
      <c r="AG43" s="202"/>
      <c r="AH43" s="202"/>
      <c r="AI43" s="202"/>
      <c r="AJ43" s="202"/>
      <c r="AK43" s="202"/>
      <c r="AL43" s="202"/>
      <c r="AM43" s="202"/>
      <c r="AN43" s="202"/>
      <c r="AO43" s="202"/>
      <c r="AP43" s="202"/>
      <c r="AQ43" s="202"/>
      <c r="AR43" s="202"/>
      <c r="AS43" s="202"/>
      <c r="AT43" s="202"/>
      <c r="AU43" s="202"/>
      <c r="AV43" s="202"/>
      <c r="AW43" s="202"/>
      <c r="AX43" s="202"/>
      <c r="AY43" s="202"/>
      <c r="AZ43" s="202"/>
      <c r="BA43" s="202"/>
      <c r="BB43" s="202"/>
      <c r="BC43" s="202"/>
      <c r="BD43" s="202"/>
      <c r="BE43" s="202"/>
      <c r="BF43" s="202"/>
      <c r="BG43" s="202"/>
      <c r="BH43" s="202"/>
      <c r="BI43" s="202"/>
      <c r="BJ43" s="202"/>
      <c r="BK43" s="202"/>
      <c r="BL43" s="202"/>
      <c r="BM43" s="202"/>
      <c r="BN43" s="202"/>
      <c r="BO43" s="202"/>
      <c r="BP43" s="202"/>
      <c r="BQ43" s="202"/>
      <c r="BR43" s="202"/>
      <c r="BS43" s="202"/>
      <c r="BT43" s="202"/>
    </row>
    <row r="44" spans="1:72" s="719" customFormat="1" ht="15.75" customHeight="1">
      <c r="A44" s="215"/>
      <c r="B44" s="721" t="s">
        <v>21</v>
      </c>
      <c r="C44" s="217" t="s">
        <v>348</v>
      </c>
      <c r="D44" s="217" t="s">
        <v>349</v>
      </c>
      <c r="E44" s="223" t="s">
        <v>330</v>
      </c>
      <c r="F44" s="224" t="s">
        <v>330</v>
      </c>
      <c r="G44" s="225">
        <f>SUM(G46)</f>
        <v>2258738.2600000002</v>
      </c>
      <c r="H44" s="202"/>
      <c r="I44" s="202"/>
      <c r="J44" s="722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202"/>
      <c r="V44" s="202"/>
      <c r="W44" s="202"/>
      <c r="X44" s="202"/>
      <c r="Y44" s="202"/>
      <c r="Z44" s="202"/>
      <c r="AA44" s="202"/>
      <c r="AB44" s="202"/>
      <c r="AC44" s="202"/>
      <c r="AD44" s="202"/>
      <c r="AE44" s="202"/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202"/>
      <c r="BC44" s="202"/>
      <c r="BD44" s="202"/>
      <c r="BE44" s="202"/>
      <c r="BF44" s="202"/>
      <c r="BG44" s="202"/>
      <c r="BH44" s="202"/>
      <c r="BI44" s="202"/>
      <c r="BJ44" s="202"/>
      <c r="BK44" s="202"/>
      <c r="BL44" s="202"/>
      <c r="BM44" s="202"/>
      <c r="BN44" s="202"/>
      <c r="BO44" s="202"/>
      <c r="BP44" s="202"/>
      <c r="BQ44" s="202"/>
      <c r="BR44" s="202"/>
      <c r="BS44" s="202"/>
      <c r="BT44" s="202"/>
    </row>
    <row r="45" spans="1:72" s="719" customFormat="1" ht="7.5" customHeight="1">
      <c r="A45" s="215"/>
      <c r="B45" s="216"/>
      <c r="C45" s="234"/>
      <c r="D45" s="217"/>
      <c r="E45" s="217"/>
      <c r="F45" s="227"/>
      <c r="G45" s="228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02"/>
      <c r="W45" s="202"/>
      <c r="X45" s="202"/>
      <c r="Y45" s="202"/>
      <c r="Z45" s="202"/>
      <c r="AA45" s="202"/>
      <c r="AB45" s="202"/>
      <c r="AC45" s="202"/>
      <c r="AD45" s="202"/>
      <c r="AE45" s="202"/>
      <c r="AF45" s="202"/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2"/>
      <c r="BE45" s="202"/>
      <c r="BF45" s="202"/>
      <c r="BG45" s="202"/>
      <c r="BH45" s="202"/>
      <c r="BI45" s="202"/>
      <c r="BJ45" s="202"/>
      <c r="BK45" s="202"/>
      <c r="BL45" s="202"/>
      <c r="BM45" s="202"/>
      <c r="BN45" s="202"/>
      <c r="BO45" s="202"/>
      <c r="BP45" s="202"/>
      <c r="BQ45" s="202"/>
      <c r="BR45" s="202"/>
      <c r="BS45" s="202"/>
      <c r="BT45" s="202"/>
    </row>
    <row r="46" spans="1:72" s="719" customFormat="1" ht="15.75" customHeight="1">
      <c r="A46" s="215"/>
      <c r="B46" s="216"/>
      <c r="C46" s="234"/>
      <c r="D46" s="217"/>
      <c r="E46" s="217"/>
      <c r="F46" s="227"/>
      <c r="G46" s="720">
        <f>SUM(G47:G51)</f>
        <v>2258738.2600000002</v>
      </c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202"/>
      <c r="X46" s="202"/>
      <c r="Y46" s="202"/>
      <c r="Z46" s="202"/>
      <c r="AA46" s="202"/>
      <c r="AB46" s="202"/>
      <c r="AC46" s="202"/>
      <c r="AD46" s="202"/>
      <c r="AE46" s="202"/>
      <c r="AF46" s="202"/>
      <c r="AG46" s="202"/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  <c r="AR46" s="202"/>
      <c r="AS46" s="202"/>
      <c r="AT46" s="202"/>
      <c r="AU46" s="202"/>
      <c r="AV46" s="202"/>
      <c r="AW46" s="202"/>
      <c r="AX46" s="202"/>
      <c r="AY46" s="202"/>
      <c r="AZ46" s="202"/>
      <c r="BA46" s="202"/>
      <c r="BB46" s="202"/>
      <c r="BC46" s="202"/>
      <c r="BD46" s="202"/>
      <c r="BE46" s="202"/>
      <c r="BF46" s="202"/>
      <c r="BG46" s="202"/>
      <c r="BH46" s="202"/>
      <c r="BI46" s="202"/>
      <c r="BJ46" s="202"/>
      <c r="BK46" s="202"/>
      <c r="BL46" s="202"/>
      <c r="BM46" s="202"/>
      <c r="BN46" s="202"/>
      <c r="BO46" s="202"/>
      <c r="BP46" s="202"/>
      <c r="BQ46" s="202"/>
      <c r="BR46" s="202"/>
      <c r="BS46" s="202"/>
      <c r="BT46" s="202"/>
    </row>
    <row r="47" spans="1:72" s="719" customFormat="1" ht="15.75" customHeight="1">
      <c r="A47" s="215"/>
      <c r="B47" s="216"/>
      <c r="C47" s="234"/>
      <c r="D47" s="217"/>
      <c r="E47" s="217" t="s">
        <v>270</v>
      </c>
      <c r="F47" s="227" t="s">
        <v>330</v>
      </c>
      <c r="G47" s="228">
        <f>204075+61202+376167.82+167795.4+193636+191698.63+29328.46+225865.58+212464.37+223270.43</f>
        <v>1885503.6900000002</v>
      </c>
      <c r="H47" s="202"/>
      <c r="I47" s="202"/>
      <c r="J47" s="202"/>
      <c r="K47" s="202"/>
      <c r="L47" s="202"/>
      <c r="M47" s="202"/>
      <c r="N47" s="202"/>
      <c r="O47" s="202"/>
      <c r="P47" s="202"/>
      <c r="Q47" s="202"/>
      <c r="R47" s="202"/>
      <c r="S47" s="202"/>
      <c r="T47" s="202"/>
      <c r="U47" s="202"/>
      <c r="V47" s="202"/>
      <c r="W47" s="202"/>
      <c r="X47" s="202"/>
      <c r="Y47" s="202"/>
      <c r="Z47" s="202"/>
      <c r="AA47" s="202"/>
      <c r="AB47" s="202"/>
      <c r="AC47" s="202"/>
      <c r="AD47" s="202"/>
      <c r="AE47" s="202"/>
      <c r="AF47" s="202"/>
      <c r="AG47" s="202"/>
      <c r="AH47" s="202"/>
      <c r="AI47" s="202"/>
      <c r="AJ47" s="202"/>
      <c r="AK47" s="202"/>
      <c r="AL47" s="202"/>
      <c r="AM47" s="202"/>
      <c r="AN47" s="202"/>
      <c r="AO47" s="202"/>
      <c r="AP47" s="202"/>
      <c r="AQ47" s="202"/>
      <c r="AR47" s="202"/>
      <c r="AS47" s="202"/>
      <c r="AT47" s="202"/>
      <c r="AU47" s="202"/>
      <c r="AV47" s="202"/>
      <c r="AW47" s="202"/>
      <c r="AX47" s="202"/>
      <c r="AY47" s="202"/>
      <c r="AZ47" s="202"/>
      <c r="BA47" s="202"/>
      <c r="BB47" s="202"/>
      <c r="BC47" s="202"/>
      <c r="BD47" s="202"/>
      <c r="BE47" s="202"/>
      <c r="BF47" s="202"/>
      <c r="BG47" s="202"/>
      <c r="BH47" s="202"/>
      <c r="BI47" s="202"/>
      <c r="BJ47" s="202"/>
      <c r="BK47" s="202"/>
      <c r="BL47" s="202"/>
      <c r="BM47" s="202"/>
      <c r="BN47" s="202"/>
      <c r="BO47" s="202"/>
      <c r="BP47" s="202"/>
      <c r="BQ47" s="202"/>
      <c r="BR47" s="202"/>
      <c r="BS47" s="202"/>
      <c r="BT47" s="202"/>
    </row>
    <row r="48" spans="1:72" s="719" customFormat="1" ht="15.75" customHeight="1">
      <c r="A48" s="215"/>
      <c r="B48" s="216"/>
      <c r="C48" s="234"/>
      <c r="D48" s="217"/>
      <c r="E48" s="217" t="s">
        <v>344</v>
      </c>
      <c r="F48" s="227" t="s">
        <v>330</v>
      </c>
      <c r="G48" s="228">
        <f>11240+16000</f>
        <v>27240</v>
      </c>
      <c r="H48" s="202"/>
      <c r="I48" s="202"/>
      <c r="J48" s="202"/>
      <c r="K48" s="202"/>
      <c r="L48" s="202"/>
      <c r="M48" s="202"/>
      <c r="N48" s="202"/>
      <c r="O48" s="202"/>
      <c r="P48" s="202"/>
      <c r="Q48" s="202"/>
      <c r="R48" s="202"/>
      <c r="S48" s="202"/>
      <c r="T48" s="202"/>
      <c r="U48" s="202"/>
      <c r="V48" s="202"/>
      <c r="W48" s="202"/>
      <c r="X48" s="202"/>
      <c r="Y48" s="202"/>
      <c r="Z48" s="202"/>
      <c r="AA48" s="202"/>
      <c r="AB48" s="202"/>
      <c r="AC48" s="202"/>
      <c r="AD48" s="202"/>
      <c r="AE48" s="202"/>
      <c r="AF48" s="202"/>
      <c r="AG48" s="202"/>
      <c r="AH48" s="202"/>
      <c r="AI48" s="202"/>
      <c r="AJ48" s="202"/>
      <c r="AK48" s="202"/>
      <c r="AL48" s="202"/>
      <c r="AM48" s="202"/>
      <c r="AN48" s="202"/>
      <c r="AO48" s="202"/>
      <c r="AP48" s="202"/>
      <c r="AQ48" s="202"/>
      <c r="AR48" s="202"/>
      <c r="AS48" s="202"/>
      <c r="AT48" s="202"/>
      <c r="AU48" s="202"/>
      <c r="AV48" s="202"/>
      <c r="AW48" s="202"/>
      <c r="AX48" s="202"/>
      <c r="AY48" s="202"/>
      <c r="AZ48" s="202"/>
      <c r="BA48" s="202"/>
      <c r="BB48" s="202"/>
      <c r="BC48" s="202"/>
      <c r="BD48" s="202"/>
      <c r="BE48" s="202"/>
      <c r="BF48" s="202"/>
      <c r="BG48" s="202"/>
      <c r="BH48" s="202"/>
      <c r="BI48" s="202"/>
      <c r="BJ48" s="202"/>
      <c r="BK48" s="202"/>
      <c r="BL48" s="202"/>
      <c r="BM48" s="202"/>
      <c r="BN48" s="202"/>
      <c r="BO48" s="202"/>
      <c r="BP48" s="202"/>
      <c r="BQ48" s="202"/>
      <c r="BR48" s="202"/>
      <c r="BS48" s="202"/>
      <c r="BT48" s="202"/>
    </row>
    <row r="49" spans="1:72" s="719" customFormat="1" ht="15.75" customHeight="1">
      <c r="A49" s="215"/>
      <c r="B49" s="216"/>
      <c r="C49" s="234"/>
      <c r="D49" s="217"/>
      <c r="E49" s="217" t="s">
        <v>350</v>
      </c>
      <c r="F49" s="227" t="s">
        <v>330</v>
      </c>
      <c r="G49" s="228">
        <f>129917.77+34175+5500+7000+20460-27561.08</f>
        <v>169491.69</v>
      </c>
      <c r="H49" s="202"/>
      <c r="I49" s="202"/>
      <c r="J49" s="202"/>
      <c r="K49" s="202"/>
      <c r="L49" s="202"/>
      <c r="M49" s="202"/>
      <c r="N49" s="202"/>
      <c r="O49" s="202"/>
      <c r="P49" s="202"/>
      <c r="Q49" s="202"/>
      <c r="R49" s="202"/>
      <c r="S49" s="202"/>
      <c r="T49" s="202"/>
      <c r="U49" s="202"/>
      <c r="V49" s="202"/>
      <c r="W49" s="202"/>
      <c r="X49" s="202"/>
      <c r="Y49" s="202"/>
      <c r="Z49" s="202"/>
      <c r="AA49" s="202"/>
      <c r="AB49" s="202"/>
      <c r="AC49" s="202"/>
      <c r="AD49" s="202"/>
      <c r="AE49" s="202"/>
      <c r="AF49" s="202"/>
      <c r="AG49" s="202"/>
      <c r="AH49" s="202"/>
      <c r="AI49" s="202"/>
      <c r="AJ49" s="202"/>
      <c r="AK49" s="202"/>
      <c r="AL49" s="202"/>
      <c r="AM49" s="202"/>
      <c r="AN49" s="202"/>
      <c r="AO49" s="202"/>
      <c r="AP49" s="202"/>
      <c r="AQ49" s="202"/>
      <c r="AR49" s="202"/>
      <c r="AS49" s="202"/>
      <c r="AT49" s="202"/>
      <c r="AU49" s="202"/>
      <c r="AV49" s="202"/>
      <c r="AW49" s="202"/>
      <c r="AX49" s="202"/>
      <c r="AY49" s="202"/>
      <c r="AZ49" s="202"/>
      <c r="BA49" s="202"/>
      <c r="BB49" s="202"/>
      <c r="BC49" s="202"/>
      <c r="BD49" s="202"/>
      <c r="BE49" s="202"/>
      <c r="BF49" s="202"/>
      <c r="BG49" s="202"/>
      <c r="BH49" s="202"/>
      <c r="BI49" s="202"/>
      <c r="BJ49" s="202"/>
      <c r="BK49" s="202"/>
      <c r="BL49" s="202"/>
      <c r="BM49" s="202"/>
      <c r="BN49" s="202"/>
      <c r="BO49" s="202"/>
      <c r="BP49" s="202"/>
      <c r="BQ49" s="202"/>
      <c r="BR49" s="202"/>
      <c r="BS49" s="202"/>
      <c r="BT49" s="202"/>
    </row>
    <row r="50" spans="1:72" s="719" customFormat="1" ht="15.75" customHeight="1">
      <c r="A50" s="215"/>
      <c r="B50" s="216"/>
      <c r="C50" s="234"/>
      <c r="D50" s="217"/>
      <c r="E50" s="217" t="s">
        <v>339</v>
      </c>
      <c r="F50" s="227" t="s">
        <v>330</v>
      </c>
      <c r="G50" s="228">
        <f>28413.23+8989+1170+2000+4600-9169.35</f>
        <v>36002.879999999997</v>
      </c>
      <c r="H50" s="202"/>
      <c r="I50" s="202"/>
      <c r="J50" s="202"/>
      <c r="K50" s="202"/>
      <c r="L50" s="202"/>
      <c r="M50" s="202"/>
      <c r="N50" s="202"/>
      <c r="O50" s="202"/>
      <c r="P50" s="202"/>
      <c r="Q50" s="202"/>
      <c r="R50" s="202"/>
      <c r="S50" s="202"/>
      <c r="T50" s="202"/>
      <c r="U50" s="202"/>
      <c r="V50" s="202"/>
      <c r="W50" s="202"/>
      <c r="X50" s="202"/>
      <c r="Y50" s="202"/>
      <c r="Z50" s="202"/>
      <c r="AA50" s="202"/>
      <c r="AB50" s="202"/>
      <c r="AC50" s="202"/>
      <c r="AD50" s="202"/>
      <c r="AE50" s="202"/>
      <c r="AF50" s="202"/>
      <c r="AG50" s="202"/>
      <c r="AH50" s="202"/>
      <c r="AI50" s="202"/>
      <c r="AJ50" s="202"/>
      <c r="AK50" s="202"/>
      <c r="AL50" s="202"/>
      <c r="AM50" s="202"/>
      <c r="AN50" s="202"/>
      <c r="AO50" s="202"/>
      <c r="AP50" s="202"/>
      <c r="AQ50" s="202"/>
      <c r="AR50" s="202"/>
      <c r="AS50" s="202"/>
      <c r="AT50" s="202"/>
      <c r="AU50" s="202"/>
      <c r="AV50" s="202"/>
      <c r="AW50" s="202"/>
      <c r="AX50" s="202"/>
      <c r="AY50" s="202"/>
      <c r="AZ50" s="202"/>
      <c r="BA50" s="202"/>
      <c r="BB50" s="202"/>
      <c r="BC50" s="202"/>
      <c r="BD50" s="202"/>
      <c r="BE50" s="202"/>
      <c r="BF50" s="202"/>
      <c r="BG50" s="202"/>
      <c r="BH50" s="202"/>
      <c r="BI50" s="202"/>
      <c r="BJ50" s="202"/>
      <c r="BK50" s="202"/>
      <c r="BL50" s="202"/>
      <c r="BM50" s="202"/>
      <c r="BN50" s="202"/>
      <c r="BO50" s="202"/>
      <c r="BP50" s="202"/>
      <c r="BQ50" s="202"/>
      <c r="BR50" s="202"/>
      <c r="BS50" s="202"/>
      <c r="BT50" s="202"/>
    </row>
    <row r="51" spans="1:72" s="719" customFormat="1" ht="15.75" customHeight="1">
      <c r="A51" s="215"/>
      <c r="B51" s="216"/>
      <c r="C51" s="234"/>
      <c r="D51" s="217"/>
      <c r="E51" s="217" t="s">
        <v>351</v>
      </c>
      <c r="F51" s="227" t="s">
        <v>330</v>
      </c>
      <c r="G51" s="228">
        <v>140500</v>
      </c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2"/>
      <c r="U51" s="202"/>
      <c r="V51" s="202"/>
      <c r="W51" s="202"/>
      <c r="X51" s="202"/>
      <c r="Y51" s="202"/>
      <c r="Z51" s="202"/>
      <c r="AA51" s="202"/>
      <c r="AB51" s="202"/>
      <c r="AC51" s="202"/>
      <c r="AD51" s="202"/>
      <c r="AE51" s="202"/>
      <c r="AF51" s="202"/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2"/>
      <c r="BE51" s="202"/>
      <c r="BF51" s="202"/>
      <c r="BG51" s="202"/>
      <c r="BH51" s="202"/>
      <c r="BI51" s="202"/>
      <c r="BJ51" s="202"/>
      <c r="BK51" s="202"/>
      <c r="BL51" s="202"/>
      <c r="BM51" s="202"/>
      <c r="BN51" s="202"/>
      <c r="BO51" s="202"/>
      <c r="BP51" s="202"/>
      <c r="BQ51" s="202"/>
      <c r="BR51" s="202"/>
      <c r="BS51" s="202"/>
      <c r="BT51" s="202"/>
    </row>
    <row r="52" spans="1:72" s="719" customFormat="1" ht="6" customHeight="1">
      <c r="A52" s="229"/>
      <c r="B52" s="230"/>
      <c r="C52" s="231"/>
      <c r="D52" s="218"/>
      <c r="E52" s="218"/>
      <c r="F52" s="220"/>
      <c r="G52" s="232"/>
      <c r="H52" s="202"/>
      <c r="I52" s="202"/>
      <c r="J52" s="202"/>
      <c r="K52" s="202"/>
      <c r="L52" s="202"/>
      <c r="M52" s="202"/>
      <c r="N52" s="202"/>
      <c r="O52" s="202"/>
      <c r="P52" s="202"/>
      <c r="Q52" s="202"/>
      <c r="R52" s="202"/>
      <c r="S52" s="202"/>
      <c r="T52" s="202"/>
      <c r="U52" s="202"/>
      <c r="V52" s="202"/>
      <c r="W52" s="202"/>
      <c r="X52" s="202"/>
      <c r="Y52" s="202"/>
      <c r="Z52" s="202"/>
      <c r="AA52" s="202"/>
      <c r="AB52" s="202"/>
      <c r="AC52" s="202"/>
      <c r="AD52" s="202"/>
      <c r="AE52" s="202"/>
      <c r="AF52" s="202"/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/>
      <c r="BD52" s="202"/>
      <c r="BE52" s="202"/>
      <c r="BF52" s="202"/>
      <c r="BG52" s="202"/>
      <c r="BH52" s="202"/>
      <c r="BI52" s="202"/>
      <c r="BJ52" s="202"/>
      <c r="BK52" s="202"/>
      <c r="BL52" s="202"/>
      <c r="BM52" s="202"/>
      <c r="BN52" s="202"/>
      <c r="BO52" s="202"/>
      <c r="BP52" s="202"/>
      <c r="BQ52" s="202"/>
      <c r="BR52" s="202"/>
      <c r="BS52" s="202"/>
      <c r="BT52" s="202"/>
    </row>
    <row r="53" spans="1:72" s="719" customFormat="1" ht="25.5" customHeight="1">
      <c r="A53" s="215"/>
      <c r="B53" s="723" t="s">
        <v>16</v>
      </c>
      <c r="C53" s="217" t="s">
        <v>348</v>
      </c>
      <c r="D53" s="217" t="s">
        <v>349</v>
      </c>
      <c r="E53" s="218" t="s">
        <v>330</v>
      </c>
      <c r="F53" s="220" t="s">
        <v>330</v>
      </c>
      <c r="G53" s="219">
        <f>SUM(G55)</f>
        <v>7234.1399999999994</v>
      </c>
      <c r="H53" s="202"/>
      <c r="I53" s="202"/>
      <c r="J53" s="202"/>
      <c r="K53" s="202"/>
      <c r="L53" s="202"/>
      <c r="M53" s="202"/>
      <c r="N53" s="202"/>
      <c r="O53" s="202"/>
      <c r="P53" s="202"/>
      <c r="Q53" s="202"/>
      <c r="R53" s="202"/>
      <c r="S53" s="202"/>
      <c r="T53" s="202"/>
      <c r="U53" s="202"/>
      <c r="V53" s="202"/>
      <c r="W53" s="202"/>
      <c r="X53" s="202"/>
      <c r="Y53" s="202"/>
      <c r="Z53" s="202"/>
      <c r="AA53" s="202"/>
      <c r="AB53" s="202"/>
      <c r="AC53" s="202"/>
      <c r="AD53" s="202"/>
      <c r="AE53" s="202"/>
      <c r="AF53" s="202"/>
      <c r="AG53" s="202"/>
      <c r="AH53" s="202"/>
      <c r="AI53" s="202"/>
      <c r="AJ53" s="202"/>
      <c r="AK53" s="202"/>
      <c r="AL53" s="202"/>
      <c r="AM53" s="202"/>
      <c r="AN53" s="202"/>
      <c r="AO53" s="202"/>
      <c r="AP53" s="202"/>
      <c r="AQ53" s="202"/>
      <c r="AR53" s="202"/>
      <c r="AS53" s="202"/>
      <c r="AT53" s="202"/>
      <c r="AU53" s="202"/>
      <c r="AV53" s="202"/>
      <c r="AW53" s="202"/>
      <c r="AX53" s="202"/>
      <c r="AY53" s="202"/>
      <c r="AZ53" s="202"/>
      <c r="BA53" s="202"/>
      <c r="BB53" s="202"/>
      <c r="BC53" s="202"/>
      <c r="BD53" s="202"/>
      <c r="BE53" s="202"/>
      <c r="BF53" s="202"/>
      <c r="BG53" s="202"/>
      <c r="BH53" s="202"/>
      <c r="BI53" s="202"/>
      <c r="BJ53" s="202"/>
      <c r="BK53" s="202"/>
      <c r="BL53" s="202"/>
      <c r="BM53" s="202"/>
      <c r="BN53" s="202"/>
      <c r="BO53" s="202"/>
      <c r="BP53" s="202"/>
      <c r="BQ53" s="202"/>
      <c r="BR53" s="202"/>
      <c r="BS53" s="202"/>
      <c r="BT53" s="202"/>
    </row>
    <row r="54" spans="1:72" s="719" customFormat="1" ht="6.75" customHeight="1">
      <c r="A54" s="215"/>
      <c r="B54" s="216"/>
      <c r="C54" s="234"/>
      <c r="D54" s="217"/>
      <c r="E54" s="217"/>
      <c r="F54" s="227"/>
      <c r="G54" s="228"/>
      <c r="H54" s="202"/>
      <c r="I54" s="202"/>
      <c r="J54" s="202"/>
      <c r="K54" s="202"/>
      <c r="L54" s="202"/>
      <c r="M54" s="202"/>
      <c r="N54" s="202"/>
      <c r="O54" s="202"/>
      <c r="P54" s="202"/>
      <c r="Q54" s="202"/>
      <c r="R54" s="202"/>
      <c r="S54" s="202"/>
      <c r="T54" s="202"/>
      <c r="U54" s="202"/>
      <c r="V54" s="202"/>
      <c r="W54" s="202"/>
      <c r="X54" s="202"/>
      <c r="Y54" s="202"/>
      <c r="Z54" s="202"/>
      <c r="AA54" s="202"/>
      <c r="AB54" s="202"/>
      <c r="AC54" s="202"/>
      <c r="AD54" s="202"/>
      <c r="AE54" s="202"/>
      <c r="AF54" s="202"/>
      <c r="AG54" s="202"/>
      <c r="AH54" s="202"/>
      <c r="AI54" s="202"/>
      <c r="AJ54" s="202"/>
      <c r="AK54" s="202"/>
      <c r="AL54" s="202"/>
      <c r="AM54" s="202"/>
      <c r="AN54" s="202"/>
      <c r="AO54" s="202"/>
      <c r="AP54" s="202"/>
      <c r="AQ54" s="202"/>
      <c r="AR54" s="202"/>
      <c r="AS54" s="202"/>
      <c r="AT54" s="202"/>
      <c r="AU54" s="202"/>
      <c r="AV54" s="202"/>
      <c r="AW54" s="202"/>
      <c r="AX54" s="202"/>
      <c r="AY54" s="202"/>
      <c r="AZ54" s="202"/>
      <c r="BA54" s="202"/>
      <c r="BB54" s="202"/>
      <c r="BC54" s="202"/>
      <c r="BD54" s="202"/>
      <c r="BE54" s="202"/>
      <c r="BF54" s="202"/>
      <c r="BG54" s="202"/>
      <c r="BH54" s="202"/>
      <c r="BI54" s="202"/>
      <c r="BJ54" s="202"/>
      <c r="BK54" s="202"/>
      <c r="BL54" s="202"/>
      <c r="BM54" s="202"/>
      <c r="BN54" s="202"/>
      <c r="BO54" s="202"/>
      <c r="BP54" s="202"/>
      <c r="BQ54" s="202"/>
      <c r="BR54" s="202"/>
      <c r="BS54" s="202"/>
      <c r="BT54" s="202"/>
    </row>
    <row r="55" spans="1:72" s="719" customFormat="1" ht="15.75" customHeight="1">
      <c r="A55" s="215"/>
      <c r="B55" s="216"/>
      <c r="C55" s="234"/>
      <c r="D55" s="217"/>
      <c r="E55" s="217"/>
      <c r="F55" s="227"/>
      <c r="G55" s="720">
        <f>SUM(G56)</f>
        <v>7234.1399999999994</v>
      </c>
      <c r="H55" s="202"/>
      <c r="I55" s="202"/>
      <c r="J55" s="202"/>
      <c r="K55" s="202"/>
      <c r="L55" s="202"/>
      <c r="M55" s="202"/>
      <c r="N55" s="202"/>
      <c r="O55" s="202"/>
      <c r="P55" s="202"/>
      <c r="Q55" s="202"/>
      <c r="R55" s="202"/>
      <c r="S55" s="202"/>
      <c r="T55" s="202"/>
      <c r="U55" s="202"/>
      <c r="V55" s="202"/>
      <c r="W55" s="202"/>
      <c r="X55" s="202"/>
      <c r="Y55" s="202"/>
      <c r="Z55" s="202"/>
      <c r="AA55" s="202"/>
      <c r="AB55" s="202"/>
      <c r="AC55" s="202"/>
      <c r="AD55" s="202"/>
      <c r="AE55" s="202"/>
      <c r="AF55" s="202"/>
      <c r="AG55" s="202"/>
      <c r="AH55" s="202"/>
      <c r="AI55" s="202"/>
      <c r="AJ55" s="202"/>
      <c r="AK55" s="202"/>
      <c r="AL55" s="202"/>
      <c r="AM55" s="202"/>
      <c r="AN55" s="202"/>
      <c r="AO55" s="202"/>
      <c r="AP55" s="202"/>
      <c r="AQ55" s="202"/>
      <c r="AR55" s="202"/>
      <c r="AS55" s="202"/>
      <c r="AT55" s="202"/>
      <c r="AU55" s="202"/>
      <c r="AV55" s="202"/>
      <c r="AW55" s="202"/>
      <c r="AX55" s="202"/>
      <c r="AY55" s="202"/>
      <c r="AZ55" s="202"/>
      <c r="BA55" s="202"/>
      <c r="BB55" s="202"/>
      <c r="BC55" s="202"/>
      <c r="BD55" s="202"/>
      <c r="BE55" s="202"/>
      <c r="BF55" s="202"/>
      <c r="BG55" s="202"/>
      <c r="BH55" s="202"/>
      <c r="BI55" s="202"/>
      <c r="BJ55" s="202"/>
      <c r="BK55" s="202"/>
      <c r="BL55" s="202"/>
      <c r="BM55" s="202"/>
      <c r="BN55" s="202"/>
      <c r="BO55" s="202"/>
      <c r="BP55" s="202"/>
      <c r="BQ55" s="202"/>
      <c r="BR55" s="202"/>
      <c r="BS55" s="202"/>
      <c r="BT55" s="202"/>
    </row>
    <row r="56" spans="1:72" s="719" customFormat="1" ht="15.75" customHeight="1">
      <c r="A56" s="215"/>
      <c r="B56" s="216"/>
      <c r="C56" s="234"/>
      <c r="D56" s="217"/>
      <c r="E56" s="217" t="s">
        <v>352</v>
      </c>
      <c r="F56" s="227" t="s">
        <v>330</v>
      </c>
      <c r="G56" s="228">
        <f>859+932+842+932+902.25+932.32+902.25+932.32</f>
        <v>7234.1399999999994</v>
      </c>
      <c r="H56" s="202"/>
      <c r="I56" s="202"/>
      <c r="J56" s="202"/>
      <c r="K56" s="202"/>
      <c r="L56" s="202"/>
      <c r="M56" s="202"/>
      <c r="N56" s="202"/>
      <c r="O56" s="202"/>
      <c r="P56" s="202"/>
      <c r="Q56" s="202"/>
      <c r="R56" s="202"/>
      <c r="S56" s="202"/>
      <c r="T56" s="202"/>
      <c r="U56" s="202"/>
      <c r="V56" s="202"/>
      <c r="W56" s="202"/>
      <c r="X56" s="202"/>
      <c r="Y56" s="202"/>
      <c r="Z56" s="202"/>
      <c r="AA56" s="202"/>
      <c r="AB56" s="202"/>
      <c r="AC56" s="202"/>
      <c r="AD56" s="202"/>
      <c r="AE56" s="202"/>
      <c r="AF56" s="202"/>
      <c r="AG56" s="202"/>
      <c r="AH56" s="202"/>
      <c r="AI56" s="202"/>
      <c r="AJ56" s="202"/>
      <c r="AK56" s="202"/>
      <c r="AL56" s="202"/>
      <c r="AM56" s="202"/>
      <c r="AN56" s="202"/>
      <c r="AO56" s="202"/>
      <c r="AP56" s="202"/>
      <c r="AQ56" s="202"/>
      <c r="AR56" s="202"/>
      <c r="AS56" s="202"/>
      <c r="AT56" s="202"/>
      <c r="AU56" s="202"/>
      <c r="AV56" s="202"/>
      <c r="AW56" s="202"/>
      <c r="AX56" s="202"/>
      <c r="AY56" s="202"/>
      <c r="AZ56" s="202"/>
      <c r="BA56" s="202"/>
      <c r="BB56" s="202"/>
      <c r="BC56" s="202"/>
      <c r="BD56" s="202"/>
      <c r="BE56" s="202"/>
      <c r="BF56" s="202"/>
      <c r="BG56" s="202"/>
      <c r="BH56" s="202"/>
      <c r="BI56" s="202"/>
      <c r="BJ56" s="202"/>
      <c r="BK56" s="202"/>
      <c r="BL56" s="202"/>
      <c r="BM56" s="202"/>
      <c r="BN56" s="202"/>
      <c r="BO56" s="202"/>
      <c r="BP56" s="202"/>
      <c r="BQ56" s="202"/>
      <c r="BR56" s="202"/>
      <c r="BS56" s="202"/>
      <c r="BT56" s="202"/>
    </row>
    <row r="57" spans="1:72" s="719" customFormat="1" ht="8.25" customHeight="1">
      <c r="A57" s="215"/>
      <c r="B57" s="216"/>
      <c r="C57" s="234"/>
      <c r="D57" s="217"/>
      <c r="E57" s="217"/>
      <c r="F57" s="227"/>
      <c r="G57" s="228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2"/>
      <c r="U57" s="202"/>
      <c r="V57" s="202"/>
      <c r="W57" s="202"/>
      <c r="X57" s="202"/>
      <c r="Y57" s="202"/>
      <c r="Z57" s="202"/>
      <c r="AA57" s="202"/>
      <c r="AB57" s="202"/>
      <c r="AC57" s="202"/>
      <c r="AD57" s="202"/>
      <c r="AE57" s="202"/>
      <c r="AF57" s="202"/>
      <c r="AG57" s="202"/>
      <c r="AH57" s="202"/>
      <c r="AI57" s="202"/>
      <c r="AJ57" s="202"/>
      <c r="AK57" s="202"/>
      <c r="AL57" s="202"/>
      <c r="AM57" s="202"/>
      <c r="AN57" s="202"/>
      <c r="AO57" s="202"/>
      <c r="AP57" s="202"/>
      <c r="AQ57" s="202"/>
      <c r="AR57" s="202"/>
      <c r="AS57" s="202"/>
      <c r="AT57" s="202"/>
      <c r="AU57" s="202"/>
      <c r="AV57" s="202"/>
      <c r="AW57" s="202"/>
      <c r="AX57" s="202"/>
      <c r="AY57" s="202"/>
      <c r="AZ57" s="202"/>
      <c r="BA57" s="202"/>
      <c r="BB57" s="202"/>
      <c r="BC57" s="202"/>
      <c r="BD57" s="202"/>
      <c r="BE57" s="202"/>
      <c r="BF57" s="202"/>
      <c r="BG57" s="202"/>
      <c r="BH57" s="202"/>
      <c r="BI57" s="202"/>
      <c r="BJ57" s="202"/>
      <c r="BK57" s="202"/>
      <c r="BL57" s="202"/>
      <c r="BM57" s="202"/>
      <c r="BN57" s="202"/>
      <c r="BO57" s="202"/>
      <c r="BP57" s="202"/>
      <c r="BQ57" s="202"/>
      <c r="BR57" s="202"/>
      <c r="BS57" s="202"/>
      <c r="BT57" s="202"/>
    </row>
    <row r="58" spans="1:72" s="719" customFormat="1" ht="15.75" customHeight="1">
      <c r="A58" s="215"/>
      <c r="B58" s="721" t="s">
        <v>21</v>
      </c>
      <c r="C58" s="217" t="s">
        <v>348</v>
      </c>
      <c r="D58" s="217" t="s">
        <v>353</v>
      </c>
      <c r="E58" s="218" t="s">
        <v>330</v>
      </c>
      <c r="F58" s="220" t="s">
        <v>330</v>
      </c>
      <c r="G58" s="219">
        <f>SUM(G60)</f>
        <v>271970.70999999996</v>
      </c>
      <c r="H58" s="202"/>
      <c r="I58" s="202"/>
      <c r="J58" s="202"/>
      <c r="K58" s="202"/>
      <c r="L58" s="202"/>
      <c r="M58" s="202"/>
      <c r="N58" s="202"/>
      <c r="O58" s="202"/>
      <c r="P58" s="202"/>
      <c r="Q58" s="202"/>
      <c r="R58" s="202"/>
      <c r="S58" s="202"/>
      <c r="T58" s="202"/>
      <c r="U58" s="202"/>
      <c r="V58" s="202"/>
      <c r="W58" s="202"/>
      <c r="X58" s="202"/>
      <c r="Y58" s="202"/>
      <c r="Z58" s="202"/>
      <c r="AA58" s="202"/>
      <c r="AB58" s="202"/>
      <c r="AC58" s="202"/>
      <c r="AD58" s="202"/>
      <c r="AE58" s="202"/>
      <c r="AF58" s="202"/>
      <c r="AG58" s="202"/>
      <c r="AH58" s="202"/>
      <c r="AI58" s="202"/>
      <c r="AJ58" s="202"/>
      <c r="AK58" s="202"/>
      <c r="AL58" s="202"/>
      <c r="AM58" s="202"/>
      <c r="AN58" s="202"/>
      <c r="AO58" s="202"/>
      <c r="AP58" s="202"/>
      <c r="AQ58" s="202"/>
      <c r="AR58" s="202"/>
      <c r="AS58" s="202"/>
      <c r="AT58" s="202"/>
      <c r="AU58" s="202"/>
      <c r="AV58" s="202"/>
      <c r="AW58" s="202"/>
      <c r="AX58" s="202"/>
      <c r="AY58" s="202"/>
      <c r="AZ58" s="202"/>
      <c r="BA58" s="202"/>
      <c r="BB58" s="202"/>
      <c r="BC58" s="202"/>
      <c r="BD58" s="202"/>
      <c r="BE58" s="202"/>
      <c r="BF58" s="202"/>
      <c r="BG58" s="202"/>
      <c r="BH58" s="202"/>
      <c r="BI58" s="202"/>
      <c r="BJ58" s="202"/>
      <c r="BK58" s="202"/>
      <c r="BL58" s="202"/>
      <c r="BM58" s="202"/>
      <c r="BN58" s="202"/>
      <c r="BO58" s="202"/>
      <c r="BP58" s="202"/>
      <c r="BQ58" s="202"/>
      <c r="BR58" s="202"/>
      <c r="BS58" s="202"/>
      <c r="BT58" s="202"/>
    </row>
    <row r="59" spans="1:72" s="719" customFormat="1" ht="6.75" customHeight="1">
      <c r="A59" s="215"/>
      <c r="B59" s="216"/>
      <c r="C59" s="234"/>
      <c r="D59" s="217"/>
      <c r="E59" s="217"/>
      <c r="F59" s="227"/>
      <c r="G59" s="228"/>
      <c r="H59" s="202"/>
      <c r="I59" s="202"/>
      <c r="J59" s="202"/>
      <c r="K59" s="202"/>
      <c r="L59" s="202"/>
      <c r="M59" s="202"/>
      <c r="N59" s="202"/>
      <c r="O59" s="202"/>
      <c r="P59" s="202"/>
      <c r="Q59" s="202"/>
      <c r="R59" s="202"/>
      <c r="S59" s="202"/>
      <c r="T59" s="202"/>
      <c r="U59" s="202"/>
      <c r="V59" s="202"/>
      <c r="W59" s="202"/>
      <c r="X59" s="202"/>
      <c r="Y59" s="202"/>
      <c r="Z59" s="202"/>
      <c r="AA59" s="202"/>
      <c r="AB59" s="202"/>
      <c r="AC59" s="202"/>
      <c r="AD59" s="202"/>
      <c r="AE59" s="202"/>
      <c r="AF59" s="202"/>
      <c r="AG59" s="202"/>
      <c r="AH59" s="202"/>
      <c r="AI59" s="202"/>
      <c r="AJ59" s="202"/>
      <c r="AK59" s="202"/>
      <c r="AL59" s="202"/>
      <c r="AM59" s="202"/>
      <c r="AN59" s="202"/>
      <c r="AO59" s="202"/>
      <c r="AP59" s="202"/>
      <c r="AQ59" s="202"/>
      <c r="AR59" s="202"/>
      <c r="AS59" s="202"/>
      <c r="AT59" s="202"/>
      <c r="AU59" s="202"/>
      <c r="AV59" s="202"/>
      <c r="AW59" s="202"/>
      <c r="AX59" s="202"/>
      <c r="AY59" s="202"/>
      <c r="AZ59" s="202"/>
      <c r="BA59" s="202"/>
      <c r="BB59" s="202"/>
      <c r="BC59" s="202"/>
      <c r="BD59" s="202"/>
      <c r="BE59" s="202"/>
      <c r="BF59" s="202"/>
      <c r="BG59" s="202"/>
      <c r="BH59" s="202"/>
      <c r="BI59" s="202"/>
      <c r="BJ59" s="202"/>
      <c r="BK59" s="202"/>
      <c r="BL59" s="202"/>
      <c r="BM59" s="202"/>
      <c r="BN59" s="202"/>
      <c r="BO59" s="202"/>
      <c r="BP59" s="202"/>
      <c r="BQ59" s="202"/>
      <c r="BR59" s="202"/>
      <c r="BS59" s="202"/>
      <c r="BT59" s="202"/>
    </row>
    <row r="60" spans="1:72" s="719" customFormat="1" ht="15.75" customHeight="1">
      <c r="A60" s="215"/>
      <c r="B60" s="216"/>
      <c r="C60" s="234"/>
      <c r="D60" s="217"/>
      <c r="E60" s="217"/>
      <c r="F60" s="227"/>
      <c r="G60" s="720">
        <f>SUM(G61:G65)</f>
        <v>271970.70999999996</v>
      </c>
      <c r="H60" s="202"/>
      <c r="I60" s="202"/>
      <c r="J60" s="202"/>
      <c r="K60" s="202"/>
      <c r="L60" s="202"/>
      <c r="M60" s="202"/>
      <c r="N60" s="202"/>
      <c r="O60" s="202"/>
      <c r="P60" s="202"/>
      <c r="Q60" s="202"/>
      <c r="R60" s="202"/>
      <c r="S60" s="202"/>
      <c r="T60" s="202"/>
      <c r="U60" s="202"/>
      <c r="V60" s="202"/>
      <c r="W60" s="202"/>
      <c r="X60" s="202"/>
      <c r="Y60" s="202"/>
      <c r="Z60" s="202"/>
      <c r="AA60" s="202"/>
      <c r="AB60" s="202"/>
      <c r="AC60" s="202"/>
      <c r="AD60" s="202"/>
      <c r="AE60" s="202"/>
      <c r="AF60" s="202"/>
      <c r="AG60" s="202"/>
      <c r="AH60" s="202"/>
      <c r="AI60" s="202"/>
      <c r="AJ60" s="202"/>
      <c r="AK60" s="202"/>
      <c r="AL60" s="202"/>
      <c r="AM60" s="202"/>
      <c r="AN60" s="202"/>
      <c r="AO60" s="202"/>
      <c r="AP60" s="202"/>
      <c r="AQ60" s="202"/>
      <c r="AR60" s="202"/>
      <c r="AS60" s="202"/>
      <c r="AT60" s="202"/>
      <c r="AU60" s="202"/>
      <c r="AV60" s="202"/>
      <c r="AW60" s="202"/>
      <c r="AX60" s="202"/>
      <c r="AY60" s="202"/>
      <c r="AZ60" s="202"/>
      <c r="BA60" s="202"/>
      <c r="BB60" s="202"/>
      <c r="BC60" s="202"/>
      <c r="BD60" s="202"/>
      <c r="BE60" s="202"/>
      <c r="BF60" s="202"/>
      <c r="BG60" s="202"/>
      <c r="BH60" s="202"/>
      <c r="BI60" s="202"/>
      <c r="BJ60" s="202"/>
      <c r="BK60" s="202"/>
      <c r="BL60" s="202"/>
      <c r="BM60" s="202"/>
      <c r="BN60" s="202"/>
      <c r="BO60" s="202"/>
      <c r="BP60" s="202"/>
      <c r="BQ60" s="202"/>
      <c r="BR60" s="202"/>
      <c r="BS60" s="202"/>
      <c r="BT60" s="202"/>
    </row>
    <row r="61" spans="1:72" s="719" customFormat="1" ht="15.75" customHeight="1">
      <c r="A61" s="215"/>
      <c r="B61" s="216"/>
      <c r="C61" s="234"/>
      <c r="D61" s="217"/>
      <c r="E61" s="217" t="s">
        <v>270</v>
      </c>
      <c r="F61" s="227" t="s">
        <v>330</v>
      </c>
      <c r="G61" s="228">
        <f>25751+17235+36230.71+25559+28245+27351+13245+27349+28251+28254</f>
        <v>257470.71</v>
      </c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2"/>
      <c r="S61" s="202"/>
      <c r="T61" s="202"/>
      <c r="U61" s="202"/>
      <c r="V61" s="202"/>
      <c r="W61" s="202"/>
      <c r="X61" s="202"/>
      <c r="Y61" s="202"/>
      <c r="Z61" s="202"/>
      <c r="AA61" s="202"/>
      <c r="AB61" s="202"/>
      <c r="AC61" s="202"/>
      <c r="AD61" s="202"/>
      <c r="AE61" s="202"/>
      <c r="AF61" s="202"/>
      <c r="AG61" s="202"/>
      <c r="AH61" s="202"/>
      <c r="AI61" s="202"/>
      <c r="AJ61" s="202"/>
      <c r="AK61" s="202"/>
      <c r="AL61" s="202"/>
      <c r="AM61" s="202"/>
      <c r="AN61" s="202"/>
      <c r="AO61" s="202"/>
      <c r="AP61" s="202"/>
      <c r="AQ61" s="202"/>
      <c r="AR61" s="202"/>
      <c r="AS61" s="202"/>
      <c r="AT61" s="202"/>
      <c r="AU61" s="202"/>
      <c r="AV61" s="202"/>
      <c r="AW61" s="202"/>
      <c r="AX61" s="202"/>
      <c r="AY61" s="202"/>
      <c r="AZ61" s="202"/>
      <c r="BA61" s="202"/>
      <c r="BB61" s="202"/>
      <c r="BC61" s="202"/>
      <c r="BD61" s="202"/>
      <c r="BE61" s="202"/>
      <c r="BF61" s="202"/>
      <c r="BG61" s="202"/>
      <c r="BH61" s="202"/>
      <c r="BI61" s="202"/>
      <c r="BJ61" s="202"/>
      <c r="BK61" s="202"/>
      <c r="BL61" s="202"/>
      <c r="BM61" s="202"/>
      <c r="BN61" s="202"/>
      <c r="BO61" s="202"/>
      <c r="BP61" s="202"/>
      <c r="BQ61" s="202"/>
      <c r="BR61" s="202"/>
      <c r="BS61" s="202"/>
      <c r="BT61" s="202"/>
    </row>
    <row r="62" spans="1:72" s="719" customFormat="1" ht="15.75" customHeight="1">
      <c r="A62" s="215"/>
      <c r="B62" s="216"/>
      <c r="C62" s="234"/>
      <c r="D62" s="217"/>
      <c r="E62" s="217" t="s">
        <v>344</v>
      </c>
      <c r="F62" s="227" t="s">
        <v>330</v>
      </c>
      <c r="G62" s="228">
        <f>500</f>
        <v>500</v>
      </c>
      <c r="H62" s="202"/>
      <c r="I62" s="202"/>
      <c r="J62" s="202"/>
      <c r="K62" s="202"/>
      <c r="L62" s="202"/>
      <c r="M62" s="202"/>
      <c r="N62" s="202"/>
      <c r="O62" s="202"/>
      <c r="P62" s="202"/>
      <c r="Q62" s="202"/>
      <c r="R62" s="202"/>
      <c r="S62" s="202"/>
      <c r="T62" s="202"/>
      <c r="U62" s="202"/>
      <c r="V62" s="202"/>
      <c r="W62" s="202"/>
      <c r="X62" s="202"/>
      <c r="Y62" s="202"/>
      <c r="Z62" s="202"/>
      <c r="AA62" s="202"/>
      <c r="AB62" s="202"/>
      <c r="AC62" s="202"/>
      <c r="AD62" s="202"/>
      <c r="AE62" s="202"/>
      <c r="AF62" s="202"/>
      <c r="AG62" s="202"/>
      <c r="AH62" s="202"/>
      <c r="AI62" s="202"/>
      <c r="AJ62" s="202"/>
      <c r="AK62" s="202"/>
      <c r="AL62" s="202"/>
      <c r="AM62" s="202"/>
      <c r="AN62" s="202"/>
      <c r="AO62" s="202"/>
      <c r="AP62" s="202"/>
      <c r="AQ62" s="202"/>
      <c r="AR62" s="202"/>
      <c r="AS62" s="202"/>
      <c r="AT62" s="202"/>
      <c r="AU62" s="202"/>
      <c r="AV62" s="202"/>
      <c r="AW62" s="202"/>
      <c r="AX62" s="202"/>
      <c r="AY62" s="202"/>
      <c r="AZ62" s="202"/>
      <c r="BA62" s="202"/>
      <c r="BB62" s="202"/>
      <c r="BC62" s="202"/>
      <c r="BD62" s="202"/>
      <c r="BE62" s="202"/>
      <c r="BF62" s="202"/>
      <c r="BG62" s="202"/>
      <c r="BH62" s="202"/>
      <c r="BI62" s="202"/>
      <c r="BJ62" s="202"/>
      <c r="BK62" s="202"/>
      <c r="BL62" s="202"/>
      <c r="BM62" s="202"/>
      <c r="BN62" s="202"/>
      <c r="BO62" s="202"/>
      <c r="BP62" s="202"/>
      <c r="BQ62" s="202"/>
      <c r="BR62" s="202"/>
      <c r="BS62" s="202"/>
      <c r="BT62" s="202"/>
    </row>
    <row r="63" spans="1:72" s="719" customFormat="1" ht="15.75" customHeight="1">
      <c r="A63" s="215"/>
      <c r="B63" s="216"/>
      <c r="C63" s="234"/>
      <c r="D63" s="217"/>
      <c r="E63" s="217" t="s">
        <v>350</v>
      </c>
      <c r="F63" s="227" t="s">
        <v>330</v>
      </c>
      <c r="G63" s="228">
        <f>9000</f>
        <v>9000</v>
      </c>
      <c r="H63" s="202"/>
      <c r="I63" s="202"/>
      <c r="J63" s="202"/>
      <c r="K63" s="202"/>
      <c r="L63" s="202"/>
      <c r="M63" s="202"/>
      <c r="N63" s="202"/>
      <c r="O63" s="202"/>
      <c r="P63" s="202"/>
      <c r="Q63" s="202"/>
      <c r="R63" s="202"/>
      <c r="S63" s="202"/>
      <c r="T63" s="202"/>
      <c r="U63" s="202"/>
      <c r="V63" s="202"/>
      <c r="W63" s="202"/>
      <c r="X63" s="202"/>
      <c r="Y63" s="202"/>
      <c r="Z63" s="202"/>
      <c r="AA63" s="202"/>
      <c r="AB63" s="202"/>
      <c r="AC63" s="202"/>
      <c r="AD63" s="202"/>
      <c r="AE63" s="202"/>
      <c r="AF63" s="202"/>
      <c r="AG63" s="202"/>
      <c r="AH63" s="202"/>
      <c r="AI63" s="202"/>
      <c r="AJ63" s="202"/>
      <c r="AK63" s="202"/>
      <c r="AL63" s="202"/>
      <c r="AM63" s="202"/>
      <c r="AN63" s="202"/>
      <c r="AO63" s="202"/>
      <c r="AP63" s="202"/>
      <c r="AQ63" s="202"/>
      <c r="AR63" s="202"/>
      <c r="AS63" s="202"/>
      <c r="AT63" s="202"/>
      <c r="AU63" s="202"/>
      <c r="AV63" s="202"/>
      <c r="AW63" s="202"/>
      <c r="AX63" s="202"/>
      <c r="AY63" s="202"/>
      <c r="AZ63" s="202"/>
      <c r="BA63" s="202"/>
      <c r="BB63" s="202"/>
      <c r="BC63" s="202"/>
      <c r="BD63" s="202"/>
      <c r="BE63" s="202"/>
      <c r="BF63" s="202"/>
      <c r="BG63" s="202"/>
      <c r="BH63" s="202"/>
      <c r="BI63" s="202"/>
      <c r="BJ63" s="202"/>
      <c r="BK63" s="202"/>
      <c r="BL63" s="202"/>
      <c r="BM63" s="202"/>
      <c r="BN63" s="202"/>
      <c r="BO63" s="202"/>
      <c r="BP63" s="202"/>
      <c r="BQ63" s="202"/>
      <c r="BR63" s="202"/>
      <c r="BS63" s="202"/>
      <c r="BT63" s="202"/>
    </row>
    <row r="64" spans="1:72" s="719" customFormat="1" ht="15.75" customHeight="1">
      <c r="A64" s="215"/>
      <c r="B64" s="216"/>
      <c r="C64" s="234"/>
      <c r="D64" s="217"/>
      <c r="E64" s="217" t="s">
        <v>339</v>
      </c>
      <c r="F64" s="227" t="s">
        <v>330</v>
      </c>
      <c r="G64" s="228">
        <f>2000</f>
        <v>2000</v>
      </c>
      <c r="H64" s="202"/>
      <c r="I64" s="202"/>
      <c r="J64" s="202"/>
      <c r="K64" s="202"/>
      <c r="L64" s="202"/>
      <c r="M64" s="202"/>
      <c r="N64" s="202"/>
      <c r="O64" s="202"/>
      <c r="P64" s="202"/>
      <c r="Q64" s="202"/>
      <c r="R64" s="202"/>
      <c r="S64" s="202"/>
      <c r="T64" s="202"/>
      <c r="U64" s="202"/>
      <c r="V64" s="202"/>
      <c r="W64" s="202"/>
      <c r="X64" s="202"/>
      <c r="Y64" s="202"/>
      <c r="Z64" s="202"/>
      <c r="AA64" s="202"/>
      <c r="AB64" s="202"/>
      <c r="AC64" s="202"/>
      <c r="AD64" s="202"/>
      <c r="AE64" s="202"/>
      <c r="AF64" s="202"/>
      <c r="AG64" s="202"/>
      <c r="AH64" s="202"/>
      <c r="AI64" s="202"/>
      <c r="AJ64" s="202"/>
      <c r="AK64" s="202"/>
      <c r="AL64" s="202"/>
      <c r="AM64" s="202"/>
      <c r="AN64" s="202"/>
      <c r="AO64" s="202"/>
      <c r="AP64" s="202"/>
      <c r="AQ64" s="202"/>
      <c r="AR64" s="202"/>
      <c r="AS64" s="202"/>
      <c r="AT64" s="202"/>
      <c r="AU64" s="202"/>
      <c r="AV64" s="202"/>
      <c r="AW64" s="202"/>
      <c r="AX64" s="202"/>
      <c r="AY64" s="202"/>
      <c r="AZ64" s="202"/>
      <c r="BA64" s="202"/>
      <c r="BB64" s="202"/>
      <c r="BC64" s="202"/>
      <c r="BD64" s="202"/>
      <c r="BE64" s="202"/>
      <c r="BF64" s="202"/>
      <c r="BG64" s="202"/>
      <c r="BH64" s="202"/>
      <c r="BI64" s="202"/>
      <c r="BJ64" s="202"/>
      <c r="BK64" s="202"/>
      <c r="BL64" s="202"/>
      <c r="BM64" s="202"/>
      <c r="BN64" s="202"/>
      <c r="BO64" s="202"/>
      <c r="BP64" s="202"/>
      <c r="BQ64" s="202"/>
      <c r="BR64" s="202"/>
      <c r="BS64" s="202"/>
      <c r="BT64" s="202"/>
    </row>
    <row r="65" spans="1:72" s="719" customFormat="1" ht="15.75" customHeight="1">
      <c r="A65" s="215"/>
      <c r="B65" s="216"/>
      <c r="C65" s="234"/>
      <c r="D65" s="217"/>
      <c r="E65" s="217" t="s">
        <v>351</v>
      </c>
      <c r="F65" s="227" t="s">
        <v>330</v>
      </c>
      <c r="G65" s="228">
        <f>3000</f>
        <v>3000</v>
      </c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2"/>
      <c r="U65" s="202"/>
      <c r="V65" s="202"/>
      <c r="W65" s="202"/>
      <c r="X65" s="202"/>
      <c r="Y65" s="202"/>
      <c r="Z65" s="202"/>
      <c r="AA65" s="202"/>
      <c r="AB65" s="202"/>
      <c r="AC65" s="202"/>
      <c r="AD65" s="202"/>
      <c r="AE65" s="202"/>
      <c r="AF65" s="202"/>
      <c r="AG65" s="202"/>
      <c r="AH65" s="202"/>
      <c r="AI65" s="202"/>
      <c r="AJ65" s="202"/>
      <c r="AK65" s="202"/>
      <c r="AL65" s="202"/>
      <c r="AM65" s="202"/>
      <c r="AN65" s="202"/>
      <c r="AO65" s="202"/>
      <c r="AP65" s="202"/>
      <c r="AQ65" s="202"/>
      <c r="AR65" s="202"/>
      <c r="AS65" s="202"/>
      <c r="AT65" s="202"/>
      <c r="AU65" s="202"/>
      <c r="AV65" s="202"/>
      <c r="AW65" s="202"/>
      <c r="AX65" s="202"/>
      <c r="AY65" s="202"/>
      <c r="AZ65" s="202"/>
      <c r="BA65" s="202"/>
      <c r="BB65" s="202"/>
      <c r="BC65" s="202"/>
      <c r="BD65" s="202"/>
      <c r="BE65" s="202"/>
      <c r="BF65" s="202"/>
      <c r="BG65" s="202"/>
      <c r="BH65" s="202"/>
      <c r="BI65" s="202"/>
      <c r="BJ65" s="202"/>
      <c r="BK65" s="202"/>
      <c r="BL65" s="202"/>
      <c r="BM65" s="202"/>
      <c r="BN65" s="202"/>
      <c r="BO65" s="202"/>
      <c r="BP65" s="202"/>
      <c r="BQ65" s="202"/>
      <c r="BR65" s="202"/>
      <c r="BS65" s="202"/>
      <c r="BT65" s="202"/>
    </row>
    <row r="66" spans="1:72" s="719" customFormat="1" ht="7.5" customHeight="1">
      <c r="A66" s="215"/>
      <c r="B66" s="216"/>
      <c r="C66" s="234"/>
      <c r="D66" s="217"/>
      <c r="E66" s="217"/>
      <c r="F66" s="227"/>
      <c r="G66" s="228"/>
      <c r="H66" s="202"/>
      <c r="I66" s="202"/>
      <c r="J66" s="202"/>
      <c r="K66" s="202"/>
      <c r="L66" s="202"/>
      <c r="M66" s="202"/>
      <c r="N66" s="202"/>
      <c r="O66" s="202"/>
      <c r="P66" s="202"/>
      <c r="Q66" s="202"/>
      <c r="R66" s="202"/>
      <c r="S66" s="202"/>
      <c r="T66" s="202"/>
      <c r="U66" s="202"/>
      <c r="V66" s="202"/>
      <c r="W66" s="202"/>
      <c r="X66" s="202"/>
      <c r="Y66" s="202"/>
      <c r="Z66" s="202"/>
      <c r="AA66" s="202"/>
      <c r="AB66" s="202"/>
      <c r="AC66" s="202"/>
      <c r="AD66" s="202"/>
      <c r="AE66" s="202"/>
      <c r="AF66" s="202"/>
      <c r="AG66" s="202"/>
      <c r="AH66" s="202"/>
      <c r="AI66" s="202"/>
      <c r="AJ66" s="202"/>
      <c r="AK66" s="202"/>
      <c r="AL66" s="202"/>
      <c r="AM66" s="202"/>
      <c r="AN66" s="202"/>
      <c r="AO66" s="202"/>
      <c r="AP66" s="202"/>
      <c r="AQ66" s="202"/>
      <c r="AR66" s="202"/>
      <c r="AS66" s="202"/>
      <c r="AT66" s="202"/>
      <c r="AU66" s="202"/>
      <c r="AV66" s="202"/>
      <c r="AW66" s="202"/>
      <c r="AX66" s="202"/>
      <c r="AY66" s="202"/>
      <c r="AZ66" s="202"/>
      <c r="BA66" s="202"/>
      <c r="BB66" s="202"/>
      <c r="BC66" s="202"/>
      <c r="BD66" s="202"/>
      <c r="BE66" s="202"/>
      <c r="BF66" s="202"/>
      <c r="BG66" s="202"/>
      <c r="BH66" s="202"/>
      <c r="BI66" s="202"/>
      <c r="BJ66" s="202"/>
      <c r="BK66" s="202"/>
      <c r="BL66" s="202"/>
      <c r="BM66" s="202"/>
      <c r="BN66" s="202"/>
      <c r="BO66" s="202"/>
      <c r="BP66" s="202"/>
      <c r="BQ66" s="202"/>
      <c r="BR66" s="202"/>
      <c r="BS66" s="202"/>
      <c r="BT66" s="202"/>
    </row>
    <row r="67" spans="1:72" s="719" customFormat="1" ht="15.75" customHeight="1">
      <c r="A67" s="215"/>
      <c r="B67" s="721" t="s">
        <v>21</v>
      </c>
      <c r="C67" s="217" t="s">
        <v>348</v>
      </c>
      <c r="D67" s="217" t="s">
        <v>354</v>
      </c>
      <c r="E67" s="223" t="s">
        <v>330</v>
      </c>
      <c r="F67" s="224" t="s">
        <v>330</v>
      </c>
      <c r="G67" s="225">
        <f>SUM(G69)</f>
        <v>392024.25</v>
      </c>
      <c r="H67" s="202"/>
      <c r="I67" s="202"/>
      <c r="J67" s="202"/>
      <c r="K67" s="202"/>
      <c r="L67" s="202"/>
      <c r="M67" s="202"/>
      <c r="N67" s="202"/>
      <c r="O67" s="202"/>
      <c r="P67" s="202"/>
      <c r="Q67" s="202"/>
      <c r="R67" s="202"/>
      <c r="S67" s="202"/>
      <c r="T67" s="202"/>
      <c r="U67" s="202"/>
      <c r="V67" s="202"/>
      <c r="W67" s="202"/>
      <c r="X67" s="202"/>
      <c r="Y67" s="202"/>
      <c r="Z67" s="202"/>
      <c r="AA67" s="202"/>
      <c r="AB67" s="202"/>
      <c r="AC67" s="202"/>
      <c r="AD67" s="202"/>
      <c r="AE67" s="202"/>
      <c r="AF67" s="202"/>
      <c r="AG67" s="202"/>
      <c r="AH67" s="202"/>
      <c r="AI67" s="202"/>
      <c r="AJ67" s="202"/>
      <c r="AK67" s="202"/>
      <c r="AL67" s="202"/>
      <c r="AM67" s="202"/>
      <c r="AN67" s="202"/>
      <c r="AO67" s="202"/>
      <c r="AP67" s="202"/>
      <c r="AQ67" s="202"/>
      <c r="AR67" s="202"/>
      <c r="AS67" s="202"/>
      <c r="AT67" s="202"/>
      <c r="AU67" s="202"/>
      <c r="AV67" s="202"/>
      <c r="AW67" s="202"/>
      <c r="AX67" s="202"/>
      <c r="AY67" s="202"/>
      <c r="AZ67" s="202"/>
      <c r="BA67" s="202"/>
      <c r="BB67" s="202"/>
      <c r="BC67" s="202"/>
      <c r="BD67" s="202"/>
      <c r="BE67" s="202"/>
      <c r="BF67" s="202"/>
      <c r="BG67" s="202"/>
      <c r="BH67" s="202"/>
      <c r="BI67" s="202"/>
      <c r="BJ67" s="202"/>
      <c r="BK67" s="202"/>
      <c r="BL67" s="202"/>
      <c r="BM67" s="202"/>
      <c r="BN67" s="202"/>
      <c r="BO67" s="202"/>
      <c r="BP67" s="202"/>
      <c r="BQ67" s="202"/>
      <c r="BR67" s="202"/>
      <c r="BS67" s="202"/>
      <c r="BT67" s="202"/>
    </row>
    <row r="68" spans="1:72" s="719" customFormat="1" ht="7.5" customHeight="1">
      <c r="A68" s="215"/>
      <c r="B68" s="216"/>
      <c r="C68" s="234"/>
      <c r="D68" s="217"/>
      <c r="E68" s="217"/>
      <c r="F68" s="227"/>
      <c r="G68" s="228"/>
      <c r="H68" s="202"/>
      <c r="I68" s="202"/>
      <c r="J68" s="202"/>
      <c r="K68" s="202"/>
      <c r="L68" s="202"/>
      <c r="M68" s="202"/>
      <c r="N68" s="202"/>
      <c r="O68" s="202"/>
      <c r="P68" s="202"/>
      <c r="Q68" s="202"/>
      <c r="R68" s="202"/>
      <c r="S68" s="202"/>
      <c r="T68" s="202"/>
      <c r="U68" s="202"/>
      <c r="V68" s="202"/>
      <c r="W68" s="202"/>
      <c r="X68" s="202"/>
      <c r="Y68" s="202"/>
      <c r="Z68" s="202"/>
      <c r="AA68" s="202"/>
      <c r="AB68" s="202"/>
      <c r="AC68" s="202"/>
      <c r="AD68" s="202"/>
      <c r="AE68" s="202"/>
      <c r="AF68" s="202"/>
      <c r="AG68" s="202"/>
      <c r="AH68" s="202"/>
      <c r="AI68" s="202"/>
      <c r="AJ68" s="202"/>
      <c r="AK68" s="202"/>
      <c r="AL68" s="202"/>
      <c r="AM68" s="202"/>
      <c r="AN68" s="202"/>
      <c r="AO68" s="202"/>
      <c r="AP68" s="202"/>
      <c r="AQ68" s="202"/>
      <c r="AR68" s="202"/>
      <c r="AS68" s="202"/>
      <c r="AT68" s="202"/>
      <c r="AU68" s="202"/>
      <c r="AV68" s="202"/>
      <c r="AW68" s="202"/>
      <c r="AX68" s="202"/>
      <c r="AY68" s="202"/>
      <c r="AZ68" s="202"/>
      <c r="BA68" s="202"/>
      <c r="BB68" s="202"/>
      <c r="BC68" s="202"/>
      <c r="BD68" s="202"/>
      <c r="BE68" s="202"/>
      <c r="BF68" s="202"/>
      <c r="BG68" s="202"/>
      <c r="BH68" s="202"/>
      <c r="BI68" s="202"/>
      <c r="BJ68" s="202"/>
      <c r="BK68" s="202"/>
      <c r="BL68" s="202"/>
      <c r="BM68" s="202"/>
      <c r="BN68" s="202"/>
      <c r="BO68" s="202"/>
      <c r="BP68" s="202"/>
      <c r="BQ68" s="202"/>
      <c r="BR68" s="202"/>
      <c r="BS68" s="202"/>
      <c r="BT68" s="202"/>
    </row>
    <row r="69" spans="1:72" s="719" customFormat="1" ht="15.75" customHeight="1">
      <c r="A69" s="215"/>
      <c r="B69" s="216"/>
      <c r="C69" s="234"/>
      <c r="D69" s="217"/>
      <c r="E69" s="217"/>
      <c r="F69" s="227"/>
      <c r="G69" s="720">
        <f>SUM(G70:G72)</f>
        <v>392024.25</v>
      </c>
      <c r="H69" s="202"/>
      <c r="I69" s="202"/>
      <c r="J69" s="202"/>
      <c r="K69" s="202"/>
      <c r="L69" s="202"/>
      <c r="M69" s="202"/>
      <c r="N69" s="202"/>
      <c r="O69" s="202"/>
      <c r="P69" s="202"/>
      <c r="Q69" s="202"/>
      <c r="R69" s="202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2"/>
      <c r="AE69" s="202"/>
      <c r="AF69" s="202"/>
      <c r="AG69" s="202"/>
      <c r="AH69" s="202"/>
      <c r="AI69" s="202"/>
      <c r="AJ69" s="202"/>
      <c r="AK69" s="202"/>
      <c r="AL69" s="202"/>
      <c r="AM69" s="202"/>
      <c r="AN69" s="202"/>
      <c r="AO69" s="202"/>
      <c r="AP69" s="202"/>
      <c r="AQ69" s="202"/>
      <c r="AR69" s="202"/>
      <c r="AS69" s="202"/>
      <c r="AT69" s="202"/>
      <c r="AU69" s="202"/>
      <c r="AV69" s="202"/>
      <c r="AW69" s="202"/>
      <c r="AX69" s="202"/>
      <c r="AY69" s="202"/>
      <c r="AZ69" s="202"/>
      <c r="BA69" s="202"/>
      <c r="BB69" s="202"/>
      <c r="BC69" s="202"/>
      <c r="BD69" s="202"/>
      <c r="BE69" s="202"/>
      <c r="BF69" s="202"/>
      <c r="BG69" s="202"/>
      <c r="BH69" s="202"/>
      <c r="BI69" s="202"/>
      <c r="BJ69" s="202"/>
      <c r="BK69" s="202"/>
      <c r="BL69" s="202"/>
      <c r="BM69" s="202"/>
      <c r="BN69" s="202"/>
      <c r="BO69" s="202"/>
      <c r="BP69" s="202"/>
      <c r="BQ69" s="202"/>
      <c r="BR69" s="202"/>
      <c r="BS69" s="202"/>
      <c r="BT69" s="202"/>
    </row>
    <row r="70" spans="1:72" s="719" customFormat="1" ht="15.75" customHeight="1">
      <c r="A70" s="215"/>
      <c r="B70" s="216"/>
      <c r="C70" s="234"/>
      <c r="D70" s="217"/>
      <c r="E70" s="217" t="s">
        <v>270</v>
      </c>
      <c r="F70" s="227" t="s">
        <v>330</v>
      </c>
      <c r="G70" s="228">
        <f>30421+32386+43566.28+43824.6+30117+43732.01+5395.28+41313.97+40707.01+36471.1</f>
        <v>347934.25</v>
      </c>
      <c r="H70" s="202"/>
      <c r="I70" s="202"/>
      <c r="J70" s="202"/>
      <c r="K70" s="202"/>
      <c r="L70" s="202"/>
      <c r="M70" s="202"/>
      <c r="N70" s="202"/>
      <c r="O70" s="202"/>
      <c r="P70" s="202"/>
      <c r="Q70" s="202"/>
      <c r="R70" s="202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2"/>
      <c r="AE70" s="202"/>
      <c r="AF70" s="202"/>
      <c r="AG70" s="202"/>
      <c r="AH70" s="202"/>
      <c r="AI70" s="202"/>
      <c r="AJ70" s="202"/>
      <c r="AK70" s="202"/>
      <c r="AL70" s="202"/>
      <c r="AM70" s="202"/>
      <c r="AN70" s="202"/>
      <c r="AO70" s="202"/>
      <c r="AP70" s="202"/>
      <c r="AQ70" s="202"/>
      <c r="AR70" s="202"/>
      <c r="AS70" s="202"/>
      <c r="AT70" s="202"/>
      <c r="AU70" s="202"/>
      <c r="AV70" s="202"/>
      <c r="AW70" s="202"/>
      <c r="AX70" s="202"/>
      <c r="AY70" s="202"/>
      <c r="AZ70" s="202"/>
      <c r="BA70" s="202"/>
      <c r="BB70" s="202"/>
      <c r="BC70" s="202"/>
      <c r="BD70" s="202"/>
      <c r="BE70" s="202"/>
      <c r="BF70" s="202"/>
      <c r="BG70" s="202"/>
      <c r="BH70" s="202"/>
      <c r="BI70" s="202"/>
      <c r="BJ70" s="202"/>
      <c r="BK70" s="202"/>
      <c r="BL70" s="202"/>
      <c r="BM70" s="202"/>
      <c r="BN70" s="202"/>
      <c r="BO70" s="202"/>
      <c r="BP70" s="202"/>
      <c r="BQ70" s="202"/>
      <c r="BR70" s="202"/>
      <c r="BS70" s="202"/>
      <c r="BT70" s="202"/>
    </row>
    <row r="71" spans="1:72" s="719" customFormat="1" ht="15.75" customHeight="1">
      <c r="A71" s="215"/>
      <c r="B71" s="216"/>
      <c r="C71" s="234"/>
      <c r="D71" s="217"/>
      <c r="E71" s="217" t="s">
        <v>344</v>
      </c>
      <c r="F71" s="227" t="s">
        <v>330</v>
      </c>
      <c r="G71" s="228">
        <f>2000+15190</f>
        <v>17190</v>
      </c>
      <c r="H71" s="202"/>
      <c r="I71" s="202"/>
      <c r="J71" s="202"/>
      <c r="K71" s="202"/>
      <c r="L71" s="202"/>
      <c r="M71" s="202"/>
      <c r="N71" s="202"/>
      <c r="O71" s="202"/>
      <c r="P71" s="202"/>
      <c r="Q71" s="202"/>
      <c r="R71" s="202"/>
      <c r="S71" s="202"/>
      <c r="T71" s="202"/>
      <c r="U71" s="202"/>
      <c r="V71" s="202"/>
      <c r="W71" s="202"/>
      <c r="X71" s="202"/>
      <c r="Y71" s="202"/>
      <c r="Z71" s="202"/>
      <c r="AA71" s="202"/>
      <c r="AB71" s="202"/>
      <c r="AC71" s="202"/>
      <c r="AD71" s="202"/>
      <c r="AE71" s="202"/>
      <c r="AF71" s="202"/>
      <c r="AG71" s="202"/>
      <c r="AH71" s="202"/>
      <c r="AI71" s="202"/>
      <c r="AJ71" s="202"/>
      <c r="AK71" s="202"/>
      <c r="AL71" s="202"/>
      <c r="AM71" s="202"/>
      <c r="AN71" s="202"/>
      <c r="AO71" s="202"/>
      <c r="AP71" s="202"/>
      <c r="AQ71" s="202"/>
      <c r="AR71" s="202"/>
      <c r="AS71" s="202"/>
      <c r="AT71" s="202"/>
      <c r="AU71" s="202"/>
      <c r="AV71" s="202"/>
      <c r="AW71" s="202"/>
      <c r="AX71" s="202"/>
      <c r="AY71" s="202"/>
      <c r="AZ71" s="202"/>
      <c r="BA71" s="202"/>
      <c r="BB71" s="202"/>
      <c r="BC71" s="202"/>
      <c r="BD71" s="202"/>
      <c r="BE71" s="202"/>
      <c r="BF71" s="202"/>
      <c r="BG71" s="202"/>
      <c r="BH71" s="202"/>
      <c r="BI71" s="202"/>
      <c r="BJ71" s="202"/>
      <c r="BK71" s="202"/>
      <c r="BL71" s="202"/>
      <c r="BM71" s="202"/>
      <c r="BN71" s="202"/>
      <c r="BO71" s="202"/>
      <c r="BP71" s="202"/>
      <c r="BQ71" s="202"/>
      <c r="BR71" s="202"/>
      <c r="BS71" s="202"/>
      <c r="BT71" s="202"/>
    </row>
    <row r="72" spans="1:72" s="719" customFormat="1" ht="15.75" customHeight="1">
      <c r="A72" s="215"/>
      <c r="B72" s="216"/>
      <c r="C72" s="234"/>
      <c r="D72" s="217"/>
      <c r="E72" s="217" t="s">
        <v>351</v>
      </c>
      <c r="F72" s="227" t="s">
        <v>330</v>
      </c>
      <c r="G72" s="228">
        <v>26900</v>
      </c>
      <c r="H72" s="202"/>
      <c r="I72" s="202"/>
      <c r="J72" s="202"/>
      <c r="K72" s="202"/>
      <c r="L72" s="202"/>
      <c r="M72" s="202"/>
      <c r="N72" s="202"/>
      <c r="O72" s="202"/>
      <c r="P72" s="202"/>
      <c r="Q72" s="202"/>
      <c r="R72" s="202"/>
      <c r="S72" s="202"/>
      <c r="T72" s="202"/>
      <c r="U72" s="202"/>
      <c r="V72" s="202"/>
      <c r="W72" s="202"/>
      <c r="X72" s="202"/>
      <c r="Y72" s="202"/>
      <c r="Z72" s="202"/>
      <c r="AA72" s="202"/>
      <c r="AB72" s="202"/>
      <c r="AC72" s="202"/>
      <c r="AD72" s="202"/>
      <c r="AE72" s="202"/>
      <c r="AF72" s="202"/>
      <c r="AG72" s="202"/>
      <c r="AH72" s="202"/>
      <c r="AI72" s="202"/>
      <c r="AJ72" s="202"/>
      <c r="AK72" s="202"/>
      <c r="AL72" s="202"/>
      <c r="AM72" s="202"/>
      <c r="AN72" s="202"/>
      <c r="AO72" s="202"/>
      <c r="AP72" s="202"/>
      <c r="AQ72" s="202"/>
      <c r="AR72" s="202"/>
      <c r="AS72" s="202"/>
      <c r="AT72" s="202"/>
      <c r="AU72" s="202"/>
      <c r="AV72" s="202"/>
      <c r="AW72" s="202"/>
      <c r="AX72" s="202"/>
      <c r="AY72" s="202"/>
      <c r="AZ72" s="202"/>
      <c r="BA72" s="202"/>
      <c r="BB72" s="202"/>
      <c r="BC72" s="202"/>
      <c r="BD72" s="202"/>
      <c r="BE72" s="202"/>
      <c r="BF72" s="202"/>
      <c r="BG72" s="202"/>
      <c r="BH72" s="202"/>
      <c r="BI72" s="202"/>
      <c r="BJ72" s="202"/>
      <c r="BK72" s="202"/>
      <c r="BL72" s="202"/>
      <c r="BM72" s="202"/>
      <c r="BN72" s="202"/>
      <c r="BO72" s="202"/>
      <c r="BP72" s="202"/>
      <c r="BQ72" s="202"/>
      <c r="BR72" s="202"/>
      <c r="BS72" s="202"/>
      <c r="BT72" s="202"/>
    </row>
    <row r="73" spans="1:72" s="719" customFormat="1" ht="7.5" customHeight="1">
      <c r="A73" s="215"/>
      <c r="B73" s="216"/>
      <c r="C73" s="234"/>
      <c r="D73" s="217"/>
      <c r="E73" s="217"/>
      <c r="F73" s="227"/>
      <c r="G73" s="228"/>
      <c r="H73" s="202"/>
      <c r="I73" s="202"/>
      <c r="J73" s="202"/>
      <c r="K73" s="202"/>
      <c r="L73" s="202"/>
      <c r="M73" s="202"/>
      <c r="N73" s="202"/>
      <c r="O73" s="202"/>
      <c r="P73" s="202"/>
      <c r="Q73" s="202"/>
      <c r="R73" s="202"/>
      <c r="S73" s="202"/>
      <c r="T73" s="202"/>
      <c r="U73" s="202"/>
      <c r="V73" s="202"/>
      <c r="W73" s="202"/>
      <c r="X73" s="202"/>
      <c r="Y73" s="202"/>
      <c r="Z73" s="202"/>
      <c r="AA73" s="202"/>
      <c r="AB73" s="202"/>
      <c r="AC73" s="202"/>
      <c r="AD73" s="202"/>
      <c r="AE73" s="202"/>
      <c r="AF73" s="202"/>
      <c r="AG73" s="202"/>
      <c r="AH73" s="202"/>
      <c r="AI73" s="202"/>
      <c r="AJ73" s="202"/>
      <c r="AK73" s="202"/>
      <c r="AL73" s="202"/>
      <c r="AM73" s="202"/>
      <c r="AN73" s="202"/>
      <c r="AO73" s="202"/>
      <c r="AP73" s="202"/>
      <c r="AQ73" s="202"/>
      <c r="AR73" s="202"/>
      <c r="AS73" s="202"/>
      <c r="AT73" s="202"/>
      <c r="AU73" s="202"/>
      <c r="AV73" s="202"/>
      <c r="AW73" s="202"/>
      <c r="AX73" s="202"/>
      <c r="AY73" s="202"/>
      <c r="AZ73" s="202"/>
      <c r="BA73" s="202"/>
      <c r="BB73" s="202"/>
      <c r="BC73" s="202"/>
      <c r="BD73" s="202"/>
      <c r="BE73" s="202"/>
      <c r="BF73" s="202"/>
      <c r="BG73" s="202"/>
      <c r="BH73" s="202"/>
      <c r="BI73" s="202"/>
      <c r="BJ73" s="202"/>
      <c r="BK73" s="202"/>
      <c r="BL73" s="202"/>
      <c r="BM73" s="202"/>
      <c r="BN73" s="202"/>
      <c r="BO73" s="202"/>
      <c r="BP73" s="202"/>
      <c r="BQ73" s="202"/>
      <c r="BR73" s="202"/>
      <c r="BS73" s="202"/>
      <c r="BT73" s="202"/>
    </row>
    <row r="74" spans="1:72" s="719" customFormat="1" ht="24.75" customHeight="1">
      <c r="A74" s="215"/>
      <c r="B74" s="723" t="s">
        <v>16</v>
      </c>
      <c r="C74" s="217" t="s">
        <v>348</v>
      </c>
      <c r="D74" s="217" t="s">
        <v>354</v>
      </c>
      <c r="E74" s="223" t="s">
        <v>330</v>
      </c>
      <c r="F74" s="224" t="s">
        <v>330</v>
      </c>
      <c r="G74" s="225">
        <f>SUM(G76)</f>
        <v>48212.320000000007</v>
      </c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2"/>
      <c r="U74" s="202"/>
      <c r="V74" s="202"/>
      <c r="W74" s="202"/>
      <c r="X74" s="202"/>
      <c r="Y74" s="202"/>
      <c r="Z74" s="202"/>
      <c r="AA74" s="202"/>
      <c r="AB74" s="202"/>
      <c r="AC74" s="202"/>
      <c r="AD74" s="202"/>
      <c r="AE74" s="202"/>
      <c r="AF74" s="202"/>
      <c r="AG74" s="202"/>
      <c r="AH74" s="202"/>
      <c r="AI74" s="202"/>
      <c r="AJ74" s="202"/>
      <c r="AK74" s="202"/>
      <c r="AL74" s="202"/>
      <c r="AM74" s="202"/>
      <c r="AN74" s="202"/>
      <c r="AO74" s="202"/>
      <c r="AP74" s="202"/>
      <c r="AQ74" s="202"/>
      <c r="AR74" s="202"/>
      <c r="AS74" s="202"/>
      <c r="AT74" s="202"/>
      <c r="AU74" s="202"/>
      <c r="AV74" s="202"/>
      <c r="AW74" s="202"/>
      <c r="AX74" s="202"/>
      <c r="AY74" s="202"/>
      <c r="AZ74" s="202"/>
      <c r="BA74" s="202"/>
      <c r="BB74" s="202"/>
      <c r="BC74" s="202"/>
      <c r="BD74" s="202"/>
      <c r="BE74" s="202"/>
      <c r="BF74" s="202"/>
      <c r="BG74" s="202"/>
      <c r="BH74" s="202"/>
      <c r="BI74" s="202"/>
      <c r="BJ74" s="202"/>
      <c r="BK74" s="202"/>
      <c r="BL74" s="202"/>
      <c r="BM74" s="202"/>
      <c r="BN74" s="202"/>
      <c r="BO74" s="202"/>
      <c r="BP74" s="202"/>
      <c r="BQ74" s="202"/>
      <c r="BR74" s="202"/>
      <c r="BS74" s="202"/>
      <c r="BT74" s="202"/>
    </row>
    <row r="75" spans="1:72" s="719" customFormat="1" ht="8.25" customHeight="1">
      <c r="A75" s="215"/>
      <c r="B75" s="216"/>
      <c r="C75" s="234"/>
      <c r="D75" s="217"/>
      <c r="E75" s="217"/>
      <c r="F75" s="227"/>
      <c r="G75" s="228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2"/>
      <c r="U75" s="202"/>
      <c r="V75" s="202"/>
      <c r="W75" s="202"/>
      <c r="X75" s="202"/>
      <c r="Y75" s="202"/>
      <c r="Z75" s="202"/>
      <c r="AA75" s="202"/>
      <c r="AB75" s="202"/>
      <c r="AC75" s="202"/>
      <c r="AD75" s="202"/>
      <c r="AE75" s="202"/>
      <c r="AF75" s="202"/>
      <c r="AG75" s="202"/>
      <c r="AH75" s="202"/>
      <c r="AI75" s="202"/>
      <c r="AJ75" s="202"/>
      <c r="AK75" s="202"/>
      <c r="AL75" s="202"/>
      <c r="AM75" s="202"/>
      <c r="AN75" s="202"/>
      <c r="AO75" s="202"/>
      <c r="AP75" s="202"/>
      <c r="AQ75" s="202"/>
      <c r="AR75" s="202"/>
      <c r="AS75" s="202"/>
      <c r="AT75" s="202"/>
      <c r="AU75" s="202"/>
      <c r="AV75" s="202"/>
      <c r="AW75" s="202"/>
      <c r="AX75" s="202"/>
      <c r="AY75" s="202"/>
      <c r="AZ75" s="202"/>
      <c r="BA75" s="202"/>
      <c r="BB75" s="202"/>
      <c r="BC75" s="202"/>
      <c r="BD75" s="202"/>
      <c r="BE75" s="202"/>
      <c r="BF75" s="202"/>
      <c r="BG75" s="202"/>
      <c r="BH75" s="202"/>
      <c r="BI75" s="202"/>
      <c r="BJ75" s="202"/>
      <c r="BK75" s="202"/>
      <c r="BL75" s="202"/>
      <c r="BM75" s="202"/>
      <c r="BN75" s="202"/>
      <c r="BO75" s="202"/>
      <c r="BP75" s="202"/>
      <c r="BQ75" s="202"/>
      <c r="BR75" s="202"/>
      <c r="BS75" s="202"/>
      <c r="BT75" s="202"/>
    </row>
    <row r="76" spans="1:72" s="719" customFormat="1" ht="15.75" customHeight="1">
      <c r="A76" s="215"/>
      <c r="B76" s="216"/>
      <c r="C76" s="234"/>
      <c r="D76" s="217"/>
      <c r="E76" s="217"/>
      <c r="F76" s="227"/>
      <c r="G76" s="720">
        <f>SUM(G77)</f>
        <v>48212.320000000007</v>
      </c>
      <c r="H76" s="202"/>
      <c r="I76" s="202"/>
      <c r="J76" s="202"/>
      <c r="K76" s="202"/>
      <c r="L76" s="202"/>
      <c r="M76" s="202"/>
      <c r="N76" s="202"/>
      <c r="O76" s="202"/>
      <c r="P76" s="202"/>
      <c r="Q76" s="202"/>
      <c r="R76" s="202"/>
      <c r="S76" s="202"/>
      <c r="T76" s="202"/>
      <c r="U76" s="202"/>
      <c r="V76" s="202"/>
      <c r="W76" s="202"/>
      <c r="X76" s="202"/>
      <c r="Y76" s="202"/>
      <c r="Z76" s="202"/>
      <c r="AA76" s="202"/>
      <c r="AB76" s="202"/>
      <c r="AC76" s="202"/>
      <c r="AD76" s="202"/>
      <c r="AE76" s="202"/>
      <c r="AF76" s="202"/>
      <c r="AG76" s="202"/>
      <c r="AH76" s="202"/>
      <c r="AI76" s="202"/>
      <c r="AJ76" s="202"/>
      <c r="AK76" s="202"/>
      <c r="AL76" s="202"/>
      <c r="AM76" s="202"/>
      <c r="AN76" s="202"/>
      <c r="AO76" s="202"/>
      <c r="AP76" s="202"/>
      <c r="AQ76" s="202"/>
      <c r="AR76" s="202"/>
      <c r="AS76" s="202"/>
      <c r="AT76" s="202"/>
      <c r="AU76" s="202"/>
      <c r="AV76" s="202"/>
      <c r="AW76" s="202"/>
      <c r="AX76" s="202"/>
      <c r="AY76" s="202"/>
      <c r="AZ76" s="202"/>
      <c r="BA76" s="202"/>
      <c r="BB76" s="202"/>
      <c r="BC76" s="202"/>
      <c r="BD76" s="202"/>
      <c r="BE76" s="202"/>
      <c r="BF76" s="202"/>
      <c r="BG76" s="202"/>
      <c r="BH76" s="202"/>
      <c r="BI76" s="202"/>
      <c r="BJ76" s="202"/>
      <c r="BK76" s="202"/>
      <c r="BL76" s="202"/>
      <c r="BM76" s="202"/>
      <c r="BN76" s="202"/>
      <c r="BO76" s="202"/>
      <c r="BP76" s="202"/>
      <c r="BQ76" s="202"/>
      <c r="BR76" s="202"/>
      <c r="BS76" s="202"/>
      <c r="BT76" s="202"/>
    </row>
    <row r="77" spans="1:72" s="719" customFormat="1" ht="15.75" customHeight="1">
      <c r="A77" s="215"/>
      <c r="B77" s="216"/>
      <c r="C77" s="234"/>
      <c r="D77" s="217"/>
      <c r="E77" s="217" t="s">
        <v>352</v>
      </c>
      <c r="F77" s="227" t="s">
        <v>330</v>
      </c>
      <c r="G77" s="228">
        <f>3850+5350+5607+6272+6069.75+7135.47+6905.27+7022.83</f>
        <v>48212.320000000007</v>
      </c>
      <c r="H77" s="202"/>
      <c r="I77" s="202"/>
      <c r="J77" s="202"/>
      <c r="K77" s="202"/>
      <c r="L77" s="202"/>
      <c r="M77" s="202"/>
      <c r="N77" s="202"/>
      <c r="O77" s="202"/>
      <c r="P77" s="202"/>
      <c r="Q77" s="202"/>
      <c r="R77" s="202"/>
      <c r="S77" s="202"/>
      <c r="T77" s="202"/>
      <c r="U77" s="202"/>
      <c r="V77" s="202"/>
      <c r="W77" s="202"/>
      <c r="X77" s="202"/>
      <c r="Y77" s="202"/>
      <c r="Z77" s="202"/>
      <c r="AA77" s="202"/>
      <c r="AB77" s="202"/>
      <c r="AC77" s="202"/>
      <c r="AD77" s="202"/>
      <c r="AE77" s="202"/>
      <c r="AF77" s="202"/>
      <c r="AG77" s="202"/>
      <c r="AH77" s="202"/>
      <c r="AI77" s="202"/>
      <c r="AJ77" s="202"/>
      <c r="AK77" s="202"/>
      <c r="AL77" s="202"/>
      <c r="AM77" s="202"/>
      <c r="AN77" s="202"/>
      <c r="AO77" s="202"/>
      <c r="AP77" s="202"/>
      <c r="AQ77" s="202"/>
      <c r="AR77" s="202"/>
      <c r="AS77" s="202"/>
      <c r="AT77" s="202"/>
      <c r="AU77" s="202"/>
      <c r="AV77" s="202"/>
      <c r="AW77" s="202"/>
      <c r="AX77" s="202"/>
      <c r="AY77" s="202"/>
      <c r="AZ77" s="202"/>
      <c r="BA77" s="202"/>
      <c r="BB77" s="202"/>
      <c r="BC77" s="202"/>
      <c r="BD77" s="202"/>
      <c r="BE77" s="202"/>
      <c r="BF77" s="202"/>
      <c r="BG77" s="202"/>
      <c r="BH77" s="202"/>
      <c r="BI77" s="202"/>
      <c r="BJ77" s="202"/>
      <c r="BK77" s="202"/>
      <c r="BL77" s="202"/>
      <c r="BM77" s="202"/>
      <c r="BN77" s="202"/>
      <c r="BO77" s="202"/>
      <c r="BP77" s="202"/>
      <c r="BQ77" s="202"/>
      <c r="BR77" s="202"/>
      <c r="BS77" s="202"/>
      <c r="BT77" s="202"/>
    </row>
    <row r="78" spans="1:72" s="719" customFormat="1" ht="4.5" customHeight="1">
      <c r="A78" s="215"/>
      <c r="B78" s="216"/>
      <c r="C78" s="234"/>
      <c r="D78" s="217"/>
      <c r="E78" s="217"/>
      <c r="F78" s="227"/>
      <c r="G78" s="228"/>
      <c r="H78" s="202"/>
      <c r="I78" s="202"/>
      <c r="J78" s="202"/>
      <c r="K78" s="202"/>
      <c r="L78" s="202"/>
      <c r="M78" s="202"/>
      <c r="N78" s="202"/>
      <c r="O78" s="202"/>
      <c r="P78" s="202"/>
      <c r="Q78" s="202"/>
      <c r="R78" s="202"/>
      <c r="S78" s="202"/>
      <c r="T78" s="202"/>
      <c r="U78" s="202"/>
      <c r="V78" s="202"/>
      <c r="W78" s="202"/>
      <c r="X78" s="202"/>
      <c r="Y78" s="202"/>
      <c r="Z78" s="202"/>
      <c r="AA78" s="202"/>
      <c r="AB78" s="202"/>
      <c r="AC78" s="202"/>
      <c r="AD78" s="202"/>
      <c r="AE78" s="202"/>
      <c r="AF78" s="202"/>
      <c r="AG78" s="202"/>
      <c r="AH78" s="202"/>
      <c r="AI78" s="202"/>
      <c r="AJ78" s="202"/>
      <c r="AK78" s="202"/>
      <c r="AL78" s="202"/>
      <c r="AM78" s="202"/>
      <c r="AN78" s="202"/>
      <c r="AO78" s="202"/>
      <c r="AP78" s="202"/>
      <c r="AQ78" s="202"/>
      <c r="AR78" s="202"/>
      <c r="AS78" s="202"/>
      <c r="AT78" s="202"/>
      <c r="AU78" s="202"/>
      <c r="AV78" s="202"/>
      <c r="AW78" s="202"/>
      <c r="AX78" s="202"/>
      <c r="AY78" s="202"/>
      <c r="AZ78" s="202"/>
      <c r="BA78" s="202"/>
      <c r="BB78" s="202"/>
      <c r="BC78" s="202"/>
      <c r="BD78" s="202"/>
      <c r="BE78" s="202"/>
      <c r="BF78" s="202"/>
      <c r="BG78" s="202"/>
      <c r="BH78" s="202"/>
      <c r="BI78" s="202"/>
      <c r="BJ78" s="202"/>
      <c r="BK78" s="202"/>
      <c r="BL78" s="202"/>
      <c r="BM78" s="202"/>
      <c r="BN78" s="202"/>
      <c r="BO78" s="202"/>
      <c r="BP78" s="202"/>
      <c r="BQ78" s="202"/>
      <c r="BR78" s="202"/>
      <c r="BS78" s="202"/>
      <c r="BT78" s="202"/>
    </row>
    <row r="79" spans="1:72" s="719" customFormat="1" ht="15.75" customHeight="1">
      <c r="A79" s="215"/>
      <c r="B79" s="721" t="s">
        <v>21</v>
      </c>
      <c r="C79" s="217" t="s">
        <v>348</v>
      </c>
      <c r="D79" s="217" t="s">
        <v>355</v>
      </c>
      <c r="E79" s="223" t="s">
        <v>330</v>
      </c>
      <c r="F79" s="224" t="s">
        <v>330</v>
      </c>
      <c r="G79" s="225">
        <f>SUM(G81)</f>
        <v>6638.13</v>
      </c>
      <c r="H79" s="202"/>
      <c r="I79" s="202"/>
      <c r="J79" s="202"/>
      <c r="K79" s="202"/>
      <c r="L79" s="202"/>
      <c r="M79" s="202"/>
      <c r="N79" s="202"/>
      <c r="O79" s="202"/>
      <c r="P79" s="202"/>
      <c r="Q79" s="202"/>
      <c r="R79" s="202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2"/>
      <c r="AE79" s="202"/>
      <c r="AF79" s="202"/>
      <c r="AG79" s="202"/>
      <c r="AH79" s="202"/>
      <c r="AI79" s="202"/>
      <c r="AJ79" s="202"/>
      <c r="AK79" s="202"/>
      <c r="AL79" s="202"/>
      <c r="AM79" s="202"/>
      <c r="AN79" s="202"/>
      <c r="AO79" s="202"/>
      <c r="AP79" s="202"/>
      <c r="AQ79" s="202"/>
      <c r="AR79" s="202"/>
      <c r="AS79" s="202"/>
      <c r="AT79" s="202"/>
      <c r="AU79" s="202"/>
      <c r="AV79" s="202"/>
      <c r="AW79" s="202"/>
      <c r="AX79" s="202"/>
      <c r="AY79" s="202"/>
      <c r="AZ79" s="202"/>
      <c r="BA79" s="202"/>
      <c r="BB79" s="202"/>
      <c r="BC79" s="202"/>
      <c r="BD79" s="202"/>
      <c r="BE79" s="202"/>
      <c r="BF79" s="202"/>
      <c r="BG79" s="202"/>
      <c r="BH79" s="202"/>
      <c r="BI79" s="202"/>
      <c r="BJ79" s="202"/>
      <c r="BK79" s="202"/>
      <c r="BL79" s="202"/>
      <c r="BM79" s="202"/>
      <c r="BN79" s="202"/>
      <c r="BO79" s="202"/>
      <c r="BP79" s="202"/>
      <c r="BQ79" s="202"/>
      <c r="BR79" s="202"/>
      <c r="BS79" s="202"/>
      <c r="BT79" s="202"/>
    </row>
    <row r="80" spans="1:72" s="719" customFormat="1" ht="6.75" customHeight="1">
      <c r="A80" s="215"/>
      <c r="B80" s="216"/>
      <c r="C80" s="234"/>
      <c r="D80" s="217"/>
      <c r="E80" s="217"/>
      <c r="F80" s="227"/>
      <c r="G80" s="228"/>
      <c r="H80" s="202"/>
      <c r="I80" s="202"/>
      <c r="J80" s="202"/>
      <c r="K80" s="202"/>
      <c r="L80" s="202"/>
      <c r="M80" s="202"/>
      <c r="N80" s="202"/>
      <c r="O80" s="202"/>
      <c r="P80" s="202"/>
      <c r="Q80" s="202"/>
      <c r="R80" s="202"/>
      <c r="S80" s="202"/>
      <c r="T80" s="202"/>
      <c r="U80" s="202"/>
      <c r="V80" s="202"/>
      <c r="W80" s="202"/>
      <c r="X80" s="202"/>
      <c r="Y80" s="202"/>
      <c r="Z80" s="202"/>
      <c r="AA80" s="202"/>
      <c r="AB80" s="202"/>
      <c r="AC80" s="202"/>
      <c r="AD80" s="202"/>
      <c r="AE80" s="202"/>
      <c r="AF80" s="202"/>
      <c r="AG80" s="202"/>
      <c r="AH80" s="202"/>
      <c r="AI80" s="202"/>
      <c r="AJ80" s="202"/>
      <c r="AK80" s="202"/>
      <c r="AL80" s="202"/>
      <c r="AM80" s="202"/>
      <c r="AN80" s="202"/>
      <c r="AO80" s="202"/>
      <c r="AP80" s="202"/>
      <c r="AQ80" s="202"/>
      <c r="AR80" s="202"/>
      <c r="AS80" s="202"/>
      <c r="AT80" s="202"/>
      <c r="AU80" s="202"/>
      <c r="AV80" s="202"/>
      <c r="AW80" s="202"/>
      <c r="AX80" s="202"/>
      <c r="AY80" s="202"/>
      <c r="AZ80" s="202"/>
      <c r="BA80" s="202"/>
      <c r="BB80" s="202"/>
      <c r="BC80" s="202"/>
      <c r="BD80" s="202"/>
      <c r="BE80" s="202"/>
      <c r="BF80" s="202"/>
      <c r="BG80" s="202"/>
      <c r="BH80" s="202"/>
      <c r="BI80" s="202"/>
      <c r="BJ80" s="202"/>
      <c r="BK80" s="202"/>
      <c r="BL80" s="202"/>
      <c r="BM80" s="202"/>
      <c r="BN80" s="202"/>
      <c r="BO80" s="202"/>
      <c r="BP80" s="202"/>
      <c r="BQ80" s="202"/>
      <c r="BR80" s="202"/>
      <c r="BS80" s="202"/>
      <c r="BT80" s="202"/>
    </row>
    <row r="81" spans="1:72" s="719" customFormat="1" ht="15.75" customHeight="1">
      <c r="A81" s="215"/>
      <c r="B81" s="216"/>
      <c r="C81" s="234"/>
      <c r="D81" s="217"/>
      <c r="E81" s="217"/>
      <c r="F81" s="227"/>
      <c r="G81" s="720">
        <f>SUM(G82:G82)</f>
        <v>6638.13</v>
      </c>
      <c r="H81" s="202"/>
      <c r="I81" s="202"/>
      <c r="J81" s="202"/>
      <c r="K81" s="202"/>
      <c r="L81" s="202"/>
      <c r="M81" s="202"/>
      <c r="N81" s="202"/>
      <c r="O81" s="202"/>
      <c r="P81" s="202"/>
      <c r="Q81" s="202"/>
      <c r="R81" s="202"/>
      <c r="S81" s="202"/>
      <c r="T81" s="202"/>
      <c r="U81" s="202"/>
      <c r="V81" s="202"/>
      <c r="W81" s="202"/>
      <c r="X81" s="202"/>
      <c r="Y81" s="202"/>
      <c r="Z81" s="202"/>
      <c r="AA81" s="202"/>
      <c r="AB81" s="202"/>
      <c r="AC81" s="202"/>
      <c r="AD81" s="202"/>
      <c r="AE81" s="202"/>
      <c r="AF81" s="202"/>
      <c r="AG81" s="202"/>
      <c r="AH81" s="202"/>
      <c r="AI81" s="202"/>
      <c r="AJ81" s="202"/>
      <c r="AK81" s="202"/>
      <c r="AL81" s="202"/>
      <c r="AM81" s="202"/>
      <c r="AN81" s="202"/>
      <c r="AO81" s="202"/>
      <c r="AP81" s="202"/>
      <c r="AQ81" s="202"/>
      <c r="AR81" s="202"/>
      <c r="AS81" s="202"/>
      <c r="AT81" s="202"/>
      <c r="AU81" s="202"/>
      <c r="AV81" s="202"/>
      <c r="AW81" s="202"/>
      <c r="AX81" s="202"/>
      <c r="AY81" s="202"/>
      <c r="AZ81" s="202"/>
      <c r="BA81" s="202"/>
      <c r="BB81" s="202"/>
      <c r="BC81" s="202"/>
      <c r="BD81" s="202"/>
      <c r="BE81" s="202"/>
      <c r="BF81" s="202"/>
      <c r="BG81" s="202"/>
      <c r="BH81" s="202"/>
      <c r="BI81" s="202"/>
      <c r="BJ81" s="202"/>
      <c r="BK81" s="202"/>
      <c r="BL81" s="202"/>
      <c r="BM81" s="202"/>
      <c r="BN81" s="202"/>
      <c r="BO81" s="202"/>
      <c r="BP81" s="202"/>
      <c r="BQ81" s="202"/>
      <c r="BR81" s="202"/>
      <c r="BS81" s="202"/>
      <c r="BT81" s="202"/>
    </row>
    <row r="82" spans="1:72" s="719" customFormat="1" ht="15.75" customHeight="1">
      <c r="A82" s="215"/>
      <c r="B82" s="216"/>
      <c r="C82" s="234"/>
      <c r="D82" s="217"/>
      <c r="E82" s="217" t="s">
        <v>270</v>
      </c>
      <c r="F82" s="227" t="s">
        <v>330</v>
      </c>
      <c r="G82" s="228">
        <f>652+685+614+685+619+663.36+685.47+663.36+685.47+685.47</f>
        <v>6638.13</v>
      </c>
      <c r="H82" s="202"/>
      <c r="I82" s="202"/>
      <c r="J82" s="202"/>
      <c r="K82" s="202"/>
      <c r="L82" s="202"/>
      <c r="M82" s="202"/>
      <c r="N82" s="202"/>
      <c r="O82" s="202"/>
      <c r="P82" s="202"/>
      <c r="Q82" s="202"/>
      <c r="R82" s="202"/>
      <c r="S82" s="202"/>
      <c r="T82" s="202"/>
      <c r="U82" s="202"/>
      <c r="V82" s="202"/>
      <c r="W82" s="202"/>
      <c r="X82" s="202"/>
      <c r="Y82" s="202"/>
      <c r="Z82" s="202"/>
      <c r="AA82" s="202"/>
      <c r="AB82" s="202"/>
      <c r="AC82" s="202"/>
      <c r="AD82" s="202"/>
      <c r="AE82" s="202"/>
      <c r="AF82" s="202"/>
      <c r="AG82" s="202"/>
      <c r="AH82" s="202"/>
      <c r="AI82" s="202"/>
      <c r="AJ82" s="202"/>
      <c r="AK82" s="202"/>
      <c r="AL82" s="202"/>
      <c r="AM82" s="202"/>
      <c r="AN82" s="202"/>
      <c r="AO82" s="202"/>
      <c r="AP82" s="202"/>
      <c r="AQ82" s="202"/>
      <c r="AR82" s="202"/>
      <c r="AS82" s="202"/>
      <c r="AT82" s="202"/>
      <c r="AU82" s="202"/>
      <c r="AV82" s="202"/>
      <c r="AW82" s="202"/>
      <c r="AX82" s="202"/>
      <c r="AY82" s="202"/>
      <c r="AZ82" s="202"/>
      <c r="BA82" s="202"/>
      <c r="BB82" s="202"/>
      <c r="BC82" s="202"/>
      <c r="BD82" s="202"/>
      <c r="BE82" s="202"/>
      <c r="BF82" s="202"/>
      <c r="BG82" s="202"/>
      <c r="BH82" s="202"/>
      <c r="BI82" s="202"/>
      <c r="BJ82" s="202"/>
      <c r="BK82" s="202"/>
      <c r="BL82" s="202"/>
      <c r="BM82" s="202"/>
      <c r="BN82" s="202"/>
      <c r="BO82" s="202"/>
      <c r="BP82" s="202"/>
      <c r="BQ82" s="202"/>
      <c r="BR82" s="202"/>
      <c r="BS82" s="202"/>
      <c r="BT82" s="202"/>
    </row>
    <row r="83" spans="1:72" s="719" customFormat="1" ht="6" customHeight="1">
      <c r="A83" s="215"/>
      <c r="B83" s="216"/>
      <c r="C83" s="234"/>
      <c r="D83" s="217"/>
      <c r="E83" s="217"/>
      <c r="F83" s="227"/>
      <c r="G83" s="228"/>
      <c r="H83" s="202"/>
      <c r="I83" s="202"/>
      <c r="J83" s="202"/>
      <c r="K83" s="202"/>
      <c r="L83" s="202"/>
      <c r="M83" s="202"/>
      <c r="N83" s="202"/>
      <c r="O83" s="202"/>
      <c r="P83" s="202"/>
      <c r="Q83" s="202"/>
      <c r="R83" s="202"/>
      <c r="S83" s="202"/>
      <c r="T83" s="202"/>
      <c r="U83" s="202"/>
      <c r="V83" s="202"/>
      <c r="W83" s="202"/>
      <c r="X83" s="202"/>
      <c r="Y83" s="202"/>
      <c r="Z83" s="202"/>
      <c r="AA83" s="202"/>
      <c r="AB83" s="202"/>
      <c r="AC83" s="202"/>
      <c r="AD83" s="202"/>
      <c r="AE83" s="202"/>
      <c r="AF83" s="202"/>
      <c r="AG83" s="202"/>
      <c r="AH83" s="202"/>
      <c r="AI83" s="202"/>
      <c r="AJ83" s="202"/>
      <c r="AK83" s="202"/>
      <c r="AL83" s="202"/>
      <c r="AM83" s="202"/>
      <c r="AN83" s="202"/>
      <c r="AO83" s="202"/>
      <c r="AP83" s="202"/>
      <c r="AQ83" s="202"/>
      <c r="AR83" s="202"/>
      <c r="AS83" s="202"/>
      <c r="AT83" s="202"/>
      <c r="AU83" s="202"/>
      <c r="AV83" s="202"/>
      <c r="AW83" s="202"/>
      <c r="AX83" s="202"/>
      <c r="AY83" s="202"/>
      <c r="AZ83" s="202"/>
      <c r="BA83" s="202"/>
      <c r="BB83" s="202"/>
      <c r="BC83" s="202"/>
      <c r="BD83" s="202"/>
      <c r="BE83" s="202"/>
      <c r="BF83" s="202"/>
      <c r="BG83" s="202"/>
      <c r="BH83" s="202"/>
      <c r="BI83" s="202"/>
      <c r="BJ83" s="202"/>
      <c r="BK83" s="202"/>
      <c r="BL83" s="202"/>
      <c r="BM83" s="202"/>
      <c r="BN83" s="202"/>
      <c r="BO83" s="202"/>
      <c r="BP83" s="202"/>
      <c r="BQ83" s="202"/>
      <c r="BR83" s="202"/>
      <c r="BS83" s="202"/>
      <c r="BT83" s="202"/>
    </row>
    <row r="84" spans="1:72" s="719" customFormat="1" ht="15.75" customHeight="1">
      <c r="A84" s="215"/>
      <c r="B84" s="721" t="s">
        <v>21</v>
      </c>
      <c r="C84" s="217" t="s">
        <v>348</v>
      </c>
      <c r="D84" s="217" t="s">
        <v>356</v>
      </c>
      <c r="E84" s="223" t="s">
        <v>330</v>
      </c>
      <c r="F84" s="224" t="s">
        <v>330</v>
      </c>
      <c r="G84" s="225">
        <f>SUM(G86)</f>
        <v>410039.32</v>
      </c>
      <c r="H84" s="202"/>
      <c r="I84" s="202"/>
      <c r="J84" s="202"/>
      <c r="K84" s="202"/>
      <c r="L84" s="202"/>
      <c r="M84" s="202"/>
      <c r="N84" s="202"/>
      <c r="O84" s="202"/>
      <c r="P84" s="202"/>
      <c r="Q84" s="202"/>
      <c r="R84" s="202"/>
      <c r="S84" s="202"/>
      <c r="T84" s="202"/>
      <c r="U84" s="202"/>
      <c r="V84" s="202"/>
      <c r="W84" s="202"/>
      <c r="X84" s="202"/>
      <c r="Y84" s="202"/>
      <c r="Z84" s="202"/>
      <c r="AA84" s="202"/>
      <c r="AB84" s="202"/>
      <c r="AC84" s="202"/>
      <c r="AD84" s="202"/>
      <c r="AE84" s="202"/>
      <c r="AF84" s="202"/>
      <c r="AG84" s="202"/>
      <c r="AH84" s="202"/>
      <c r="AI84" s="202"/>
      <c r="AJ84" s="202"/>
      <c r="AK84" s="202"/>
      <c r="AL84" s="202"/>
      <c r="AM84" s="202"/>
      <c r="AN84" s="202"/>
      <c r="AO84" s="202"/>
      <c r="AP84" s="202"/>
      <c r="AQ84" s="202"/>
      <c r="AR84" s="202"/>
      <c r="AS84" s="202"/>
      <c r="AT84" s="202"/>
      <c r="AU84" s="202"/>
      <c r="AV84" s="202"/>
      <c r="AW84" s="202"/>
      <c r="AX84" s="202"/>
      <c r="AY84" s="202"/>
      <c r="AZ84" s="202"/>
      <c r="BA84" s="202"/>
      <c r="BB84" s="202"/>
      <c r="BC84" s="202"/>
      <c r="BD84" s="202"/>
      <c r="BE84" s="202"/>
      <c r="BF84" s="202"/>
      <c r="BG84" s="202"/>
      <c r="BH84" s="202"/>
      <c r="BI84" s="202"/>
      <c r="BJ84" s="202"/>
      <c r="BK84" s="202"/>
      <c r="BL84" s="202"/>
      <c r="BM84" s="202"/>
      <c r="BN84" s="202"/>
      <c r="BO84" s="202"/>
      <c r="BP84" s="202"/>
      <c r="BQ84" s="202"/>
      <c r="BR84" s="202"/>
      <c r="BS84" s="202"/>
      <c r="BT84" s="202"/>
    </row>
    <row r="85" spans="1:72" s="719" customFormat="1" ht="8.25" customHeight="1">
      <c r="A85" s="215"/>
      <c r="B85" s="216"/>
      <c r="C85" s="234"/>
      <c r="D85" s="217"/>
      <c r="E85" s="217"/>
      <c r="F85" s="227"/>
      <c r="G85" s="228"/>
      <c r="H85" s="202"/>
      <c r="I85" s="202"/>
      <c r="J85" s="202"/>
      <c r="K85" s="202"/>
      <c r="L85" s="202"/>
      <c r="M85" s="202"/>
      <c r="N85" s="202"/>
      <c r="O85" s="202"/>
      <c r="P85" s="202"/>
      <c r="Q85" s="202"/>
      <c r="R85" s="202"/>
      <c r="S85" s="202"/>
      <c r="T85" s="202"/>
      <c r="U85" s="202"/>
      <c r="V85" s="202"/>
      <c r="W85" s="202"/>
      <c r="X85" s="202"/>
      <c r="Y85" s="202"/>
      <c r="Z85" s="202"/>
      <c r="AA85" s="202"/>
      <c r="AB85" s="202"/>
      <c r="AC85" s="202"/>
      <c r="AD85" s="202"/>
      <c r="AE85" s="202"/>
      <c r="AF85" s="202"/>
      <c r="AG85" s="202"/>
      <c r="AH85" s="202"/>
      <c r="AI85" s="202"/>
      <c r="AJ85" s="202"/>
      <c r="AK85" s="202"/>
      <c r="AL85" s="202"/>
      <c r="AM85" s="202"/>
      <c r="AN85" s="202"/>
      <c r="AO85" s="202"/>
      <c r="AP85" s="202"/>
      <c r="AQ85" s="202"/>
      <c r="AR85" s="202"/>
      <c r="AS85" s="202"/>
      <c r="AT85" s="202"/>
      <c r="AU85" s="202"/>
      <c r="AV85" s="202"/>
      <c r="AW85" s="202"/>
      <c r="AX85" s="202"/>
      <c r="AY85" s="202"/>
      <c r="AZ85" s="202"/>
      <c r="BA85" s="202"/>
      <c r="BB85" s="202"/>
      <c r="BC85" s="202"/>
      <c r="BD85" s="202"/>
      <c r="BE85" s="202"/>
      <c r="BF85" s="202"/>
      <c r="BG85" s="202"/>
      <c r="BH85" s="202"/>
      <c r="BI85" s="202"/>
      <c r="BJ85" s="202"/>
      <c r="BK85" s="202"/>
      <c r="BL85" s="202"/>
      <c r="BM85" s="202"/>
      <c r="BN85" s="202"/>
      <c r="BO85" s="202"/>
      <c r="BP85" s="202"/>
      <c r="BQ85" s="202"/>
      <c r="BR85" s="202"/>
      <c r="BS85" s="202"/>
      <c r="BT85" s="202"/>
    </row>
    <row r="86" spans="1:72" s="719" customFormat="1" ht="15.75" customHeight="1">
      <c r="A86" s="215"/>
      <c r="B86" s="216"/>
      <c r="C86" s="234"/>
      <c r="D86" s="217"/>
      <c r="E86" s="217"/>
      <c r="F86" s="227"/>
      <c r="G86" s="720">
        <f>SUM(G87:G91)</f>
        <v>410039.32</v>
      </c>
      <c r="H86" s="202"/>
      <c r="I86" s="202"/>
      <c r="J86" s="202"/>
      <c r="K86" s="202"/>
      <c r="L86" s="202"/>
      <c r="M86" s="202"/>
      <c r="N86" s="202"/>
      <c r="O86" s="202"/>
      <c r="P86" s="202"/>
      <c r="Q86" s="202"/>
      <c r="R86" s="202"/>
      <c r="S86" s="202"/>
      <c r="T86" s="202"/>
      <c r="U86" s="202"/>
      <c r="V86" s="202"/>
      <c r="W86" s="202"/>
      <c r="X86" s="202"/>
      <c r="Y86" s="202"/>
      <c r="Z86" s="202"/>
      <c r="AA86" s="202"/>
      <c r="AB86" s="202"/>
      <c r="AC86" s="202"/>
      <c r="AD86" s="202"/>
      <c r="AE86" s="202"/>
      <c r="AF86" s="202"/>
      <c r="AG86" s="202"/>
      <c r="AH86" s="202"/>
      <c r="AI86" s="202"/>
      <c r="AJ86" s="202"/>
      <c r="AK86" s="202"/>
      <c r="AL86" s="202"/>
      <c r="AM86" s="202"/>
      <c r="AN86" s="202"/>
      <c r="AO86" s="202"/>
      <c r="AP86" s="202"/>
      <c r="AQ86" s="202"/>
      <c r="AR86" s="202"/>
      <c r="AS86" s="202"/>
      <c r="AT86" s="202"/>
      <c r="AU86" s="202"/>
      <c r="AV86" s="202"/>
      <c r="AW86" s="202"/>
      <c r="AX86" s="202"/>
      <c r="AY86" s="202"/>
      <c r="AZ86" s="202"/>
      <c r="BA86" s="202"/>
      <c r="BB86" s="202"/>
      <c r="BC86" s="202"/>
      <c r="BD86" s="202"/>
      <c r="BE86" s="202"/>
      <c r="BF86" s="202"/>
      <c r="BG86" s="202"/>
      <c r="BH86" s="202"/>
      <c r="BI86" s="202"/>
      <c r="BJ86" s="202"/>
      <c r="BK86" s="202"/>
      <c r="BL86" s="202"/>
      <c r="BM86" s="202"/>
      <c r="BN86" s="202"/>
      <c r="BO86" s="202"/>
      <c r="BP86" s="202"/>
      <c r="BQ86" s="202"/>
      <c r="BR86" s="202"/>
      <c r="BS86" s="202"/>
      <c r="BT86" s="202"/>
    </row>
    <row r="87" spans="1:72" s="719" customFormat="1" ht="15.75" customHeight="1">
      <c r="A87" s="215"/>
      <c r="B87" s="216"/>
      <c r="C87" s="234"/>
      <c r="D87" s="217"/>
      <c r="E87" s="217" t="s">
        <v>270</v>
      </c>
      <c r="F87" s="227" t="s">
        <v>330</v>
      </c>
      <c r="G87" s="228">
        <f>33958+13667+81430.32+32824+34908+35184+19266+41078+34974+50317</f>
        <v>377606.32</v>
      </c>
      <c r="H87" s="202"/>
      <c r="I87" s="202"/>
      <c r="J87" s="202"/>
      <c r="K87" s="202"/>
      <c r="L87" s="202"/>
      <c r="M87" s="202"/>
      <c r="N87" s="202"/>
      <c r="O87" s="202"/>
      <c r="P87" s="202"/>
      <c r="Q87" s="202"/>
      <c r="R87" s="202"/>
      <c r="S87" s="202"/>
      <c r="T87" s="202"/>
      <c r="U87" s="202"/>
      <c r="V87" s="202"/>
      <c r="W87" s="202"/>
      <c r="X87" s="202"/>
      <c r="Y87" s="202"/>
      <c r="Z87" s="202"/>
      <c r="AA87" s="202"/>
      <c r="AB87" s="202"/>
      <c r="AC87" s="202"/>
      <c r="AD87" s="202"/>
      <c r="AE87" s="202"/>
      <c r="AF87" s="202"/>
      <c r="AG87" s="202"/>
      <c r="AH87" s="202"/>
      <c r="AI87" s="202"/>
      <c r="AJ87" s="202"/>
      <c r="AK87" s="202"/>
      <c r="AL87" s="202"/>
      <c r="AM87" s="202"/>
      <c r="AN87" s="202"/>
      <c r="AO87" s="202"/>
      <c r="AP87" s="202"/>
      <c r="AQ87" s="202"/>
      <c r="AR87" s="202"/>
      <c r="AS87" s="202"/>
      <c r="AT87" s="202"/>
      <c r="AU87" s="202"/>
      <c r="AV87" s="202"/>
      <c r="AW87" s="202"/>
      <c r="AX87" s="202"/>
      <c r="AY87" s="202"/>
      <c r="AZ87" s="202"/>
      <c r="BA87" s="202"/>
      <c r="BB87" s="202"/>
      <c r="BC87" s="202"/>
      <c r="BD87" s="202"/>
      <c r="BE87" s="202"/>
      <c r="BF87" s="202"/>
      <c r="BG87" s="202"/>
      <c r="BH87" s="202"/>
      <c r="BI87" s="202"/>
      <c r="BJ87" s="202"/>
      <c r="BK87" s="202"/>
      <c r="BL87" s="202"/>
      <c r="BM87" s="202"/>
      <c r="BN87" s="202"/>
      <c r="BO87" s="202"/>
      <c r="BP87" s="202"/>
      <c r="BQ87" s="202"/>
      <c r="BR87" s="202"/>
      <c r="BS87" s="202"/>
      <c r="BT87" s="202"/>
    </row>
    <row r="88" spans="1:72" s="719" customFormat="1" ht="15.75" customHeight="1">
      <c r="A88" s="215"/>
      <c r="B88" s="216"/>
      <c r="C88" s="234"/>
      <c r="D88" s="217"/>
      <c r="E88" s="217" t="s">
        <v>344</v>
      </c>
      <c r="F88" s="227" t="s">
        <v>330</v>
      </c>
      <c r="G88" s="228">
        <f>1130</f>
        <v>1130</v>
      </c>
      <c r="H88" s="202"/>
      <c r="I88" s="202"/>
      <c r="J88" s="202"/>
      <c r="K88" s="202"/>
      <c r="L88" s="202"/>
      <c r="M88" s="202"/>
      <c r="N88" s="202"/>
      <c r="O88" s="202"/>
      <c r="P88" s="202"/>
      <c r="Q88" s="202"/>
      <c r="R88" s="202"/>
      <c r="S88" s="202"/>
      <c r="T88" s="202"/>
      <c r="U88" s="202"/>
      <c r="V88" s="202"/>
      <c r="W88" s="202"/>
      <c r="X88" s="202"/>
      <c r="Y88" s="202"/>
      <c r="Z88" s="202"/>
      <c r="AA88" s="202"/>
      <c r="AB88" s="202"/>
      <c r="AC88" s="202"/>
      <c r="AD88" s="202"/>
      <c r="AE88" s="202"/>
      <c r="AF88" s="202"/>
      <c r="AG88" s="202"/>
      <c r="AH88" s="202"/>
      <c r="AI88" s="202"/>
      <c r="AJ88" s="202"/>
      <c r="AK88" s="202"/>
      <c r="AL88" s="202"/>
      <c r="AM88" s="202"/>
      <c r="AN88" s="202"/>
      <c r="AO88" s="202"/>
      <c r="AP88" s="202"/>
      <c r="AQ88" s="202"/>
      <c r="AR88" s="202"/>
      <c r="AS88" s="202"/>
      <c r="AT88" s="202"/>
      <c r="AU88" s="202"/>
      <c r="AV88" s="202"/>
      <c r="AW88" s="202"/>
      <c r="AX88" s="202"/>
      <c r="AY88" s="202"/>
      <c r="AZ88" s="202"/>
      <c r="BA88" s="202"/>
      <c r="BB88" s="202"/>
      <c r="BC88" s="202"/>
      <c r="BD88" s="202"/>
      <c r="BE88" s="202"/>
      <c r="BF88" s="202"/>
      <c r="BG88" s="202"/>
      <c r="BH88" s="202"/>
      <c r="BI88" s="202"/>
      <c r="BJ88" s="202"/>
      <c r="BK88" s="202"/>
      <c r="BL88" s="202"/>
      <c r="BM88" s="202"/>
      <c r="BN88" s="202"/>
      <c r="BO88" s="202"/>
      <c r="BP88" s="202"/>
      <c r="BQ88" s="202"/>
      <c r="BR88" s="202"/>
      <c r="BS88" s="202"/>
      <c r="BT88" s="202"/>
    </row>
    <row r="89" spans="1:72" s="719" customFormat="1" ht="15.75" customHeight="1">
      <c r="A89" s="215"/>
      <c r="B89" s="216"/>
      <c r="C89" s="234"/>
      <c r="D89" s="217"/>
      <c r="E89" s="217" t="s">
        <v>350</v>
      </c>
      <c r="F89" s="227" t="s">
        <v>330</v>
      </c>
      <c r="G89" s="228">
        <f>18363+1229-5552</f>
        <v>14040</v>
      </c>
      <c r="H89" s="202"/>
      <c r="I89" s="202"/>
      <c r="J89" s="202"/>
      <c r="K89" s="202"/>
      <c r="L89" s="202"/>
      <c r="M89" s="202"/>
      <c r="N89" s="202"/>
      <c r="O89" s="202"/>
      <c r="P89" s="202"/>
      <c r="Q89" s="202"/>
      <c r="R89" s="202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2"/>
      <c r="AE89" s="202"/>
      <c r="AF89" s="202"/>
      <c r="AG89" s="202"/>
      <c r="AH89" s="202"/>
      <c r="AI89" s="202"/>
      <c r="AJ89" s="202"/>
      <c r="AK89" s="202"/>
      <c r="AL89" s="202"/>
      <c r="AM89" s="202"/>
      <c r="AN89" s="202"/>
      <c r="AO89" s="202"/>
      <c r="AP89" s="202"/>
      <c r="AQ89" s="202"/>
      <c r="AR89" s="202"/>
      <c r="AS89" s="202"/>
      <c r="AT89" s="202"/>
      <c r="AU89" s="202"/>
      <c r="AV89" s="202"/>
      <c r="AW89" s="202"/>
      <c r="AX89" s="202"/>
      <c r="AY89" s="202"/>
      <c r="AZ89" s="202"/>
      <c r="BA89" s="202"/>
      <c r="BB89" s="202"/>
      <c r="BC89" s="202"/>
      <c r="BD89" s="202"/>
      <c r="BE89" s="202"/>
      <c r="BF89" s="202"/>
      <c r="BG89" s="202"/>
      <c r="BH89" s="202"/>
      <c r="BI89" s="202"/>
      <c r="BJ89" s="202"/>
      <c r="BK89" s="202"/>
      <c r="BL89" s="202"/>
      <c r="BM89" s="202"/>
      <c r="BN89" s="202"/>
      <c r="BO89" s="202"/>
      <c r="BP89" s="202"/>
      <c r="BQ89" s="202"/>
      <c r="BR89" s="202"/>
      <c r="BS89" s="202"/>
      <c r="BT89" s="202"/>
    </row>
    <row r="90" spans="1:72" s="719" customFormat="1" ht="15.75" customHeight="1">
      <c r="A90" s="215"/>
      <c r="B90" s="216"/>
      <c r="C90" s="234"/>
      <c r="D90" s="217"/>
      <c r="E90" s="217" t="s">
        <v>339</v>
      </c>
      <c r="F90" s="227" t="s">
        <v>330</v>
      </c>
      <c r="G90" s="228">
        <f>3484+214-1113</f>
        <v>2585</v>
      </c>
      <c r="H90" s="202"/>
      <c r="I90" s="202"/>
      <c r="J90" s="202"/>
      <c r="K90" s="202"/>
      <c r="L90" s="202"/>
      <c r="M90" s="202"/>
      <c r="N90" s="202"/>
      <c r="O90" s="202"/>
      <c r="P90" s="202"/>
      <c r="Q90" s="202"/>
      <c r="R90" s="202"/>
      <c r="S90" s="202"/>
      <c r="T90" s="202"/>
      <c r="U90" s="202"/>
      <c r="V90" s="202"/>
      <c r="W90" s="202"/>
      <c r="X90" s="202"/>
      <c r="Y90" s="202"/>
      <c r="Z90" s="202"/>
      <c r="AA90" s="202"/>
      <c r="AB90" s="202"/>
      <c r="AC90" s="202"/>
      <c r="AD90" s="202"/>
      <c r="AE90" s="202"/>
      <c r="AF90" s="202"/>
      <c r="AG90" s="202"/>
      <c r="AH90" s="202"/>
      <c r="AI90" s="202"/>
      <c r="AJ90" s="202"/>
      <c r="AK90" s="202"/>
      <c r="AL90" s="202"/>
      <c r="AM90" s="202"/>
      <c r="AN90" s="202"/>
      <c r="AO90" s="202"/>
      <c r="AP90" s="202"/>
      <c r="AQ90" s="202"/>
      <c r="AR90" s="202"/>
      <c r="AS90" s="202"/>
      <c r="AT90" s="202"/>
      <c r="AU90" s="202"/>
      <c r="AV90" s="202"/>
      <c r="AW90" s="202"/>
      <c r="AX90" s="202"/>
      <c r="AY90" s="202"/>
      <c r="AZ90" s="202"/>
      <c r="BA90" s="202"/>
      <c r="BB90" s="202"/>
      <c r="BC90" s="202"/>
      <c r="BD90" s="202"/>
      <c r="BE90" s="202"/>
      <c r="BF90" s="202"/>
      <c r="BG90" s="202"/>
      <c r="BH90" s="202"/>
      <c r="BI90" s="202"/>
      <c r="BJ90" s="202"/>
      <c r="BK90" s="202"/>
      <c r="BL90" s="202"/>
      <c r="BM90" s="202"/>
      <c r="BN90" s="202"/>
      <c r="BO90" s="202"/>
      <c r="BP90" s="202"/>
      <c r="BQ90" s="202"/>
      <c r="BR90" s="202"/>
      <c r="BS90" s="202"/>
      <c r="BT90" s="202"/>
    </row>
    <row r="91" spans="1:72" s="719" customFormat="1" ht="15.75" customHeight="1">
      <c r="A91" s="215"/>
      <c r="B91" s="216"/>
      <c r="C91" s="234"/>
      <c r="D91" s="217"/>
      <c r="E91" s="217" t="s">
        <v>351</v>
      </c>
      <c r="F91" s="227" t="s">
        <v>330</v>
      </c>
      <c r="G91" s="228">
        <f>14678</f>
        <v>14678</v>
      </c>
      <c r="H91" s="202"/>
      <c r="I91" s="202"/>
      <c r="J91" s="202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202"/>
      <c r="BA91" s="202"/>
      <c r="BB91" s="202"/>
      <c r="BC91" s="202"/>
      <c r="BD91" s="202"/>
      <c r="BE91" s="202"/>
      <c r="BF91" s="202"/>
      <c r="BG91" s="202"/>
      <c r="BH91" s="202"/>
      <c r="BI91" s="202"/>
      <c r="BJ91" s="202"/>
      <c r="BK91" s="202"/>
      <c r="BL91" s="202"/>
      <c r="BM91" s="202"/>
      <c r="BN91" s="202"/>
      <c r="BO91" s="202"/>
      <c r="BP91" s="202"/>
      <c r="BQ91" s="202"/>
      <c r="BR91" s="202"/>
      <c r="BS91" s="202"/>
      <c r="BT91" s="202"/>
    </row>
    <row r="92" spans="1:72" s="719" customFormat="1" ht="7.5" customHeight="1">
      <c r="A92" s="215"/>
      <c r="B92" s="216"/>
      <c r="C92" s="234"/>
      <c r="D92" s="217"/>
      <c r="E92" s="217"/>
      <c r="F92" s="227"/>
      <c r="G92" s="228"/>
      <c r="H92" s="202"/>
      <c r="I92" s="202"/>
      <c r="J92" s="202"/>
      <c r="K92" s="202"/>
      <c r="L92" s="202"/>
      <c r="M92" s="202"/>
      <c r="N92" s="202"/>
      <c r="O92" s="202"/>
      <c r="P92" s="202"/>
      <c r="Q92" s="202"/>
      <c r="R92" s="202"/>
      <c r="S92" s="202"/>
      <c r="T92" s="202"/>
      <c r="U92" s="202"/>
      <c r="V92" s="202"/>
      <c r="W92" s="202"/>
      <c r="X92" s="202"/>
      <c r="Y92" s="202"/>
      <c r="Z92" s="202"/>
      <c r="AA92" s="202"/>
      <c r="AB92" s="202"/>
      <c r="AC92" s="202"/>
      <c r="AD92" s="202"/>
      <c r="AE92" s="202"/>
      <c r="AF92" s="202"/>
      <c r="AG92" s="202"/>
      <c r="AH92" s="202"/>
      <c r="AI92" s="202"/>
      <c r="AJ92" s="202"/>
      <c r="AK92" s="202"/>
      <c r="AL92" s="202"/>
      <c r="AM92" s="202"/>
      <c r="AN92" s="202"/>
      <c r="AO92" s="202"/>
      <c r="AP92" s="202"/>
      <c r="AQ92" s="202"/>
      <c r="AR92" s="202"/>
      <c r="AS92" s="202"/>
      <c r="AT92" s="202"/>
      <c r="AU92" s="202"/>
      <c r="AV92" s="202"/>
      <c r="AW92" s="202"/>
      <c r="AX92" s="202"/>
      <c r="AY92" s="202"/>
      <c r="AZ92" s="202"/>
      <c r="BA92" s="202"/>
      <c r="BB92" s="202"/>
      <c r="BC92" s="202"/>
      <c r="BD92" s="202"/>
      <c r="BE92" s="202"/>
      <c r="BF92" s="202"/>
      <c r="BG92" s="202"/>
      <c r="BH92" s="202"/>
      <c r="BI92" s="202"/>
      <c r="BJ92" s="202"/>
      <c r="BK92" s="202"/>
      <c r="BL92" s="202"/>
      <c r="BM92" s="202"/>
      <c r="BN92" s="202"/>
      <c r="BO92" s="202"/>
      <c r="BP92" s="202"/>
      <c r="BQ92" s="202"/>
      <c r="BR92" s="202"/>
      <c r="BS92" s="202"/>
      <c r="BT92" s="202"/>
    </row>
    <row r="93" spans="1:72" s="719" customFormat="1" ht="23.25" customHeight="1">
      <c r="A93" s="215"/>
      <c r="B93" s="723" t="s">
        <v>16</v>
      </c>
      <c r="C93" s="217" t="s">
        <v>348</v>
      </c>
      <c r="D93" s="217" t="s">
        <v>356</v>
      </c>
      <c r="E93" s="223" t="s">
        <v>330</v>
      </c>
      <c r="F93" s="224" t="s">
        <v>330</v>
      </c>
      <c r="G93" s="225">
        <f>SUM(G95)</f>
        <v>10045</v>
      </c>
      <c r="H93" s="202"/>
      <c r="I93" s="202"/>
      <c r="J93" s="202"/>
      <c r="K93" s="202"/>
      <c r="L93" s="202"/>
      <c r="M93" s="202"/>
      <c r="N93" s="202"/>
      <c r="O93" s="202"/>
      <c r="P93" s="202"/>
      <c r="Q93" s="202"/>
      <c r="R93" s="202"/>
      <c r="S93" s="202"/>
      <c r="T93" s="202"/>
      <c r="U93" s="202"/>
      <c r="V93" s="202"/>
      <c r="W93" s="202"/>
      <c r="X93" s="202"/>
      <c r="Y93" s="202"/>
      <c r="Z93" s="202"/>
      <c r="AA93" s="202"/>
      <c r="AB93" s="202"/>
      <c r="AC93" s="202"/>
      <c r="AD93" s="202"/>
      <c r="AE93" s="202"/>
      <c r="AF93" s="202"/>
      <c r="AG93" s="202"/>
      <c r="AH93" s="202"/>
      <c r="AI93" s="202"/>
      <c r="AJ93" s="202"/>
      <c r="AK93" s="202"/>
      <c r="AL93" s="202"/>
      <c r="AM93" s="202"/>
      <c r="AN93" s="202"/>
      <c r="AO93" s="202"/>
      <c r="AP93" s="202"/>
      <c r="AQ93" s="202"/>
      <c r="AR93" s="202"/>
      <c r="AS93" s="202"/>
      <c r="AT93" s="202"/>
      <c r="AU93" s="202"/>
      <c r="AV93" s="202"/>
      <c r="AW93" s="202"/>
      <c r="AX93" s="202"/>
      <c r="AY93" s="202"/>
      <c r="AZ93" s="202"/>
      <c r="BA93" s="202"/>
      <c r="BB93" s="202"/>
      <c r="BC93" s="202"/>
      <c r="BD93" s="202"/>
      <c r="BE93" s="202"/>
      <c r="BF93" s="202"/>
      <c r="BG93" s="202"/>
      <c r="BH93" s="202"/>
      <c r="BI93" s="202"/>
      <c r="BJ93" s="202"/>
      <c r="BK93" s="202"/>
      <c r="BL93" s="202"/>
      <c r="BM93" s="202"/>
      <c r="BN93" s="202"/>
      <c r="BO93" s="202"/>
      <c r="BP93" s="202"/>
      <c r="BQ93" s="202"/>
      <c r="BR93" s="202"/>
      <c r="BS93" s="202"/>
      <c r="BT93" s="202"/>
    </row>
    <row r="94" spans="1:72" s="719" customFormat="1" ht="8.25" customHeight="1">
      <c r="A94" s="215"/>
      <c r="B94" s="216"/>
      <c r="C94" s="234"/>
      <c r="D94" s="217"/>
      <c r="E94" s="217"/>
      <c r="F94" s="227"/>
      <c r="G94" s="228"/>
      <c r="H94" s="202"/>
      <c r="I94" s="202"/>
      <c r="J94" s="202"/>
      <c r="K94" s="202"/>
      <c r="L94" s="202"/>
      <c r="M94" s="202"/>
      <c r="N94" s="202"/>
      <c r="O94" s="202"/>
      <c r="P94" s="202"/>
      <c r="Q94" s="202"/>
      <c r="R94" s="202"/>
      <c r="S94" s="202"/>
      <c r="T94" s="202"/>
      <c r="U94" s="202"/>
      <c r="V94" s="202"/>
      <c r="W94" s="202"/>
      <c r="X94" s="202"/>
      <c r="Y94" s="202"/>
      <c r="Z94" s="202"/>
      <c r="AA94" s="202"/>
      <c r="AB94" s="202"/>
      <c r="AC94" s="202"/>
      <c r="AD94" s="202"/>
      <c r="AE94" s="202"/>
      <c r="AF94" s="202"/>
      <c r="AG94" s="202"/>
      <c r="AH94" s="202"/>
      <c r="AI94" s="202"/>
      <c r="AJ94" s="202"/>
      <c r="AK94" s="202"/>
      <c r="AL94" s="202"/>
      <c r="AM94" s="202"/>
      <c r="AN94" s="202"/>
      <c r="AO94" s="202"/>
      <c r="AP94" s="202"/>
      <c r="AQ94" s="202"/>
      <c r="AR94" s="202"/>
      <c r="AS94" s="202"/>
      <c r="AT94" s="202"/>
      <c r="AU94" s="202"/>
      <c r="AV94" s="202"/>
      <c r="AW94" s="202"/>
      <c r="AX94" s="202"/>
      <c r="AY94" s="202"/>
      <c r="AZ94" s="202"/>
      <c r="BA94" s="202"/>
      <c r="BB94" s="202"/>
      <c r="BC94" s="202"/>
      <c r="BD94" s="202"/>
      <c r="BE94" s="202"/>
      <c r="BF94" s="202"/>
      <c r="BG94" s="202"/>
      <c r="BH94" s="202"/>
      <c r="BI94" s="202"/>
      <c r="BJ94" s="202"/>
      <c r="BK94" s="202"/>
      <c r="BL94" s="202"/>
      <c r="BM94" s="202"/>
      <c r="BN94" s="202"/>
      <c r="BO94" s="202"/>
      <c r="BP94" s="202"/>
      <c r="BQ94" s="202"/>
      <c r="BR94" s="202"/>
      <c r="BS94" s="202"/>
      <c r="BT94" s="202"/>
    </row>
    <row r="95" spans="1:72" s="719" customFormat="1" ht="15.75" customHeight="1">
      <c r="A95" s="215"/>
      <c r="B95" s="216"/>
      <c r="C95" s="234"/>
      <c r="D95" s="217"/>
      <c r="E95" s="217"/>
      <c r="F95" s="227"/>
      <c r="G95" s="720">
        <f>SUM(G96)</f>
        <v>10045</v>
      </c>
      <c r="H95" s="202"/>
      <c r="I95" s="202"/>
      <c r="J95" s="202"/>
      <c r="K95" s="202"/>
      <c r="L95" s="202"/>
      <c r="M95" s="202"/>
      <c r="N95" s="202"/>
      <c r="O95" s="202"/>
      <c r="P95" s="202"/>
      <c r="Q95" s="202"/>
      <c r="R95" s="202"/>
      <c r="S95" s="202"/>
      <c r="T95" s="202"/>
      <c r="U95" s="202"/>
      <c r="V95" s="202"/>
      <c r="W95" s="202"/>
      <c r="X95" s="202"/>
      <c r="Y95" s="202"/>
      <c r="Z95" s="202"/>
      <c r="AA95" s="202"/>
      <c r="AB95" s="202"/>
      <c r="AC95" s="202"/>
      <c r="AD95" s="202"/>
      <c r="AE95" s="202"/>
      <c r="AF95" s="202"/>
      <c r="AG95" s="202"/>
      <c r="AH95" s="202"/>
      <c r="AI95" s="202"/>
      <c r="AJ95" s="202"/>
      <c r="AK95" s="202"/>
      <c r="AL95" s="202"/>
      <c r="AM95" s="202"/>
      <c r="AN95" s="202"/>
      <c r="AO95" s="202"/>
      <c r="AP95" s="202"/>
      <c r="AQ95" s="202"/>
      <c r="AR95" s="202"/>
      <c r="AS95" s="202"/>
      <c r="AT95" s="202"/>
      <c r="AU95" s="202"/>
      <c r="AV95" s="202"/>
      <c r="AW95" s="202"/>
      <c r="AX95" s="202"/>
      <c r="AY95" s="202"/>
      <c r="AZ95" s="202"/>
      <c r="BA95" s="202"/>
      <c r="BB95" s="202"/>
      <c r="BC95" s="202"/>
      <c r="BD95" s="202"/>
      <c r="BE95" s="202"/>
      <c r="BF95" s="202"/>
      <c r="BG95" s="202"/>
      <c r="BH95" s="202"/>
      <c r="BI95" s="202"/>
      <c r="BJ95" s="202"/>
      <c r="BK95" s="202"/>
      <c r="BL95" s="202"/>
      <c r="BM95" s="202"/>
      <c r="BN95" s="202"/>
      <c r="BO95" s="202"/>
      <c r="BP95" s="202"/>
      <c r="BQ95" s="202"/>
      <c r="BR95" s="202"/>
      <c r="BS95" s="202"/>
      <c r="BT95" s="202"/>
    </row>
    <row r="96" spans="1:72" s="719" customFormat="1" ht="15.75" customHeight="1">
      <c r="A96" s="215"/>
      <c r="B96" s="216"/>
      <c r="C96" s="234"/>
      <c r="D96" s="217"/>
      <c r="E96" s="217" t="s">
        <v>352</v>
      </c>
      <c r="F96" s="227" t="s">
        <v>330</v>
      </c>
      <c r="G96" s="228">
        <f>1204+1290+1167+1293+1252+1293+1251+1295</f>
        <v>10045</v>
      </c>
      <c r="H96" s="202"/>
      <c r="I96" s="202"/>
      <c r="J96" s="202"/>
      <c r="K96" s="202"/>
      <c r="L96" s="202"/>
      <c r="M96" s="202"/>
      <c r="N96" s="202"/>
      <c r="O96" s="202"/>
      <c r="P96" s="202"/>
      <c r="Q96" s="202"/>
      <c r="R96" s="202"/>
      <c r="S96" s="202"/>
      <c r="T96" s="202"/>
      <c r="U96" s="202"/>
      <c r="V96" s="202"/>
      <c r="W96" s="202"/>
      <c r="X96" s="202"/>
      <c r="Y96" s="202"/>
      <c r="Z96" s="202"/>
      <c r="AA96" s="202"/>
      <c r="AB96" s="202"/>
      <c r="AC96" s="202"/>
      <c r="AD96" s="202"/>
      <c r="AE96" s="202"/>
      <c r="AF96" s="202"/>
      <c r="AG96" s="202"/>
      <c r="AH96" s="202"/>
      <c r="AI96" s="202"/>
      <c r="AJ96" s="202"/>
      <c r="AK96" s="202"/>
      <c r="AL96" s="202"/>
      <c r="AM96" s="202"/>
      <c r="AN96" s="202"/>
      <c r="AO96" s="202"/>
      <c r="AP96" s="202"/>
      <c r="AQ96" s="202"/>
      <c r="AR96" s="202"/>
      <c r="AS96" s="202"/>
      <c r="AT96" s="202"/>
      <c r="AU96" s="202"/>
      <c r="AV96" s="202"/>
      <c r="AW96" s="202"/>
      <c r="AX96" s="202"/>
      <c r="AY96" s="202"/>
      <c r="AZ96" s="202"/>
      <c r="BA96" s="202"/>
      <c r="BB96" s="202"/>
      <c r="BC96" s="202"/>
      <c r="BD96" s="202"/>
      <c r="BE96" s="202"/>
      <c r="BF96" s="202"/>
      <c r="BG96" s="202"/>
      <c r="BH96" s="202"/>
      <c r="BI96" s="202"/>
      <c r="BJ96" s="202"/>
      <c r="BK96" s="202"/>
      <c r="BL96" s="202"/>
      <c r="BM96" s="202"/>
      <c r="BN96" s="202"/>
      <c r="BO96" s="202"/>
      <c r="BP96" s="202"/>
      <c r="BQ96" s="202"/>
      <c r="BR96" s="202"/>
      <c r="BS96" s="202"/>
      <c r="BT96" s="202"/>
    </row>
    <row r="97" spans="1:72" s="719" customFormat="1" ht="7.5" customHeight="1">
      <c r="A97" s="215"/>
      <c r="B97" s="216"/>
      <c r="C97" s="234"/>
      <c r="D97" s="217"/>
      <c r="E97" s="218"/>
      <c r="F97" s="220"/>
      <c r="G97" s="232"/>
      <c r="H97" s="202"/>
      <c r="I97" s="202"/>
      <c r="J97" s="202"/>
      <c r="K97" s="202"/>
      <c r="L97" s="202"/>
      <c r="M97" s="202"/>
      <c r="N97" s="202"/>
      <c r="O97" s="202"/>
      <c r="P97" s="202"/>
      <c r="Q97" s="202"/>
      <c r="R97" s="202"/>
      <c r="S97" s="202"/>
      <c r="T97" s="202"/>
      <c r="U97" s="202"/>
      <c r="V97" s="202"/>
      <c r="W97" s="202"/>
      <c r="X97" s="202"/>
      <c r="Y97" s="202"/>
      <c r="Z97" s="202"/>
      <c r="AA97" s="202"/>
      <c r="AB97" s="202"/>
      <c r="AC97" s="202"/>
      <c r="AD97" s="202"/>
      <c r="AE97" s="202"/>
      <c r="AF97" s="202"/>
      <c r="AG97" s="202"/>
      <c r="AH97" s="202"/>
      <c r="AI97" s="202"/>
      <c r="AJ97" s="202"/>
      <c r="AK97" s="202"/>
      <c r="AL97" s="202"/>
      <c r="AM97" s="202"/>
      <c r="AN97" s="202"/>
      <c r="AO97" s="202"/>
      <c r="AP97" s="202"/>
      <c r="AQ97" s="202"/>
      <c r="AR97" s="202"/>
      <c r="AS97" s="202"/>
      <c r="AT97" s="202"/>
      <c r="AU97" s="202"/>
      <c r="AV97" s="202"/>
      <c r="AW97" s="202"/>
      <c r="AX97" s="202"/>
      <c r="AY97" s="202"/>
      <c r="AZ97" s="202"/>
      <c r="BA97" s="202"/>
      <c r="BB97" s="202"/>
      <c r="BC97" s="202"/>
      <c r="BD97" s="202"/>
      <c r="BE97" s="202"/>
      <c r="BF97" s="202"/>
      <c r="BG97" s="202"/>
      <c r="BH97" s="202"/>
      <c r="BI97" s="202"/>
      <c r="BJ97" s="202"/>
      <c r="BK97" s="202"/>
      <c r="BL97" s="202"/>
      <c r="BM97" s="202"/>
      <c r="BN97" s="202"/>
      <c r="BO97" s="202"/>
      <c r="BP97" s="202"/>
      <c r="BQ97" s="202"/>
      <c r="BR97" s="202"/>
      <c r="BS97" s="202"/>
      <c r="BT97" s="202"/>
    </row>
    <row r="98" spans="1:72" s="719" customFormat="1" ht="15.75" customHeight="1">
      <c r="A98" s="215"/>
      <c r="B98" s="721" t="s">
        <v>21</v>
      </c>
      <c r="C98" s="217" t="s">
        <v>348</v>
      </c>
      <c r="D98" s="217" t="s">
        <v>357</v>
      </c>
      <c r="E98" s="218" t="s">
        <v>330</v>
      </c>
      <c r="F98" s="220" t="s">
        <v>330</v>
      </c>
      <c r="G98" s="219">
        <f>SUM(G100)</f>
        <v>6527.79</v>
      </c>
      <c r="H98" s="202"/>
      <c r="I98" s="202"/>
      <c r="J98" s="202"/>
      <c r="K98" s="202"/>
      <c r="L98" s="202"/>
      <c r="M98" s="202"/>
      <c r="N98" s="202"/>
      <c r="O98" s="202"/>
      <c r="P98" s="202"/>
      <c r="Q98" s="202"/>
      <c r="R98" s="202"/>
      <c r="S98" s="202"/>
      <c r="T98" s="202"/>
      <c r="U98" s="202"/>
      <c r="V98" s="202"/>
      <c r="W98" s="202"/>
      <c r="X98" s="202"/>
      <c r="Y98" s="202"/>
      <c r="Z98" s="202"/>
      <c r="AA98" s="202"/>
      <c r="AB98" s="202"/>
      <c r="AC98" s="202"/>
      <c r="AD98" s="202"/>
      <c r="AE98" s="202"/>
      <c r="AF98" s="202"/>
      <c r="AG98" s="202"/>
      <c r="AH98" s="202"/>
      <c r="AI98" s="202"/>
      <c r="AJ98" s="202"/>
      <c r="AK98" s="202"/>
      <c r="AL98" s="202"/>
      <c r="AM98" s="202"/>
      <c r="AN98" s="202"/>
      <c r="AO98" s="202"/>
      <c r="AP98" s="202"/>
      <c r="AQ98" s="202"/>
      <c r="AR98" s="202"/>
      <c r="AS98" s="202"/>
      <c r="AT98" s="202"/>
      <c r="AU98" s="202"/>
      <c r="AV98" s="202"/>
      <c r="AW98" s="202"/>
      <c r="AX98" s="202"/>
      <c r="AY98" s="202"/>
      <c r="AZ98" s="202"/>
      <c r="BA98" s="202"/>
      <c r="BB98" s="202"/>
      <c r="BC98" s="202"/>
      <c r="BD98" s="202"/>
      <c r="BE98" s="202"/>
      <c r="BF98" s="202"/>
      <c r="BG98" s="202"/>
      <c r="BH98" s="202"/>
      <c r="BI98" s="202"/>
      <c r="BJ98" s="202"/>
      <c r="BK98" s="202"/>
      <c r="BL98" s="202"/>
      <c r="BM98" s="202"/>
      <c r="BN98" s="202"/>
      <c r="BO98" s="202"/>
      <c r="BP98" s="202"/>
      <c r="BQ98" s="202"/>
      <c r="BR98" s="202"/>
      <c r="BS98" s="202"/>
      <c r="BT98" s="202"/>
    </row>
    <row r="99" spans="1:72" s="719" customFormat="1" ht="6.75" customHeight="1">
      <c r="A99" s="215"/>
      <c r="B99" s="216"/>
      <c r="C99" s="234"/>
      <c r="D99" s="217"/>
      <c r="E99" s="217"/>
      <c r="F99" s="227"/>
      <c r="G99" s="228"/>
      <c r="H99" s="202"/>
      <c r="I99" s="202"/>
      <c r="J99" s="202"/>
      <c r="K99" s="202"/>
      <c r="L99" s="202"/>
      <c r="M99" s="202"/>
      <c r="N99" s="202"/>
      <c r="O99" s="202"/>
      <c r="P99" s="202"/>
      <c r="Q99" s="202"/>
      <c r="R99" s="202"/>
      <c r="S99" s="202"/>
      <c r="T99" s="202"/>
      <c r="U99" s="202"/>
      <c r="V99" s="202"/>
      <c r="W99" s="202"/>
      <c r="X99" s="202"/>
      <c r="Y99" s="202"/>
      <c r="Z99" s="202"/>
      <c r="AA99" s="202"/>
      <c r="AB99" s="202"/>
      <c r="AC99" s="202"/>
      <c r="AD99" s="202"/>
      <c r="AE99" s="202"/>
      <c r="AF99" s="202"/>
      <c r="AG99" s="202"/>
      <c r="AH99" s="202"/>
      <c r="AI99" s="202"/>
      <c r="AJ99" s="202"/>
      <c r="AK99" s="202"/>
      <c r="AL99" s="202"/>
      <c r="AM99" s="202"/>
      <c r="AN99" s="202"/>
      <c r="AO99" s="202"/>
      <c r="AP99" s="202"/>
      <c r="AQ99" s="202"/>
      <c r="AR99" s="202"/>
      <c r="AS99" s="202"/>
      <c r="AT99" s="202"/>
      <c r="AU99" s="202"/>
      <c r="AV99" s="202"/>
      <c r="AW99" s="202"/>
      <c r="AX99" s="202"/>
      <c r="AY99" s="202"/>
      <c r="AZ99" s="202"/>
      <c r="BA99" s="202"/>
      <c r="BB99" s="202"/>
      <c r="BC99" s="202"/>
      <c r="BD99" s="202"/>
      <c r="BE99" s="202"/>
      <c r="BF99" s="202"/>
      <c r="BG99" s="202"/>
      <c r="BH99" s="202"/>
      <c r="BI99" s="202"/>
      <c r="BJ99" s="202"/>
      <c r="BK99" s="202"/>
      <c r="BL99" s="202"/>
      <c r="BM99" s="202"/>
      <c r="BN99" s="202"/>
      <c r="BO99" s="202"/>
      <c r="BP99" s="202"/>
      <c r="BQ99" s="202"/>
      <c r="BR99" s="202"/>
      <c r="BS99" s="202"/>
      <c r="BT99" s="202"/>
    </row>
    <row r="100" spans="1:72" s="719" customFormat="1" ht="15.75" customHeight="1">
      <c r="A100" s="215"/>
      <c r="B100" s="216"/>
      <c r="C100" s="234"/>
      <c r="D100" s="217"/>
      <c r="E100" s="217"/>
      <c r="F100" s="227"/>
      <c r="G100" s="720">
        <f>SUM(G101:G103)</f>
        <v>6527.79</v>
      </c>
      <c r="H100" s="202"/>
      <c r="I100" s="202"/>
      <c r="J100" s="202"/>
      <c r="K100" s="202"/>
      <c r="L100" s="202"/>
      <c r="M100" s="202"/>
      <c r="N100" s="202"/>
      <c r="O100" s="202"/>
      <c r="P100" s="202"/>
      <c r="Q100" s="202"/>
      <c r="R100" s="202"/>
      <c r="S100" s="202"/>
      <c r="T100" s="202"/>
      <c r="U100" s="202"/>
      <c r="V100" s="202"/>
      <c r="W100" s="202"/>
      <c r="X100" s="202"/>
      <c r="Y100" s="202"/>
      <c r="Z100" s="202"/>
      <c r="AA100" s="202"/>
      <c r="AB100" s="202"/>
      <c r="AC100" s="202"/>
      <c r="AD100" s="202"/>
      <c r="AE100" s="202"/>
      <c r="AF100" s="202"/>
      <c r="AG100" s="202"/>
      <c r="AH100" s="202"/>
      <c r="AI100" s="202"/>
      <c r="AJ100" s="202"/>
      <c r="AK100" s="202"/>
      <c r="AL100" s="202"/>
      <c r="AM100" s="202"/>
      <c r="AN100" s="202"/>
      <c r="AO100" s="202"/>
      <c r="AP100" s="202"/>
      <c r="AQ100" s="202"/>
      <c r="AR100" s="202"/>
      <c r="AS100" s="202"/>
      <c r="AT100" s="202"/>
      <c r="AU100" s="202"/>
      <c r="AV100" s="202"/>
      <c r="AW100" s="202"/>
      <c r="AX100" s="202"/>
      <c r="AY100" s="202"/>
      <c r="AZ100" s="202"/>
      <c r="BA100" s="202"/>
      <c r="BB100" s="202"/>
      <c r="BC100" s="202"/>
      <c r="BD100" s="202"/>
      <c r="BE100" s="202"/>
      <c r="BF100" s="202"/>
      <c r="BG100" s="202"/>
      <c r="BH100" s="202"/>
      <c r="BI100" s="202"/>
      <c r="BJ100" s="202"/>
      <c r="BK100" s="202"/>
      <c r="BL100" s="202"/>
      <c r="BM100" s="202"/>
      <c r="BN100" s="202"/>
      <c r="BO100" s="202"/>
      <c r="BP100" s="202"/>
      <c r="BQ100" s="202"/>
      <c r="BR100" s="202"/>
      <c r="BS100" s="202"/>
      <c r="BT100" s="202"/>
    </row>
    <row r="101" spans="1:72" s="719" customFormat="1" ht="15.75" customHeight="1">
      <c r="A101" s="215"/>
      <c r="B101" s="216"/>
      <c r="C101" s="234"/>
      <c r="D101" s="217"/>
      <c r="E101" s="217" t="s">
        <v>270</v>
      </c>
      <c r="F101" s="227" t="s">
        <v>330</v>
      </c>
      <c r="G101" s="228">
        <f>423+451+1595.79+410+455+440+440+456+457</f>
        <v>5127.79</v>
      </c>
      <c r="H101" s="202"/>
      <c r="I101" s="202"/>
      <c r="J101" s="202"/>
      <c r="K101" s="202"/>
      <c r="L101" s="202"/>
      <c r="M101" s="202"/>
      <c r="N101" s="202"/>
      <c r="O101" s="202"/>
      <c r="P101" s="202"/>
      <c r="Q101" s="202"/>
      <c r="R101" s="202"/>
      <c r="S101" s="202"/>
      <c r="T101" s="202"/>
      <c r="U101" s="202"/>
      <c r="V101" s="202"/>
      <c r="W101" s="202"/>
      <c r="X101" s="202"/>
      <c r="Y101" s="202"/>
      <c r="Z101" s="202"/>
      <c r="AA101" s="202"/>
      <c r="AB101" s="202"/>
      <c r="AC101" s="202"/>
      <c r="AD101" s="202"/>
      <c r="AE101" s="202"/>
      <c r="AF101" s="202"/>
      <c r="AG101" s="202"/>
      <c r="AH101" s="202"/>
      <c r="AI101" s="202"/>
      <c r="AJ101" s="202"/>
      <c r="AK101" s="202"/>
      <c r="AL101" s="202"/>
      <c r="AM101" s="202"/>
      <c r="AN101" s="202"/>
      <c r="AO101" s="202"/>
      <c r="AP101" s="202"/>
      <c r="AQ101" s="202"/>
      <c r="AR101" s="202"/>
      <c r="AS101" s="202"/>
      <c r="AT101" s="202"/>
      <c r="AU101" s="202"/>
      <c r="AV101" s="202"/>
      <c r="AW101" s="202"/>
      <c r="AX101" s="202"/>
      <c r="AY101" s="202"/>
      <c r="AZ101" s="202"/>
      <c r="BA101" s="202"/>
      <c r="BB101" s="202"/>
      <c r="BC101" s="202"/>
      <c r="BD101" s="202"/>
      <c r="BE101" s="202"/>
      <c r="BF101" s="202"/>
      <c r="BG101" s="202"/>
      <c r="BH101" s="202"/>
      <c r="BI101" s="202"/>
      <c r="BJ101" s="202"/>
      <c r="BK101" s="202"/>
      <c r="BL101" s="202"/>
      <c r="BM101" s="202"/>
      <c r="BN101" s="202"/>
      <c r="BO101" s="202"/>
      <c r="BP101" s="202"/>
      <c r="BQ101" s="202"/>
      <c r="BR101" s="202"/>
      <c r="BS101" s="202"/>
      <c r="BT101" s="202"/>
    </row>
    <row r="102" spans="1:72" s="719" customFormat="1" ht="15.75" customHeight="1">
      <c r="A102" s="215"/>
      <c r="B102" s="216"/>
      <c r="C102" s="234"/>
      <c r="D102" s="217"/>
      <c r="E102" s="217" t="s">
        <v>344</v>
      </c>
      <c r="F102" s="227" t="s">
        <v>330</v>
      </c>
      <c r="G102" s="228">
        <f>200</f>
        <v>200</v>
      </c>
      <c r="H102" s="202"/>
      <c r="I102" s="202"/>
      <c r="J102" s="202"/>
      <c r="K102" s="202"/>
      <c r="L102" s="202"/>
      <c r="M102" s="202"/>
      <c r="N102" s="202"/>
      <c r="O102" s="202"/>
      <c r="P102" s="202"/>
      <c r="Q102" s="202"/>
      <c r="R102" s="202"/>
      <c r="S102" s="202"/>
      <c r="T102" s="202"/>
      <c r="U102" s="202"/>
      <c r="V102" s="202"/>
      <c r="W102" s="202"/>
      <c r="X102" s="202"/>
      <c r="Y102" s="202"/>
      <c r="Z102" s="202"/>
      <c r="AA102" s="202"/>
      <c r="AB102" s="202"/>
      <c r="AC102" s="202"/>
      <c r="AD102" s="202"/>
      <c r="AE102" s="202"/>
      <c r="AF102" s="202"/>
      <c r="AG102" s="202"/>
      <c r="AH102" s="202"/>
      <c r="AI102" s="202"/>
      <c r="AJ102" s="202"/>
      <c r="AK102" s="202"/>
      <c r="AL102" s="202"/>
      <c r="AM102" s="202"/>
      <c r="AN102" s="202"/>
      <c r="AO102" s="202"/>
      <c r="AP102" s="202"/>
      <c r="AQ102" s="202"/>
      <c r="AR102" s="202"/>
      <c r="AS102" s="202"/>
      <c r="AT102" s="202"/>
      <c r="AU102" s="202"/>
      <c r="AV102" s="202"/>
      <c r="AW102" s="202"/>
      <c r="AX102" s="202"/>
      <c r="AY102" s="202"/>
      <c r="AZ102" s="202"/>
      <c r="BA102" s="202"/>
      <c r="BB102" s="202"/>
      <c r="BC102" s="202"/>
      <c r="BD102" s="202"/>
      <c r="BE102" s="202"/>
      <c r="BF102" s="202"/>
      <c r="BG102" s="202"/>
      <c r="BH102" s="202"/>
      <c r="BI102" s="202"/>
      <c r="BJ102" s="202"/>
      <c r="BK102" s="202"/>
      <c r="BL102" s="202"/>
      <c r="BM102" s="202"/>
      <c r="BN102" s="202"/>
      <c r="BO102" s="202"/>
      <c r="BP102" s="202"/>
      <c r="BQ102" s="202"/>
      <c r="BR102" s="202"/>
      <c r="BS102" s="202"/>
      <c r="BT102" s="202"/>
    </row>
    <row r="103" spans="1:72" s="719" customFormat="1" ht="15.75" customHeight="1">
      <c r="A103" s="215"/>
      <c r="B103" s="216"/>
      <c r="C103" s="234"/>
      <c r="D103" s="217"/>
      <c r="E103" s="217" t="s">
        <v>351</v>
      </c>
      <c r="F103" s="227" t="s">
        <v>330</v>
      </c>
      <c r="G103" s="228">
        <f>1200</f>
        <v>1200</v>
      </c>
      <c r="H103" s="202"/>
      <c r="I103" s="202"/>
      <c r="J103" s="202"/>
      <c r="K103" s="202"/>
      <c r="L103" s="202"/>
      <c r="M103" s="202"/>
      <c r="N103" s="202"/>
      <c r="O103" s="202"/>
      <c r="P103" s="202"/>
      <c r="Q103" s="202"/>
      <c r="R103" s="202"/>
      <c r="S103" s="202"/>
      <c r="T103" s="202"/>
      <c r="U103" s="202"/>
      <c r="V103" s="202"/>
      <c r="W103" s="202"/>
      <c r="X103" s="202"/>
      <c r="Y103" s="202"/>
      <c r="Z103" s="202"/>
      <c r="AA103" s="202"/>
      <c r="AB103" s="202"/>
      <c r="AC103" s="202"/>
      <c r="AD103" s="202"/>
      <c r="AE103" s="202"/>
      <c r="AF103" s="202"/>
      <c r="AG103" s="202"/>
      <c r="AH103" s="202"/>
      <c r="AI103" s="202"/>
      <c r="AJ103" s="202"/>
      <c r="AK103" s="202"/>
      <c r="AL103" s="202"/>
      <c r="AM103" s="202"/>
      <c r="AN103" s="202"/>
      <c r="AO103" s="202"/>
      <c r="AP103" s="202"/>
      <c r="AQ103" s="202"/>
      <c r="AR103" s="202"/>
      <c r="AS103" s="202"/>
      <c r="AT103" s="202"/>
      <c r="AU103" s="202"/>
      <c r="AV103" s="202"/>
      <c r="AW103" s="202"/>
      <c r="AX103" s="202"/>
      <c r="AY103" s="202"/>
      <c r="AZ103" s="202"/>
      <c r="BA103" s="202"/>
      <c r="BB103" s="202"/>
      <c r="BC103" s="202"/>
      <c r="BD103" s="202"/>
      <c r="BE103" s="202"/>
      <c r="BF103" s="202"/>
      <c r="BG103" s="202"/>
      <c r="BH103" s="202"/>
      <c r="BI103" s="202"/>
      <c r="BJ103" s="202"/>
      <c r="BK103" s="202"/>
      <c r="BL103" s="202"/>
      <c r="BM103" s="202"/>
      <c r="BN103" s="202"/>
      <c r="BO103" s="202"/>
      <c r="BP103" s="202"/>
      <c r="BQ103" s="202"/>
      <c r="BR103" s="202"/>
      <c r="BS103" s="202"/>
      <c r="BT103" s="202"/>
    </row>
    <row r="104" spans="1:72" s="719" customFormat="1" ht="5.25" customHeight="1">
      <c r="A104" s="229"/>
      <c r="B104" s="230"/>
      <c r="C104" s="231"/>
      <c r="D104" s="218"/>
      <c r="E104" s="218"/>
      <c r="F104" s="220"/>
      <c r="G104" s="232"/>
      <c r="H104" s="202"/>
      <c r="I104" s="202"/>
      <c r="J104" s="202"/>
      <c r="K104" s="202"/>
      <c r="L104" s="202"/>
      <c r="M104" s="202"/>
      <c r="N104" s="202"/>
      <c r="O104" s="202"/>
      <c r="P104" s="202"/>
      <c r="Q104" s="202"/>
      <c r="R104" s="202"/>
      <c r="S104" s="202"/>
      <c r="T104" s="202"/>
      <c r="U104" s="202"/>
      <c r="V104" s="202"/>
      <c r="W104" s="202"/>
      <c r="X104" s="202"/>
      <c r="Y104" s="202"/>
      <c r="Z104" s="202"/>
      <c r="AA104" s="202"/>
      <c r="AB104" s="202"/>
      <c r="AC104" s="202"/>
      <c r="AD104" s="202"/>
      <c r="AE104" s="202"/>
      <c r="AF104" s="202"/>
      <c r="AG104" s="202"/>
      <c r="AH104" s="202"/>
      <c r="AI104" s="202"/>
      <c r="AJ104" s="202"/>
      <c r="AK104" s="202"/>
      <c r="AL104" s="202"/>
      <c r="AM104" s="202"/>
      <c r="AN104" s="202"/>
      <c r="AO104" s="202"/>
      <c r="AP104" s="202"/>
      <c r="AQ104" s="202"/>
      <c r="AR104" s="202"/>
      <c r="AS104" s="202"/>
      <c r="AT104" s="202"/>
      <c r="AU104" s="202"/>
      <c r="AV104" s="202"/>
      <c r="AW104" s="202"/>
      <c r="AX104" s="202"/>
      <c r="AY104" s="202"/>
      <c r="AZ104" s="202"/>
      <c r="BA104" s="202"/>
      <c r="BB104" s="202"/>
      <c r="BC104" s="202"/>
      <c r="BD104" s="202"/>
      <c r="BE104" s="202"/>
      <c r="BF104" s="202"/>
      <c r="BG104" s="202"/>
      <c r="BH104" s="202"/>
      <c r="BI104" s="202"/>
      <c r="BJ104" s="202"/>
      <c r="BK104" s="202"/>
      <c r="BL104" s="202"/>
      <c r="BM104" s="202"/>
      <c r="BN104" s="202"/>
      <c r="BO104" s="202"/>
      <c r="BP104" s="202"/>
      <c r="BQ104" s="202"/>
      <c r="BR104" s="202"/>
      <c r="BS104" s="202"/>
      <c r="BT104" s="202"/>
    </row>
    <row r="105" spans="1:72" s="719" customFormat="1" ht="17.25" customHeight="1">
      <c r="A105" s="215"/>
      <c r="B105" s="721" t="s">
        <v>21</v>
      </c>
      <c r="C105" s="217" t="s">
        <v>348</v>
      </c>
      <c r="D105" s="217" t="s">
        <v>358</v>
      </c>
      <c r="E105" s="218" t="s">
        <v>330</v>
      </c>
      <c r="F105" s="220" t="s">
        <v>330</v>
      </c>
      <c r="G105" s="219">
        <f>SUM(G107)</f>
        <v>221848.43</v>
      </c>
      <c r="H105" s="202"/>
      <c r="I105" s="202"/>
      <c r="J105" s="202"/>
      <c r="K105" s="202"/>
      <c r="L105" s="202"/>
      <c r="M105" s="202"/>
      <c r="N105" s="202"/>
      <c r="O105" s="202"/>
      <c r="P105" s="202"/>
      <c r="Q105" s="202"/>
      <c r="R105" s="202"/>
      <c r="S105" s="202"/>
      <c r="T105" s="202"/>
      <c r="U105" s="202"/>
      <c r="V105" s="202"/>
      <c r="W105" s="202"/>
      <c r="X105" s="202"/>
      <c r="Y105" s="202"/>
      <c r="Z105" s="202"/>
      <c r="AA105" s="202"/>
      <c r="AB105" s="202"/>
      <c r="AC105" s="202"/>
      <c r="AD105" s="202"/>
      <c r="AE105" s="202"/>
      <c r="AF105" s="202"/>
      <c r="AG105" s="202"/>
      <c r="AH105" s="202"/>
      <c r="AI105" s="202"/>
      <c r="AJ105" s="202"/>
      <c r="AK105" s="202"/>
      <c r="AL105" s="202"/>
      <c r="AM105" s="202"/>
      <c r="AN105" s="202"/>
      <c r="AO105" s="202"/>
      <c r="AP105" s="202"/>
      <c r="AQ105" s="202"/>
      <c r="AR105" s="202"/>
      <c r="AS105" s="202"/>
      <c r="AT105" s="202"/>
      <c r="AU105" s="202"/>
      <c r="AV105" s="202"/>
      <c r="AW105" s="202"/>
      <c r="AX105" s="202"/>
      <c r="AY105" s="202"/>
      <c r="AZ105" s="202"/>
      <c r="BA105" s="202"/>
      <c r="BB105" s="202"/>
      <c r="BC105" s="202"/>
      <c r="BD105" s="202"/>
      <c r="BE105" s="202"/>
      <c r="BF105" s="202"/>
      <c r="BG105" s="202"/>
      <c r="BH105" s="202"/>
      <c r="BI105" s="202"/>
      <c r="BJ105" s="202"/>
      <c r="BK105" s="202"/>
      <c r="BL105" s="202"/>
      <c r="BM105" s="202"/>
      <c r="BN105" s="202"/>
      <c r="BO105" s="202"/>
      <c r="BP105" s="202"/>
      <c r="BQ105" s="202"/>
      <c r="BR105" s="202"/>
      <c r="BS105" s="202"/>
      <c r="BT105" s="202"/>
    </row>
    <row r="106" spans="1:72" s="719" customFormat="1" ht="7.5" customHeight="1">
      <c r="A106" s="215"/>
      <c r="B106" s="216"/>
      <c r="C106" s="234"/>
      <c r="D106" s="217"/>
      <c r="E106" s="217"/>
      <c r="F106" s="227"/>
      <c r="G106" s="228"/>
      <c r="H106" s="202"/>
      <c r="I106" s="202"/>
      <c r="J106" s="202"/>
      <c r="K106" s="202"/>
      <c r="L106" s="202"/>
      <c r="M106" s="202"/>
      <c r="N106" s="202"/>
      <c r="O106" s="202"/>
      <c r="P106" s="202"/>
      <c r="Q106" s="202"/>
      <c r="R106" s="202"/>
      <c r="S106" s="202"/>
      <c r="T106" s="202"/>
      <c r="U106" s="202"/>
      <c r="V106" s="202"/>
      <c r="W106" s="202"/>
      <c r="X106" s="202"/>
      <c r="Y106" s="202"/>
      <c r="Z106" s="202"/>
      <c r="AA106" s="202"/>
      <c r="AB106" s="202"/>
      <c r="AC106" s="202"/>
      <c r="AD106" s="202"/>
      <c r="AE106" s="202"/>
      <c r="AF106" s="202"/>
      <c r="AG106" s="202"/>
      <c r="AH106" s="202"/>
      <c r="AI106" s="202"/>
      <c r="AJ106" s="202"/>
      <c r="AK106" s="202"/>
      <c r="AL106" s="202"/>
      <c r="AM106" s="202"/>
      <c r="AN106" s="202"/>
      <c r="AO106" s="202"/>
      <c r="AP106" s="202"/>
      <c r="AQ106" s="202"/>
      <c r="AR106" s="202"/>
      <c r="AS106" s="202"/>
      <c r="AT106" s="202"/>
      <c r="AU106" s="202"/>
      <c r="AV106" s="202"/>
      <c r="AW106" s="202"/>
      <c r="AX106" s="202"/>
      <c r="AY106" s="202"/>
      <c r="AZ106" s="202"/>
      <c r="BA106" s="202"/>
      <c r="BB106" s="202"/>
      <c r="BC106" s="202"/>
      <c r="BD106" s="202"/>
      <c r="BE106" s="202"/>
      <c r="BF106" s="202"/>
      <c r="BG106" s="202"/>
      <c r="BH106" s="202"/>
      <c r="BI106" s="202"/>
      <c r="BJ106" s="202"/>
      <c r="BK106" s="202"/>
      <c r="BL106" s="202"/>
      <c r="BM106" s="202"/>
      <c r="BN106" s="202"/>
      <c r="BO106" s="202"/>
      <c r="BP106" s="202"/>
      <c r="BQ106" s="202"/>
      <c r="BR106" s="202"/>
      <c r="BS106" s="202"/>
      <c r="BT106" s="202"/>
    </row>
    <row r="107" spans="1:72" s="719" customFormat="1" ht="15.75" customHeight="1">
      <c r="A107" s="215"/>
      <c r="B107" s="216"/>
      <c r="C107" s="234"/>
      <c r="D107" s="217"/>
      <c r="E107" s="217"/>
      <c r="F107" s="227"/>
      <c r="G107" s="720">
        <f>SUM(G108:G112)</f>
        <v>221848.43</v>
      </c>
      <c r="H107" s="202"/>
      <c r="I107" s="202"/>
      <c r="J107" s="202"/>
      <c r="K107" s="202"/>
      <c r="L107" s="202"/>
      <c r="M107" s="202"/>
      <c r="N107" s="202"/>
      <c r="O107" s="202"/>
      <c r="P107" s="202"/>
      <c r="Q107" s="202"/>
      <c r="R107" s="202"/>
      <c r="S107" s="202"/>
      <c r="T107" s="202"/>
      <c r="U107" s="202"/>
      <c r="V107" s="202"/>
      <c r="W107" s="202"/>
      <c r="X107" s="202"/>
      <c r="Y107" s="202"/>
      <c r="Z107" s="202"/>
      <c r="AA107" s="202"/>
      <c r="AB107" s="202"/>
      <c r="AC107" s="202"/>
      <c r="AD107" s="202"/>
      <c r="AE107" s="202"/>
      <c r="AF107" s="202"/>
      <c r="AG107" s="202"/>
      <c r="AH107" s="202"/>
      <c r="AI107" s="202"/>
      <c r="AJ107" s="202"/>
      <c r="AK107" s="202"/>
      <c r="AL107" s="202"/>
      <c r="AM107" s="202"/>
      <c r="AN107" s="202"/>
      <c r="AO107" s="202"/>
      <c r="AP107" s="202"/>
      <c r="AQ107" s="202"/>
      <c r="AR107" s="202"/>
      <c r="AS107" s="202"/>
      <c r="AT107" s="202"/>
      <c r="AU107" s="202"/>
      <c r="AV107" s="202"/>
      <c r="AW107" s="202"/>
      <c r="AX107" s="202"/>
      <c r="AY107" s="202"/>
      <c r="AZ107" s="202"/>
      <c r="BA107" s="202"/>
      <c r="BB107" s="202"/>
      <c r="BC107" s="202"/>
      <c r="BD107" s="202"/>
      <c r="BE107" s="202"/>
      <c r="BF107" s="202"/>
      <c r="BG107" s="202"/>
      <c r="BH107" s="202"/>
      <c r="BI107" s="202"/>
      <c r="BJ107" s="202"/>
      <c r="BK107" s="202"/>
      <c r="BL107" s="202"/>
      <c r="BM107" s="202"/>
      <c r="BN107" s="202"/>
      <c r="BO107" s="202"/>
      <c r="BP107" s="202"/>
      <c r="BQ107" s="202"/>
      <c r="BR107" s="202"/>
      <c r="BS107" s="202"/>
      <c r="BT107" s="202"/>
    </row>
    <row r="108" spans="1:72" s="719" customFormat="1" ht="15.75" customHeight="1">
      <c r="A108" s="215"/>
      <c r="B108" s="216"/>
      <c r="C108" s="234"/>
      <c r="D108" s="217"/>
      <c r="E108" s="217" t="s">
        <v>270</v>
      </c>
      <c r="F108" s="227" t="s">
        <v>330</v>
      </c>
      <c r="G108" s="228">
        <f>22136+8144+25278.43+20714+21322+20518+2481+22662+21806+20944</f>
        <v>186005.43</v>
      </c>
      <c r="H108" s="202"/>
      <c r="I108" s="202"/>
      <c r="J108" s="202"/>
      <c r="K108" s="202"/>
      <c r="L108" s="202"/>
      <c r="M108" s="202"/>
      <c r="N108" s="202"/>
      <c r="O108" s="202"/>
      <c r="P108" s="202"/>
      <c r="Q108" s="202"/>
      <c r="R108" s="202"/>
      <c r="S108" s="202"/>
      <c r="T108" s="202"/>
      <c r="U108" s="202"/>
      <c r="V108" s="202"/>
      <c r="W108" s="202"/>
      <c r="X108" s="202"/>
      <c r="Y108" s="202"/>
      <c r="Z108" s="202"/>
      <c r="AA108" s="202"/>
      <c r="AB108" s="202"/>
      <c r="AC108" s="202"/>
      <c r="AD108" s="202"/>
      <c r="AE108" s="202"/>
      <c r="AF108" s="202"/>
      <c r="AG108" s="202"/>
      <c r="AH108" s="202"/>
      <c r="AI108" s="202"/>
      <c r="AJ108" s="202"/>
      <c r="AK108" s="202"/>
      <c r="AL108" s="202"/>
      <c r="AM108" s="202"/>
      <c r="AN108" s="202"/>
      <c r="AO108" s="202"/>
      <c r="AP108" s="202"/>
      <c r="AQ108" s="202"/>
      <c r="AR108" s="202"/>
      <c r="AS108" s="202"/>
      <c r="AT108" s="202"/>
      <c r="AU108" s="202"/>
      <c r="AV108" s="202"/>
      <c r="AW108" s="202"/>
      <c r="AX108" s="202"/>
      <c r="AY108" s="202"/>
      <c r="AZ108" s="202"/>
      <c r="BA108" s="202"/>
      <c r="BB108" s="202"/>
      <c r="BC108" s="202"/>
      <c r="BD108" s="202"/>
      <c r="BE108" s="202"/>
      <c r="BF108" s="202"/>
      <c r="BG108" s="202"/>
      <c r="BH108" s="202"/>
      <c r="BI108" s="202"/>
      <c r="BJ108" s="202"/>
      <c r="BK108" s="202"/>
      <c r="BL108" s="202"/>
      <c r="BM108" s="202"/>
      <c r="BN108" s="202"/>
      <c r="BO108" s="202"/>
      <c r="BP108" s="202"/>
      <c r="BQ108" s="202"/>
      <c r="BR108" s="202"/>
      <c r="BS108" s="202"/>
      <c r="BT108" s="202"/>
    </row>
    <row r="109" spans="1:72" s="719" customFormat="1" ht="15.75" customHeight="1">
      <c r="A109" s="215"/>
      <c r="B109" s="216"/>
      <c r="C109" s="234"/>
      <c r="D109" s="217"/>
      <c r="E109" s="217" t="s">
        <v>344</v>
      </c>
      <c r="F109" s="227" t="s">
        <v>330</v>
      </c>
      <c r="G109" s="228">
        <f>1618</f>
        <v>1618</v>
      </c>
      <c r="H109" s="202"/>
      <c r="I109" s="202"/>
      <c r="J109" s="202"/>
      <c r="K109" s="202"/>
      <c r="L109" s="202"/>
      <c r="M109" s="202"/>
      <c r="N109" s="202"/>
      <c r="O109" s="202"/>
      <c r="P109" s="202"/>
      <c r="Q109" s="202"/>
      <c r="R109" s="202"/>
      <c r="S109" s="202"/>
      <c r="T109" s="202"/>
      <c r="U109" s="202"/>
      <c r="V109" s="202"/>
      <c r="W109" s="202"/>
      <c r="X109" s="202"/>
      <c r="Y109" s="202"/>
      <c r="Z109" s="202"/>
      <c r="AA109" s="202"/>
      <c r="AB109" s="202"/>
      <c r="AC109" s="202"/>
      <c r="AD109" s="202"/>
      <c r="AE109" s="202"/>
      <c r="AF109" s="202"/>
      <c r="AG109" s="202"/>
      <c r="AH109" s="202"/>
      <c r="AI109" s="202"/>
      <c r="AJ109" s="202"/>
      <c r="AK109" s="202"/>
      <c r="AL109" s="202"/>
      <c r="AM109" s="202"/>
      <c r="AN109" s="202"/>
      <c r="AO109" s="202"/>
      <c r="AP109" s="202"/>
      <c r="AQ109" s="202"/>
      <c r="AR109" s="202"/>
      <c r="AS109" s="202"/>
      <c r="AT109" s="202"/>
      <c r="AU109" s="202"/>
      <c r="AV109" s="202"/>
      <c r="AW109" s="202"/>
      <c r="AX109" s="202"/>
      <c r="AY109" s="202"/>
      <c r="AZ109" s="202"/>
      <c r="BA109" s="202"/>
      <c r="BB109" s="202"/>
      <c r="BC109" s="202"/>
      <c r="BD109" s="202"/>
      <c r="BE109" s="202"/>
      <c r="BF109" s="202"/>
      <c r="BG109" s="202"/>
      <c r="BH109" s="202"/>
      <c r="BI109" s="202"/>
      <c r="BJ109" s="202"/>
      <c r="BK109" s="202"/>
      <c r="BL109" s="202"/>
      <c r="BM109" s="202"/>
      <c r="BN109" s="202"/>
      <c r="BO109" s="202"/>
      <c r="BP109" s="202"/>
      <c r="BQ109" s="202"/>
      <c r="BR109" s="202"/>
      <c r="BS109" s="202"/>
      <c r="BT109" s="202"/>
    </row>
    <row r="110" spans="1:72" s="719" customFormat="1" ht="15.75" customHeight="1">
      <c r="A110" s="215"/>
      <c r="B110" s="216"/>
      <c r="C110" s="234"/>
      <c r="D110" s="217"/>
      <c r="E110" s="217" t="s">
        <v>350</v>
      </c>
      <c r="F110" s="227" t="s">
        <v>330</v>
      </c>
      <c r="G110" s="228">
        <f>12813+1168+1000-995</f>
        <v>13986</v>
      </c>
      <c r="H110" s="202"/>
      <c r="I110" s="202"/>
      <c r="J110" s="202"/>
      <c r="K110" s="202"/>
      <c r="L110" s="202"/>
      <c r="M110" s="202"/>
      <c r="N110" s="202"/>
      <c r="O110" s="202"/>
      <c r="P110" s="202"/>
      <c r="Q110" s="202"/>
      <c r="R110" s="202"/>
      <c r="S110" s="202"/>
      <c r="T110" s="202"/>
      <c r="U110" s="202"/>
      <c r="V110" s="202"/>
      <c r="W110" s="202"/>
      <c r="X110" s="202"/>
      <c r="Y110" s="202"/>
      <c r="Z110" s="202"/>
      <c r="AA110" s="202"/>
      <c r="AB110" s="202"/>
      <c r="AC110" s="202"/>
      <c r="AD110" s="202"/>
      <c r="AE110" s="202"/>
      <c r="AF110" s="202"/>
      <c r="AG110" s="202"/>
      <c r="AH110" s="202"/>
      <c r="AI110" s="202"/>
      <c r="AJ110" s="202"/>
      <c r="AK110" s="202"/>
      <c r="AL110" s="202"/>
      <c r="AM110" s="202"/>
      <c r="AN110" s="202"/>
      <c r="AO110" s="202"/>
      <c r="AP110" s="202"/>
      <c r="AQ110" s="202"/>
      <c r="AR110" s="202"/>
      <c r="AS110" s="202"/>
      <c r="AT110" s="202"/>
      <c r="AU110" s="202"/>
      <c r="AV110" s="202"/>
      <c r="AW110" s="202"/>
      <c r="AX110" s="202"/>
      <c r="AY110" s="202"/>
      <c r="AZ110" s="202"/>
      <c r="BA110" s="202"/>
      <c r="BB110" s="202"/>
      <c r="BC110" s="202"/>
      <c r="BD110" s="202"/>
      <c r="BE110" s="202"/>
      <c r="BF110" s="202"/>
      <c r="BG110" s="202"/>
      <c r="BH110" s="202"/>
      <c r="BI110" s="202"/>
      <c r="BJ110" s="202"/>
      <c r="BK110" s="202"/>
      <c r="BL110" s="202"/>
      <c r="BM110" s="202"/>
      <c r="BN110" s="202"/>
      <c r="BO110" s="202"/>
      <c r="BP110" s="202"/>
      <c r="BQ110" s="202"/>
      <c r="BR110" s="202"/>
      <c r="BS110" s="202"/>
      <c r="BT110" s="202"/>
    </row>
    <row r="111" spans="1:72" s="719" customFormat="1" ht="15.75" customHeight="1">
      <c r="A111" s="215"/>
      <c r="B111" s="216"/>
      <c r="C111" s="234"/>
      <c r="D111" s="217"/>
      <c r="E111" s="217" t="s">
        <v>339</v>
      </c>
      <c r="F111" s="227" t="s">
        <v>330</v>
      </c>
      <c r="G111" s="228">
        <f>2729+250-230</f>
        <v>2749</v>
      </c>
      <c r="H111" s="202"/>
      <c r="I111" s="202"/>
      <c r="J111" s="202"/>
      <c r="K111" s="202"/>
      <c r="L111" s="202"/>
      <c r="M111" s="202"/>
      <c r="N111" s="202"/>
      <c r="O111" s="202"/>
      <c r="P111" s="202"/>
      <c r="Q111" s="202"/>
      <c r="R111" s="202"/>
      <c r="S111" s="202"/>
      <c r="T111" s="202"/>
      <c r="U111" s="202"/>
      <c r="V111" s="202"/>
      <c r="W111" s="202"/>
      <c r="X111" s="202"/>
      <c r="Y111" s="202"/>
      <c r="Z111" s="202"/>
      <c r="AA111" s="202"/>
      <c r="AB111" s="202"/>
      <c r="AC111" s="202"/>
      <c r="AD111" s="202"/>
      <c r="AE111" s="202"/>
      <c r="AF111" s="202"/>
      <c r="AG111" s="202"/>
      <c r="AH111" s="202"/>
      <c r="AI111" s="202"/>
      <c r="AJ111" s="202"/>
      <c r="AK111" s="202"/>
      <c r="AL111" s="202"/>
      <c r="AM111" s="202"/>
      <c r="AN111" s="202"/>
      <c r="AO111" s="202"/>
      <c r="AP111" s="202"/>
      <c r="AQ111" s="202"/>
      <c r="AR111" s="202"/>
      <c r="AS111" s="202"/>
      <c r="AT111" s="202"/>
      <c r="AU111" s="202"/>
      <c r="AV111" s="202"/>
      <c r="AW111" s="202"/>
      <c r="AX111" s="202"/>
      <c r="AY111" s="202"/>
      <c r="AZ111" s="202"/>
      <c r="BA111" s="202"/>
      <c r="BB111" s="202"/>
      <c r="BC111" s="202"/>
      <c r="BD111" s="202"/>
      <c r="BE111" s="202"/>
      <c r="BF111" s="202"/>
      <c r="BG111" s="202"/>
      <c r="BH111" s="202"/>
      <c r="BI111" s="202"/>
      <c r="BJ111" s="202"/>
      <c r="BK111" s="202"/>
      <c r="BL111" s="202"/>
      <c r="BM111" s="202"/>
      <c r="BN111" s="202"/>
      <c r="BO111" s="202"/>
      <c r="BP111" s="202"/>
      <c r="BQ111" s="202"/>
      <c r="BR111" s="202"/>
      <c r="BS111" s="202"/>
      <c r="BT111" s="202"/>
    </row>
    <row r="112" spans="1:72" s="719" customFormat="1" ht="15.75" customHeight="1">
      <c r="A112" s="215"/>
      <c r="B112" s="216"/>
      <c r="C112" s="234"/>
      <c r="D112" s="217"/>
      <c r="E112" s="217" t="s">
        <v>351</v>
      </c>
      <c r="F112" s="227" t="s">
        <v>330</v>
      </c>
      <c r="G112" s="228">
        <f>17490</f>
        <v>17490</v>
      </c>
      <c r="H112" s="202"/>
      <c r="I112" s="202"/>
      <c r="J112" s="202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2"/>
      <c r="V112" s="202"/>
      <c r="W112" s="202"/>
      <c r="X112" s="202"/>
      <c r="Y112" s="202"/>
      <c r="Z112" s="202"/>
      <c r="AA112" s="202"/>
      <c r="AB112" s="202"/>
      <c r="AC112" s="202"/>
      <c r="AD112" s="202"/>
      <c r="AE112" s="202"/>
      <c r="AF112" s="202"/>
      <c r="AG112" s="202"/>
      <c r="AH112" s="202"/>
      <c r="AI112" s="202"/>
      <c r="AJ112" s="202"/>
      <c r="AK112" s="202"/>
      <c r="AL112" s="202"/>
      <c r="AM112" s="202"/>
      <c r="AN112" s="202"/>
      <c r="AO112" s="202"/>
      <c r="AP112" s="202"/>
      <c r="AQ112" s="202"/>
      <c r="AR112" s="202"/>
      <c r="AS112" s="202"/>
      <c r="AT112" s="202"/>
      <c r="AU112" s="202"/>
      <c r="AV112" s="202"/>
      <c r="AW112" s="202"/>
      <c r="AX112" s="202"/>
      <c r="AY112" s="202"/>
      <c r="AZ112" s="202"/>
      <c r="BA112" s="202"/>
      <c r="BB112" s="202"/>
      <c r="BC112" s="202"/>
      <c r="BD112" s="202"/>
      <c r="BE112" s="202"/>
      <c r="BF112" s="202"/>
      <c r="BG112" s="202"/>
      <c r="BH112" s="202"/>
      <c r="BI112" s="202"/>
      <c r="BJ112" s="202"/>
      <c r="BK112" s="202"/>
      <c r="BL112" s="202"/>
      <c r="BM112" s="202"/>
      <c r="BN112" s="202"/>
      <c r="BO112" s="202"/>
      <c r="BP112" s="202"/>
      <c r="BQ112" s="202"/>
      <c r="BR112" s="202"/>
      <c r="BS112" s="202"/>
      <c r="BT112" s="202"/>
    </row>
    <row r="113" spans="1:72" s="719" customFormat="1" ht="6" customHeight="1">
      <c r="A113" s="215"/>
      <c r="B113" s="215"/>
      <c r="C113" s="234"/>
      <c r="D113" s="217"/>
      <c r="E113" s="218"/>
      <c r="F113" s="220"/>
      <c r="G113" s="232"/>
      <c r="H113" s="202"/>
      <c r="I113" s="202"/>
      <c r="J113" s="202"/>
      <c r="K113" s="202"/>
      <c r="L113" s="202"/>
      <c r="M113" s="202"/>
      <c r="N113" s="202"/>
      <c r="O113" s="202"/>
      <c r="P113" s="202"/>
      <c r="Q113" s="202"/>
      <c r="R113" s="202"/>
      <c r="S113" s="202"/>
      <c r="T113" s="202"/>
      <c r="U113" s="202"/>
      <c r="V113" s="202"/>
      <c r="W113" s="202"/>
      <c r="X113" s="202"/>
      <c r="Y113" s="202"/>
      <c r="Z113" s="202"/>
      <c r="AA113" s="202"/>
      <c r="AB113" s="202"/>
      <c r="AC113" s="202"/>
      <c r="AD113" s="202"/>
      <c r="AE113" s="202"/>
      <c r="AF113" s="202"/>
      <c r="AG113" s="202"/>
      <c r="AH113" s="202"/>
      <c r="AI113" s="202"/>
      <c r="AJ113" s="202"/>
      <c r="AK113" s="202"/>
      <c r="AL113" s="202"/>
      <c r="AM113" s="202"/>
      <c r="AN113" s="202"/>
      <c r="AO113" s="202"/>
      <c r="AP113" s="202"/>
      <c r="AQ113" s="202"/>
      <c r="AR113" s="202"/>
      <c r="AS113" s="202"/>
      <c r="AT113" s="202"/>
      <c r="AU113" s="202"/>
      <c r="AV113" s="202"/>
      <c r="AW113" s="202"/>
      <c r="AX113" s="202"/>
      <c r="AY113" s="202"/>
      <c r="AZ113" s="202"/>
      <c r="BA113" s="202"/>
      <c r="BB113" s="202"/>
      <c r="BC113" s="202"/>
      <c r="BD113" s="202"/>
      <c r="BE113" s="202"/>
      <c r="BF113" s="202"/>
      <c r="BG113" s="202"/>
      <c r="BH113" s="202"/>
      <c r="BI113" s="202"/>
      <c r="BJ113" s="202"/>
      <c r="BK113" s="202"/>
      <c r="BL113" s="202"/>
      <c r="BM113" s="202"/>
      <c r="BN113" s="202"/>
      <c r="BO113" s="202"/>
      <c r="BP113" s="202"/>
      <c r="BQ113" s="202"/>
      <c r="BR113" s="202"/>
      <c r="BS113" s="202"/>
      <c r="BT113" s="202"/>
    </row>
    <row r="114" spans="1:72" s="719" customFormat="1" ht="24" customHeight="1">
      <c r="A114" s="724"/>
      <c r="B114" s="723" t="s">
        <v>16</v>
      </c>
      <c r="C114" s="217" t="s">
        <v>348</v>
      </c>
      <c r="D114" s="217" t="s">
        <v>358</v>
      </c>
      <c r="E114" s="218" t="s">
        <v>330</v>
      </c>
      <c r="F114" s="220" t="s">
        <v>330</v>
      </c>
      <c r="G114" s="219">
        <f>SUM(G116)</f>
        <v>41574</v>
      </c>
      <c r="H114" s="202"/>
      <c r="I114" s="202"/>
      <c r="J114" s="202"/>
      <c r="K114" s="202"/>
      <c r="L114" s="202"/>
      <c r="M114" s="202"/>
      <c r="N114" s="202"/>
      <c r="O114" s="202"/>
      <c r="P114" s="202"/>
      <c r="Q114" s="202"/>
      <c r="R114" s="202"/>
      <c r="S114" s="202"/>
      <c r="T114" s="202"/>
      <c r="U114" s="202"/>
      <c r="V114" s="202"/>
      <c r="W114" s="202"/>
      <c r="X114" s="202"/>
      <c r="Y114" s="202"/>
      <c r="Z114" s="202"/>
      <c r="AA114" s="202"/>
      <c r="AB114" s="202"/>
      <c r="AC114" s="202"/>
      <c r="AD114" s="202"/>
      <c r="AE114" s="202"/>
      <c r="AF114" s="202"/>
      <c r="AG114" s="202"/>
      <c r="AH114" s="202"/>
      <c r="AI114" s="202"/>
      <c r="AJ114" s="202"/>
      <c r="AK114" s="202"/>
      <c r="AL114" s="202"/>
      <c r="AM114" s="202"/>
      <c r="AN114" s="202"/>
      <c r="AO114" s="202"/>
      <c r="AP114" s="202"/>
      <c r="AQ114" s="202"/>
      <c r="AR114" s="202"/>
      <c r="AS114" s="202"/>
      <c r="AT114" s="202"/>
      <c r="AU114" s="202"/>
      <c r="AV114" s="202"/>
      <c r="AW114" s="202"/>
      <c r="AX114" s="202"/>
      <c r="AY114" s="202"/>
      <c r="AZ114" s="202"/>
      <c r="BA114" s="202"/>
      <c r="BB114" s="202"/>
      <c r="BC114" s="202"/>
      <c r="BD114" s="202"/>
      <c r="BE114" s="202"/>
      <c r="BF114" s="202"/>
      <c r="BG114" s="202"/>
      <c r="BH114" s="202"/>
      <c r="BI114" s="202"/>
      <c r="BJ114" s="202"/>
      <c r="BK114" s="202"/>
      <c r="BL114" s="202"/>
      <c r="BM114" s="202"/>
      <c r="BN114" s="202"/>
      <c r="BO114" s="202"/>
      <c r="BP114" s="202"/>
      <c r="BQ114" s="202"/>
      <c r="BR114" s="202"/>
      <c r="BS114" s="202"/>
      <c r="BT114" s="202"/>
    </row>
    <row r="115" spans="1:72" s="719" customFormat="1" ht="6" customHeight="1">
      <c r="A115" s="215"/>
      <c r="B115" s="216"/>
      <c r="C115" s="234"/>
      <c r="D115" s="217"/>
      <c r="E115" s="217"/>
      <c r="F115" s="227"/>
      <c r="G115" s="228"/>
      <c r="H115" s="202"/>
      <c r="I115" s="202"/>
      <c r="J115" s="202"/>
      <c r="K115" s="202"/>
      <c r="L115" s="202"/>
      <c r="M115" s="202"/>
      <c r="N115" s="202"/>
      <c r="O115" s="202"/>
      <c r="P115" s="202"/>
      <c r="Q115" s="202"/>
      <c r="R115" s="202"/>
      <c r="S115" s="202"/>
      <c r="T115" s="202"/>
      <c r="U115" s="202"/>
      <c r="V115" s="202"/>
      <c r="W115" s="202"/>
      <c r="X115" s="202"/>
      <c r="Y115" s="202"/>
      <c r="Z115" s="202"/>
      <c r="AA115" s="202"/>
      <c r="AB115" s="202"/>
      <c r="AC115" s="202"/>
      <c r="AD115" s="202"/>
      <c r="AE115" s="202"/>
      <c r="AF115" s="202"/>
      <c r="AG115" s="202"/>
      <c r="AH115" s="202"/>
      <c r="AI115" s="202"/>
      <c r="AJ115" s="202"/>
      <c r="AK115" s="202"/>
      <c r="AL115" s="202"/>
      <c r="AM115" s="202"/>
      <c r="AN115" s="202"/>
      <c r="AO115" s="202"/>
      <c r="AP115" s="202"/>
      <c r="AQ115" s="202"/>
      <c r="AR115" s="202"/>
      <c r="AS115" s="202"/>
      <c r="AT115" s="202"/>
      <c r="AU115" s="202"/>
      <c r="AV115" s="202"/>
      <c r="AW115" s="202"/>
      <c r="AX115" s="202"/>
      <c r="AY115" s="202"/>
      <c r="AZ115" s="202"/>
      <c r="BA115" s="202"/>
      <c r="BB115" s="202"/>
      <c r="BC115" s="202"/>
      <c r="BD115" s="202"/>
      <c r="BE115" s="202"/>
      <c r="BF115" s="202"/>
      <c r="BG115" s="202"/>
      <c r="BH115" s="202"/>
      <c r="BI115" s="202"/>
      <c r="BJ115" s="202"/>
      <c r="BK115" s="202"/>
      <c r="BL115" s="202"/>
      <c r="BM115" s="202"/>
      <c r="BN115" s="202"/>
      <c r="BO115" s="202"/>
      <c r="BP115" s="202"/>
      <c r="BQ115" s="202"/>
      <c r="BR115" s="202"/>
      <c r="BS115" s="202"/>
      <c r="BT115" s="202"/>
    </row>
    <row r="116" spans="1:72" s="719" customFormat="1" ht="15.75" customHeight="1">
      <c r="A116" s="215"/>
      <c r="B116" s="216"/>
      <c r="C116" s="234"/>
      <c r="D116" s="217"/>
      <c r="E116" s="217"/>
      <c r="F116" s="227"/>
      <c r="G116" s="720">
        <f>SUM(G117)</f>
        <v>41574</v>
      </c>
      <c r="H116" s="202"/>
      <c r="I116" s="202"/>
      <c r="J116" s="202"/>
      <c r="K116" s="202"/>
      <c r="L116" s="202"/>
      <c r="M116" s="202"/>
      <c r="N116" s="202"/>
      <c r="O116" s="202"/>
      <c r="P116" s="202"/>
      <c r="Q116" s="202"/>
      <c r="R116" s="202"/>
      <c r="S116" s="202"/>
      <c r="T116" s="202"/>
      <c r="U116" s="202"/>
      <c r="V116" s="202"/>
      <c r="W116" s="202"/>
      <c r="X116" s="202"/>
      <c r="Y116" s="202"/>
      <c r="Z116" s="202"/>
      <c r="AA116" s="202"/>
      <c r="AB116" s="202"/>
      <c r="AC116" s="202"/>
      <c r="AD116" s="202"/>
      <c r="AE116" s="202"/>
      <c r="AF116" s="202"/>
      <c r="AG116" s="202"/>
      <c r="AH116" s="202"/>
      <c r="AI116" s="202"/>
      <c r="AJ116" s="202"/>
      <c r="AK116" s="202"/>
      <c r="AL116" s="202"/>
      <c r="AM116" s="202"/>
      <c r="AN116" s="202"/>
      <c r="AO116" s="202"/>
      <c r="AP116" s="202"/>
      <c r="AQ116" s="202"/>
      <c r="AR116" s="202"/>
      <c r="AS116" s="202"/>
      <c r="AT116" s="202"/>
      <c r="AU116" s="202"/>
      <c r="AV116" s="202"/>
      <c r="AW116" s="202"/>
      <c r="AX116" s="202"/>
      <c r="AY116" s="202"/>
      <c r="AZ116" s="202"/>
      <c r="BA116" s="202"/>
      <c r="BB116" s="202"/>
      <c r="BC116" s="202"/>
      <c r="BD116" s="202"/>
      <c r="BE116" s="202"/>
      <c r="BF116" s="202"/>
      <c r="BG116" s="202"/>
      <c r="BH116" s="202"/>
      <c r="BI116" s="202"/>
      <c r="BJ116" s="202"/>
      <c r="BK116" s="202"/>
      <c r="BL116" s="202"/>
      <c r="BM116" s="202"/>
      <c r="BN116" s="202"/>
      <c r="BO116" s="202"/>
      <c r="BP116" s="202"/>
      <c r="BQ116" s="202"/>
      <c r="BR116" s="202"/>
      <c r="BS116" s="202"/>
      <c r="BT116" s="202"/>
    </row>
    <row r="117" spans="1:72" s="719" customFormat="1" ht="15.75" customHeight="1">
      <c r="A117" s="215"/>
      <c r="B117" s="216"/>
      <c r="C117" s="234"/>
      <c r="D117" s="217"/>
      <c r="E117" s="217" t="s">
        <v>352</v>
      </c>
      <c r="F117" s="227" t="s">
        <v>330</v>
      </c>
      <c r="G117" s="228">
        <f>5441+5905+4502+4738+4587+4738+5731+5932</f>
        <v>41574</v>
      </c>
      <c r="H117" s="202"/>
      <c r="I117" s="202"/>
      <c r="J117" s="202"/>
      <c r="K117" s="202"/>
      <c r="L117" s="202"/>
      <c r="M117" s="202"/>
      <c r="N117" s="202"/>
      <c r="O117" s="202"/>
      <c r="P117" s="202"/>
      <c r="Q117" s="202"/>
      <c r="R117" s="202"/>
      <c r="S117" s="202"/>
      <c r="T117" s="202"/>
      <c r="U117" s="202"/>
      <c r="V117" s="202"/>
      <c r="W117" s="202"/>
      <c r="X117" s="202"/>
      <c r="Y117" s="202"/>
      <c r="Z117" s="202"/>
      <c r="AA117" s="202"/>
      <c r="AB117" s="202"/>
      <c r="AC117" s="202"/>
      <c r="AD117" s="202"/>
      <c r="AE117" s="202"/>
      <c r="AF117" s="202"/>
      <c r="AG117" s="202"/>
      <c r="AH117" s="202"/>
      <c r="AI117" s="202"/>
      <c r="AJ117" s="202"/>
      <c r="AK117" s="202"/>
      <c r="AL117" s="202"/>
      <c r="AM117" s="202"/>
      <c r="AN117" s="202"/>
      <c r="AO117" s="202"/>
      <c r="AP117" s="202"/>
      <c r="AQ117" s="202"/>
      <c r="AR117" s="202"/>
      <c r="AS117" s="202"/>
      <c r="AT117" s="202"/>
      <c r="AU117" s="202"/>
      <c r="AV117" s="202"/>
      <c r="AW117" s="202"/>
      <c r="AX117" s="202"/>
      <c r="AY117" s="202"/>
      <c r="AZ117" s="202"/>
      <c r="BA117" s="202"/>
      <c r="BB117" s="202"/>
      <c r="BC117" s="202"/>
      <c r="BD117" s="202"/>
      <c r="BE117" s="202"/>
      <c r="BF117" s="202"/>
      <c r="BG117" s="202"/>
      <c r="BH117" s="202"/>
      <c r="BI117" s="202"/>
      <c r="BJ117" s="202"/>
      <c r="BK117" s="202"/>
      <c r="BL117" s="202"/>
      <c r="BM117" s="202"/>
      <c r="BN117" s="202"/>
      <c r="BO117" s="202"/>
      <c r="BP117" s="202"/>
      <c r="BQ117" s="202"/>
      <c r="BR117" s="202"/>
      <c r="BS117" s="202"/>
      <c r="BT117" s="202"/>
    </row>
    <row r="118" spans="1:72" s="719" customFormat="1" ht="7.5" customHeight="1">
      <c r="A118" s="215"/>
      <c r="B118" s="216"/>
      <c r="C118" s="234"/>
      <c r="D118" s="217"/>
      <c r="E118" s="218"/>
      <c r="F118" s="220"/>
      <c r="G118" s="232"/>
      <c r="H118" s="202"/>
      <c r="I118" s="202"/>
      <c r="J118" s="202"/>
      <c r="K118" s="202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2"/>
      <c r="AJ118" s="202"/>
      <c r="AK118" s="202"/>
      <c r="AL118" s="202"/>
      <c r="AM118" s="202"/>
      <c r="AN118" s="202"/>
      <c r="AO118" s="202"/>
      <c r="AP118" s="202"/>
      <c r="AQ118" s="202"/>
      <c r="AR118" s="202"/>
      <c r="AS118" s="202"/>
      <c r="AT118" s="202"/>
      <c r="AU118" s="202"/>
      <c r="AV118" s="202"/>
      <c r="AW118" s="202"/>
      <c r="AX118" s="202"/>
      <c r="AY118" s="202"/>
      <c r="AZ118" s="202"/>
      <c r="BA118" s="202"/>
      <c r="BB118" s="202"/>
      <c r="BC118" s="202"/>
      <c r="BD118" s="202"/>
      <c r="BE118" s="202"/>
      <c r="BF118" s="202"/>
      <c r="BG118" s="202"/>
      <c r="BH118" s="202"/>
      <c r="BI118" s="202"/>
      <c r="BJ118" s="202"/>
      <c r="BK118" s="202"/>
      <c r="BL118" s="202"/>
      <c r="BM118" s="202"/>
      <c r="BN118" s="202"/>
      <c r="BO118" s="202"/>
      <c r="BP118" s="202"/>
      <c r="BQ118" s="202"/>
      <c r="BR118" s="202"/>
      <c r="BS118" s="202"/>
      <c r="BT118" s="202"/>
    </row>
    <row r="119" spans="1:72" s="719" customFormat="1" ht="15.75" customHeight="1">
      <c r="A119" s="215"/>
      <c r="B119" s="721" t="s">
        <v>21</v>
      </c>
      <c r="C119" s="217" t="s">
        <v>348</v>
      </c>
      <c r="D119" s="217" t="s">
        <v>359</v>
      </c>
      <c r="E119" s="218" t="s">
        <v>330</v>
      </c>
      <c r="F119" s="220" t="s">
        <v>330</v>
      </c>
      <c r="G119" s="219">
        <f>SUM(G121)</f>
        <v>10650.130000000001</v>
      </c>
      <c r="H119" s="202"/>
      <c r="I119" s="202"/>
      <c r="J119" s="202"/>
      <c r="K119" s="202"/>
      <c r="L119" s="202"/>
      <c r="M119" s="202"/>
      <c r="N119" s="202"/>
      <c r="O119" s="202"/>
      <c r="P119" s="202"/>
      <c r="Q119" s="202"/>
      <c r="R119" s="202"/>
      <c r="S119" s="202"/>
      <c r="T119" s="202"/>
      <c r="U119" s="202"/>
      <c r="V119" s="202"/>
      <c r="W119" s="202"/>
      <c r="X119" s="202"/>
      <c r="Y119" s="202"/>
      <c r="Z119" s="202"/>
      <c r="AA119" s="202"/>
      <c r="AB119" s="202"/>
      <c r="AC119" s="202"/>
      <c r="AD119" s="202"/>
      <c r="AE119" s="202"/>
      <c r="AF119" s="202"/>
      <c r="AG119" s="202"/>
      <c r="AH119" s="202"/>
      <c r="AI119" s="202"/>
      <c r="AJ119" s="202"/>
      <c r="AK119" s="202"/>
      <c r="AL119" s="202"/>
      <c r="AM119" s="202"/>
      <c r="AN119" s="202"/>
      <c r="AO119" s="202"/>
      <c r="AP119" s="202"/>
      <c r="AQ119" s="202"/>
      <c r="AR119" s="202"/>
      <c r="AS119" s="202"/>
      <c r="AT119" s="202"/>
      <c r="AU119" s="202"/>
      <c r="AV119" s="202"/>
      <c r="AW119" s="202"/>
      <c r="AX119" s="202"/>
      <c r="AY119" s="202"/>
      <c r="AZ119" s="202"/>
      <c r="BA119" s="202"/>
      <c r="BB119" s="202"/>
      <c r="BC119" s="202"/>
      <c r="BD119" s="202"/>
      <c r="BE119" s="202"/>
      <c r="BF119" s="202"/>
      <c r="BG119" s="202"/>
      <c r="BH119" s="202"/>
      <c r="BI119" s="202"/>
      <c r="BJ119" s="202"/>
      <c r="BK119" s="202"/>
      <c r="BL119" s="202"/>
      <c r="BM119" s="202"/>
      <c r="BN119" s="202"/>
      <c r="BO119" s="202"/>
      <c r="BP119" s="202"/>
      <c r="BQ119" s="202"/>
      <c r="BR119" s="202"/>
      <c r="BS119" s="202"/>
      <c r="BT119" s="202"/>
    </row>
    <row r="120" spans="1:72" s="719" customFormat="1" ht="4.5" customHeight="1">
      <c r="A120" s="215"/>
      <c r="B120" s="216"/>
      <c r="C120" s="234"/>
      <c r="D120" s="217"/>
      <c r="E120" s="217"/>
      <c r="F120" s="227"/>
      <c r="G120" s="228"/>
      <c r="H120" s="202"/>
      <c r="I120" s="202"/>
      <c r="J120" s="202"/>
      <c r="K120" s="202"/>
      <c r="L120" s="202"/>
      <c r="M120" s="202"/>
      <c r="N120" s="202"/>
      <c r="O120" s="202"/>
      <c r="P120" s="202"/>
      <c r="Q120" s="202"/>
      <c r="R120" s="202"/>
      <c r="S120" s="202"/>
      <c r="T120" s="202"/>
      <c r="U120" s="202"/>
      <c r="V120" s="202"/>
      <c r="W120" s="202"/>
      <c r="X120" s="202"/>
      <c r="Y120" s="202"/>
      <c r="Z120" s="202"/>
      <c r="AA120" s="202"/>
      <c r="AB120" s="202"/>
      <c r="AC120" s="202"/>
      <c r="AD120" s="202"/>
      <c r="AE120" s="202"/>
      <c r="AF120" s="202"/>
      <c r="AG120" s="202"/>
      <c r="AH120" s="202"/>
      <c r="AI120" s="202"/>
      <c r="AJ120" s="202"/>
      <c r="AK120" s="202"/>
      <c r="AL120" s="202"/>
      <c r="AM120" s="202"/>
      <c r="AN120" s="202"/>
      <c r="AO120" s="202"/>
      <c r="AP120" s="202"/>
      <c r="AQ120" s="202"/>
      <c r="AR120" s="202"/>
      <c r="AS120" s="202"/>
      <c r="AT120" s="202"/>
      <c r="AU120" s="202"/>
      <c r="AV120" s="202"/>
      <c r="AW120" s="202"/>
      <c r="AX120" s="202"/>
      <c r="AY120" s="202"/>
      <c r="AZ120" s="202"/>
      <c r="BA120" s="202"/>
      <c r="BB120" s="202"/>
      <c r="BC120" s="202"/>
      <c r="BD120" s="202"/>
      <c r="BE120" s="202"/>
      <c r="BF120" s="202"/>
      <c r="BG120" s="202"/>
      <c r="BH120" s="202"/>
      <c r="BI120" s="202"/>
      <c r="BJ120" s="202"/>
      <c r="BK120" s="202"/>
      <c r="BL120" s="202"/>
      <c r="BM120" s="202"/>
      <c r="BN120" s="202"/>
      <c r="BO120" s="202"/>
      <c r="BP120" s="202"/>
      <c r="BQ120" s="202"/>
      <c r="BR120" s="202"/>
      <c r="BS120" s="202"/>
      <c r="BT120" s="202"/>
    </row>
    <row r="121" spans="1:72" s="719" customFormat="1" ht="15.75" customHeight="1">
      <c r="A121" s="215"/>
      <c r="B121" s="216"/>
      <c r="C121" s="234"/>
      <c r="D121" s="217"/>
      <c r="E121" s="217"/>
      <c r="F121" s="227"/>
      <c r="G121" s="720">
        <f>SUM(G122:G124)</f>
        <v>10650.130000000001</v>
      </c>
      <c r="H121" s="202"/>
      <c r="I121" s="202"/>
      <c r="J121" s="202"/>
      <c r="K121" s="202"/>
      <c r="L121" s="202"/>
      <c r="M121" s="202"/>
      <c r="N121" s="202"/>
      <c r="O121" s="202"/>
      <c r="P121" s="202"/>
      <c r="Q121" s="202"/>
      <c r="R121" s="202"/>
      <c r="S121" s="202"/>
      <c r="T121" s="202"/>
      <c r="U121" s="202"/>
      <c r="V121" s="202"/>
      <c r="W121" s="202"/>
      <c r="X121" s="202"/>
      <c r="Y121" s="202"/>
      <c r="Z121" s="202"/>
      <c r="AA121" s="202"/>
      <c r="AB121" s="202"/>
      <c r="AC121" s="202"/>
      <c r="AD121" s="202"/>
      <c r="AE121" s="202"/>
      <c r="AF121" s="202"/>
      <c r="AG121" s="202"/>
      <c r="AH121" s="202"/>
      <c r="AI121" s="202"/>
      <c r="AJ121" s="202"/>
      <c r="AK121" s="202"/>
      <c r="AL121" s="202"/>
      <c r="AM121" s="202"/>
      <c r="AN121" s="202"/>
      <c r="AO121" s="202"/>
      <c r="AP121" s="202"/>
      <c r="AQ121" s="202"/>
      <c r="AR121" s="202"/>
      <c r="AS121" s="202"/>
      <c r="AT121" s="202"/>
      <c r="AU121" s="202"/>
      <c r="AV121" s="202"/>
      <c r="AW121" s="202"/>
      <c r="AX121" s="202"/>
      <c r="AY121" s="202"/>
      <c r="AZ121" s="202"/>
      <c r="BA121" s="202"/>
      <c r="BB121" s="202"/>
      <c r="BC121" s="202"/>
      <c r="BD121" s="202"/>
      <c r="BE121" s="202"/>
      <c r="BF121" s="202"/>
      <c r="BG121" s="202"/>
      <c r="BH121" s="202"/>
      <c r="BI121" s="202"/>
      <c r="BJ121" s="202"/>
      <c r="BK121" s="202"/>
      <c r="BL121" s="202"/>
      <c r="BM121" s="202"/>
      <c r="BN121" s="202"/>
      <c r="BO121" s="202"/>
      <c r="BP121" s="202"/>
      <c r="BQ121" s="202"/>
      <c r="BR121" s="202"/>
      <c r="BS121" s="202"/>
      <c r="BT121" s="202"/>
    </row>
    <row r="122" spans="1:72" s="719" customFormat="1" ht="15.75" customHeight="1">
      <c r="A122" s="215"/>
      <c r="B122" s="216"/>
      <c r="C122" s="234"/>
      <c r="D122" s="217"/>
      <c r="E122" s="217" t="s">
        <v>270</v>
      </c>
      <c r="F122" s="227" t="s">
        <v>330</v>
      </c>
      <c r="G122" s="228">
        <f>891+949+2144.13+860+952+923+922+954+955</f>
        <v>9550.130000000001</v>
      </c>
      <c r="H122" s="202"/>
      <c r="I122" s="202"/>
      <c r="J122" s="202"/>
      <c r="K122" s="202"/>
      <c r="L122" s="202"/>
      <c r="M122" s="202"/>
      <c r="N122" s="202"/>
      <c r="O122" s="202"/>
      <c r="P122" s="202"/>
      <c r="Q122" s="202"/>
      <c r="R122" s="202"/>
      <c r="S122" s="202"/>
      <c r="T122" s="202"/>
      <c r="U122" s="202"/>
      <c r="V122" s="202"/>
      <c r="W122" s="202"/>
      <c r="X122" s="202"/>
      <c r="Y122" s="202"/>
      <c r="Z122" s="202"/>
      <c r="AA122" s="202"/>
      <c r="AB122" s="202"/>
      <c r="AC122" s="202"/>
      <c r="AD122" s="202"/>
      <c r="AE122" s="202"/>
      <c r="AF122" s="202"/>
      <c r="AG122" s="202"/>
      <c r="AH122" s="202"/>
      <c r="AI122" s="202"/>
      <c r="AJ122" s="202"/>
      <c r="AK122" s="202"/>
      <c r="AL122" s="202"/>
      <c r="AM122" s="202"/>
      <c r="AN122" s="202"/>
      <c r="AO122" s="202"/>
      <c r="AP122" s="202"/>
      <c r="AQ122" s="202"/>
      <c r="AR122" s="202"/>
      <c r="AS122" s="202"/>
      <c r="AT122" s="202"/>
      <c r="AU122" s="202"/>
      <c r="AV122" s="202"/>
      <c r="AW122" s="202"/>
      <c r="AX122" s="202"/>
      <c r="AY122" s="202"/>
      <c r="AZ122" s="202"/>
      <c r="BA122" s="202"/>
      <c r="BB122" s="202"/>
      <c r="BC122" s="202"/>
      <c r="BD122" s="202"/>
      <c r="BE122" s="202"/>
      <c r="BF122" s="202"/>
      <c r="BG122" s="202"/>
      <c r="BH122" s="202"/>
      <c r="BI122" s="202"/>
      <c r="BJ122" s="202"/>
      <c r="BK122" s="202"/>
      <c r="BL122" s="202"/>
      <c r="BM122" s="202"/>
      <c r="BN122" s="202"/>
      <c r="BO122" s="202"/>
      <c r="BP122" s="202"/>
      <c r="BQ122" s="202"/>
      <c r="BR122" s="202"/>
      <c r="BS122" s="202"/>
      <c r="BT122" s="202"/>
    </row>
    <row r="123" spans="1:72" s="719" customFormat="1" ht="15.75" customHeight="1">
      <c r="A123" s="215"/>
      <c r="B123" s="216"/>
      <c r="C123" s="234"/>
      <c r="D123" s="217"/>
      <c r="E123" s="217" t="s">
        <v>344</v>
      </c>
      <c r="F123" s="227" t="s">
        <v>330</v>
      </c>
      <c r="G123" s="228">
        <f>100</f>
        <v>100</v>
      </c>
      <c r="H123" s="202"/>
      <c r="I123" s="202"/>
      <c r="J123" s="202"/>
      <c r="K123" s="202"/>
      <c r="L123" s="202"/>
      <c r="M123" s="202"/>
      <c r="N123" s="202"/>
      <c r="O123" s="202"/>
      <c r="P123" s="202"/>
      <c r="Q123" s="202"/>
      <c r="R123" s="202"/>
      <c r="S123" s="202"/>
      <c r="T123" s="202"/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  <c r="AF123" s="202"/>
      <c r="AG123" s="202"/>
      <c r="AH123" s="202"/>
      <c r="AI123" s="202"/>
      <c r="AJ123" s="202"/>
      <c r="AK123" s="202"/>
      <c r="AL123" s="202"/>
      <c r="AM123" s="202"/>
      <c r="AN123" s="202"/>
      <c r="AO123" s="202"/>
      <c r="AP123" s="202"/>
      <c r="AQ123" s="202"/>
      <c r="AR123" s="202"/>
      <c r="AS123" s="202"/>
      <c r="AT123" s="202"/>
      <c r="AU123" s="202"/>
      <c r="AV123" s="202"/>
      <c r="AW123" s="202"/>
      <c r="AX123" s="202"/>
      <c r="AY123" s="202"/>
      <c r="AZ123" s="202"/>
      <c r="BA123" s="202"/>
      <c r="BB123" s="202"/>
      <c r="BC123" s="202"/>
      <c r="BD123" s="202"/>
      <c r="BE123" s="202"/>
      <c r="BF123" s="202"/>
      <c r="BG123" s="202"/>
      <c r="BH123" s="202"/>
      <c r="BI123" s="202"/>
      <c r="BJ123" s="202"/>
      <c r="BK123" s="202"/>
      <c r="BL123" s="202"/>
      <c r="BM123" s="202"/>
      <c r="BN123" s="202"/>
      <c r="BO123" s="202"/>
      <c r="BP123" s="202"/>
      <c r="BQ123" s="202"/>
      <c r="BR123" s="202"/>
      <c r="BS123" s="202"/>
      <c r="BT123" s="202"/>
    </row>
    <row r="124" spans="1:72" s="719" customFormat="1" ht="15.75" customHeight="1">
      <c r="A124" s="215"/>
      <c r="B124" s="216"/>
      <c r="C124" s="234"/>
      <c r="D124" s="217"/>
      <c r="E124" s="217" t="s">
        <v>351</v>
      </c>
      <c r="F124" s="227" t="s">
        <v>330</v>
      </c>
      <c r="G124" s="228">
        <f>1000</f>
        <v>1000</v>
      </c>
      <c r="H124" s="202"/>
      <c r="I124" s="202"/>
      <c r="J124" s="202"/>
      <c r="K124" s="202"/>
      <c r="L124" s="202"/>
      <c r="M124" s="202"/>
      <c r="N124" s="202"/>
      <c r="O124" s="202"/>
      <c r="P124" s="202"/>
      <c r="Q124" s="202"/>
      <c r="R124" s="202"/>
      <c r="S124" s="202"/>
      <c r="T124" s="202"/>
      <c r="U124" s="202"/>
      <c r="V124" s="202"/>
      <c r="W124" s="202"/>
      <c r="X124" s="202"/>
      <c r="Y124" s="202"/>
      <c r="Z124" s="202"/>
      <c r="AA124" s="202"/>
      <c r="AB124" s="202"/>
      <c r="AC124" s="202"/>
      <c r="AD124" s="202"/>
      <c r="AE124" s="202"/>
      <c r="AF124" s="202"/>
      <c r="AG124" s="202"/>
      <c r="AH124" s="202"/>
      <c r="AI124" s="202"/>
      <c r="AJ124" s="202"/>
      <c r="AK124" s="202"/>
      <c r="AL124" s="202"/>
      <c r="AM124" s="202"/>
      <c r="AN124" s="202"/>
      <c r="AO124" s="202"/>
      <c r="AP124" s="202"/>
      <c r="AQ124" s="202"/>
      <c r="AR124" s="202"/>
      <c r="AS124" s="202"/>
      <c r="AT124" s="202"/>
      <c r="AU124" s="202"/>
      <c r="AV124" s="202"/>
      <c r="AW124" s="202"/>
      <c r="AX124" s="202"/>
      <c r="AY124" s="202"/>
      <c r="AZ124" s="202"/>
      <c r="BA124" s="202"/>
      <c r="BB124" s="202"/>
      <c r="BC124" s="202"/>
      <c r="BD124" s="202"/>
      <c r="BE124" s="202"/>
      <c r="BF124" s="202"/>
      <c r="BG124" s="202"/>
      <c r="BH124" s="202"/>
      <c r="BI124" s="202"/>
      <c r="BJ124" s="202"/>
      <c r="BK124" s="202"/>
      <c r="BL124" s="202"/>
      <c r="BM124" s="202"/>
      <c r="BN124" s="202"/>
      <c r="BO124" s="202"/>
      <c r="BP124" s="202"/>
      <c r="BQ124" s="202"/>
      <c r="BR124" s="202"/>
      <c r="BS124" s="202"/>
      <c r="BT124" s="202"/>
    </row>
    <row r="125" spans="1:72" s="719" customFormat="1" ht="6.75" customHeight="1">
      <c r="A125" s="215"/>
      <c r="B125" s="216"/>
      <c r="C125" s="234"/>
      <c r="D125" s="217"/>
      <c r="E125" s="218"/>
      <c r="F125" s="220"/>
      <c r="G125" s="232"/>
      <c r="H125" s="202"/>
      <c r="I125" s="202"/>
      <c r="J125" s="202"/>
      <c r="K125" s="202"/>
      <c r="L125" s="202"/>
      <c r="M125" s="202"/>
      <c r="N125" s="202"/>
      <c r="O125" s="202"/>
      <c r="P125" s="202"/>
      <c r="Q125" s="202"/>
      <c r="R125" s="202"/>
      <c r="S125" s="202"/>
      <c r="T125" s="202"/>
      <c r="U125" s="202"/>
      <c r="V125" s="202"/>
      <c r="W125" s="202"/>
      <c r="X125" s="202"/>
      <c r="Y125" s="202"/>
      <c r="Z125" s="202"/>
      <c r="AA125" s="202"/>
      <c r="AB125" s="202"/>
      <c r="AC125" s="202"/>
      <c r="AD125" s="202"/>
      <c r="AE125" s="202"/>
      <c r="AF125" s="202"/>
      <c r="AG125" s="202"/>
      <c r="AH125" s="202"/>
      <c r="AI125" s="202"/>
      <c r="AJ125" s="202"/>
      <c r="AK125" s="202"/>
      <c r="AL125" s="202"/>
      <c r="AM125" s="202"/>
      <c r="AN125" s="202"/>
      <c r="AO125" s="202"/>
      <c r="AP125" s="202"/>
      <c r="AQ125" s="202"/>
      <c r="AR125" s="202"/>
      <c r="AS125" s="202"/>
      <c r="AT125" s="202"/>
      <c r="AU125" s="202"/>
      <c r="AV125" s="202"/>
      <c r="AW125" s="202"/>
      <c r="AX125" s="202"/>
      <c r="AY125" s="202"/>
      <c r="AZ125" s="202"/>
      <c r="BA125" s="202"/>
      <c r="BB125" s="202"/>
      <c r="BC125" s="202"/>
      <c r="BD125" s="202"/>
      <c r="BE125" s="202"/>
      <c r="BF125" s="202"/>
      <c r="BG125" s="202"/>
      <c r="BH125" s="202"/>
      <c r="BI125" s="202"/>
      <c r="BJ125" s="202"/>
      <c r="BK125" s="202"/>
      <c r="BL125" s="202"/>
      <c r="BM125" s="202"/>
      <c r="BN125" s="202"/>
      <c r="BO125" s="202"/>
      <c r="BP125" s="202"/>
      <c r="BQ125" s="202"/>
      <c r="BR125" s="202"/>
      <c r="BS125" s="202"/>
      <c r="BT125" s="202"/>
    </row>
    <row r="126" spans="1:72" s="719" customFormat="1" ht="15.75" customHeight="1">
      <c r="A126" s="215"/>
      <c r="B126" s="721" t="s">
        <v>21</v>
      </c>
      <c r="C126" s="217" t="s">
        <v>348</v>
      </c>
      <c r="D126" s="217" t="s">
        <v>360</v>
      </c>
      <c r="E126" s="218" t="s">
        <v>330</v>
      </c>
      <c r="F126" s="220" t="s">
        <v>330</v>
      </c>
      <c r="G126" s="219">
        <f>SUM(G128)</f>
        <v>156228.75</v>
      </c>
      <c r="H126" s="202"/>
      <c r="I126" s="202"/>
      <c r="J126" s="202"/>
      <c r="K126" s="202"/>
      <c r="L126" s="202"/>
      <c r="M126" s="202"/>
      <c r="N126" s="202"/>
      <c r="O126" s="202"/>
      <c r="P126" s="202"/>
      <c r="Q126" s="202"/>
      <c r="R126" s="202"/>
      <c r="S126" s="202"/>
      <c r="T126" s="202"/>
      <c r="U126" s="202"/>
      <c r="V126" s="202"/>
      <c r="W126" s="202"/>
      <c r="X126" s="202"/>
      <c r="Y126" s="202"/>
      <c r="Z126" s="202"/>
      <c r="AA126" s="202"/>
      <c r="AB126" s="202"/>
      <c r="AC126" s="202"/>
      <c r="AD126" s="202"/>
      <c r="AE126" s="202"/>
      <c r="AF126" s="202"/>
      <c r="AG126" s="202"/>
      <c r="AH126" s="202"/>
      <c r="AI126" s="202"/>
      <c r="AJ126" s="202"/>
      <c r="AK126" s="202"/>
      <c r="AL126" s="202"/>
      <c r="AM126" s="202"/>
      <c r="AN126" s="202"/>
      <c r="AO126" s="202"/>
      <c r="AP126" s="202"/>
      <c r="AQ126" s="202"/>
      <c r="AR126" s="202"/>
      <c r="AS126" s="202"/>
      <c r="AT126" s="202"/>
      <c r="AU126" s="202"/>
      <c r="AV126" s="202"/>
      <c r="AW126" s="202"/>
      <c r="AX126" s="202"/>
      <c r="AY126" s="202"/>
      <c r="AZ126" s="202"/>
      <c r="BA126" s="202"/>
      <c r="BB126" s="202"/>
      <c r="BC126" s="202"/>
      <c r="BD126" s="202"/>
      <c r="BE126" s="202"/>
      <c r="BF126" s="202"/>
      <c r="BG126" s="202"/>
      <c r="BH126" s="202"/>
      <c r="BI126" s="202"/>
      <c r="BJ126" s="202"/>
      <c r="BK126" s="202"/>
      <c r="BL126" s="202"/>
      <c r="BM126" s="202"/>
      <c r="BN126" s="202"/>
      <c r="BO126" s="202"/>
      <c r="BP126" s="202"/>
      <c r="BQ126" s="202"/>
      <c r="BR126" s="202"/>
      <c r="BS126" s="202"/>
      <c r="BT126" s="202"/>
    </row>
    <row r="127" spans="1:72" s="719" customFormat="1" ht="7.5" customHeight="1">
      <c r="A127" s="215"/>
      <c r="B127" s="216"/>
      <c r="C127" s="234"/>
      <c r="D127" s="217"/>
      <c r="E127" s="217"/>
      <c r="F127" s="227"/>
      <c r="G127" s="228"/>
      <c r="H127" s="202"/>
      <c r="I127" s="202"/>
      <c r="J127" s="202"/>
      <c r="K127" s="202"/>
      <c r="L127" s="202"/>
      <c r="M127" s="202"/>
      <c r="N127" s="202"/>
      <c r="O127" s="202"/>
      <c r="P127" s="202"/>
      <c r="Q127" s="202"/>
      <c r="R127" s="202"/>
      <c r="S127" s="202"/>
      <c r="T127" s="202"/>
      <c r="U127" s="202"/>
      <c r="V127" s="202"/>
      <c r="W127" s="202"/>
      <c r="X127" s="202"/>
      <c r="Y127" s="202"/>
      <c r="Z127" s="202"/>
      <c r="AA127" s="202"/>
      <c r="AB127" s="202"/>
      <c r="AC127" s="202"/>
      <c r="AD127" s="202"/>
      <c r="AE127" s="202"/>
      <c r="AF127" s="202"/>
      <c r="AG127" s="202"/>
      <c r="AH127" s="202"/>
      <c r="AI127" s="202"/>
      <c r="AJ127" s="202"/>
      <c r="AK127" s="202"/>
      <c r="AL127" s="202"/>
      <c r="AM127" s="202"/>
      <c r="AN127" s="202"/>
      <c r="AO127" s="202"/>
      <c r="AP127" s="202"/>
      <c r="AQ127" s="202"/>
      <c r="AR127" s="202"/>
      <c r="AS127" s="202"/>
      <c r="AT127" s="202"/>
      <c r="AU127" s="202"/>
      <c r="AV127" s="202"/>
      <c r="AW127" s="202"/>
      <c r="AX127" s="202"/>
      <c r="AY127" s="202"/>
      <c r="AZ127" s="202"/>
      <c r="BA127" s="202"/>
      <c r="BB127" s="202"/>
      <c r="BC127" s="202"/>
      <c r="BD127" s="202"/>
      <c r="BE127" s="202"/>
      <c r="BF127" s="202"/>
      <c r="BG127" s="202"/>
      <c r="BH127" s="202"/>
      <c r="BI127" s="202"/>
      <c r="BJ127" s="202"/>
      <c r="BK127" s="202"/>
      <c r="BL127" s="202"/>
      <c r="BM127" s="202"/>
      <c r="BN127" s="202"/>
      <c r="BO127" s="202"/>
      <c r="BP127" s="202"/>
      <c r="BQ127" s="202"/>
      <c r="BR127" s="202"/>
      <c r="BS127" s="202"/>
      <c r="BT127" s="202"/>
    </row>
    <row r="128" spans="1:72" s="719" customFormat="1" ht="15.75" customHeight="1">
      <c r="A128" s="215"/>
      <c r="B128" s="216"/>
      <c r="C128" s="234"/>
      <c r="D128" s="217"/>
      <c r="E128" s="217"/>
      <c r="F128" s="227"/>
      <c r="G128" s="720">
        <f>SUM(G129:G133)</f>
        <v>156228.75</v>
      </c>
      <c r="H128" s="202"/>
      <c r="I128" s="202"/>
      <c r="J128" s="202"/>
      <c r="K128" s="202"/>
      <c r="L128" s="202"/>
      <c r="M128" s="202"/>
      <c r="N128" s="202"/>
      <c r="O128" s="202"/>
      <c r="P128" s="202"/>
      <c r="Q128" s="202"/>
      <c r="R128" s="202"/>
      <c r="S128" s="202"/>
      <c r="T128" s="202"/>
      <c r="U128" s="202"/>
      <c r="V128" s="202"/>
      <c r="W128" s="202"/>
      <c r="X128" s="202"/>
      <c r="Y128" s="202"/>
      <c r="Z128" s="202"/>
      <c r="AA128" s="202"/>
      <c r="AB128" s="202"/>
      <c r="AC128" s="202"/>
      <c r="AD128" s="202"/>
      <c r="AE128" s="202"/>
      <c r="AF128" s="202"/>
      <c r="AG128" s="202"/>
      <c r="AH128" s="202"/>
      <c r="AI128" s="202"/>
      <c r="AJ128" s="202"/>
      <c r="AK128" s="202"/>
      <c r="AL128" s="202"/>
      <c r="AM128" s="202"/>
      <c r="AN128" s="202"/>
      <c r="AO128" s="202"/>
      <c r="AP128" s="202"/>
      <c r="AQ128" s="202"/>
      <c r="AR128" s="202"/>
      <c r="AS128" s="202"/>
      <c r="AT128" s="202"/>
      <c r="AU128" s="202"/>
      <c r="AV128" s="202"/>
      <c r="AW128" s="202"/>
      <c r="AX128" s="202"/>
      <c r="AY128" s="202"/>
      <c r="AZ128" s="202"/>
      <c r="BA128" s="202"/>
      <c r="BB128" s="202"/>
      <c r="BC128" s="202"/>
      <c r="BD128" s="202"/>
      <c r="BE128" s="202"/>
      <c r="BF128" s="202"/>
      <c r="BG128" s="202"/>
      <c r="BH128" s="202"/>
      <c r="BI128" s="202"/>
      <c r="BJ128" s="202"/>
      <c r="BK128" s="202"/>
      <c r="BL128" s="202"/>
      <c r="BM128" s="202"/>
      <c r="BN128" s="202"/>
      <c r="BO128" s="202"/>
      <c r="BP128" s="202"/>
      <c r="BQ128" s="202"/>
      <c r="BR128" s="202"/>
      <c r="BS128" s="202"/>
      <c r="BT128" s="202"/>
    </row>
    <row r="129" spans="1:72" s="719" customFormat="1" ht="15.75" customHeight="1">
      <c r="A129" s="215"/>
      <c r="B129" s="216"/>
      <c r="C129" s="234"/>
      <c r="D129" s="217"/>
      <c r="E129" s="217" t="s">
        <v>270</v>
      </c>
      <c r="F129" s="227" t="s">
        <v>330</v>
      </c>
      <c r="G129" s="228">
        <f>12739+1660+26948.75+13410+12502+14374+6664+14371+14870+16879</f>
        <v>134417.75</v>
      </c>
      <c r="H129" s="202"/>
      <c r="I129" s="202"/>
      <c r="J129" s="202"/>
      <c r="K129" s="202"/>
      <c r="L129" s="202"/>
      <c r="M129" s="202"/>
      <c r="N129" s="202"/>
      <c r="O129" s="202"/>
      <c r="P129" s="202"/>
      <c r="Q129" s="202"/>
      <c r="R129" s="202"/>
      <c r="S129" s="202"/>
      <c r="T129" s="202"/>
      <c r="U129" s="202"/>
      <c r="V129" s="202"/>
      <c r="W129" s="202"/>
      <c r="X129" s="202"/>
      <c r="Y129" s="202"/>
      <c r="Z129" s="202"/>
      <c r="AA129" s="202"/>
      <c r="AB129" s="202"/>
      <c r="AC129" s="202"/>
      <c r="AD129" s="202"/>
      <c r="AE129" s="202"/>
      <c r="AF129" s="202"/>
      <c r="AG129" s="202"/>
      <c r="AH129" s="202"/>
      <c r="AI129" s="202"/>
      <c r="AJ129" s="202"/>
      <c r="AK129" s="202"/>
      <c r="AL129" s="202"/>
      <c r="AM129" s="202"/>
      <c r="AN129" s="202"/>
      <c r="AO129" s="202"/>
      <c r="AP129" s="202"/>
      <c r="AQ129" s="202"/>
      <c r="AR129" s="202"/>
      <c r="AS129" s="202"/>
      <c r="AT129" s="202"/>
      <c r="AU129" s="202"/>
      <c r="AV129" s="202"/>
      <c r="AW129" s="202"/>
      <c r="AX129" s="202"/>
      <c r="AY129" s="202"/>
      <c r="AZ129" s="202"/>
      <c r="BA129" s="202"/>
      <c r="BB129" s="202"/>
      <c r="BC129" s="202"/>
      <c r="BD129" s="202"/>
      <c r="BE129" s="202"/>
      <c r="BF129" s="202"/>
      <c r="BG129" s="202"/>
      <c r="BH129" s="202"/>
      <c r="BI129" s="202"/>
      <c r="BJ129" s="202"/>
      <c r="BK129" s="202"/>
      <c r="BL129" s="202"/>
      <c r="BM129" s="202"/>
      <c r="BN129" s="202"/>
      <c r="BO129" s="202"/>
      <c r="BP129" s="202"/>
      <c r="BQ129" s="202"/>
      <c r="BR129" s="202"/>
      <c r="BS129" s="202"/>
      <c r="BT129" s="202"/>
    </row>
    <row r="130" spans="1:72" s="719" customFormat="1" ht="15.75" customHeight="1">
      <c r="A130" s="215"/>
      <c r="B130" s="216"/>
      <c r="C130" s="234"/>
      <c r="D130" s="217"/>
      <c r="E130" s="217" t="s">
        <v>344</v>
      </c>
      <c r="F130" s="227" t="s">
        <v>330</v>
      </c>
      <c r="G130" s="228">
        <f>539</f>
        <v>539</v>
      </c>
      <c r="H130" s="202"/>
      <c r="I130" s="202"/>
      <c r="J130" s="202"/>
      <c r="K130" s="202"/>
      <c r="L130" s="202"/>
      <c r="M130" s="202"/>
      <c r="N130" s="202"/>
      <c r="O130" s="202"/>
      <c r="P130" s="202"/>
      <c r="Q130" s="202"/>
      <c r="R130" s="202"/>
      <c r="S130" s="202"/>
      <c r="T130" s="202"/>
      <c r="U130" s="202"/>
      <c r="V130" s="202"/>
      <c r="W130" s="202"/>
      <c r="X130" s="202"/>
      <c r="Y130" s="202"/>
      <c r="Z130" s="202"/>
      <c r="AA130" s="202"/>
      <c r="AB130" s="202"/>
      <c r="AC130" s="202"/>
      <c r="AD130" s="202"/>
      <c r="AE130" s="202"/>
      <c r="AF130" s="202"/>
      <c r="AG130" s="202"/>
      <c r="AH130" s="202"/>
      <c r="AI130" s="202"/>
      <c r="AJ130" s="202"/>
      <c r="AK130" s="202"/>
      <c r="AL130" s="202"/>
      <c r="AM130" s="202"/>
      <c r="AN130" s="202"/>
      <c r="AO130" s="202"/>
      <c r="AP130" s="202"/>
      <c r="AQ130" s="202"/>
      <c r="AR130" s="202"/>
      <c r="AS130" s="202"/>
      <c r="AT130" s="202"/>
      <c r="AU130" s="202"/>
      <c r="AV130" s="202"/>
      <c r="AW130" s="202"/>
      <c r="AX130" s="202"/>
      <c r="AY130" s="202"/>
      <c r="AZ130" s="202"/>
      <c r="BA130" s="202"/>
      <c r="BB130" s="202"/>
      <c r="BC130" s="202"/>
      <c r="BD130" s="202"/>
      <c r="BE130" s="202"/>
      <c r="BF130" s="202"/>
      <c r="BG130" s="202"/>
      <c r="BH130" s="202"/>
      <c r="BI130" s="202"/>
      <c r="BJ130" s="202"/>
      <c r="BK130" s="202"/>
      <c r="BL130" s="202"/>
      <c r="BM130" s="202"/>
      <c r="BN130" s="202"/>
      <c r="BO130" s="202"/>
      <c r="BP130" s="202"/>
      <c r="BQ130" s="202"/>
      <c r="BR130" s="202"/>
      <c r="BS130" s="202"/>
      <c r="BT130" s="202"/>
    </row>
    <row r="131" spans="1:72" s="719" customFormat="1" ht="15.75" customHeight="1">
      <c r="A131" s="215"/>
      <c r="B131" s="216"/>
      <c r="C131" s="234"/>
      <c r="D131" s="217"/>
      <c r="E131" s="217" t="s">
        <v>350</v>
      </c>
      <c r="F131" s="227" t="s">
        <v>330</v>
      </c>
      <c r="G131" s="228">
        <f>9434+1915</f>
        <v>11349</v>
      </c>
      <c r="H131" s="202"/>
      <c r="I131" s="202"/>
      <c r="J131" s="202"/>
      <c r="K131" s="202"/>
      <c r="L131" s="202"/>
      <c r="M131" s="202"/>
      <c r="N131" s="202"/>
      <c r="O131" s="202"/>
      <c r="P131" s="202"/>
      <c r="Q131" s="202"/>
      <c r="R131" s="202"/>
      <c r="S131" s="202"/>
      <c r="T131" s="202"/>
      <c r="U131" s="202"/>
      <c r="V131" s="202"/>
      <c r="W131" s="202"/>
      <c r="X131" s="202"/>
      <c r="Y131" s="202"/>
      <c r="Z131" s="202"/>
      <c r="AA131" s="202"/>
      <c r="AB131" s="202"/>
      <c r="AC131" s="202"/>
      <c r="AD131" s="202"/>
      <c r="AE131" s="202"/>
      <c r="AF131" s="202"/>
      <c r="AG131" s="202"/>
      <c r="AH131" s="202"/>
      <c r="AI131" s="202"/>
      <c r="AJ131" s="202"/>
      <c r="AK131" s="202"/>
      <c r="AL131" s="202"/>
      <c r="AM131" s="202"/>
      <c r="AN131" s="202"/>
      <c r="AO131" s="202"/>
      <c r="AP131" s="202"/>
      <c r="AQ131" s="202"/>
      <c r="AR131" s="202"/>
      <c r="AS131" s="202"/>
      <c r="AT131" s="202"/>
      <c r="AU131" s="202"/>
      <c r="AV131" s="202"/>
      <c r="AW131" s="202"/>
      <c r="AX131" s="202"/>
      <c r="AY131" s="202"/>
      <c r="AZ131" s="202"/>
      <c r="BA131" s="202"/>
      <c r="BB131" s="202"/>
      <c r="BC131" s="202"/>
      <c r="BD131" s="202"/>
      <c r="BE131" s="202"/>
      <c r="BF131" s="202"/>
      <c r="BG131" s="202"/>
      <c r="BH131" s="202"/>
      <c r="BI131" s="202"/>
      <c r="BJ131" s="202"/>
      <c r="BK131" s="202"/>
      <c r="BL131" s="202"/>
      <c r="BM131" s="202"/>
      <c r="BN131" s="202"/>
      <c r="BO131" s="202"/>
      <c r="BP131" s="202"/>
      <c r="BQ131" s="202"/>
      <c r="BR131" s="202"/>
      <c r="BS131" s="202"/>
      <c r="BT131" s="202"/>
    </row>
    <row r="132" spans="1:72" s="719" customFormat="1" ht="15.75" customHeight="1">
      <c r="A132" s="215"/>
      <c r="B132" s="216"/>
      <c r="C132" s="234"/>
      <c r="D132" s="217"/>
      <c r="E132" s="217" t="s">
        <v>339</v>
      </c>
      <c r="F132" s="227" t="s">
        <v>330</v>
      </c>
      <c r="G132" s="228">
        <f>1839+436</f>
        <v>2275</v>
      </c>
      <c r="H132" s="202"/>
      <c r="I132" s="202"/>
      <c r="J132" s="202"/>
      <c r="K132" s="202"/>
      <c r="L132" s="202"/>
      <c r="M132" s="202"/>
      <c r="N132" s="202"/>
      <c r="O132" s="202"/>
      <c r="P132" s="202"/>
      <c r="Q132" s="202"/>
      <c r="R132" s="202"/>
      <c r="S132" s="202"/>
      <c r="T132" s="202"/>
      <c r="U132" s="202"/>
      <c r="V132" s="202"/>
      <c r="W132" s="202"/>
      <c r="X132" s="202"/>
      <c r="Y132" s="202"/>
      <c r="Z132" s="202"/>
      <c r="AA132" s="202"/>
      <c r="AB132" s="202"/>
      <c r="AC132" s="202"/>
      <c r="AD132" s="202"/>
      <c r="AE132" s="202"/>
      <c r="AF132" s="202"/>
      <c r="AG132" s="202"/>
      <c r="AH132" s="202"/>
      <c r="AI132" s="202"/>
      <c r="AJ132" s="202"/>
      <c r="AK132" s="202"/>
      <c r="AL132" s="202"/>
      <c r="AM132" s="202"/>
      <c r="AN132" s="202"/>
      <c r="AO132" s="202"/>
      <c r="AP132" s="202"/>
      <c r="AQ132" s="202"/>
      <c r="AR132" s="202"/>
      <c r="AS132" s="202"/>
      <c r="AT132" s="202"/>
      <c r="AU132" s="202"/>
      <c r="AV132" s="202"/>
      <c r="AW132" s="202"/>
      <c r="AX132" s="202"/>
      <c r="AY132" s="202"/>
      <c r="AZ132" s="202"/>
      <c r="BA132" s="202"/>
      <c r="BB132" s="202"/>
      <c r="BC132" s="202"/>
      <c r="BD132" s="202"/>
      <c r="BE132" s="202"/>
      <c r="BF132" s="202"/>
      <c r="BG132" s="202"/>
      <c r="BH132" s="202"/>
      <c r="BI132" s="202"/>
      <c r="BJ132" s="202"/>
      <c r="BK132" s="202"/>
      <c r="BL132" s="202"/>
      <c r="BM132" s="202"/>
      <c r="BN132" s="202"/>
      <c r="BO132" s="202"/>
      <c r="BP132" s="202"/>
      <c r="BQ132" s="202"/>
      <c r="BR132" s="202"/>
      <c r="BS132" s="202"/>
      <c r="BT132" s="202"/>
    </row>
    <row r="133" spans="1:72" s="719" customFormat="1" ht="15.75" customHeight="1">
      <c r="A133" s="215"/>
      <c r="B133" s="216"/>
      <c r="C133" s="234"/>
      <c r="D133" s="217"/>
      <c r="E133" s="217" t="s">
        <v>351</v>
      </c>
      <c r="F133" s="227" t="s">
        <v>330</v>
      </c>
      <c r="G133" s="228">
        <f>7648</f>
        <v>7648</v>
      </c>
      <c r="H133" s="202"/>
      <c r="I133" s="202"/>
      <c r="J133" s="202"/>
      <c r="K133" s="202"/>
      <c r="L133" s="202"/>
      <c r="M133" s="202"/>
      <c r="N133" s="202"/>
      <c r="O133" s="202"/>
      <c r="P133" s="202"/>
      <c r="Q133" s="202"/>
      <c r="R133" s="202"/>
      <c r="S133" s="202"/>
      <c r="T133" s="202"/>
      <c r="U133" s="202"/>
      <c r="V133" s="202"/>
      <c r="W133" s="202"/>
      <c r="X133" s="202"/>
      <c r="Y133" s="202"/>
      <c r="Z133" s="202"/>
      <c r="AA133" s="202"/>
      <c r="AB133" s="202"/>
      <c r="AC133" s="202"/>
      <c r="AD133" s="202"/>
      <c r="AE133" s="202"/>
      <c r="AF133" s="202"/>
      <c r="AG133" s="202"/>
      <c r="AH133" s="202"/>
      <c r="AI133" s="202"/>
      <c r="AJ133" s="202"/>
      <c r="AK133" s="202"/>
      <c r="AL133" s="202"/>
      <c r="AM133" s="202"/>
      <c r="AN133" s="202"/>
      <c r="AO133" s="202"/>
      <c r="AP133" s="202"/>
      <c r="AQ133" s="202"/>
      <c r="AR133" s="202"/>
      <c r="AS133" s="202"/>
      <c r="AT133" s="202"/>
      <c r="AU133" s="202"/>
      <c r="AV133" s="202"/>
      <c r="AW133" s="202"/>
      <c r="AX133" s="202"/>
      <c r="AY133" s="202"/>
      <c r="AZ133" s="202"/>
      <c r="BA133" s="202"/>
      <c r="BB133" s="202"/>
      <c r="BC133" s="202"/>
      <c r="BD133" s="202"/>
      <c r="BE133" s="202"/>
      <c r="BF133" s="202"/>
      <c r="BG133" s="202"/>
      <c r="BH133" s="202"/>
      <c r="BI133" s="202"/>
      <c r="BJ133" s="202"/>
      <c r="BK133" s="202"/>
      <c r="BL133" s="202"/>
      <c r="BM133" s="202"/>
      <c r="BN133" s="202"/>
      <c r="BO133" s="202"/>
      <c r="BP133" s="202"/>
      <c r="BQ133" s="202"/>
      <c r="BR133" s="202"/>
      <c r="BS133" s="202"/>
      <c r="BT133" s="202"/>
    </row>
    <row r="134" spans="1:72" s="719" customFormat="1" ht="7.5" customHeight="1">
      <c r="A134" s="215"/>
      <c r="B134" s="216"/>
      <c r="C134" s="234"/>
      <c r="D134" s="217"/>
      <c r="E134" s="218"/>
      <c r="F134" s="220"/>
      <c r="G134" s="232"/>
      <c r="H134" s="202"/>
      <c r="I134" s="202"/>
      <c r="J134" s="202"/>
      <c r="K134" s="202"/>
      <c r="L134" s="202"/>
      <c r="M134" s="202"/>
      <c r="N134" s="202"/>
      <c r="O134" s="202"/>
      <c r="P134" s="202"/>
      <c r="Q134" s="202"/>
      <c r="R134" s="202"/>
      <c r="S134" s="202"/>
      <c r="T134" s="202"/>
      <c r="U134" s="202"/>
      <c r="V134" s="202"/>
      <c r="W134" s="202"/>
      <c r="X134" s="202"/>
      <c r="Y134" s="202"/>
      <c r="Z134" s="202"/>
      <c r="AA134" s="202"/>
      <c r="AB134" s="202"/>
      <c r="AC134" s="202"/>
      <c r="AD134" s="202"/>
      <c r="AE134" s="202"/>
      <c r="AF134" s="202"/>
      <c r="AG134" s="202"/>
      <c r="AH134" s="202"/>
      <c r="AI134" s="202"/>
      <c r="AJ134" s="202"/>
      <c r="AK134" s="202"/>
      <c r="AL134" s="202"/>
      <c r="AM134" s="202"/>
      <c r="AN134" s="202"/>
      <c r="AO134" s="202"/>
      <c r="AP134" s="202"/>
      <c r="AQ134" s="202"/>
      <c r="AR134" s="202"/>
      <c r="AS134" s="202"/>
      <c r="AT134" s="202"/>
      <c r="AU134" s="202"/>
      <c r="AV134" s="202"/>
      <c r="AW134" s="202"/>
      <c r="AX134" s="202"/>
      <c r="AY134" s="202"/>
      <c r="AZ134" s="202"/>
      <c r="BA134" s="202"/>
      <c r="BB134" s="202"/>
      <c r="BC134" s="202"/>
      <c r="BD134" s="202"/>
      <c r="BE134" s="202"/>
      <c r="BF134" s="202"/>
      <c r="BG134" s="202"/>
      <c r="BH134" s="202"/>
      <c r="BI134" s="202"/>
      <c r="BJ134" s="202"/>
      <c r="BK134" s="202"/>
      <c r="BL134" s="202"/>
      <c r="BM134" s="202"/>
      <c r="BN134" s="202"/>
      <c r="BO134" s="202"/>
      <c r="BP134" s="202"/>
      <c r="BQ134" s="202"/>
      <c r="BR134" s="202"/>
      <c r="BS134" s="202"/>
      <c r="BT134" s="202"/>
    </row>
    <row r="135" spans="1:72" s="719" customFormat="1" ht="23.25" customHeight="1">
      <c r="A135" s="215"/>
      <c r="B135" s="723" t="s">
        <v>16</v>
      </c>
      <c r="C135" s="217" t="s">
        <v>348</v>
      </c>
      <c r="D135" s="217" t="s">
        <v>360</v>
      </c>
      <c r="E135" s="218" t="s">
        <v>330</v>
      </c>
      <c r="F135" s="220" t="s">
        <v>330</v>
      </c>
      <c r="G135" s="219">
        <f>SUM(G137)</f>
        <v>69929</v>
      </c>
      <c r="H135" s="202"/>
      <c r="I135" s="202"/>
      <c r="J135" s="202"/>
      <c r="K135" s="202"/>
      <c r="L135" s="202"/>
      <c r="M135" s="202"/>
      <c r="N135" s="202"/>
      <c r="O135" s="202"/>
      <c r="P135" s="202"/>
      <c r="Q135" s="202"/>
      <c r="R135" s="202"/>
      <c r="S135" s="202"/>
      <c r="T135" s="202"/>
      <c r="U135" s="202"/>
      <c r="V135" s="202"/>
      <c r="W135" s="202"/>
      <c r="X135" s="202"/>
      <c r="Y135" s="202"/>
      <c r="Z135" s="202"/>
      <c r="AA135" s="202"/>
      <c r="AB135" s="202"/>
      <c r="AC135" s="202"/>
      <c r="AD135" s="202"/>
      <c r="AE135" s="202"/>
      <c r="AF135" s="202"/>
      <c r="AG135" s="202"/>
      <c r="AH135" s="202"/>
      <c r="AI135" s="202"/>
      <c r="AJ135" s="202"/>
      <c r="AK135" s="202"/>
      <c r="AL135" s="202"/>
      <c r="AM135" s="202"/>
      <c r="AN135" s="202"/>
      <c r="AO135" s="202"/>
      <c r="AP135" s="202"/>
      <c r="AQ135" s="202"/>
      <c r="AR135" s="202"/>
      <c r="AS135" s="202"/>
      <c r="AT135" s="202"/>
      <c r="AU135" s="202"/>
      <c r="AV135" s="202"/>
      <c r="AW135" s="202"/>
      <c r="AX135" s="202"/>
      <c r="AY135" s="202"/>
      <c r="AZ135" s="202"/>
      <c r="BA135" s="202"/>
      <c r="BB135" s="202"/>
      <c r="BC135" s="202"/>
      <c r="BD135" s="202"/>
      <c r="BE135" s="202"/>
      <c r="BF135" s="202"/>
      <c r="BG135" s="202"/>
      <c r="BH135" s="202"/>
      <c r="BI135" s="202"/>
      <c r="BJ135" s="202"/>
      <c r="BK135" s="202"/>
      <c r="BL135" s="202"/>
      <c r="BM135" s="202"/>
      <c r="BN135" s="202"/>
      <c r="BO135" s="202"/>
      <c r="BP135" s="202"/>
      <c r="BQ135" s="202"/>
      <c r="BR135" s="202"/>
      <c r="BS135" s="202"/>
      <c r="BT135" s="202"/>
    </row>
    <row r="136" spans="1:72" s="719" customFormat="1" ht="5.25" customHeight="1">
      <c r="A136" s="215"/>
      <c r="B136" s="216"/>
      <c r="C136" s="234"/>
      <c r="D136" s="217"/>
      <c r="E136" s="217"/>
      <c r="F136" s="227"/>
      <c r="G136" s="228"/>
      <c r="H136" s="202"/>
      <c r="I136" s="202"/>
      <c r="J136" s="202"/>
      <c r="K136" s="202"/>
      <c r="L136" s="202"/>
      <c r="M136" s="202"/>
      <c r="N136" s="202"/>
      <c r="O136" s="202"/>
      <c r="P136" s="202"/>
      <c r="Q136" s="202"/>
      <c r="R136" s="202"/>
      <c r="S136" s="202"/>
      <c r="T136" s="202"/>
      <c r="U136" s="202"/>
      <c r="V136" s="202"/>
      <c r="W136" s="202"/>
      <c r="X136" s="202"/>
      <c r="Y136" s="202"/>
      <c r="Z136" s="202"/>
      <c r="AA136" s="202"/>
      <c r="AB136" s="202"/>
      <c r="AC136" s="202"/>
      <c r="AD136" s="202"/>
      <c r="AE136" s="202"/>
      <c r="AF136" s="202"/>
      <c r="AG136" s="202"/>
      <c r="AH136" s="202"/>
      <c r="AI136" s="202"/>
      <c r="AJ136" s="202"/>
      <c r="AK136" s="202"/>
      <c r="AL136" s="202"/>
      <c r="AM136" s="202"/>
      <c r="AN136" s="202"/>
      <c r="AO136" s="202"/>
      <c r="AP136" s="202"/>
      <c r="AQ136" s="202"/>
      <c r="AR136" s="202"/>
      <c r="AS136" s="202"/>
      <c r="AT136" s="202"/>
      <c r="AU136" s="202"/>
      <c r="AV136" s="202"/>
      <c r="AW136" s="202"/>
      <c r="AX136" s="202"/>
      <c r="AY136" s="202"/>
      <c r="AZ136" s="202"/>
      <c r="BA136" s="202"/>
      <c r="BB136" s="202"/>
      <c r="BC136" s="202"/>
      <c r="BD136" s="202"/>
      <c r="BE136" s="202"/>
      <c r="BF136" s="202"/>
      <c r="BG136" s="202"/>
      <c r="BH136" s="202"/>
      <c r="BI136" s="202"/>
      <c r="BJ136" s="202"/>
      <c r="BK136" s="202"/>
      <c r="BL136" s="202"/>
      <c r="BM136" s="202"/>
      <c r="BN136" s="202"/>
      <c r="BO136" s="202"/>
      <c r="BP136" s="202"/>
      <c r="BQ136" s="202"/>
      <c r="BR136" s="202"/>
      <c r="BS136" s="202"/>
      <c r="BT136" s="202"/>
    </row>
    <row r="137" spans="1:72" s="719" customFormat="1" ht="15.75" customHeight="1">
      <c r="A137" s="215"/>
      <c r="B137" s="216"/>
      <c r="C137" s="234"/>
      <c r="D137" s="217"/>
      <c r="E137" s="217"/>
      <c r="F137" s="227"/>
      <c r="G137" s="720">
        <f>SUM(G138)</f>
        <v>69929</v>
      </c>
      <c r="H137" s="202"/>
      <c r="I137" s="202"/>
      <c r="J137" s="202"/>
      <c r="K137" s="202"/>
      <c r="L137" s="202"/>
      <c r="M137" s="202"/>
      <c r="N137" s="202"/>
      <c r="O137" s="202"/>
      <c r="P137" s="202"/>
      <c r="Q137" s="202"/>
      <c r="R137" s="202"/>
      <c r="S137" s="202"/>
      <c r="T137" s="202"/>
      <c r="U137" s="202"/>
      <c r="V137" s="202"/>
      <c r="W137" s="202"/>
      <c r="X137" s="202"/>
      <c r="Y137" s="202"/>
      <c r="Z137" s="202"/>
      <c r="AA137" s="202"/>
      <c r="AB137" s="202"/>
      <c r="AC137" s="202"/>
      <c r="AD137" s="202"/>
      <c r="AE137" s="202"/>
      <c r="AF137" s="202"/>
      <c r="AG137" s="202"/>
      <c r="AH137" s="202"/>
      <c r="AI137" s="202"/>
      <c r="AJ137" s="202"/>
      <c r="AK137" s="202"/>
      <c r="AL137" s="202"/>
      <c r="AM137" s="202"/>
      <c r="AN137" s="202"/>
      <c r="AO137" s="202"/>
      <c r="AP137" s="202"/>
      <c r="AQ137" s="202"/>
      <c r="AR137" s="202"/>
      <c r="AS137" s="202"/>
      <c r="AT137" s="202"/>
      <c r="AU137" s="202"/>
      <c r="AV137" s="202"/>
      <c r="AW137" s="202"/>
      <c r="AX137" s="202"/>
      <c r="AY137" s="202"/>
      <c r="AZ137" s="202"/>
      <c r="BA137" s="202"/>
      <c r="BB137" s="202"/>
      <c r="BC137" s="202"/>
      <c r="BD137" s="202"/>
      <c r="BE137" s="202"/>
      <c r="BF137" s="202"/>
      <c r="BG137" s="202"/>
      <c r="BH137" s="202"/>
      <c r="BI137" s="202"/>
      <c r="BJ137" s="202"/>
      <c r="BK137" s="202"/>
      <c r="BL137" s="202"/>
      <c r="BM137" s="202"/>
      <c r="BN137" s="202"/>
      <c r="BO137" s="202"/>
      <c r="BP137" s="202"/>
      <c r="BQ137" s="202"/>
      <c r="BR137" s="202"/>
      <c r="BS137" s="202"/>
      <c r="BT137" s="202"/>
    </row>
    <row r="138" spans="1:72" s="719" customFormat="1" ht="15.75" customHeight="1">
      <c r="A138" s="215"/>
      <c r="B138" s="216"/>
      <c r="C138" s="234"/>
      <c r="D138" s="217"/>
      <c r="E138" s="217" t="s">
        <v>352</v>
      </c>
      <c r="F138" s="227" t="s">
        <v>330</v>
      </c>
      <c r="G138" s="228">
        <f>7435+8963+8109+8980+8691+8980+8689+10082</f>
        <v>69929</v>
      </c>
      <c r="H138" s="202"/>
      <c r="I138" s="202"/>
      <c r="J138" s="202"/>
      <c r="K138" s="202"/>
      <c r="L138" s="202"/>
      <c r="M138" s="202"/>
      <c r="N138" s="202"/>
      <c r="O138" s="202"/>
      <c r="P138" s="202"/>
      <c r="Q138" s="202"/>
      <c r="R138" s="202"/>
      <c r="S138" s="202"/>
      <c r="T138" s="202"/>
      <c r="U138" s="202"/>
      <c r="V138" s="202"/>
      <c r="W138" s="202"/>
      <c r="X138" s="202"/>
      <c r="Y138" s="202"/>
      <c r="Z138" s="202"/>
      <c r="AA138" s="202"/>
      <c r="AB138" s="202"/>
      <c r="AC138" s="202"/>
      <c r="AD138" s="202"/>
      <c r="AE138" s="202"/>
      <c r="AF138" s="202"/>
      <c r="AG138" s="202"/>
      <c r="AH138" s="202"/>
      <c r="AI138" s="202"/>
      <c r="AJ138" s="202"/>
      <c r="AK138" s="202"/>
      <c r="AL138" s="202"/>
      <c r="AM138" s="202"/>
      <c r="AN138" s="202"/>
      <c r="AO138" s="202"/>
      <c r="AP138" s="202"/>
      <c r="AQ138" s="202"/>
      <c r="AR138" s="202"/>
      <c r="AS138" s="202"/>
      <c r="AT138" s="202"/>
      <c r="AU138" s="202"/>
      <c r="AV138" s="202"/>
      <c r="AW138" s="202"/>
      <c r="AX138" s="202"/>
      <c r="AY138" s="202"/>
      <c r="AZ138" s="202"/>
      <c r="BA138" s="202"/>
      <c r="BB138" s="202"/>
      <c r="BC138" s="202"/>
      <c r="BD138" s="202"/>
      <c r="BE138" s="202"/>
      <c r="BF138" s="202"/>
      <c r="BG138" s="202"/>
      <c r="BH138" s="202"/>
      <c r="BI138" s="202"/>
      <c r="BJ138" s="202"/>
      <c r="BK138" s="202"/>
      <c r="BL138" s="202"/>
      <c r="BM138" s="202"/>
      <c r="BN138" s="202"/>
      <c r="BO138" s="202"/>
      <c r="BP138" s="202"/>
      <c r="BQ138" s="202"/>
      <c r="BR138" s="202"/>
      <c r="BS138" s="202"/>
      <c r="BT138" s="202"/>
    </row>
    <row r="139" spans="1:72" s="719" customFormat="1" ht="6.75" customHeight="1">
      <c r="A139" s="215"/>
      <c r="B139" s="216"/>
      <c r="C139" s="234"/>
      <c r="D139" s="217"/>
      <c r="E139" s="218"/>
      <c r="F139" s="220"/>
      <c r="G139" s="232"/>
      <c r="H139" s="202"/>
      <c r="I139" s="202"/>
      <c r="J139" s="202"/>
      <c r="K139" s="202"/>
      <c r="L139" s="202"/>
      <c r="M139" s="202"/>
      <c r="N139" s="202"/>
      <c r="O139" s="202"/>
      <c r="P139" s="202"/>
      <c r="Q139" s="202"/>
      <c r="R139" s="202"/>
      <c r="S139" s="202"/>
      <c r="T139" s="202"/>
      <c r="U139" s="202"/>
      <c r="V139" s="202"/>
      <c r="W139" s="202"/>
      <c r="X139" s="202"/>
      <c r="Y139" s="202"/>
      <c r="Z139" s="202"/>
      <c r="AA139" s="202"/>
      <c r="AB139" s="202"/>
      <c r="AC139" s="202"/>
      <c r="AD139" s="202"/>
      <c r="AE139" s="202"/>
      <c r="AF139" s="202"/>
      <c r="AG139" s="202"/>
      <c r="AH139" s="202"/>
      <c r="AI139" s="202"/>
      <c r="AJ139" s="202"/>
      <c r="AK139" s="202"/>
      <c r="AL139" s="202"/>
      <c r="AM139" s="202"/>
      <c r="AN139" s="202"/>
      <c r="AO139" s="202"/>
      <c r="AP139" s="202"/>
      <c r="AQ139" s="202"/>
      <c r="AR139" s="202"/>
      <c r="AS139" s="202"/>
      <c r="AT139" s="202"/>
      <c r="AU139" s="202"/>
      <c r="AV139" s="202"/>
      <c r="AW139" s="202"/>
      <c r="AX139" s="202"/>
      <c r="AY139" s="202"/>
      <c r="AZ139" s="202"/>
      <c r="BA139" s="202"/>
      <c r="BB139" s="202"/>
      <c r="BC139" s="202"/>
      <c r="BD139" s="202"/>
      <c r="BE139" s="202"/>
      <c r="BF139" s="202"/>
      <c r="BG139" s="202"/>
      <c r="BH139" s="202"/>
      <c r="BI139" s="202"/>
      <c r="BJ139" s="202"/>
      <c r="BK139" s="202"/>
      <c r="BL139" s="202"/>
      <c r="BM139" s="202"/>
      <c r="BN139" s="202"/>
      <c r="BO139" s="202"/>
      <c r="BP139" s="202"/>
      <c r="BQ139" s="202"/>
      <c r="BR139" s="202"/>
      <c r="BS139" s="202"/>
      <c r="BT139" s="202"/>
    </row>
    <row r="140" spans="1:72" s="719" customFormat="1" ht="15.75" customHeight="1">
      <c r="A140" s="215"/>
      <c r="B140" s="721" t="s">
        <v>21</v>
      </c>
      <c r="C140" s="217" t="s">
        <v>348</v>
      </c>
      <c r="D140" s="217" t="s">
        <v>361</v>
      </c>
      <c r="E140" s="218" t="s">
        <v>330</v>
      </c>
      <c r="F140" s="220" t="s">
        <v>330</v>
      </c>
      <c r="G140" s="219">
        <f>SUM(G142)</f>
        <v>147217.21</v>
      </c>
      <c r="H140" s="202"/>
      <c r="I140" s="202"/>
      <c r="J140" s="202"/>
      <c r="K140" s="202"/>
      <c r="L140" s="202"/>
      <c r="M140" s="202"/>
      <c r="N140" s="202"/>
      <c r="O140" s="202"/>
      <c r="P140" s="202"/>
      <c r="Q140" s="202"/>
      <c r="R140" s="202"/>
      <c r="S140" s="202"/>
      <c r="T140" s="202"/>
      <c r="U140" s="202"/>
      <c r="V140" s="202"/>
      <c r="W140" s="202"/>
      <c r="X140" s="202"/>
      <c r="Y140" s="202"/>
      <c r="Z140" s="202"/>
      <c r="AA140" s="202"/>
      <c r="AB140" s="202"/>
      <c r="AC140" s="202"/>
      <c r="AD140" s="202"/>
      <c r="AE140" s="202"/>
      <c r="AF140" s="202"/>
      <c r="AG140" s="202"/>
      <c r="AH140" s="202"/>
      <c r="AI140" s="202"/>
      <c r="AJ140" s="202"/>
      <c r="AK140" s="202"/>
      <c r="AL140" s="202"/>
      <c r="AM140" s="202"/>
      <c r="AN140" s="202"/>
      <c r="AO140" s="202"/>
      <c r="AP140" s="202"/>
      <c r="AQ140" s="202"/>
      <c r="AR140" s="202"/>
      <c r="AS140" s="202"/>
      <c r="AT140" s="202"/>
      <c r="AU140" s="202"/>
      <c r="AV140" s="202"/>
      <c r="AW140" s="202"/>
      <c r="AX140" s="202"/>
      <c r="AY140" s="202"/>
      <c r="AZ140" s="202"/>
      <c r="BA140" s="202"/>
      <c r="BB140" s="202"/>
      <c r="BC140" s="202"/>
      <c r="BD140" s="202"/>
      <c r="BE140" s="202"/>
      <c r="BF140" s="202"/>
      <c r="BG140" s="202"/>
      <c r="BH140" s="202"/>
      <c r="BI140" s="202"/>
      <c r="BJ140" s="202"/>
      <c r="BK140" s="202"/>
      <c r="BL140" s="202"/>
      <c r="BM140" s="202"/>
      <c r="BN140" s="202"/>
      <c r="BO140" s="202"/>
      <c r="BP140" s="202"/>
      <c r="BQ140" s="202"/>
      <c r="BR140" s="202"/>
      <c r="BS140" s="202"/>
      <c r="BT140" s="202"/>
    </row>
    <row r="141" spans="1:72" s="719" customFormat="1" ht="4.5" customHeight="1">
      <c r="A141" s="215"/>
      <c r="B141" s="216"/>
      <c r="C141" s="234"/>
      <c r="D141" s="217"/>
      <c r="E141" s="217"/>
      <c r="F141" s="227"/>
      <c r="G141" s="228"/>
      <c r="H141" s="202"/>
      <c r="I141" s="202"/>
      <c r="J141" s="202"/>
      <c r="K141" s="202"/>
      <c r="L141" s="202"/>
      <c r="M141" s="202"/>
      <c r="N141" s="202"/>
      <c r="O141" s="202"/>
      <c r="P141" s="202"/>
      <c r="Q141" s="202"/>
      <c r="R141" s="202"/>
      <c r="S141" s="202"/>
      <c r="T141" s="202"/>
      <c r="U141" s="202"/>
      <c r="V141" s="202"/>
      <c r="W141" s="202"/>
      <c r="X141" s="202"/>
      <c r="Y141" s="202"/>
      <c r="Z141" s="202"/>
      <c r="AA141" s="202"/>
      <c r="AB141" s="202"/>
      <c r="AC141" s="202"/>
      <c r="AD141" s="202"/>
      <c r="AE141" s="202"/>
      <c r="AF141" s="202"/>
      <c r="AG141" s="202"/>
      <c r="AH141" s="202"/>
      <c r="AI141" s="202"/>
      <c r="AJ141" s="202"/>
      <c r="AK141" s="202"/>
      <c r="AL141" s="202"/>
      <c r="AM141" s="202"/>
      <c r="AN141" s="202"/>
      <c r="AO141" s="202"/>
      <c r="AP141" s="202"/>
      <c r="AQ141" s="202"/>
      <c r="AR141" s="202"/>
      <c r="AS141" s="202"/>
      <c r="AT141" s="202"/>
      <c r="AU141" s="202"/>
      <c r="AV141" s="202"/>
      <c r="AW141" s="202"/>
      <c r="AX141" s="202"/>
      <c r="AY141" s="202"/>
      <c r="AZ141" s="202"/>
      <c r="BA141" s="202"/>
      <c r="BB141" s="202"/>
      <c r="BC141" s="202"/>
      <c r="BD141" s="202"/>
      <c r="BE141" s="202"/>
      <c r="BF141" s="202"/>
      <c r="BG141" s="202"/>
      <c r="BH141" s="202"/>
      <c r="BI141" s="202"/>
      <c r="BJ141" s="202"/>
      <c r="BK141" s="202"/>
      <c r="BL141" s="202"/>
      <c r="BM141" s="202"/>
      <c r="BN141" s="202"/>
      <c r="BO141" s="202"/>
      <c r="BP141" s="202"/>
      <c r="BQ141" s="202"/>
      <c r="BR141" s="202"/>
      <c r="BS141" s="202"/>
      <c r="BT141" s="202"/>
    </row>
    <row r="142" spans="1:72" s="719" customFormat="1" ht="15.75" customHeight="1">
      <c r="A142" s="215"/>
      <c r="B142" s="216"/>
      <c r="C142" s="234"/>
      <c r="D142" s="217"/>
      <c r="E142" s="217"/>
      <c r="F142" s="227"/>
      <c r="G142" s="720">
        <f>SUM(G143:G147)</f>
        <v>147217.21</v>
      </c>
      <c r="H142" s="202"/>
      <c r="I142" s="202"/>
      <c r="J142" s="202"/>
      <c r="K142" s="202"/>
      <c r="L142" s="202"/>
      <c r="M142" s="202"/>
      <c r="N142" s="202"/>
      <c r="O142" s="202"/>
      <c r="P142" s="202"/>
      <c r="Q142" s="202"/>
      <c r="R142" s="202"/>
      <c r="S142" s="202"/>
      <c r="T142" s="202"/>
      <c r="U142" s="202"/>
      <c r="V142" s="202"/>
      <c r="W142" s="202"/>
      <c r="X142" s="202"/>
      <c r="Y142" s="202"/>
      <c r="Z142" s="202"/>
      <c r="AA142" s="202"/>
      <c r="AB142" s="202"/>
      <c r="AC142" s="202"/>
      <c r="AD142" s="202"/>
      <c r="AE142" s="202"/>
      <c r="AF142" s="202"/>
      <c r="AG142" s="202"/>
      <c r="AH142" s="202"/>
      <c r="AI142" s="202"/>
      <c r="AJ142" s="202"/>
      <c r="AK142" s="202"/>
      <c r="AL142" s="202"/>
      <c r="AM142" s="202"/>
      <c r="AN142" s="202"/>
      <c r="AO142" s="202"/>
      <c r="AP142" s="202"/>
      <c r="AQ142" s="202"/>
      <c r="AR142" s="202"/>
      <c r="AS142" s="202"/>
      <c r="AT142" s="202"/>
      <c r="AU142" s="202"/>
      <c r="AV142" s="202"/>
      <c r="AW142" s="202"/>
      <c r="AX142" s="202"/>
      <c r="AY142" s="202"/>
      <c r="AZ142" s="202"/>
      <c r="BA142" s="202"/>
      <c r="BB142" s="202"/>
      <c r="BC142" s="202"/>
      <c r="BD142" s="202"/>
      <c r="BE142" s="202"/>
      <c r="BF142" s="202"/>
      <c r="BG142" s="202"/>
      <c r="BH142" s="202"/>
      <c r="BI142" s="202"/>
      <c r="BJ142" s="202"/>
      <c r="BK142" s="202"/>
      <c r="BL142" s="202"/>
      <c r="BM142" s="202"/>
      <c r="BN142" s="202"/>
      <c r="BO142" s="202"/>
      <c r="BP142" s="202"/>
      <c r="BQ142" s="202"/>
      <c r="BR142" s="202"/>
      <c r="BS142" s="202"/>
      <c r="BT142" s="202"/>
    </row>
    <row r="143" spans="1:72" s="719" customFormat="1" ht="15.75" customHeight="1">
      <c r="A143" s="215"/>
      <c r="B143" s="216"/>
      <c r="C143" s="234"/>
      <c r="D143" s="217"/>
      <c r="E143" s="217" t="s">
        <v>270</v>
      </c>
      <c r="F143" s="227" t="s">
        <v>330</v>
      </c>
      <c r="G143" s="228">
        <f>13256+4811+25122.21+13127+14536+14070+5636+15055+12874+12880</f>
        <v>131367.21</v>
      </c>
      <c r="H143" s="202"/>
      <c r="I143" s="202"/>
      <c r="J143" s="202"/>
      <c r="K143" s="202"/>
      <c r="L143" s="202"/>
      <c r="M143" s="202"/>
      <c r="N143" s="202"/>
      <c r="O143" s="202"/>
      <c r="P143" s="202"/>
      <c r="Q143" s="202"/>
      <c r="R143" s="202"/>
      <c r="S143" s="202"/>
      <c r="T143" s="202"/>
      <c r="U143" s="202"/>
      <c r="V143" s="202"/>
      <c r="W143" s="202"/>
      <c r="X143" s="202"/>
      <c r="Y143" s="202"/>
      <c r="Z143" s="202"/>
      <c r="AA143" s="202"/>
      <c r="AB143" s="202"/>
      <c r="AC143" s="202"/>
      <c r="AD143" s="202"/>
      <c r="AE143" s="202"/>
      <c r="AF143" s="202"/>
      <c r="AG143" s="202"/>
      <c r="AH143" s="202"/>
      <c r="AI143" s="202"/>
      <c r="AJ143" s="202"/>
      <c r="AK143" s="202"/>
      <c r="AL143" s="202"/>
      <c r="AM143" s="202"/>
      <c r="AN143" s="202"/>
      <c r="AO143" s="202"/>
      <c r="AP143" s="202"/>
      <c r="AQ143" s="202"/>
      <c r="AR143" s="202"/>
      <c r="AS143" s="202"/>
      <c r="AT143" s="202"/>
      <c r="AU143" s="202"/>
      <c r="AV143" s="202"/>
      <c r="AW143" s="202"/>
      <c r="AX143" s="202"/>
      <c r="AY143" s="202"/>
      <c r="AZ143" s="202"/>
      <c r="BA143" s="202"/>
      <c r="BB143" s="202"/>
      <c r="BC143" s="202"/>
      <c r="BD143" s="202"/>
      <c r="BE143" s="202"/>
      <c r="BF143" s="202"/>
      <c r="BG143" s="202"/>
      <c r="BH143" s="202"/>
      <c r="BI143" s="202"/>
      <c r="BJ143" s="202"/>
      <c r="BK143" s="202"/>
      <c r="BL143" s="202"/>
      <c r="BM143" s="202"/>
      <c r="BN143" s="202"/>
      <c r="BO143" s="202"/>
      <c r="BP143" s="202"/>
      <c r="BQ143" s="202"/>
      <c r="BR143" s="202"/>
      <c r="BS143" s="202"/>
      <c r="BT143" s="202"/>
    </row>
    <row r="144" spans="1:72" s="719" customFormat="1" ht="15.75" customHeight="1">
      <c r="A144" s="215"/>
      <c r="B144" s="216"/>
      <c r="C144" s="234"/>
      <c r="D144" s="217"/>
      <c r="E144" s="217" t="s">
        <v>344</v>
      </c>
      <c r="F144" s="227" t="s">
        <v>330</v>
      </c>
      <c r="G144" s="228">
        <f>400</f>
        <v>400</v>
      </c>
      <c r="H144" s="202"/>
      <c r="I144" s="202"/>
      <c r="J144" s="202"/>
      <c r="K144" s="202"/>
      <c r="L144" s="202"/>
      <c r="M144" s="202"/>
      <c r="N144" s="202"/>
      <c r="O144" s="202"/>
      <c r="P144" s="202"/>
      <c r="Q144" s="202"/>
      <c r="R144" s="202"/>
      <c r="S144" s="202"/>
      <c r="T144" s="202"/>
      <c r="U144" s="202"/>
      <c r="V144" s="202"/>
      <c r="W144" s="202"/>
      <c r="X144" s="202"/>
      <c r="Y144" s="202"/>
      <c r="Z144" s="202"/>
      <c r="AA144" s="202"/>
      <c r="AB144" s="202"/>
      <c r="AC144" s="202"/>
      <c r="AD144" s="202"/>
      <c r="AE144" s="202"/>
      <c r="AF144" s="202"/>
      <c r="AG144" s="202"/>
      <c r="AH144" s="202"/>
      <c r="AI144" s="202"/>
      <c r="AJ144" s="202"/>
      <c r="AK144" s="202"/>
      <c r="AL144" s="202"/>
      <c r="AM144" s="202"/>
      <c r="AN144" s="202"/>
      <c r="AO144" s="202"/>
      <c r="AP144" s="202"/>
      <c r="AQ144" s="202"/>
      <c r="AR144" s="202"/>
      <c r="AS144" s="202"/>
      <c r="AT144" s="202"/>
      <c r="AU144" s="202"/>
      <c r="AV144" s="202"/>
      <c r="AW144" s="202"/>
      <c r="AX144" s="202"/>
      <c r="AY144" s="202"/>
      <c r="AZ144" s="202"/>
      <c r="BA144" s="202"/>
      <c r="BB144" s="202"/>
      <c r="BC144" s="202"/>
      <c r="BD144" s="202"/>
      <c r="BE144" s="202"/>
      <c r="BF144" s="202"/>
      <c r="BG144" s="202"/>
      <c r="BH144" s="202"/>
      <c r="BI144" s="202"/>
      <c r="BJ144" s="202"/>
      <c r="BK144" s="202"/>
      <c r="BL144" s="202"/>
      <c r="BM144" s="202"/>
      <c r="BN144" s="202"/>
      <c r="BO144" s="202"/>
      <c r="BP144" s="202"/>
      <c r="BQ144" s="202"/>
      <c r="BR144" s="202"/>
      <c r="BS144" s="202"/>
      <c r="BT144" s="202"/>
    </row>
    <row r="145" spans="1:72" s="719" customFormat="1" ht="15.75" customHeight="1">
      <c r="A145" s="215"/>
      <c r="B145" s="216"/>
      <c r="C145" s="234"/>
      <c r="D145" s="217"/>
      <c r="E145" s="217" t="s">
        <v>350</v>
      </c>
      <c r="F145" s="227" t="s">
        <v>330</v>
      </c>
      <c r="G145" s="228">
        <f>8100-1490</f>
        <v>6610</v>
      </c>
      <c r="H145" s="202"/>
      <c r="I145" s="202"/>
      <c r="J145" s="202"/>
      <c r="K145" s="202"/>
      <c r="L145" s="202"/>
      <c r="M145" s="202"/>
      <c r="N145" s="202"/>
      <c r="O145" s="202"/>
      <c r="P145" s="202"/>
      <c r="Q145" s="202"/>
      <c r="R145" s="202"/>
      <c r="S145" s="202"/>
      <c r="T145" s="202"/>
      <c r="U145" s="202"/>
      <c r="V145" s="202"/>
      <c r="W145" s="202"/>
      <c r="X145" s="202"/>
      <c r="Y145" s="202"/>
      <c r="Z145" s="202"/>
      <c r="AA145" s="202"/>
      <c r="AB145" s="202"/>
      <c r="AC145" s="202"/>
      <c r="AD145" s="202"/>
      <c r="AE145" s="202"/>
      <c r="AF145" s="202"/>
      <c r="AG145" s="202"/>
      <c r="AH145" s="202"/>
      <c r="AI145" s="202"/>
      <c r="AJ145" s="202"/>
      <c r="AK145" s="202"/>
      <c r="AL145" s="202"/>
      <c r="AM145" s="202"/>
      <c r="AN145" s="202"/>
      <c r="AO145" s="202"/>
      <c r="AP145" s="202"/>
      <c r="AQ145" s="202"/>
      <c r="AR145" s="202"/>
      <c r="AS145" s="202"/>
      <c r="AT145" s="202"/>
      <c r="AU145" s="202"/>
      <c r="AV145" s="202"/>
      <c r="AW145" s="202"/>
      <c r="AX145" s="202"/>
      <c r="AY145" s="202"/>
      <c r="AZ145" s="202"/>
      <c r="BA145" s="202"/>
      <c r="BB145" s="202"/>
      <c r="BC145" s="202"/>
      <c r="BD145" s="202"/>
      <c r="BE145" s="202"/>
      <c r="BF145" s="202"/>
      <c r="BG145" s="202"/>
      <c r="BH145" s="202"/>
      <c r="BI145" s="202"/>
      <c r="BJ145" s="202"/>
      <c r="BK145" s="202"/>
      <c r="BL145" s="202"/>
      <c r="BM145" s="202"/>
      <c r="BN145" s="202"/>
      <c r="BO145" s="202"/>
      <c r="BP145" s="202"/>
      <c r="BQ145" s="202"/>
      <c r="BR145" s="202"/>
      <c r="BS145" s="202"/>
      <c r="BT145" s="202"/>
    </row>
    <row r="146" spans="1:72" s="719" customFormat="1" ht="15.75" customHeight="1">
      <c r="A146" s="215"/>
      <c r="B146" s="216"/>
      <c r="C146" s="234"/>
      <c r="D146" s="217"/>
      <c r="E146" s="217" t="s">
        <v>339</v>
      </c>
      <c r="F146" s="227" t="s">
        <v>330</v>
      </c>
      <c r="G146" s="228">
        <f>1600-260</f>
        <v>1340</v>
      </c>
      <c r="H146" s="202"/>
      <c r="I146" s="202"/>
      <c r="J146" s="202"/>
      <c r="K146" s="202"/>
      <c r="L146" s="202"/>
      <c r="M146" s="202"/>
      <c r="N146" s="202"/>
      <c r="O146" s="202"/>
      <c r="P146" s="202"/>
      <c r="Q146" s="202"/>
      <c r="R146" s="202"/>
      <c r="S146" s="202"/>
      <c r="T146" s="202"/>
      <c r="U146" s="202"/>
      <c r="V146" s="202"/>
      <c r="W146" s="202"/>
      <c r="X146" s="202"/>
      <c r="Y146" s="202"/>
      <c r="Z146" s="202"/>
      <c r="AA146" s="202"/>
      <c r="AB146" s="202"/>
      <c r="AC146" s="202"/>
      <c r="AD146" s="202"/>
      <c r="AE146" s="202"/>
      <c r="AF146" s="202"/>
      <c r="AG146" s="202"/>
      <c r="AH146" s="202"/>
      <c r="AI146" s="202"/>
      <c r="AJ146" s="202"/>
      <c r="AK146" s="202"/>
      <c r="AL146" s="202"/>
      <c r="AM146" s="202"/>
      <c r="AN146" s="202"/>
      <c r="AO146" s="202"/>
      <c r="AP146" s="202"/>
      <c r="AQ146" s="202"/>
      <c r="AR146" s="202"/>
      <c r="AS146" s="202"/>
      <c r="AT146" s="202"/>
      <c r="AU146" s="202"/>
      <c r="AV146" s="202"/>
      <c r="AW146" s="202"/>
      <c r="AX146" s="202"/>
      <c r="AY146" s="202"/>
      <c r="AZ146" s="202"/>
      <c r="BA146" s="202"/>
      <c r="BB146" s="202"/>
      <c r="BC146" s="202"/>
      <c r="BD146" s="202"/>
      <c r="BE146" s="202"/>
      <c r="BF146" s="202"/>
      <c r="BG146" s="202"/>
      <c r="BH146" s="202"/>
      <c r="BI146" s="202"/>
      <c r="BJ146" s="202"/>
      <c r="BK146" s="202"/>
      <c r="BL146" s="202"/>
      <c r="BM146" s="202"/>
      <c r="BN146" s="202"/>
      <c r="BO146" s="202"/>
      <c r="BP146" s="202"/>
      <c r="BQ146" s="202"/>
      <c r="BR146" s="202"/>
      <c r="BS146" s="202"/>
      <c r="BT146" s="202"/>
    </row>
    <row r="147" spans="1:72" s="719" customFormat="1" ht="15.75" customHeight="1">
      <c r="A147" s="215"/>
      <c r="B147" s="216"/>
      <c r="C147" s="234"/>
      <c r="D147" s="217"/>
      <c r="E147" s="217" t="s">
        <v>351</v>
      </c>
      <c r="F147" s="227" t="s">
        <v>330</v>
      </c>
      <c r="G147" s="228">
        <f>7500</f>
        <v>7500</v>
      </c>
      <c r="H147" s="202"/>
      <c r="I147" s="202"/>
      <c r="J147" s="202"/>
      <c r="K147" s="202"/>
      <c r="L147" s="202"/>
      <c r="M147" s="202"/>
      <c r="N147" s="202"/>
      <c r="O147" s="202"/>
      <c r="P147" s="202"/>
      <c r="Q147" s="202"/>
      <c r="R147" s="202"/>
      <c r="S147" s="202"/>
      <c r="T147" s="202"/>
      <c r="U147" s="202"/>
      <c r="V147" s="202"/>
      <c r="W147" s="202"/>
      <c r="X147" s="202"/>
      <c r="Y147" s="202"/>
      <c r="Z147" s="202"/>
      <c r="AA147" s="202"/>
      <c r="AB147" s="202"/>
      <c r="AC147" s="202"/>
      <c r="AD147" s="202"/>
      <c r="AE147" s="202"/>
      <c r="AF147" s="202"/>
      <c r="AG147" s="202"/>
      <c r="AH147" s="202"/>
      <c r="AI147" s="202"/>
      <c r="AJ147" s="202"/>
      <c r="AK147" s="202"/>
      <c r="AL147" s="202"/>
      <c r="AM147" s="202"/>
      <c r="AN147" s="202"/>
      <c r="AO147" s="202"/>
      <c r="AP147" s="202"/>
      <c r="AQ147" s="202"/>
      <c r="AR147" s="202"/>
      <c r="AS147" s="202"/>
      <c r="AT147" s="202"/>
      <c r="AU147" s="202"/>
      <c r="AV147" s="202"/>
      <c r="AW147" s="202"/>
      <c r="AX147" s="202"/>
      <c r="AY147" s="202"/>
      <c r="AZ147" s="202"/>
      <c r="BA147" s="202"/>
      <c r="BB147" s="202"/>
      <c r="BC147" s="202"/>
      <c r="BD147" s="202"/>
      <c r="BE147" s="202"/>
      <c r="BF147" s="202"/>
      <c r="BG147" s="202"/>
      <c r="BH147" s="202"/>
      <c r="BI147" s="202"/>
      <c r="BJ147" s="202"/>
      <c r="BK147" s="202"/>
      <c r="BL147" s="202"/>
      <c r="BM147" s="202"/>
      <c r="BN147" s="202"/>
      <c r="BO147" s="202"/>
      <c r="BP147" s="202"/>
      <c r="BQ147" s="202"/>
      <c r="BR147" s="202"/>
      <c r="BS147" s="202"/>
      <c r="BT147" s="202"/>
    </row>
    <row r="148" spans="1:72" s="719" customFormat="1" ht="7.5" customHeight="1">
      <c r="A148" s="215"/>
      <c r="B148" s="216"/>
      <c r="C148" s="234"/>
      <c r="D148" s="217"/>
      <c r="E148" s="218"/>
      <c r="F148" s="220"/>
      <c r="G148" s="232"/>
      <c r="H148" s="202"/>
      <c r="I148" s="202"/>
      <c r="J148" s="202"/>
      <c r="K148" s="202"/>
      <c r="L148" s="202"/>
      <c r="M148" s="202"/>
      <c r="N148" s="202"/>
      <c r="O148" s="202"/>
      <c r="P148" s="202"/>
      <c r="Q148" s="202"/>
      <c r="R148" s="202"/>
      <c r="S148" s="202"/>
      <c r="T148" s="202"/>
      <c r="U148" s="202"/>
      <c r="V148" s="202"/>
      <c r="W148" s="202"/>
      <c r="X148" s="202"/>
      <c r="Y148" s="202"/>
      <c r="Z148" s="202"/>
      <c r="AA148" s="202"/>
      <c r="AB148" s="202"/>
      <c r="AC148" s="202"/>
      <c r="AD148" s="202"/>
      <c r="AE148" s="202"/>
      <c r="AF148" s="202"/>
      <c r="AG148" s="202"/>
      <c r="AH148" s="202"/>
      <c r="AI148" s="202"/>
      <c r="AJ148" s="202"/>
      <c r="AK148" s="202"/>
      <c r="AL148" s="202"/>
      <c r="AM148" s="202"/>
      <c r="AN148" s="202"/>
      <c r="AO148" s="202"/>
      <c r="AP148" s="202"/>
      <c r="AQ148" s="202"/>
      <c r="AR148" s="202"/>
      <c r="AS148" s="202"/>
      <c r="AT148" s="202"/>
      <c r="AU148" s="202"/>
      <c r="AV148" s="202"/>
      <c r="AW148" s="202"/>
      <c r="AX148" s="202"/>
      <c r="AY148" s="202"/>
      <c r="AZ148" s="202"/>
      <c r="BA148" s="202"/>
      <c r="BB148" s="202"/>
      <c r="BC148" s="202"/>
      <c r="BD148" s="202"/>
      <c r="BE148" s="202"/>
      <c r="BF148" s="202"/>
      <c r="BG148" s="202"/>
      <c r="BH148" s="202"/>
      <c r="BI148" s="202"/>
      <c r="BJ148" s="202"/>
      <c r="BK148" s="202"/>
      <c r="BL148" s="202"/>
      <c r="BM148" s="202"/>
      <c r="BN148" s="202"/>
      <c r="BO148" s="202"/>
      <c r="BP148" s="202"/>
      <c r="BQ148" s="202"/>
      <c r="BR148" s="202"/>
      <c r="BS148" s="202"/>
      <c r="BT148" s="202"/>
    </row>
    <row r="149" spans="1:72" s="719" customFormat="1" ht="15.75" customHeight="1">
      <c r="A149" s="215"/>
      <c r="B149" s="721" t="s">
        <v>21</v>
      </c>
      <c r="C149" s="217" t="s">
        <v>348</v>
      </c>
      <c r="D149" s="217" t="s">
        <v>362</v>
      </c>
      <c r="E149" s="218" t="s">
        <v>330</v>
      </c>
      <c r="F149" s="220" t="s">
        <v>330</v>
      </c>
      <c r="G149" s="219">
        <f>SUM(G151)</f>
        <v>32929</v>
      </c>
      <c r="H149" s="202"/>
      <c r="I149" s="202"/>
      <c r="J149" s="202"/>
      <c r="K149" s="202"/>
      <c r="L149" s="202"/>
      <c r="M149" s="202"/>
      <c r="N149" s="202"/>
      <c r="O149" s="202"/>
      <c r="P149" s="202"/>
      <c r="Q149" s="202"/>
      <c r="R149" s="202"/>
      <c r="S149" s="202"/>
      <c r="T149" s="202"/>
      <c r="U149" s="202"/>
      <c r="V149" s="202"/>
      <c r="W149" s="202"/>
      <c r="X149" s="202"/>
      <c r="Y149" s="202"/>
      <c r="Z149" s="202"/>
      <c r="AA149" s="202"/>
      <c r="AB149" s="202"/>
      <c r="AC149" s="202"/>
      <c r="AD149" s="202"/>
      <c r="AE149" s="202"/>
      <c r="AF149" s="202"/>
      <c r="AG149" s="202"/>
      <c r="AH149" s="202"/>
      <c r="AI149" s="202"/>
      <c r="AJ149" s="202"/>
      <c r="AK149" s="202"/>
      <c r="AL149" s="202"/>
      <c r="AM149" s="202"/>
      <c r="AN149" s="202"/>
      <c r="AO149" s="202"/>
      <c r="AP149" s="202"/>
      <c r="AQ149" s="202"/>
      <c r="AR149" s="202"/>
      <c r="AS149" s="202"/>
      <c r="AT149" s="202"/>
      <c r="AU149" s="202"/>
      <c r="AV149" s="202"/>
      <c r="AW149" s="202"/>
      <c r="AX149" s="202"/>
      <c r="AY149" s="202"/>
      <c r="AZ149" s="202"/>
      <c r="BA149" s="202"/>
      <c r="BB149" s="202"/>
      <c r="BC149" s="202"/>
      <c r="BD149" s="202"/>
      <c r="BE149" s="202"/>
      <c r="BF149" s="202"/>
      <c r="BG149" s="202"/>
      <c r="BH149" s="202"/>
      <c r="BI149" s="202"/>
      <c r="BJ149" s="202"/>
      <c r="BK149" s="202"/>
      <c r="BL149" s="202"/>
      <c r="BM149" s="202"/>
      <c r="BN149" s="202"/>
      <c r="BO149" s="202"/>
      <c r="BP149" s="202"/>
      <c r="BQ149" s="202"/>
      <c r="BR149" s="202"/>
      <c r="BS149" s="202"/>
      <c r="BT149" s="202"/>
    </row>
    <row r="150" spans="1:72" s="719" customFormat="1" ht="5.25" customHeight="1">
      <c r="A150" s="215"/>
      <c r="B150" s="216"/>
      <c r="C150" s="234"/>
      <c r="D150" s="217"/>
      <c r="E150" s="217"/>
      <c r="F150" s="227"/>
      <c r="G150" s="228"/>
      <c r="H150" s="202"/>
      <c r="I150" s="202"/>
      <c r="J150" s="202"/>
      <c r="K150" s="202"/>
      <c r="L150" s="202"/>
      <c r="M150" s="202"/>
      <c r="N150" s="202"/>
      <c r="O150" s="202"/>
      <c r="P150" s="202"/>
      <c r="Q150" s="202"/>
      <c r="R150" s="202"/>
      <c r="S150" s="202"/>
      <c r="T150" s="202"/>
      <c r="U150" s="202"/>
      <c r="V150" s="202"/>
      <c r="W150" s="202"/>
      <c r="X150" s="202"/>
      <c r="Y150" s="202"/>
      <c r="Z150" s="202"/>
      <c r="AA150" s="202"/>
      <c r="AB150" s="202"/>
      <c r="AC150" s="202"/>
      <c r="AD150" s="202"/>
      <c r="AE150" s="202"/>
      <c r="AF150" s="202"/>
      <c r="AG150" s="202"/>
      <c r="AH150" s="202"/>
      <c r="AI150" s="202"/>
      <c r="AJ150" s="202"/>
      <c r="AK150" s="202"/>
      <c r="AL150" s="202"/>
      <c r="AM150" s="202"/>
      <c r="AN150" s="202"/>
      <c r="AO150" s="202"/>
      <c r="AP150" s="202"/>
      <c r="AQ150" s="202"/>
      <c r="AR150" s="202"/>
      <c r="AS150" s="202"/>
      <c r="AT150" s="202"/>
      <c r="AU150" s="202"/>
      <c r="AV150" s="202"/>
      <c r="AW150" s="202"/>
      <c r="AX150" s="202"/>
      <c r="AY150" s="202"/>
      <c r="AZ150" s="202"/>
      <c r="BA150" s="202"/>
      <c r="BB150" s="202"/>
      <c r="BC150" s="202"/>
      <c r="BD150" s="202"/>
      <c r="BE150" s="202"/>
      <c r="BF150" s="202"/>
      <c r="BG150" s="202"/>
      <c r="BH150" s="202"/>
      <c r="BI150" s="202"/>
      <c r="BJ150" s="202"/>
      <c r="BK150" s="202"/>
      <c r="BL150" s="202"/>
      <c r="BM150" s="202"/>
      <c r="BN150" s="202"/>
      <c r="BO150" s="202"/>
      <c r="BP150" s="202"/>
      <c r="BQ150" s="202"/>
      <c r="BR150" s="202"/>
      <c r="BS150" s="202"/>
      <c r="BT150" s="202"/>
    </row>
    <row r="151" spans="1:72" s="719" customFormat="1" ht="15.75" customHeight="1">
      <c r="A151" s="215"/>
      <c r="B151" s="216"/>
      <c r="C151" s="234"/>
      <c r="D151" s="217"/>
      <c r="E151" s="217"/>
      <c r="F151" s="227"/>
      <c r="G151" s="720">
        <f>SUM(G152:G154)</f>
        <v>32929</v>
      </c>
      <c r="H151" s="202"/>
      <c r="I151" s="202"/>
      <c r="J151" s="202"/>
      <c r="K151" s="202"/>
      <c r="L151" s="202"/>
      <c r="M151" s="202"/>
      <c r="N151" s="202"/>
      <c r="O151" s="202"/>
      <c r="P151" s="202"/>
      <c r="Q151" s="202"/>
      <c r="R151" s="202"/>
      <c r="S151" s="202"/>
      <c r="T151" s="202"/>
      <c r="U151" s="202"/>
      <c r="V151" s="202"/>
      <c r="W151" s="202"/>
      <c r="X151" s="202"/>
      <c r="Y151" s="202"/>
      <c r="Z151" s="202"/>
      <c r="AA151" s="202"/>
      <c r="AB151" s="202"/>
      <c r="AC151" s="202"/>
      <c r="AD151" s="202"/>
      <c r="AE151" s="202"/>
      <c r="AF151" s="202"/>
      <c r="AG151" s="202"/>
      <c r="AH151" s="202"/>
      <c r="AI151" s="202"/>
      <c r="AJ151" s="202"/>
      <c r="AK151" s="202"/>
      <c r="AL151" s="202"/>
      <c r="AM151" s="202"/>
      <c r="AN151" s="202"/>
      <c r="AO151" s="202"/>
      <c r="AP151" s="202"/>
      <c r="AQ151" s="202"/>
      <c r="AR151" s="202"/>
      <c r="AS151" s="202"/>
      <c r="AT151" s="202"/>
      <c r="AU151" s="202"/>
      <c r="AV151" s="202"/>
      <c r="AW151" s="202"/>
      <c r="AX151" s="202"/>
      <c r="AY151" s="202"/>
      <c r="AZ151" s="202"/>
      <c r="BA151" s="202"/>
      <c r="BB151" s="202"/>
      <c r="BC151" s="202"/>
      <c r="BD151" s="202"/>
      <c r="BE151" s="202"/>
      <c r="BF151" s="202"/>
      <c r="BG151" s="202"/>
      <c r="BH151" s="202"/>
      <c r="BI151" s="202"/>
      <c r="BJ151" s="202"/>
      <c r="BK151" s="202"/>
      <c r="BL151" s="202"/>
      <c r="BM151" s="202"/>
      <c r="BN151" s="202"/>
      <c r="BO151" s="202"/>
      <c r="BP151" s="202"/>
      <c r="BQ151" s="202"/>
      <c r="BR151" s="202"/>
      <c r="BS151" s="202"/>
      <c r="BT151" s="202"/>
    </row>
    <row r="152" spans="1:72" s="719" customFormat="1" ht="15.75" customHeight="1">
      <c r="A152" s="215"/>
      <c r="B152" s="216"/>
      <c r="C152" s="234"/>
      <c r="D152" s="217"/>
      <c r="E152" s="217" t="s">
        <v>270</v>
      </c>
      <c r="F152" s="227" t="s">
        <v>330</v>
      </c>
      <c r="G152" s="228">
        <f>3481+3708+3352+3711+3592+3711+3469+2452+2453</f>
        <v>29929</v>
      </c>
      <c r="H152" s="202"/>
      <c r="I152" s="202"/>
      <c r="J152" s="202"/>
      <c r="K152" s="202"/>
      <c r="L152" s="202"/>
      <c r="M152" s="202"/>
      <c r="N152" s="202"/>
      <c r="O152" s="202"/>
      <c r="P152" s="202"/>
      <c r="Q152" s="202"/>
      <c r="R152" s="202"/>
      <c r="S152" s="202"/>
      <c r="T152" s="202"/>
      <c r="U152" s="202"/>
      <c r="V152" s="202"/>
      <c r="W152" s="202"/>
      <c r="X152" s="202"/>
      <c r="Y152" s="202"/>
      <c r="Z152" s="202"/>
      <c r="AA152" s="202"/>
      <c r="AB152" s="202"/>
      <c r="AC152" s="202"/>
      <c r="AD152" s="202"/>
      <c r="AE152" s="202"/>
      <c r="AF152" s="202"/>
      <c r="AG152" s="202"/>
      <c r="AH152" s="202"/>
      <c r="AI152" s="202"/>
      <c r="AJ152" s="202"/>
      <c r="AK152" s="202"/>
      <c r="AL152" s="202"/>
      <c r="AM152" s="202"/>
      <c r="AN152" s="202"/>
      <c r="AO152" s="202"/>
      <c r="AP152" s="202"/>
      <c r="AQ152" s="202"/>
      <c r="AR152" s="202"/>
      <c r="AS152" s="202"/>
      <c r="AT152" s="202"/>
      <c r="AU152" s="202"/>
      <c r="AV152" s="202"/>
      <c r="AW152" s="202"/>
      <c r="AX152" s="202"/>
      <c r="AY152" s="202"/>
      <c r="AZ152" s="202"/>
      <c r="BA152" s="202"/>
      <c r="BB152" s="202"/>
      <c r="BC152" s="202"/>
      <c r="BD152" s="202"/>
      <c r="BE152" s="202"/>
      <c r="BF152" s="202"/>
      <c r="BG152" s="202"/>
      <c r="BH152" s="202"/>
      <c r="BI152" s="202"/>
      <c r="BJ152" s="202"/>
      <c r="BK152" s="202"/>
      <c r="BL152" s="202"/>
      <c r="BM152" s="202"/>
      <c r="BN152" s="202"/>
      <c r="BO152" s="202"/>
      <c r="BP152" s="202"/>
      <c r="BQ152" s="202"/>
      <c r="BR152" s="202"/>
      <c r="BS152" s="202"/>
      <c r="BT152" s="202"/>
    </row>
    <row r="153" spans="1:72" s="719" customFormat="1" ht="15.75" customHeight="1">
      <c r="A153" s="215"/>
      <c r="B153" s="216"/>
      <c r="C153" s="234"/>
      <c r="D153" s="217"/>
      <c r="E153" s="217" t="s">
        <v>344</v>
      </c>
      <c r="F153" s="227" t="s">
        <v>330</v>
      </c>
      <c r="G153" s="228">
        <v>400</v>
      </c>
      <c r="H153" s="202"/>
      <c r="I153" s="202"/>
      <c r="J153" s="202"/>
      <c r="K153" s="202"/>
      <c r="L153" s="202"/>
      <c r="M153" s="202"/>
      <c r="N153" s="202"/>
      <c r="O153" s="202"/>
      <c r="P153" s="202"/>
      <c r="Q153" s="202"/>
      <c r="R153" s="202"/>
      <c r="S153" s="202"/>
      <c r="T153" s="202"/>
      <c r="U153" s="202"/>
      <c r="V153" s="202"/>
      <c r="W153" s="202"/>
      <c r="X153" s="202"/>
      <c r="Y153" s="202"/>
      <c r="Z153" s="202"/>
      <c r="AA153" s="202"/>
      <c r="AB153" s="202"/>
      <c r="AC153" s="202"/>
      <c r="AD153" s="202"/>
      <c r="AE153" s="202"/>
      <c r="AF153" s="202"/>
      <c r="AG153" s="202"/>
      <c r="AH153" s="202"/>
      <c r="AI153" s="202"/>
      <c r="AJ153" s="202"/>
      <c r="AK153" s="202"/>
      <c r="AL153" s="202"/>
      <c r="AM153" s="202"/>
      <c r="AN153" s="202"/>
      <c r="AO153" s="202"/>
      <c r="AP153" s="202"/>
      <c r="AQ153" s="202"/>
      <c r="AR153" s="202"/>
      <c r="AS153" s="202"/>
      <c r="AT153" s="202"/>
      <c r="AU153" s="202"/>
      <c r="AV153" s="202"/>
      <c r="AW153" s="202"/>
      <c r="AX153" s="202"/>
      <c r="AY153" s="202"/>
      <c r="AZ153" s="202"/>
      <c r="BA153" s="202"/>
      <c r="BB153" s="202"/>
      <c r="BC153" s="202"/>
      <c r="BD153" s="202"/>
      <c r="BE153" s="202"/>
      <c r="BF153" s="202"/>
      <c r="BG153" s="202"/>
      <c r="BH153" s="202"/>
      <c r="BI153" s="202"/>
      <c r="BJ153" s="202"/>
      <c r="BK153" s="202"/>
      <c r="BL153" s="202"/>
      <c r="BM153" s="202"/>
      <c r="BN153" s="202"/>
      <c r="BO153" s="202"/>
      <c r="BP153" s="202"/>
      <c r="BQ153" s="202"/>
      <c r="BR153" s="202"/>
      <c r="BS153" s="202"/>
      <c r="BT153" s="202"/>
    </row>
    <row r="154" spans="1:72" s="719" customFormat="1" ht="15.75" customHeight="1">
      <c r="A154" s="215"/>
      <c r="B154" s="216"/>
      <c r="C154" s="234"/>
      <c r="D154" s="217"/>
      <c r="E154" s="217" t="s">
        <v>351</v>
      </c>
      <c r="F154" s="227" t="s">
        <v>330</v>
      </c>
      <c r="G154" s="228">
        <v>2600</v>
      </c>
      <c r="H154" s="202"/>
      <c r="I154" s="202"/>
      <c r="J154" s="202"/>
      <c r="K154" s="202"/>
      <c r="L154" s="202"/>
      <c r="M154" s="202"/>
      <c r="N154" s="202"/>
      <c r="O154" s="202"/>
      <c r="P154" s="202"/>
      <c r="Q154" s="202"/>
      <c r="R154" s="202"/>
      <c r="S154" s="202"/>
      <c r="T154" s="202"/>
      <c r="U154" s="202"/>
      <c r="V154" s="202"/>
      <c r="W154" s="202"/>
      <c r="X154" s="202"/>
      <c r="Y154" s="202"/>
      <c r="Z154" s="202"/>
      <c r="AA154" s="202"/>
      <c r="AB154" s="202"/>
      <c r="AC154" s="202"/>
      <c r="AD154" s="202"/>
      <c r="AE154" s="202"/>
      <c r="AF154" s="202"/>
      <c r="AG154" s="202"/>
      <c r="AH154" s="202"/>
      <c r="AI154" s="202"/>
      <c r="AJ154" s="202"/>
      <c r="AK154" s="202"/>
      <c r="AL154" s="202"/>
      <c r="AM154" s="202"/>
      <c r="AN154" s="202"/>
      <c r="AO154" s="202"/>
      <c r="AP154" s="202"/>
      <c r="AQ154" s="202"/>
      <c r="AR154" s="202"/>
      <c r="AS154" s="202"/>
      <c r="AT154" s="202"/>
      <c r="AU154" s="202"/>
      <c r="AV154" s="202"/>
      <c r="AW154" s="202"/>
      <c r="AX154" s="202"/>
      <c r="AY154" s="202"/>
      <c r="AZ154" s="202"/>
      <c r="BA154" s="202"/>
      <c r="BB154" s="202"/>
      <c r="BC154" s="202"/>
      <c r="BD154" s="202"/>
      <c r="BE154" s="202"/>
      <c r="BF154" s="202"/>
      <c r="BG154" s="202"/>
      <c r="BH154" s="202"/>
      <c r="BI154" s="202"/>
      <c r="BJ154" s="202"/>
      <c r="BK154" s="202"/>
      <c r="BL154" s="202"/>
      <c r="BM154" s="202"/>
      <c r="BN154" s="202"/>
      <c r="BO154" s="202"/>
      <c r="BP154" s="202"/>
      <c r="BQ154" s="202"/>
      <c r="BR154" s="202"/>
      <c r="BS154" s="202"/>
      <c r="BT154" s="202"/>
    </row>
    <row r="155" spans="1:72" s="719" customFormat="1" ht="4.5" customHeight="1">
      <c r="A155" s="229"/>
      <c r="B155" s="230"/>
      <c r="C155" s="231"/>
      <c r="D155" s="218"/>
      <c r="E155" s="218"/>
      <c r="F155" s="220"/>
      <c r="G155" s="232"/>
      <c r="H155" s="202"/>
      <c r="I155" s="202"/>
      <c r="J155" s="202"/>
      <c r="K155" s="202"/>
      <c r="L155" s="202"/>
      <c r="M155" s="202"/>
      <c r="N155" s="202"/>
      <c r="O155" s="202"/>
      <c r="P155" s="202"/>
      <c r="Q155" s="202"/>
      <c r="R155" s="202"/>
      <c r="S155" s="202"/>
      <c r="T155" s="202"/>
      <c r="U155" s="202"/>
      <c r="V155" s="202"/>
      <c r="W155" s="202"/>
      <c r="X155" s="202"/>
      <c r="Y155" s="202"/>
      <c r="Z155" s="202"/>
      <c r="AA155" s="202"/>
      <c r="AB155" s="202"/>
      <c r="AC155" s="202"/>
      <c r="AD155" s="202"/>
      <c r="AE155" s="202"/>
      <c r="AF155" s="202"/>
      <c r="AG155" s="202"/>
      <c r="AH155" s="202"/>
      <c r="AI155" s="202"/>
      <c r="AJ155" s="202"/>
      <c r="AK155" s="202"/>
      <c r="AL155" s="202"/>
      <c r="AM155" s="202"/>
      <c r="AN155" s="202"/>
      <c r="AO155" s="202"/>
      <c r="AP155" s="202"/>
      <c r="AQ155" s="202"/>
      <c r="AR155" s="202"/>
      <c r="AS155" s="202"/>
      <c r="AT155" s="202"/>
      <c r="AU155" s="202"/>
      <c r="AV155" s="202"/>
      <c r="AW155" s="202"/>
      <c r="AX155" s="202"/>
      <c r="AY155" s="202"/>
      <c r="AZ155" s="202"/>
      <c r="BA155" s="202"/>
      <c r="BB155" s="202"/>
      <c r="BC155" s="202"/>
      <c r="BD155" s="202"/>
      <c r="BE155" s="202"/>
      <c r="BF155" s="202"/>
      <c r="BG155" s="202"/>
      <c r="BH155" s="202"/>
      <c r="BI155" s="202"/>
      <c r="BJ155" s="202"/>
      <c r="BK155" s="202"/>
      <c r="BL155" s="202"/>
      <c r="BM155" s="202"/>
      <c r="BN155" s="202"/>
      <c r="BO155" s="202"/>
      <c r="BP155" s="202"/>
      <c r="BQ155" s="202"/>
      <c r="BR155" s="202"/>
      <c r="BS155" s="202"/>
      <c r="BT155" s="202"/>
    </row>
    <row r="156" spans="1:72" s="719" customFormat="1" ht="15.75" customHeight="1">
      <c r="A156" s="215"/>
      <c r="B156" s="721" t="s">
        <v>21</v>
      </c>
      <c r="C156" s="217" t="s">
        <v>363</v>
      </c>
      <c r="D156" s="217" t="s">
        <v>364</v>
      </c>
      <c r="E156" s="218" t="s">
        <v>330</v>
      </c>
      <c r="F156" s="220" t="s">
        <v>330</v>
      </c>
      <c r="G156" s="219">
        <f>SUM(G158)</f>
        <v>66239.7</v>
      </c>
      <c r="H156" s="202"/>
      <c r="I156" s="202"/>
      <c r="J156" s="202"/>
      <c r="K156" s="202"/>
      <c r="L156" s="202"/>
      <c r="M156" s="202"/>
      <c r="N156" s="202"/>
      <c r="O156" s="202"/>
      <c r="P156" s="202"/>
      <c r="Q156" s="202"/>
      <c r="R156" s="202"/>
      <c r="S156" s="202"/>
      <c r="T156" s="202"/>
      <c r="U156" s="202"/>
      <c r="V156" s="202"/>
      <c r="W156" s="202"/>
      <c r="X156" s="202"/>
      <c r="Y156" s="202"/>
      <c r="Z156" s="202"/>
      <c r="AA156" s="202"/>
      <c r="AB156" s="202"/>
      <c r="AC156" s="202"/>
      <c r="AD156" s="202"/>
      <c r="AE156" s="202"/>
      <c r="AF156" s="202"/>
      <c r="AG156" s="202"/>
      <c r="AH156" s="202"/>
      <c r="AI156" s="202"/>
      <c r="AJ156" s="202"/>
      <c r="AK156" s="202"/>
      <c r="AL156" s="202"/>
      <c r="AM156" s="202"/>
      <c r="AN156" s="202"/>
      <c r="AO156" s="202"/>
      <c r="AP156" s="202"/>
      <c r="AQ156" s="202"/>
      <c r="AR156" s="202"/>
      <c r="AS156" s="202"/>
      <c r="AT156" s="202"/>
      <c r="AU156" s="202"/>
      <c r="AV156" s="202"/>
      <c r="AW156" s="202"/>
      <c r="AX156" s="202"/>
      <c r="AY156" s="202"/>
      <c r="AZ156" s="202"/>
      <c r="BA156" s="202"/>
      <c r="BB156" s="202"/>
      <c r="BC156" s="202"/>
      <c r="BD156" s="202"/>
      <c r="BE156" s="202"/>
      <c r="BF156" s="202"/>
      <c r="BG156" s="202"/>
      <c r="BH156" s="202"/>
      <c r="BI156" s="202"/>
      <c r="BJ156" s="202"/>
      <c r="BK156" s="202"/>
      <c r="BL156" s="202"/>
      <c r="BM156" s="202"/>
      <c r="BN156" s="202"/>
      <c r="BO156" s="202"/>
      <c r="BP156" s="202"/>
      <c r="BQ156" s="202"/>
      <c r="BR156" s="202"/>
      <c r="BS156" s="202"/>
      <c r="BT156" s="202"/>
    </row>
    <row r="157" spans="1:72" s="719" customFormat="1" ht="7.5" customHeight="1">
      <c r="A157" s="215"/>
      <c r="B157" s="216"/>
      <c r="C157" s="234"/>
      <c r="D157" s="217"/>
      <c r="E157" s="217"/>
      <c r="F157" s="227"/>
      <c r="G157" s="228"/>
      <c r="H157" s="202"/>
      <c r="I157" s="202"/>
      <c r="J157" s="202"/>
      <c r="K157" s="202"/>
      <c r="L157" s="202"/>
      <c r="M157" s="202"/>
      <c r="N157" s="202"/>
      <c r="O157" s="202"/>
      <c r="P157" s="202"/>
      <c r="Q157" s="202"/>
      <c r="R157" s="202"/>
      <c r="S157" s="202"/>
      <c r="T157" s="202"/>
      <c r="U157" s="202"/>
      <c r="V157" s="202"/>
      <c r="W157" s="202"/>
      <c r="X157" s="202"/>
      <c r="Y157" s="202"/>
      <c r="Z157" s="202"/>
      <c r="AA157" s="202"/>
      <c r="AB157" s="202"/>
      <c r="AC157" s="202"/>
      <c r="AD157" s="202"/>
      <c r="AE157" s="202"/>
      <c r="AF157" s="202"/>
      <c r="AG157" s="202"/>
      <c r="AH157" s="202"/>
      <c r="AI157" s="202"/>
      <c r="AJ157" s="202"/>
      <c r="AK157" s="202"/>
      <c r="AL157" s="202"/>
      <c r="AM157" s="202"/>
      <c r="AN157" s="202"/>
      <c r="AO157" s="202"/>
      <c r="AP157" s="202"/>
      <c r="AQ157" s="202"/>
      <c r="AR157" s="202"/>
      <c r="AS157" s="202"/>
      <c r="AT157" s="202"/>
      <c r="AU157" s="202"/>
      <c r="AV157" s="202"/>
      <c r="AW157" s="202"/>
      <c r="AX157" s="202"/>
      <c r="AY157" s="202"/>
      <c r="AZ157" s="202"/>
      <c r="BA157" s="202"/>
      <c r="BB157" s="202"/>
      <c r="BC157" s="202"/>
      <c r="BD157" s="202"/>
      <c r="BE157" s="202"/>
      <c r="BF157" s="202"/>
      <c r="BG157" s="202"/>
      <c r="BH157" s="202"/>
      <c r="BI157" s="202"/>
      <c r="BJ157" s="202"/>
      <c r="BK157" s="202"/>
      <c r="BL157" s="202"/>
      <c r="BM157" s="202"/>
      <c r="BN157" s="202"/>
      <c r="BO157" s="202"/>
      <c r="BP157" s="202"/>
      <c r="BQ157" s="202"/>
      <c r="BR157" s="202"/>
      <c r="BS157" s="202"/>
      <c r="BT157" s="202"/>
    </row>
    <row r="158" spans="1:72" s="719" customFormat="1" ht="15.75" customHeight="1">
      <c r="A158" s="215"/>
      <c r="B158" s="216"/>
      <c r="C158" s="234"/>
      <c r="D158" s="217"/>
      <c r="E158" s="217"/>
      <c r="F158" s="227"/>
      <c r="G158" s="720">
        <f>SUM(G159:G161)</f>
        <v>66239.7</v>
      </c>
      <c r="H158" s="202"/>
      <c r="I158" s="202"/>
      <c r="J158" s="202"/>
      <c r="K158" s="202"/>
      <c r="L158" s="202"/>
      <c r="M158" s="202"/>
      <c r="N158" s="202"/>
      <c r="O158" s="202"/>
      <c r="P158" s="202"/>
      <c r="Q158" s="202"/>
      <c r="R158" s="202"/>
      <c r="S158" s="202"/>
      <c r="T158" s="202"/>
      <c r="U158" s="202"/>
      <c r="V158" s="202"/>
      <c r="W158" s="202"/>
      <c r="X158" s="202"/>
      <c r="Y158" s="202"/>
      <c r="Z158" s="202"/>
      <c r="AA158" s="202"/>
      <c r="AB158" s="202"/>
      <c r="AC158" s="202"/>
      <c r="AD158" s="202"/>
      <c r="AE158" s="202"/>
      <c r="AF158" s="202"/>
      <c r="AG158" s="202"/>
      <c r="AH158" s="202"/>
      <c r="AI158" s="202"/>
      <c r="AJ158" s="202"/>
      <c r="AK158" s="202"/>
      <c r="AL158" s="202"/>
      <c r="AM158" s="202"/>
      <c r="AN158" s="202"/>
      <c r="AO158" s="202"/>
      <c r="AP158" s="202"/>
      <c r="AQ158" s="202"/>
      <c r="AR158" s="202"/>
      <c r="AS158" s="202"/>
      <c r="AT158" s="202"/>
      <c r="AU158" s="202"/>
      <c r="AV158" s="202"/>
      <c r="AW158" s="202"/>
      <c r="AX158" s="202"/>
      <c r="AY158" s="202"/>
      <c r="AZ158" s="202"/>
      <c r="BA158" s="202"/>
      <c r="BB158" s="202"/>
      <c r="BC158" s="202"/>
      <c r="BD158" s="202"/>
      <c r="BE158" s="202"/>
      <c r="BF158" s="202"/>
      <c r="BG158" s="202"/>
      <c r="BH158" s="202"/>
      <c r="BI158" s="202"/>
      <c r="BJ158" s="202"/>
      <c r="BK158" s="202"/>
      <c r="BL158" s="202"/>
      <c r="BM158" s="202"/>
      <c r="BN158" s="202"/>
      <c r="BO158" s="202"/>
      <c r="BP158" s="202"/>
      <c r="BQ158" s="202"/>
      <c r="BR158" s="202"/>
      <c r="BS158" s="202"/>
      <c r="BT158" s="202"/>
    </row>
    <row r="159" spans="1:72" s="719" customFormat="1" ht="15.75" customHeight="1">
      <c r="A159" s="215"/>
      <c r="B159" s="216"/>
      <c r="C159" s="234"/>
      <c r="D159" s="217"/>
      <c r="E159" s="217" t="s">
        <v>270</v>
      </c>
      <c r="F159" s="227" t="s">
        <v>330</v>
      </c>
      <c r="G159" s="228">
        <f>5888+6308+9364.7+7407+7608+8547+3822</f>
        <v>48944.7</v>
      </c>
      <c r="H159" s="202"/>
      <c r="I159" s="202"/>
      <c r="J159" s="202"/>
      <c r="K159" s="202"/>
      <c r="L159" s="202"/>
      <c r="M159" s="202"/>
      <c r="N159" s="202"/>
      <c r="O159" s="202"/>
      <c r="P159" s="202"/>
      <c r="Q159" s="202"/>
      <c r="R159" s="202"/>
      <c r="S159" s="202"/>
      <c r="T159" s="202"/>
      <c r="U159" s="202"/>
      <c r="V159" s="202"/>
      <c r="W159" s="202"/>
      <c r="X159" s="202"/>
      <c r="Y159" s="202"/>
      <c r="Z159" s="202"/>
      <c r="AA159" s="202"/>
      <c r="AB159" s="202"/>
      <c r="AC159" s="202"/>
      <c r="AD159" s="202"/>
      <c r="AE159" s="202"/>
      <c r="AF159" s="202"/>
      <c r="AG159" s="202"/>
      <c r="AH159" s="202"/>
      <c r="AI159" s="202"/>
      <c r="AJ159" s="202"/>
      <c r="AK159" s="202"/>
      <c r="AL159" s="202"/>
      <c r="AM159" s="202"/>
      <c r="AN159" s="202"/>
      <c r="AO159" s="202"/>
      <c r="AP159" s="202"/>
      <c r="AQ159" s="202"/>
      <c r="AR159" s="202"/>
      <c r="AS159" s="202"/>
      <c r="AT159" s="202"/>
      <c r="AU159" s="202"/>
      <c r="AV159" s="202"/>
      <c r="AW159" s="202"/>
      <c r="AX159" s="202"/>
      <c r="AY159" s="202"/>
      <c r="AZ159" s="202"/>
      <c r="BA159" s="202"/>
      <c r="BB159" s="202"/>
      <c r="BC159" s="202"/>
      <c r="BD159" s="202"/>
      <c r="BE159" s="202"/>
      <c r="BF159" s="202"/>
      <c r="BG159" s="202"/>
      <c r="BH159" s="202"/>
      <c r="BI159" s="202"/>
      <c r="BJ159" s="202"/>
      <c r="BK159" s="202"/>
      <c r="BL159" s="202"/>
      <c r="BM159" s="202"/>
      <c r="BN159" s="202"/>
      <c r="BO159" s="202"/>
      <c r="BP159" s="202"/>
      <c r="BQ159" s="202"/>
      <c r="BR159" s="202"/>
      <c r="BS159" s="202"/>
      <c r="BT159" s="202"/>
    </row>
    <row r="160" spans="1:72" s="719" customFormat="1" ht="15.75" customHeight="1">
      <c r="A160" s="215"/>
      <c r="B160" s="216"/>
      <c r="C160" s="234"/>
      <c r="D160" s="217"/>
      <c r="E160" s="217" t="s">
        <v>344</v>
      </c>
      <c r="F160" s="227" t="s">
        <v>330</v>
      </c>
      <c r="G160" s="228">
        <f>2566</f>
        <v>2566</v>
      </c>
      <c r="H160" s="202"/>
      <c r="I160" s="202"/>
      <c r="J160" s="202"/>
      <c r="K160" s="202"/>
      <c r="L160" s="202"/>
      <c r="M160" s="202"/>
      <c r="N160" s="202"/>
      <c r="O160" s="202"/>
      <c r="P160" s="202"/>
      <c r="Q160" s="202"/>
      <c r="R160" s="202"/>
      <c r="S160" s="202"/>
      <c r="T160" s="202"/>
      <c r="U160" s="202"/>
      <c r="V160" s="202"/>
      <c r="W160" s="202"/>
      <c r="X160" s="202"/>
      <c r="Y160" s="202"/>
      <c r="Z160" s="202"/>
      <c r="AA160" s="202"/>
      <c r="AB160" s="202"/>
      <c r="AC160" s="202"/>
      <c r="AD160" s="202"/>
      <c r="AE160" s="202"/>
      <c r="AF160" s="202"/>
      <c r="AG160" s="202"/>
      <c r="AH160" s="202"/>
      <c r="AI160" s="202"/>
      <c r="AJ160" s="202"/>
      <c r="AK160" s="202"/>
      <c r="AL160" s="202"/>
      <c r="AM160" s="202"/>
      <c r="AN160" s="202"/>
      <c r="AO160" s="202"/>
      <c r="AP160" s="202"/>
      <c r="AQ160" s="202"/>
      <c r="AR160" s="202"/>
      <c r="AS160" s="202"/>
      <c r="AT160" s="202"/>
      <c r="AU160" s="202"/>
      <c r="AV160" s="202"/>
      <c r="AW160" s="202"/>
      <c r="AX160" s="202"/>
      <c r="AY160" s="202"/>
      <c r="AZ160" s="202"/>
      <c r="BA160" s="202"/>
      <c r="BB160" s="202"/>
      <c r="BC160" s="202"/>
      <c r="BD160" s="202"/>
      <c r="BE160" s="202"/>
      <c r="BF160" s="202"/>
      <c r="BG160" s="202"/>
      <c r="BH160" s="202"/>
      <c r="BI160" s="202"/>
      <c r="BJ160" s="202"/>
      <c r="BK160" s="202"/>
      <c r="BL160" s="202"/>
      <c r="BM160" s="202"/>
      <c r="BN160" s="202"/>
      <c r="BO160" s="202"/>
      <c r="BP160" s="202"/>
      <c r="BQ160" s="202"/>
      <c r="BR160" s="202"/>
      <c r="BS160" s="202"/>
      <c r="BT160" s="202"/>
    </row>
    <row r="161" spans="1:72" s="719" customFormat="1" ht="15.75" customHeight="1">
      <c r="A161" s="215"/>
      <c r="B161" s="216"/>
      <c r="C161" s="234"/>
      <c r="D161" s="217"/>
      <c r="E161" s="217" t="s">
        <v>351</v>
      </c>
      <c r="F161" s="227" t="s">
        <v>330</v>
      </c>
      <c r="G161" s="228">
        <f>14729</f>
        <v>14729</v>
      </c>
      <c r="H161" s="202"/>
      <c r="I161" s="202"/>
      <c r="J161" s="202"/>
      <c r="K161" s="202"/>
      <c r="L161" s="202"/>
      <c r="M161" s="202"/>
      <c r="N161" s="202"/>
      <c r="O161" s="202"/>
      <c r="P161" s="202"/>
      <c r="Q161" s="202"/>
      <c r="R161" s="202"/>
      <c r="S161" s="202"/>
      <c r="T161" s="202"/>
      <c r="U161" s="202"/>
      <c r="V161" s="202"/>
      <c r="W161" s="202"/>
      <c r="X161" s="202"/>
      <c r="Y161" s="202"/>
      <c r="Z161" s="202"/>
      <c r="AA161" s="202"/>
      <c r="AB161" s="202"/>
      <c r="AC161" s="202"/>
      <c r="AD161" s="202"/>
      <c r="AE161" s="202"/>
      <c r="AF161" s="202"/>
      <c r="AG161" s="202"/>
      <c r="AH161" s="202"/>
      <c r="AI161" s="202"/>
      <c r="AJ161" s="202"/>
      <c r="AK161" s="202"/>
      <c r="AL161" s="202"/>
      <c r="AM161" s="202"/>
      <c r="AN161" s="202"/>
      <c r="AO161" s="202"/>
      <c r="AP161" s="202"/>
      <c r="AQ161" s="202"/>
      <c r="AR161" s="202"/>
      <c r="AS161" s="202"/>
      <c r="AT161" s="202"/>
      <c r="AU161" s="202"/>
      <c r="AV161" s="202"/>
      <c r="AW161" s="202"/>
      <c r="AX161" s="202"/>
      <c r="AY161" s="202"/>
      <c r="AZ161" s="202"/>
      <c r="BA161" s="202"/>
      <c r="BB161" s="202"/>
      <c r="BC161" s="202"/>
      <c r="BD161" s="202"/>
      <c r="BE161" s="202"/>
      <c r="BF161" s="202"/>
      <c r="BG161" s="202"/>
      <c r="BH161" s="202"/>
      <c r="BI161" s="202"/>
      <c r="BJ161" s="202"/>
      <c r="BK161" s="202"/>
      <c r="BL161" s="202"/>
      <c r="BM161" s="202"/>
      <c r="BN161" s="202"/>
      <c r="BO161" s="202"/>
      <c r="BP161" s="202"/>
      <c r="BQ161" s="202"/>
      <c r="BR161" s="202"/>
      <c r="BS161" s="202"/>
      <c r="BT161" s="202"/>
    </row>
    <row r="162" spans="1:72" s="719" customFormat="1" ht="6.75" customHeight="1">
      <c r="A162" s="229"/>
      <c r="B162" s="230"/>
      <c r="C162" s="231"/>
      <c r="D162" s="218"/>
      <c r="E162" s="218"/>
      <c r="F162" s="220"/>
      <c r="G162" s="232"/>
      <c r="H162" s="202"/>
      <c r="I162" s="202"/>
      <c r="J162" s="202"/>
      <c r="K162" s="202"/>
      <c r="L162" s="202"/>
      <c r="M162" s="202"/>
      <c r="N162" s="202"/>
      <c r="O162" s="202"/>
      <c r="P162" s="202"/>
      <c r="Q162" s="202"/>
      <c r="R162" s="202"/>
      <c r="S162" s="202"/>
      <c r="T162" s="202"/>
      <c r="U162" s="202"/>
      <c r="V162" s="202"/>
      <c r="W162" s="202"/>
      <c r="X162" s="202"/>
      <c r="Y162" s="202"/>
      <c r="Z162" s="202"/>
      <c r="AA162" s="202"/>
      <c r="AB162" s="202"/>
      <c r="AC162" s="202"/>
      <c r="AD162" s="202"/>
      <c r="AE162" s="202"/>
      <c r="AF162" s="202"/>
      <c r="AG162" s="202"/>
      <c r="AH162" s="202"/>
      <c r="AI162" s="202"/>
      <c r="AJ162" s="202"/>
      <c r="AK162" s="202"/>
      <c r="AL162" s="202"/>
      <c r="AM162" s="202"/>
      <c r="AN162" s="202"/>
      <c r="AO162" s="202"/>
      <c r="AP162" s="202"/>
      <c r="AQ162" s="202"/>
      <c r="AR162" s="202"/>
      <c r="AS162" s="202"/>
      <c r="AT162" s="202"/>
      <c r="AU162" s="202"/>
      <c r="AV162" s="202"/>
      <c r="AW162" s="202"/>
      <c r="AX162" s="202"/>
      <c r="AY162" s="202"/>
      <c r="AZ162" s="202"/>
      <c r="BA162" s="202"/>
      <c r="BB162" s="202"/>
      <c r="BC162" s="202"/>
      <c r="BD162" s="202"/>
      <c r="BE162" s="202"/>
      <c r="BF162" s="202"/>
      <c r="BG162" s="202"/>
      <c r="BH162" s="202"/>
      <c r="BI162" s="202"/>
      <c r="BJ162" s="202"/>
      <c r="BK162" s="202"/>
      <c r="BL162" s="202"/>
      <c r="BM162" s="202"/>
      <c r="BN162" s="202"/>
      <c r="BO162" s="202"/>
      <c r="BP162" s="202"/>
      <c r="BQ162" s="202"/>
      <c r="BR162" s="202"/>
      <c r="BS162" s="202"/>
      <c r="BT162" s="202"/>
    </row>
    <row r="163" spans="1:72" s="719" customFormat="1" ht="15.75" customHeight="1">
      <c r="A163" s="215"/>
      <c r="B163" s="216"/>
      <c r="C163" s="217"/>
      <c r="D163" s="217"/>
      <c r="E163" s="218" t="s">
        <v>86</v>
      </c>
      <c r="F163" s="219">
        <f>270+270+270+270</f>
        <v>1080</v>
      </c>
      <c r="G163" s="220" t="s">
        <v>330</v>
      </c>
      <c r="H163" s="202"/>
      <c r="I163" s="202"/>
      <c r="J163" s="202"/>
      <c r="K163" s="202"/>
      <c r="L163" s="202"/>
      <c r="M163" s="202"/>
      <c r="N163" s="202"/>
      <c r="O163" s="202"/>
      <c r="P163" s="202"/>
      <c r="Q163" s="202"/>
      <c r="R163" s="202"/>
      <c r="S163" s="202"/>
      <c r="T163" s="202"/>
      <c r="U163" s="202"/>
      <c r="V163" s="202"/>
      <c r="W163" s="202"/>
      <c r="X163" s="202"/>
      <c r="Y163" s="202"/>
      <c r="Z163" s="202"/>
      <c r="AA163" s="202"/>
      <c r="AB163" s="202"/>
      <c r="AC163" s="202"/>
      <c r="AD163" s="202"/>
      <c r="AE163" s="202"/>
      <c r="AF163" s="202"/>
      <c r="AG163" s="202"/>
      <c r="AH163" s="202"/>
      <c r="AI163" s="202"/>
      <c r="AJ163" s="202"/>
      <c r="AK163" s="202"/>
      <c r="AL163" s="202"/>
      <c r="AM163" s="202"/>
      <c r="AN163" s="202"/>
      <c r="AO163" s="202"/>
      <c r="AP163" s="202"/>
      <c r="AQ163" s="202"/>
      <c r="AR163" s="202"/>
      <c r="AS163" s="202"/>
      <c r="AT163" s="202"/>
      <c r="AU163" s="202"/>
      <c r="AV163" s="202"/>
      <c r="AW163" s="202"/>
      <c r="AX163" s="202"/>
      <c r="AY163" s="202"/>
      <c r="AZ163" s="202"/>
      <c r="BA163" s="202"/>
      <c r="BB163" s="202"/>
      <c r="BC163" s="202"/>
      <c r="BD163" s="202"/>
      <c r="BE163" s="202"/>
      <c r="BF163" s="202"/>
      <c r="BG163" s="202"/>
      <c r="BH163" s="202"/>
      <c r="BI163" s="202"/>
      <c r="BJ163" s="202"/>
      <c r="BK163" s="202"/>
      <c r="BL163" s="202"/>
      <c r="BM163" s="202"/>
      <c r="BN163" s="202"/>
      <c r="BO163" s="202"/>
      <c r="BP163" s="202"/>
      <c r="BQ163" s="202"/>
      <c r="BR163" s="202"/>
      <c r="BS163" s="202"/>
      <c r="BT163" s="202"/>
    </row>
    <row r="164" spans="1:72" s="719" customFormat="1" ht="48" customHeight="1">
      <c r="A164" s="221" t="s">
        <v>35</v>
      </c>
      <c r="B164" s="222" t="s">
        <v>365</v>
      </c>
      <c r="C164" s="217" t="s">
        <v>366</v>
      </c>
      <c r="D164" s="217" t="s">
        <v>367</v>
      </c>
      <c r="E164" s="223" t="s">
        <v>330</v>
      </c>
      <c r="F164" s="224" t="s">
        <v>330</v>
      </c>
      <c r="G164" s="225">
        <f>SUM(G166)</f>
        <v>1080</v>
      </c>
      <c r="H164" s="202"/>
      <c r="I164" s="202"/>
      <c r="J164" s="202"/>
      <c r="K164" s="202"/>
      <c r="L164" s="202"/>
      <c r="M164" s="202"/>
      <c r="N164" s="202"/>
      <c r="O164" s="202"/>
      <c r="P164" s="202"/>
      <c r="Q164" s="202"/>
      <c r="R164" s="202"/>
      <c r="S164" s="202"/>
      <c r="T164" s="202"/>
      <c r="U164" s="202"/>
      <c r="V164" s="202"/>
      <c r="W164" s="202"/>
      <c r="X164" s="202"/>
      <c r="Y164" s="202"/>
      <c r="Z164" s="202"/>
      <c r="AA164" s="202"/>
      <c r="AB164" s="202"/>
      <c r="AC164" s="202"/>
      <c r="AD164" s="202"/>
      <c r="AE164" s="202"/>
      <c r="AF164" s="202"/>
      <c r="AG164" s="202"/>
      <c r="AH164" s="202"/>
      <c r="AI164" s="202"/>
      <c r="AJ164" s="202"/>
      <c r="AK164" s="202"/>
      <c r="AL164" s="202"/>
      <c r="AM164" s="202"/>
      <c r="AN164" s="202"/>
      <c r="AO164" s="202"/>
      <c r="AP164" s="202"/>
      <c r="AQ164" s="202"/>
      <c r="AR164" s="202"/>
      <c r="AS164" s="202"/>
      <c r="AT164" s="202"/>
      <c r="AU164" s="202"/>
      <c r="AV164" s="202"/>
      <c r="AW164" s="202"/>
      <c r="AX164" s="202"/>
      <c r="AY164" s="202"/>
      <c r="AZ164" s="202"/>
      <c r="BA164" s="202"/>
      <c r="BB164" s="202"/>
      <c r="BC164" s="202"/>
      <c r="BD164" s="202"/>
      <c r="BE164" s="202"/>
      <c r="BF164" s="202"/>
      <c r="BG164" s="202"/>
      <c r="BH164" s="202"/>
      <c r="BI164" s="202"/>
      <c r="BJ164" s="202"/>
      <c r="BK164" s="202"/>
      <c r="BL164" s="202"/>
      <c r="BM164" s="202"/>
      <c r="BN164" s="202"/>
      <c r="BO164" s="202"/>
      <c r="BP164" s="202"/>
      <c r="BQ164" s="202"/>
      <c r="BR164" s="202"/>
      <c r="BS164" s="202"/>
      <c r="BT164" s="202"/>
    </row>
    <row r="165" spans="1:72" s="719" customFormat="1" ht="7.5" customHeight="1">
      <c r="A165" s="215"/>
      <c r="B165" s="216"/>
      <c r="C165" s="234"/>
      <c r="D165" s="217"/>
      <c r="E165" s="217"/>
      <c r="F165" s="227"/>
      <c r="G165" s="228"/>
      <c r="H165" s="202"/>
      <c r="I165" s="202"/>
      <c r="J165" s="202"/>
      <c r="K165" s="202"/>
      <c r="L165" s="202"/>
      <c r="M165" s="202"/>
      <c r="N165" s="202"/>
      <c r="O165" s="202"/>
      <c r="P165" s="202"/>
      <c r="Q165" s="202"/>
      <c r="R165" s="202"/>
      <c r="S165" s="202"/>
      <c r="T165" s="202"/>
      <c r="U165" s="202"/>
      <c r="V165" s="202"/>
      <c r="W165" s="202"/>
      <c r="X165" s="202"/>
      <c r="Y165" s="202"/>
      <c r="Z165" s="202"/>
      <c r="AA165" s="202"/>
      <c r="AB165" s="202"/>
      <c r="AC165" s="202"/>
      <c r="AD165" s="202"/>
      <c r="AE165" s="202"/>
      <c r="AF165" s="202"/>
      <c r="AG165" s="202"/>
      <c r="AH165" s="202"/>
      <c r="AI165" s="202"/>
      <c r="AJ165" s="202"/>
      <c r="AK165" s="202"/>
      <c r="AL165" s="202"/>
      <c r="AM165" s="202"/>
      <c r="AN165" s="202"/>
      <c r="AO165" s="202"/>
      <c r="AP165" s="202"/>
      <c r="AQ165" s="202"/>
      <c r="AR165" s="202"/>
      <c r="AS165" s="202"/>
      <c r="AT165" s="202"/>
      <c r="AU165" s="202"/>
      <c r="AV165" s="202"/>
      <c r="AW165" s="202"/>
      <c r="AX165" s="202"/>
      <c r="AY165" s="202"/>
      <c r="AZ165" s="202"/>
      <c r="BA165" s="202"/>
      <c r="BB165" s="202"/>
      <c r="BC165" s="202"/>
      <c r="BD165" s="202"/>
      <c r="BE165" s="202"/>
      <c r="BF165" s="202"/>
      <c r="BG165" s="202"/>
      <c r="BH165" s="202"/>
      <c r="BI165" s="202"/>
      <c r="BJ165" s="202"/>
      <c r="BK165" s="202"/>
      <c r="BL165" s="202"/>
      <c r="BM165" s="202"/>
      <c r="BN165" s="202"/>
      <c r="BO165" s="202"/>
      <c r="BP165" s="202"/>
      <c r="BQ165" s="202"/>
      <c r="BR165" s="202"/>
      <c r="BS165" s="202"/>
      <c r="BT165" s="202"/>
    </row>
    <row r="166" spans="1:72" s="719" customFormat="1" ht="25.5" customHeight="1">
      <c r="A166" s="215"/>
      <c r="B166" s="723" t="s">
        <v>368</v>
      </c>
      <c r="C166" s="217"/>
      <c r="D166" s="217"/>
      <c r="E166" s="217"/>
      <c r="F166" s="227"/>
      <c r="G166" s="720">
        <f>SUM(G167:G169)</f>
        <v>1080</v>
      </c>
      <c r="H166" s="202"/>
      <c r="I166" s="202"/>
      <c r="J166" s="202"/>
      <c r="K166" s="202"/>
      <c r="L166" s="202"/>
      <c r="M166" s="202"/>
      <c r="N166" s="202"/>
      <c r="O166" s="202"/>
      <c r="P166" s="202"/>
      <c r="Q166" s="202"/>
      <c r="R166" s="202"/>
      <c r="S166" s="202"/>
      <c r="T166" s="202"/>
      <c r="U166" s="202"/>
      <c r="V166" s="202"/>
      <c r="W166" s="202"/>
      <c r="X166" s="202"/>
      <c r="Y166" s="202"/>
      <c r="Z166" s="202"/>
      <c r="AA166" s="202"/>
      <c r="AB166" s="202"/>
      <c r="AC166" s="202"/>
      <c r="AD166" s="202"/>
      <c r="AE166" s="202"/>
      <c r="AF166" s="202"/>
      <c r="AG166" s="202"/>
      <c r="AH166" s="202"/>
      <c r="AI166" s="202"/>
      <c r="AJ166" s="202"/>
      <c r="AK166" s="202"/>
      <c r="AL166" s="202"/>
      <c r="AM166" s="202"/>
      <c r="AN166" s="202"/>
      <c r="AO166" s="202"/>
      <c r="AP166" s="202"/>
      <c r="AQ166" s="202"/>
      <c r="AR166" s="202"/>
      <c r="AS166" s="202"/>
      <c r="AT166" s="202"/>
      <c r="AU166" s="202"/>
      <c r="AV166" s="202"/>
      <c r="AW166" s="202"/>
      <c r="AX166" s="202"/>
      <c r="AY166" s="202"/>
      <c r="AZ166" s="202"/>
      <c r="BA166" s="202"/>
      <c r="BB166" s="202"/>
      <c r="BC166" s="202"/>
      <c r="BD166" s="202"/>
      <c r="BE166" s="202"/>
      <c r="BF166" s="202"/>
      <c r="BG166" s="202"/>
      <c r="BH166" s="202"/>
      <c r="BI166" s="202"/>
      <c r="BJ166" s="202"/>
      <c r="BK166" s="202"/>
      <c r="BL166" s="202"/>
      <c r="BM166" s="202"/>
      <c r="BN166" s="202"/>
      <c r="BO166" s="202"/>
      <c r="BP166" s="202"/>
      <c r="BQ166" s="202"/>
      <c r="BR166" s="202"/>
      <c r="BS166" s="202"/>
      <c r="BT166" s="202"/>
    </row>
    <row r="167" spans="1:72" s="719" customFormat="1" ht="15.75" customHeight="1">
      <c r="A167" s="215"/>
      <c r="B167" s="216"/>
      <c r="C167" s="234"/>
      <c r="D167" s="217"/>
      <c r="E167" s="217" t="s">
        <v>344</v>
      </c>
      <c r="F167" s="227" t="s">
        <v>330</v>
      </c>
      <c r="G167" s="228">
        <f>140+140+140+140</f>
        <v>560</v>
      </c>
      <c r="H167" s="202"/>
      <c r="I167" s="202"/>
      <c r="J167" s="202"/>
      <c r="K167" s="202"/>
      <c r="L167" s="202"/>
      <c r="M167" s="202"/>
      <c r="N167" s="202"/>
      <c r="O167" s="202"/>
      <c r="P167" s="202"/>
      <c r="Q167" s="202"/>
      <c r="R167" s="202"/>
      <c r="S167" s="202"/>
      <c r="T167" s="202"/>
      <c r="U167" s="202"/>
      <c r="V167" s="202"/>
      <c r="W167" s="202"/>
      <c r="X167" s="202"/>
      <c r="Y167" s="202"/>
      <c r="Z167" s="202"/>
      <c r="AA167" s="202"/>
      <c r="AB167" s="202"/>
      <c r="AC167" s="202"/>
      <c r="AD167" s="202"/>
      <c r="AE167" s="202"/>
      <c r="AF167" s="202"/>
      <c r="AG167" s="202"/>
      <c r="AH167" s="202"/>
      <c r="AI167" s="202"/>
      <c r="AJ167" s="202"/>
      <c r="AK167" s="202"/>
      <c r="AL167" s="202"/>
      <c r="AM167" s="202"/>
      <c r="AN167" s="202"/>
      <c r="AO167" s="202"/>
      <c r="AP167" s="202"/>
      <c r="AQ167" s="202"/>
      <c r="AR167" s="202"/>
      <c r="AS167" s="202"/>
      <c r="AT167" s="202"/>
      <c r="AU167" s="202"/>
      <c r="AV167" s="202"/>
      <c r="AW167" s="202"/>
      <c r="AX167" s="202"/>
      <c r="AY167" s="202"/>
      <c r="AZ167" s="202"/>
      <c r="BA167" s="202"/>
      <c r="BB167" s="202"/>
      <c r="BC167" s="202"/>
      <c r="BD167" s="202"/>
      <c r="BE167" s="202"/>
      <c r="BF167" s="202"/>
      <c r="BG167" s="202"/>
      <c r="BH167" s="202"/>
      <c r="BI167" s="202"/>
      <c r="BJ167" s="202"/>
      <c r="BK167" s="202"/>
      <c r="BL167" s="202"/>
      <c r="BM167" s="202"/>
      <c r="BN167" s="202"/>
      <c r="BO167" s="202"/>
      <c r="BP167" s="202"/>
      <c r="BQ167" s="202"/>
      <c r="BR167" s="202"/>
      <c r="BS167" s="202"/>
      <c r="BT167" s="202"/>
    </row>
    <row r="168" spans="1:72" s="719" customFormat="1" ht="15.75" customHeight="1">
      <c r="A168" s="215"/>
      <c r="B168" s="216"/>
      <c r="C168" s="234"/>
      <c r="D168" s="217"/>
      <c r="E168" s="217" t="s">
        <v>338</v>
      </c>
      <c r="F168" s="227" t="s">
        <v>330</v>
      </c>
      <c r="G168" s="228">
        <f>100+100+100+100</f>
        <v>400</v>
      </c>
      <c r="H168" s="202"/>
      <c r="I168" s="202"/>
      <c r="J168" s="202"/>
      <c r="K168" s="202"/>
      <c r="L168" s="202"/>
      <c r="M168" s="202"/>
      <c r="N168" s="202"/>
      <c r="O168" s="202"/>
      <c r="P168" s="202"/>
      <c r="Q168" s="202"/>
      <c r="R168" s="202"/>
      <c r="S168" s="202"/>
      <c r="T168" s="202"/>
      <c r="U168" s="202"/>
      <c r="V168" s="202"/>
      <c r="W168" s="202"/>
      <c r="X168" s="202"/>
      <c r="Y168" s="202"/>
      <c r="Z168" s="202"/>
      <c r="AA168" s="202"/>
      <c r="AB168" s="202"/>
      <c r="AC168" s="202"/>
      <c r="AD168" s="202"/>
      <c r="AE168" s="202"/>
      <c r="AF168" s="202"/>
      <c r="AG168" s="202"/>
      <c r="AH168" s="202"/>
      <c r="AI168" s="202"/>
      <c r="AJ168" s="202"/>
      <c r="AK168" s="202"/>
      <c r="AL168" s="202"/>
      <c r="AM168" s="202"/>
      <c r="AN168" s="202"/>
      <c r="AO168" s="202"/>
      <c r="AP168" s="202"/>
      <c r="AQ168" s="202"/>
      <c r="AR168" s="202"/>
      <c r="AS168" s="202"/>
      <c r="AT168" s="202"/>
      <c r="AU168" s="202"/>
      <c r="AV168" s="202"/>
      <c r="AW168" s="202"/>
      <c r="AX168" s="202"/>
      <c r="AY168" s="202"/>
      <c r="AZ168" s="202"/>
      <c r="BA168" s="202"/>
      <c r="BB168" s="202"/>
      <c r="BC168" s="202"/>
      <c r="BD168" s="202"/>
      <c r="BE168" s="202"/>
      <c r="BF168" s="202"/>
      <c r="BG168" s="202"/>
      <c r="BH168" s="202"/>
      <c r="BI168" s="202"/>
      <c r="BJ168" s="202"/>
      <c r="BK168" s="202"/>
      <c r="BL168" s="202"/>
      <c r="BM168" s="202"/>
      <c r="BN168" s="202"/>
      <c r="BO168" s="202"/>
      <c r="BP168" s="202"/>
      <c r="BQ168" s="202"/>
      <c r="BR168" s="202"/>
      <c r="BS168" s="202"/>
      <c r="BT168" s="202"/>
    </row>
    <row r="169" spans="1:72" s="719" customFormat="1" ht="15.75" customHeight="1">
      <c r="A169" s="215"/>
      <c r="B169" s="216"/>
      <c r="C169" s="234"/>
      <c r="D169" s="217"/>
      <c r="E169" s="217" t="s">
        <v>339</v>
      </c>
      <c r="F169" s="227" t="s">
        <v>330</v>
      </c>
      <c r="G169" s="228">
        <f>30+30+30+30</f>
        <v>120</v>
      </c>
      <c r="H169" s="202"/>
      <c r="I169" s="202"/>
      <c r="J169" s="202"/>
      <c r="K169" s="202"/>
      <c r="L169" s="202"/>
      <c r="M169" s="202"/>
      <c r="N169" s="202"/>
      <c r="O169" s="202"/>
      <c r="P169" s="202"/>
      <c r="Q169" s="202"/>
      <c r="R169" s="202"/>
      <c r="S169" s="202"/>
      <c r="T169" s="202"/>
      <c r="U169" s="202"/>
      <c r="V169" s="202"/>
      <c r="W169" s="202"/>
      <c r="X169" s="202"/>
      <c r="Y169" s="202"/>
      <c r="Z169" s="202"/>
      <c r="AA169" s="202"/>
      <c r="AB169" s="202"/>
      <c r="AC169" s="202"/>
      <c r="AD169" s="202"/>
      <c r="AE169" s="202"/>
      <c r="AF169" s="202"/>
      <c r="AG169" s="202"/>
      <c r="AH169" s="202"/>
      <c r="AI169" s="202"/>
      <c r="AJ169" s="202"/>
      <c r="AK169" s="202"/>
      <c r="AL169" s="202"/>
      <c r="AM169" s="202"/>
      <c r="AN169" s="202"/>
      <c r="AO169" s="202"/>
      <c r="AP169" s="202"/>
      <c r="AQ169" s="202"/>
      <c r="AR169" s="202"/>
      <c r="AS169" s="202"/>
      <c r="AT169" s="202"/>
      <c r="AU169" s="202"/>
      <c r="AV169" s="202"/>
      <c r="AW169" s="202"/>
      <c r="AX169" s="202"/>
      <c r="AY169" s="202"/>
      <c r="AZ169" s="202"/>
      <c r="BA169" s="202"/>
      <c r="BB169" s="202"/>
      <c r="BC169" s="202"/>
      <c r="BD169" s="202"/>
      <c r="BE169" s="202"/>
      <c r="BF169" s="202"/>
      <c r="BG169" s="202"/>
      <c r="BH169" s="202"/>
      <c r="BI169" s="202"/>
      <c r="BJ169" s="202"/>
      <c r="BK169" s="202"/>
      <c r="BL169" s="202"/>
      <c r="BM169" s="202"/>
      <c r="BN169" s="202"/>
      <c r="BO169" s="202"/>
      <c r="BP169" s="202"/>
      <c r="BQ169" s="202"/>
      <c r="BR169" s="202"/>
      <c r="BS169" s="202"/>
      <c r="BT169" s="202"/>
    </row>
    <row r="170" spans="1:72" s="719" customFormat="1" ht="6.75" customHeight="1">
      <c r="A170" s="229"/>
      <c r="B170" s="230"/>
      <c r="C170" s="231"/>
      <c r="D170" s="218"/>
      <c r="E170" s="218"/>
      <c r="F170" s="220"/>
      <c r="G170" s="232"/>
      <c r="H170" s="202"/>
      <c r="I170" s="202"/>
      <c r="J170" s="202"/>
      <c r="K170" s="202"/>
      <c r="L170" s="202"/>
      <c r="M170" s="202"/>
      <c r="N170" s="202"/>
      <c r="O170" s="202"/>
      <c r="P170" s="202"/>
      <c r="Q170" s="202"/>
      <c r="R170" s="202"/>
      <c r="S170" s="202"/>
      <c r="T170" s="202"/>
      <c r="U170" s="202"/>
      <c r="V170" s="202"/>
      <c r="W170" s="202"/>
      <c r="X170" s="202"/>
      <c r="Y170" s="202"/>
      <c r="Z170" s="202"/>
      <c r="AA170" s="202"/>
      <c r="AB170" s="202"/>
      <c r="AC170" s="202"/>
      <c r="AD170" s="202"/>
      <c r="AE170" s="202"/>
      <c r="AF170" s="202"/>
      <c r="AG170" s="202"/>
      <c r="AH170" s="202"/>
      <c r="AI170" s="202"/>
      <c r="AJ170" s="202"/>
      <c r="AK170" s="202"/>
      <c r="AL170" s="202"/>
      <c r="AM170" s="202"/>
      <c r="AN170" s="202"/>
      <c r="AO170" s="202"/>
      <c r="AP170" s="202"/>
      <c r="AQ170" s="202"/>
      <c r="AR170" s="202"/>
      <c r="AS170" s="202"/>
      <c r="AT170" s="202"/>
      <c r="AU170" s="202"/>
      <c r="AV170" s="202"/>
      <c r="AW170" s="202"/>
      <c r="AX170" s="202"/>
      <c r="AY170" s="202"/>
      <c r="AZ170" s="202"/>
      <c r="BA170" s="202"/>
      <c r="BB170" s="202"/>
      <c r="BC170" s="202"/>
      <c r="BD170" s="202"/>
      <c r="BE170" s="202"/>
      <c r="BF170" s="202"/>
      <c r="BG170" s="202"/>
      <c r="BH170" s="202"/>
      <c r="BI170" s="202"/>
      <c r="BJ170" s="202"/>
      <c r="BK170" s="202"/>
      <c r="BL170" s="202"/>
      <c r="BM170" s="202"/>
      <c r="BN170" s="202"/>
      <c r="BO170" s="202"/>
      <c r="BP170" s="202"/>
      <c r="BQ170" s="202"/>
      <c r="BR170" s="202"/>
      <c r="BS170" s="202"/>
      <c r="BT170" s="202"/>
    </row>
    <row r="171" spans="1:72" s="719" customFormat="1" ht="15.75" customHeight="1">
      <c r="A171" s="215"/>
      <c r="B171" s="216"/>
      <c r="C171" s="217"/>
      <c r="D171" s="217"/>
      <c r="E171" s="218" t="s">
        <v>86</v>
      </c>
      <c r="F171" s="219">
        <f>82.53+168.07+127.27+15.67+50.64+285.11+280.62+42.74</f>
        <v>1052.6499999999999</v>
      </c>
      <c r="G171" s="220" t="s">
        <v>330</v>
      </c>
      <c r="H171" s="202"/>
      <c r="I171" s="722"/>
      <c r="J171" s="202"/>
      <c r="K171" s="202"/>
      <c r="L171" s="202"/>
      <c r="M171" s="202"/>
      <c r="N171" s="202"/>
      <c r="O171" s="202"/>
      <c r="P171" s="202"/>
      <c r="Q171" s="202"/>
      <c r="R171" s="202"/>
      <c r="S171" s="202"/>
      <c r="T171" s="202"/>
      <c r="U171" s="202"/>
      <c r="V171" s="202"/>
      <c r="W171" s="202"/>
      <c r="X171" s="202"/>
      <c r="Y171" s="202"/>
      <c r="Z171" s="202"/>
      <c r="AA171" s="202"/>
      <c r="AB171" s="202"/>
      <c r="AC171" s="202"/>
      <c r="AD171" s="202"/>
      <c r="AE171" s="202"/>
      <c r="AF171" s="202"/>
      <c r="AG171" s="202"/>
      <c r="AH171" s="202"/>
      <c r="AI171" s="202"/>
      <c r="AJ171" s="202"/>
      <c r="AK171" s="202"/>
      <c r="AL171" s="202"/>
      <c r="AM171" s="202"/>
      <c r="AN171" s="202"/>
      <c r="AO171" s="202"/>
      <c r="AP171" s="202"/>
      <c r="AQ171" s="202"/>
      <c r="AR171" s="202"/>
      <c r="AS171" s="202"/>
      <c r="AT171" s="202"/>
      <c r="AU171" s="202"/>
      <c r="AV171" s="202"/>
      <c r="AW171" s="202"/>
      <c r="AX171" s="202"/>
      <c r="AY171" s="202"/>
      <c r="AZ171" s="202"/>
      <c r="BA171" s="202"/>
      <c r="BB171" s="202"/>
      <c r="BC171" s="202"/>
      <c r="BD171" s="202"/>
      <c r="BE171" s="202"/>
      <c r="BF171" s="202"/>
      <c r="BG171" s="202"/>
      <c r="BH171" s="202"/>
      <c r="BI171" s="202"/>
      <c r="BJ171" s="202"/>
      <c r="BK171" s="202"/>
      <c r="BL171" s="202"/>
      <c r="BM171" s="202"/>
      <c r="BN171" s="202"/>
      <c r="BO171" s="202"/>
      <c r="BP171" s="202"/>
      <c r="BQ171" s="202"/>
      <c r="BR171" s="202"/>
      <c r="BS171" s="202"/>
      <c r="BT171" s="202"/>
    </row>
    <row r="172" spans="1:72" s="719" customFormat="1" ht="71.25" customHeight="1">
      <c r="A172" s="221" t="s">
        <v>36</v>
      </c>
      <c r="B172" s="233" t="s">
        <v>369</v>
      </c>
      <c r="C172" s="217" t="s">
        <v>370</v>
      </c>
      <c r="D172" s="217" t="s">
        <v>371</v>
      </c>
      <c r="E172" s="223" t="s">
        <v>330</v>
      </c>
      <c r="F172" s="224" t="s">
        <v>330</v>
      </c>
      <c r="G172" s="235">
        <f>SUM(G174)</f>
        <v>909.71</v>
      </c>
      <c r="H172" s="202"/>
      <c r="I172" s="202"/>
      <c r="J172" s="202"/>
      <c r="K172" s="202"/>
      <c r="L172" s="202"/>
      <c r="M172" s="202"/>
      <c r="N172" s="202"/>
      <c r="O172" s="202"/>
      <c r="P172" s="202"/>
      <c r="Q172" s="202"/>
      <c r="R172" s="202"/>
      <c r="S172" s="202"/>
      <c r="T172" s="202"/>
      <c r="U172" s="202"/>
      <c r="V172" s="202"/>
      <c r="W172" s="202"/>
      <c r="X172" s="202"/>
      <c r="Y172" s="202"/>
      <c r="Z172" s="202"/>
      <c r="AA172" s="202"/>
      <c r="AB172" s="202"/>
      <c r="AC172" s="202"/>
      <c r="AD172" s="202"/>
      <c r="AE172" s="202"/>
      <c r="AF172" s="202"/>
      <c r="AG172" s="202"/>
      <c r="AH172" s="202"/>
      <c r="AI172" s="202"/>
      <c r="AJ172" s="202"/>
      <c r="AK172" s="202"/>
      <c r="AL172" s="202"/>
      <c r="AM172" s="202"/>
      <c r="AN172" s="202"/>
      <c r="AO172" s="202"/>
      <c r="AP172" s="202"/>
      <c r="AQ172" s="202"/>
      <c r="AR172" s="202"/>
      <c r="AS172" s="202"/>
      <c r="AT172" s="202"/>
      <c r="AU172" s="202"/>
      <c r="AV172" s="202"/>
      <c r="AW172" s="202"/>
      <c r="AX172" s="202"/>
      <c r="AY172" s="202"/>
      <c r="AZ172" s="202"/>
      <c r="BA172" s="202"/>
      <c r="BB172" s="202"/>
      <c r="BC172" s="202"/>
      <c r="BD172" s="202"/>
      <c r="BE172" s="202"/>
      <c r="BF172" s="202"/>
      <c r="BG172" s="202"/>
      <c r="BH172" s="202"/>
      <c r="BI172" s="202"/>
      <c r="BJ172" s="202"/>
      <c r="BK172" s="202"/>
      <c r="BL172" s="202"/>
      <c r="BM172" s="202"/>
      <c r="BN172" s="202"/>
      <c r="BO172" s="202"/>
      <c r="BP172" s="202"/>
      <c r="BQ172" s="202"/>
      <c r="BR172" s="202"/>
      <c r="BS172" s="202"/>
      <c r="BT172" s="202"/>
    </row>
    <row r="173" spans="1:72" s="719" customFormat="1" ht="6.75" customHeight="1">
      <c r="A173" s="221"/>
      <c r="B173" s="226"/>
      <c r="C173" s="217"/>
      <c r="D173" s="217"/>
      <c r="E173" s="217"/>
      <c r="F173" s="227"/>
      <c r="G173" s="720"/>
      <c r="H173" s="202"/>
      <c r="I173" s="202"/>
      <c r="J173" s="202"/>
      <c r="K173" s="202"/>
      <c r="L173" s="202"/>
      <c r="M173" s="202"/>
      <c r="N173" s="202"/>
      <c r="O173" s="202"/>
      <c r="P173" s="202"/>
      <c r="Q173" s="202"/>
      <c r="R173" s="202"/>
      <c r="S173" s="202"/>
      <c r="T173" s="202"/>
      <c r="U173" s="202"/>
      <c r="V173" s="202"/>
      <c r="W173" s="202"/>
      <c r="X173" s="202"/>
      <c r="Y173" s="202"/>
      <c r="Z173" s="202"/>
      <c r="AA173" s="202"/>
      <c r="AB173" s="202"/>
      <c r="AC173" s="202"/>
      <c r="AD173" s="202"/>
      <c r="AE173" s="202"/>
      <c r="AF173" s="202"/>
      <c r="AG173" s="202"/>
      <c r="AH173" s="202"/>
      <c r="AI173" s="202"/>
      <c r="AJ173" s="202"/>
      <c r="AK173" s="202"/>
      <c r="AL173" s="202"/>
      <c r="AM173" s="202"/>
      <c r="AN173" s="202"/>
      <c r="AO173" s="202"/>
      <c r="AP173" s="202"/>
      <c r="AQ173" s="202"/>
      <c r="AR173" s="202"/>
      <c r="AS173" s="202"/>
      <c r="AT173" s="202"/>
      <c r="AU173" s="202"/>
      <c r="AV173" s="202"/>
      <c r="AW173" s="202"/>
      <c r="AX173" s="202"/>
      <c r="AY173" s="202"/>
      <c r="AZ173" s="202"/>
      <c r="BA173" s="202"/>
      <c r="BB173" s="202"/>
      <c r="BC173" s="202"/>
      <c r="BD173" s="202"/>
      <c r="BE173" s="202"/>
      <c r="BF173" s="202"/>
      <c r="BG173" s="202"/>
      <c r="BH173" s="202"/>
      <c r="BI173" s="202"/>
      <c r="BJ173" s="202"/>
      <c r="BK173" s="202"/>
      <c r="BL173" s="202"/>
      <c r="BM173" s="202"/>
      <c r="BN173" s="202"/>
      <c r="BO173" s="202"/>
      <c r="BP173" s="202"/>
      <c r="BQ173" s="202"/>
      <c r="BR173" s="202"/>
      <c r="BS173" s="202"/>
      <c r="BT173" s="202"/>
    </row>
    <row r="174" spans="1:72" s="719" customFormat="1" ht="15.75" customHeight="1">
      <c r="A174" s="221"/>
      <c r="B174" s="721" t="s">
        <v>137</v>
      </c>
      <c r="C174" s="217"/>
      <c r="D174" s="217"/>
      <c r="E174" s="217"/>
      <c r="F174" s="227"/>
      <c r="G174" s="720">
        <f>SUM(G175:G176)</f>
        <v>909.71</v>
      </c>
      <c r="H174" s="202"/>
      <c r="I174" s="202"/>
      <c r="J174" s="202"/>
      <c r="K174" s="202"/>
      <c r="L174" s="202"/>
      <c r="M174" s="202"/>
      <c r="N174" s="202"/>
      <c r="O174" s="202"/>
      <c r="P174" s="202"/>
      <c r="Q174" s="202"/>
      <c r="R174" s="202"/>
      <c r="S174" s="202"/>
      <c r="T174" s="202"/>
      <c r="U174" s="202"/>
      <c r="V174" s="202"/>
      <c r="W174" s="202"/>
      <c r="X174" s="202"/>
      <c r="Y174" s="202"/>
      <c r="Z174" s="202"/>
      <c r="AA174" s="202"/>
      <c r="AB174" s="202"/>
      <c r="AC174" s="202"/>
      <c r="AD174" s="202"/>
      <c r="AE174" s="202"/>
      <c r="AF174" s="202"/>
      <c r="AG174" s="202"/>
      <c r="AH174" s="202"/>
      <c r="AI174" s="202"/>
      <c r="AJ174" s="202"/>
      <c r="AK174" s="202"/>
      <c r="AL174" s="202"/>
      <c r="AM174" s="202"/>
      <c r="AN174" s="202"/>
      <c r="AO174" s="202"/>
      <c r="AP174" s="202"/>
      <c r="AQ174" s="202"/>
      <c r="AR174" s="202"/>
      <c r="AS174" s="202"/>
      <c r="AT174" s="202"/>
      <c r="AU174" s="202"/>
      <c r="AV174" s="202"/>
      <c r="AW174" s="202"/>
      <c r="AX174" s="202"/>
      <c r="AY174" s="202"/>
      <c r="AZ174" s="202"/>
      <c r="BA174" s="202"/>
      <c r="BB174" s="202"/>
      <c r="BC174" s="202"/>
      <c r="BD174" s="202"/>
      <c r="BE174" s="202"/>
      <c r="BF174" s="202"/>
      <c r="BG174" s="202"/>
      <c r="BH174" s="202"/>
      <c r="BI174" s="202"/>
      <c r="BJ174" s="202"/>
      <c r="BK174" s="202"/>
      <c r="BL174" s="202"/>
      <c r="BM174" s="202"/>
      <c r="BN174" s="202"/>
      <c r="BO174" s="202"/>
      <c r="BP174" s="202"/>
      <c r="BQ174" s="202"/>
      <c r="BR174" s="202"/>
      <c r="BS174" s="202"/>
      <c r="BT174" s="202"/>
    </row>
    <row r="175" spans="1:72" s="719" customFormat="1" ht="15.75" customHeight="1">
      <c r="A175" s="221"/>
      <c r="B175" s="721"/>
      <c r="C175" s="234"/>
      <c r="D175" s="217"/>
      <c r="E175" s="217" t="s">
        <v>338</v>
      </c>
      <c r="F175" s="227" t="s">
        <v>330</v>
      </c>
      <c r="G175" s="228">
        <f>209.93+42.42+473.89+35.8</f>
        <v>762.04</v>
      </c>
      <c r="H175" s="202"/>
      <c r="I175" s="202"/>
      <c r="J175" s="202"/>
      <c r="K175" s="202"/>
      <c r="L175" s="202"/>
      <c r="M175" s="202"/>
      <c r="N175" s="202"/>
      <c r="O175" s="202"/>
      <c r="P175" s="202"/>
      <c r="Q175" s="202"/>
      <c r="R175" s="202"/>
      <c r="S175" s="202"/>
      <c r="T175" s="202"/>
      <c r="U175" s="202"/>
      <c r="V175" s="202"/>
      <c r="W175" s="202"/>
      <c r="X175" s="202"/>
      <c r="Y175" s="202"/>
      <c r="Z175" s="202"/>
      <c r="AA175" s="202"/>
      <c r="AB175" s="202"/>
      <c r="AC175" s="202"/>
      <c r="AD175" s="202"/>
      <c r="AE175" s="202"/>
      <c r="AF175" s="202"/>
      <c r="AG175" s="202"/>
      <c r="AH175" s="202"/>
      <c r="AI175" s="202"/>
      <c r="AJ175" s="202"/>
      <c r="AK175" s="202"/>
      <c r="AL175" s="202"/>
      <c r="AM175" s="202"/>
      <c r="AN175" s="202"/>
      <c r="AO175" s="202"/>
      <c r="AP175" s="202"/>
      <c r="AQ175" s="202"/>
      <c r="AR175" s="202"/>
      <c r="AS175" s="202"/>
      <c r="AT175" s="202"/>
      <c r="AU175" s="202"/>
      <c r="AV175" s="202"/>
      <c r="AW175" s="202"/>
      <c r="AX175" s="202"/>
      <c r="AY175" s="202"/>
      <c r="AZ175" s="202"/>
      <c r="BA175" s="202"/>
      <c r="BB175" s="202"/>
      <c r="BC175" s="202"/>
      <c r="BD175" s="202"/>
      <c r="BE175" s="202"/>
      <c r="BF175" s="202"/>
      <c r="BG175" s="202"/>
      <c r="BH175" s="202"/>
      <c r="BI175" s="202"/>
      <c r="BJ175" s="202"/>
      <c r="BK175" s="202"/>
      <c r="BL175" s="202"/>
      <c r="BM175" s="202"/>
      <c r="BN175" s="202"/>
      <c r="BO175" s="202"/>
      <c r="BP175" s="202"/>
      <c r="BQ175" s="202"/>
      <c r="BR175" s="202"/>
      <c r="BS175" s="202"/>
      <c r="BT175" s="202"/>
    </row>
    <row r="176" spans="1:72" s="719" customFormat="1" ht="15.75" customHeight="1">
      <c r="A176" s="221"/>
      <c r="B176" s="721"/>
      <c r="C176" s="234"/>
      <c r="D176" s="217"/>
      <c r="E176" s="217" t="s">
        <v>339</v>
      </c>
      <c r="F176" s="227" t="s">
        <v>330</v>
      </c>
      <c r="G176" s="228">
        <f>40.67+8.22+91.84+6.94</f>
        <v>147.67000000000002</v>
      </c>
      <c r="H176" s="202"/>
      <c r="I176" s="202"/>
      <c r="J176" s="202"/>
      <c r="K176" s="202"/>
      <c r="L176" s="202"/>
      <c r="M176" s="202"/>
      <c r="N176" s="202"/>
      <c r="O176" s="202"/>
      <c r="P176" s="202"/>
      <c r="Q176" s="202"/>
      <c r="R176" s="202"/>
      <c r="S176" s="202"/>
      <c r="T176" s="202"/>
      <c r="U176" s="202"/>
      <c r="V176" s="202"/>
      <c r="W176" s="202"/>
      <c r="X176" s="202"/>
      <c r="Y176" s="202"/>
      <c r="Z176" s="202"/>
      <c r="AA176" s="202"/>
      <c r="AB176" s="202"/>
      <c r="AC176" s="202"/>
      <c r="AD176" s="202"/>
      <c r="AE176" s="202"/>
      <c r="AF176" s="202"/>
      <c r="AG176" s="202"/>
      <c r="AH176" s="202"/>
      <c r="AI176" s="202"/>
      <c r="AJ176" s="202"/>
      <c r="AK176" s="202"/>
      <c r="AL176" s="202"/>
      <c r="AM176" s="202"/>
      <c r="AN176" s="202"/>
      <c r="AO176" s="202"/>
      <c r="AP176" s="202"/>
      <c r="AQ176" s="202"/>
      <c r="AR176" s="202"/>
      <c r="AS176" s="202"/>
      <c r="AT176" s="202"/>
      <c r="AU176" s="202"/>
      <c r="AV176" s="202"/>
      <c r="AW176" s="202"/>
      <c r="AX176" s="202"/>
      <c r="AY176" s="202"/>
      <c r="AZ176" s="202"/>
      <c r="BA176" s="202"/>
      <c r="BB176" s="202"/>
      <c r="BC176" s="202"/>
      <c r="BD176" s="202"/>
      <c r="BE176" s="202"/>
      <c r="BF176" s="202"/>
      <c r="BG176" s="202"/>
      <c r="BH176" s="202"/>
      <c r="BI176" s="202"/>
      <c r="BJ176" s="202"/>
      <c r="BK176" s="202"/>
      <c r="BL176" s="202"/>
      <c r="BM176" s="202"/>
      <c r="BN176" s="202"/>
      <c r="BO176" s="202"/>
      <c r="BP176" s="202"/>
      <c r="BQ176" s="202"/>
      <c r="BR176" s="202"/>
      <c r="BS176" s="202"/>
      <c r="BT176" s="202"/>
    </row>
    <row r="177" spans="1:72" s="719" customFormat="1" ht="6.75" customHeight="1">
      <c r="A177" s="236"/>
      <c r="B177" s="725"/>
      <c r="C177" s="231"/>
      <c r="D177" s="218"/>
      <c r="E177" s="218"/>
      <c r="F177" s="220"/>
      <c r="G177" s="232"/>
      <c r="H177" s="202"/>
      <c r="I177" s="202"/>
      <c r="J177" s="202"/>
      <c r="K177" s="202"/>
      <c r="L177" s="202"/>
      <c r="M177" s="202"/>
      <c r="N177" s="202"/>
      <c r="O177" s="202"/>
      <c r="P177" s="202"/>
      <c r="Q177" s="202"/>
      <c r="R177" s="202"/>
      <c r="S177" s="202"/>
      <c r="T177" s="202"/>
      <c r="U177" s="202"/>
      <c r="V177" s="202"/>
      <c r="W177" s="202"/>
      <c r="X177" s="202"/>
      <c r="Y177" s="202"/>
      <c r="Z177" s="202"/>
      <c r="AA177" s="202"/>
      <c r="AB177" s="202"/>
      <c r="AC177" s="202"/>
      <c r="AD177" s="202"/>
      <c r="AE177" s="202"/>
      <c r="AF177" s="202"/>
      <c r="AG177" s="202"/>
      <c r="AH177" s="202"/>
      <c r="AI177" s="202"/>
      <c r="AJ177" s="202"/>
      <c r="AK177" s="202"/>
      <c r="AL177" s="202"/>
      <c r="AM177" s="202"/>
      <c r="AN177" s="202"/>
      <c r="AO177" s="202"/>
      <c r="AP177" s="202"/>
      <c r="AQ177" s="202"/>
      <c r="AR177" s="202"/>
      <c r="AS177" s="202"/>
      <c r="AT177" s="202"/>
      <c r="AU177" s="202"/>
      <c r="AV177" s="202"/>
      <c r="AW177" s="202"/>
      <c r="AX177" s="202"/>
      <c r="AY177" s="202"/>
      <c r="AZ177" s="202"/>
      <c r="BA177" s="202"/>
      <c r="BB177" s="202"/>
      <c r="BC177" s="202"/>
      <c r="BD177" s="202"/>
      <c r="BE177" s="202"/>
      <c r="BF177" s="202"/>
      <c r="BG177" s="202"/>
      <c r="BH177" s="202"/>
      <c r="BI177" s="202"/>
      <c r="BJ177" s="202"/>
      <c r="BK177" s="202"/>
      <c r="BL177" s="202"/>
      <c r="BM177" s="202"/>
      <c r="BN177" s="202"/>
      <c r="BO177" s="202"/>
      <c r="BP177" s="202"/>
      <c r="BQ177" s="202"/>
      <c r="BR177" s="202"/>
      <c r="BS177" s="202"/>
      <c r="BT177" s="202"/>
    </row>
    <row r="178" spans="1:72" s="719" customFormat="1" ht="15.75" customHeight="1">
      <c r="A178" s="215"/>
      <c r="B178" s="216"/>
      <c r="C178" s="217"/>
      <c r="D178" s="217"/>
      <c r="E178" s="218" t="s">
        <v>86</v>
      </c>
      <c r="F178" s="219">
        <f>60+940+694+843+844+838+850+1223+843</f>
        <v>7135</v>
      </c>
      <c r="G178" s="220" t="s">
        <v>330</v>
      </c>
      <c r="H178" s="202"/>
      <c r="I178" s="202"/>
      <c r="J178" s="202"/>
      <c r="K178" s="202"/>
      <c r="L178" s="202"/>
      <c r="M178" s="202"/>
      <c r="N178" s="202"/>
      <c r="O178" s="202"/>
      <c r="P178" s="202"/>
      <c r="Q178" s="202"/>
      <c r="R178" s="202"/>
      <c r="S178" s="202"/>
      <c r="T178" s="202"/>
      <c r="U178" s="202"/>
      <c r="V178" s="202"/>
      <c r="W178" s="202"/>
      <c r="X178" s="202"/>
      <c r="Y178" s="202"/>
      <c r="Z178" s="202"/>
      <c r="AA178" s="202"/>
      <c r="AB178" s="202"/>
      <c r="AC178" s="202"/>
      <c r="AD178" s="202"/>
      <c r="AE178" s="202"/>
      <c r="AF178" s="202"/>
      <c r="AG178" s="202"/>
      <c r="AH178" s="202"/>
      <c r="AI178" s="202"/>
      <c r="AJ178" s="202"/>
      <c r="AK178" s="202"/>
      <c r="AL178" s="202"/>
      <c r="AM178" s="202"/>
      <c r="AN178" s="202"/>
      <c r="AO178" s="202"/>
      <c r="AP178" s="202"/>
      <c r="AQ178" s="202"/>
      <c r="AR178" s="202"/>
      <c r="AS178" s="202"/>
      <c r="AT178" s="202"/>
      <c r="AU178" s="202"/>
      <c r="AV178" s="202"/>
      <c r="AW178" s="202"/>
      <c r="AX178" s="202"/>
      <c r="AY178" s="202"/>
      <c r="AZ178" s="202"/>
      <c r="BA178" s="202"/>
      <c r="BB178" s="202"/>
      <c r="BC178" s="202"/>
      <c r="BD178" s="202"/>
      <c r="BE178" s="202"/>
      <c r="BF178" s="202"/>
      <c r="BG178" s="202"/>
      <c r="BH178" s="202"/>
      <c r="BI178" s="202"/>
      <c r="BJ178" s="202"/>
      <c r="BK178" s="202"/>
      <c r="BL178" s="202"/>
      <c r="BM178" s="202"/>
      <c r="BN178" s="202"/>
      <c r="BO178" s="202"/>
      <c r="BP178" s="202"/>
      <c r="BQ178" s="202"/>
      <c r="BR178" s="202"/>
      <c r="BS178" s="202"/>
      <c r="BT178" s="202"/>
    </row>
    <row r="179" spans="1:72" s="719" customFormat="1" ht="24.75" customHeight="1">
      <c r="A179" s="221" t="s">
        <v>37</v>
      </c>
      <c r="B179" s="233" t="s">
        <v>372</v>
      </c>
      <c r="C179" s="217" t="s">
        <v>78</v>
      </c>
      <c r="D179" s="217" t="s">
        <v>373</v>
      </c>
      <c r="E179" s="223" t="s">
        <v>330</v>
      </c>
      <c r="F179" s="224" t="s">
        <v>330</v>
      </c>
      <c r="G179" s="225">
        <f>SUM(G181)</f>
        <v>7135</v>
      </c>
      <c r="H179" s="202"/>
      <c r="I179" s="202"/>
      <c r="J179" s="202"/>
      <c r="K179" s="202"/>
      <c r="L179" s="202"/>
      <c r="M179" s="202"/>
      <c r="N179" s="202"/>
      <c r="O179" s="202"/>
      <c r="P179" s="202"/>
      <c r="Q179" s="202"/>
      <c r="R179" s="202"/>
      <c r="S179" s="202"/>
      <c r="T179" s="202"/>
      <c r="U179" s="202"/>
      <c r="V179" s="202"/>
      <c r="W179" s="202"/>
      <c r="X179" s="202"/>
      <c r="Y179" s="202"/>
      <c r="Z179" s="202"/>
      <c r="AA179" s="202"/>
      <c r="AB179" s="202"/>
      <c r="AC179" s="202"/>
      <c r="AD179" s="202"/>
      <c r="AE179" s="202"/>
      <c r="AF179" s="202"/>
      <c r="AG179" s="202"/>
      <c r="AH179" s="202"/>
      <c r="AI179" s="202"/>
      <c r="AJ179" s="202"/>
      <c r="AK179" s="202"/>
      <c r="AL179" s="202"/>
      <c r="AM179" s="202"/>
      <c r="AN179" s="202"/>
      <c r="AO179" s="202"/>
      <c r="AP179" s="202"/>
      <c r="AQ179" s="202"/>
      <c r="AR179" s="202"/>
      <c r="AS179" s="202"/>
      <c r="AT179" s="202"/>
      <c r="AU179" s="202"/>
      <c r="AV179" s="202"/>
      <c r="AW179" s="202"/>
      <c r="AX179" s="202"/>
      <c r="AY179" s="202"/>
      <c r="AZ179" s="202"/>
      <c r="BA179" s="202"/>
      <c r="BB179" s="202"/>
      <c r="BC179" s="202"/>
      <c r="BD179" s="202"/>
      <c r="BE179" s="202"/>
      <c r="BF179" s="202"/>
      <c r="BG179" s="202"/>
      <c r="BH179" s="202"/>
      <c r="BI179" s="202"/>
      <c r="BJ179" s="202"/>
      <c r="BK179" s="202"/>
      <c r="BL179" s="202"/>
      <c r="BM179" s="202"/>
      <c r="BN179" s="202"/>
      <c r="BO179" s="202"/>
      <c r="BP179" s="202"/>
      <c r="BQ179" s="202"/>
      <c r="BR179" s="202"/>
      <c r="BS179" s="202"/>
      <c r="BT179" s="202"/>
    </row>
    <row r="180" spans="1:72" s="719" customFormat="1" ht="8.25" customHeight="1">
      <c r="A180" s="215"/>
      <c r="B180" s="226"/>
      <c r="C180" s="217"/>
      <c r="D180" s="217"/>
      <c r="E180" s="217"/>
      <c r="F180" s="227"/>
      <c r="G180" s="720"/>
      <c r="H180" s="202"/>
      <c r="I180" s="202"/>
      <c r="J180" s="202"/>
      <c r="K180" s="202"/>
      <c r="L180" s="202"/>
      <c r="M180" s="202"/>
      <c r="N180" s="202"/>
      <c r="O180" s="202"/>
      <c r="P180" s="202"/>
      <c r="Q180" s="202"/>
      <c r="R180" s="202"/>
      <c r="S180" s="202"/>
      <c r="T180" s="202"/>
      <c r="U180" s="202"/>
      <c r="V180" s="202"/>
      <c r="W180" s="202"/>
      <c r="X180" s="202"/>
      <c r="Y180" s="202"/>
      <c r="Z180" s="202"/>
      <c r="AA180" s="202"/>
      <c r="AB180" s="202"/>
      <c r="AC180" s="202"/>
      <c r="AD180" s="202"/>
      <c r="AE180" s="202"/>
      <c r="AF180" s="202"/>
      <c r="AG180" s="202"/>
      <c r="AH180" s="202"/>
      <c r="AI180" s="202"/>
      <c r="AJ180" s="202"/>
      <c r="AK180" s="202"/>
      <c r="AL180" s="202"/>
      <c r="AM180" s="202"/>
      <c r="AN180" s="202"/>
      <c r="AO180" s="202"/>
      <c r="AP180" s="202"/>
      <c r="AQ180" s="202"/>
      <c r="AR180" s="202"/>
      <c r="AS180" s="202"/>
      <c r="AT180" s="202"/>
      <c r="AU180" s="202"/>
      <c r="AV180" s="202"/>
      <c r="AW180" s="202"/>
      <c r="AX180" s="202"/>
      <c r="AY180" s="202"/>
      <c r="AZ180" s="202"/>
      <c r="BA180" s="202"/>
      <c r="BB180" s="202"/>
      <c r="BC180" s="202"/>
      <c r="BD180" s="202"/>
      <c r="BE180" s="202"/>
      <c r="BF180" s="202"/>
      <c r="BG180" s="202"/>
      <c r="BH180" s="202"/>
      <c r="BI180" s="202"/>
      <c r="BJ180" s="202"/>
      <c r="BK180" s="202"/>
      <c r="BL180" s="202"/>
      <c r="BM180" s="202"/>
      <c r="BN180" s="202"/>
      <c r="BO180" s="202"/>
      <c r="BP180" s="202"/>
      <c r="BQ180" s="202"/>
      <c r="BR180" s="202"/>
      <c r="BS180" s="202"/>
      <c r="BT180" s="202"/>
    </row>
    <row r="181" spans="1:72" s="719" customFormat="1" ht="15.75" customHeight="1">
      <c r="A181" s="215"/>
      <c r="B181" s="721" t="s">
        <v>231</v>
      </c>
      <c r="C181" s="217"/>
      <c r="D181" s="217"/>
      <c r="E181" s="217"/>
      <c r="F181" s="227"/>
      <c r="G181" s="720">
        <f>SUM(G182:G182)</f>
        <v>7135</v>
      </c>
      <c r="H181" s="202"/>
      <c r="I181" s="202"/>
      <c r="J181" s="202"/>
      <c r="K181" s="202"/>
      <c r="L181" s="202"/>
      <c r="M181" s="202"/>
      <c r="N181" s="202"/>
      <c r="O181" s="202"/>
      <c r="P181" s="202"/>
      <c r="Q181" s="202"/>
      <c r="R181" s="202"/>
      <c r="S181" s="202"/>
      <c r="T181" s="202"/>
      <c r="U181" s="202"/>
      <c r="V181" s="202"/>
      <c r="W181" s="202"/>
      <c r="X181" s="202"/>
      <c r="Y181" s="202"/>
      <c r="Z181" s="202"/>
      <c r="AA181" s="202"/>
      <c r="AB181" s="202"/>
      <c r="AC181" s="202"/>
      <c r="AD181" s="202"/>
      <c r="AE181" s="202"/>
      <c r="AF181" s="202"/>
      <c r="AG181" s="202"/>
      <c r="AH181" s="202"/>
      <c r="AI181" s="202"/>
      <c r="AJ181" s="202"/>
      <c r="AK181" s="202"/>
      <c r="AL181" s="202"/>
      <c r="AM181" s="202"/>
      <c r="AN181" s="202"/>
      <c r="AO181" s="202"/>
      <c r="AP181" s="202"/>
      <c r="AQ181" s="202"/>
      <c r="AR181" s="202"/>
      <c r="AS181" s="202"/>
      <c r="AT181" s="202"/>
      <c r="AU181" s="202"/>
      <c r="AV181" s="202"/>
      <c r="AW181" s="202"/>
      <c r="AX181" s="202"/>
      <c r="AY181" s="202"/>
      <c r="AZ181" s="202"/>
      <c r="BA181" s="202"/>
      <c r="BB181" s="202"/>
      <c r="BC181" s="202"/>
      <c r="BD181" s="202"/>
      <c r="BE181" s="202"/>
      <c r="BF181" s="202"/>
      <c r="BG181" s="202"/>
      <c r="BH181" s="202"/>
      <c r="BI181" s="202"/>
      <c r="BJ181" s="202"/>
      <c r="BK181" s="202"/>
      <c r="BL181" s="202"/>
      <c r="BM181" s="202"/>
      <c r="BN181" s="202"/>
      <c r="BO181" s="202"/>
      <c r="BP181" s="202"/>
      <c r="BQ181" s="202"/>
      <c r="BR181" s="202"/>
      <c r="BS181" s="202"/>
      <c r="BT181" s="202"/>
    </row>
    <row r="182" spans="1:72" s="719" customFormat="1" ht="15.75" customHeight="1">
      <c r="A182" s="215"/>
      <c r="B182" s="216"/>
      <c r="C182" s="234"/>
      <c r="D182" s="217"/>
      <c r="E182" s="217" t="s">
        <v>334</v>
      </c>
      <c r="F182" s="227" t="s">
        <v>330</v>
      </c>
      <c r="G182" s="228">
        <f>60+940+694+843+844+838+850+843+1223</f>
        <v>7135</v>
      </c>
      <c r="H182" s="202"/>
      <c r="I182" s="202"/>
      <c r="J182" s="202"/>
      <c r="K182" s="202"/>
      <c r="L182" s="202"/>
      <c r="M182" s="202"/>
      <c r="N182" s="202"/>
      <c r="O182" s="202"/>
      <c r="P182" s="202"/>
      <c r="Q182" s="202"/>
      <c r="R182" s="202"/>
      <c r="S182" s="202"/>
      <c r="T182" s="202"/>
      <c r="U182" s="202"/>
      <c r="V182" s="202"/>
      <c r="W182" s="202"/>
      <c r="X182" s="202"/>
      <c r="Y182" s="202"/>
      <c r="Z182" s="202"/>
      <c r="AA182" s="202"/>
      <c r="AB182" s="202"/>
      <c r="AC182" s="202"/>
      <c r="AD182" s="202"/>
      <c r="AE182" s="202"/>
      <c r="AF182" s="202"/>
      <c r="AG182" s="202"/>
      <c r="AH182" s="202"/>
      <c r="AI182" s="202"/>
      <c r="AJ182" s="202"/>
      <c r="AK182" s="202"/>
      <c r="AL182" s="202"/>
      <c r="AM182" s="202"/>
      <c r="AN182" s="202"/>
      <c r="AO182" s="202"/>
      <c r="AP182" s="202"/>
      <c r="AQ182" s="202"/>
      <c r="AR182" s="202"/>
      <c r="AS182" s="202"/>
      <c r="AT182" s="202"/>
      <c r="AU182" s="202"/>
      <c r="AV182" s="202"/>
      <c r="AW182" s="202"/>
      <c r="AX182" s="202"/>
      <c r="AY182" s="202"/>
      <c r="AZ182" s="202"/>
      <c r="BA182" s="202"/>
      <c r="BB182" s="202"/>
      <c r="BC182" s="202"/>
      <c r="BD182" s="202"/>
      <c r="BE182" s="202"/>
      <c r="BF182" s="202"/>
      <c r="BG182" s="202"/>
      <c r="BH182" s="202"/>
      <c r="BI182" s="202"/>
      <c r="BJ182" s="202"/>
      <c r="BK182" s="202"/>
      <c r="BL182" s="202"/>
      <c r="BM182" s="202"/>
      <c r="BN182" s="202"/>
      <c r="BO182" s="202"/>
      <c r="BP182" s="202"/>
      <c r="BQ182" s="202"/>
      <c r="BR182" s="202"/>
      <c r="BS182" s="202"/>
      <c r="BT182" s="202"/>
    </row>
    <row r="183" spans="1:72" s="719" customFormat="1" ht="6" customHeight="1">
      <c r="A183" s="229"/>
      <c r="B183" s="230"/>
      <c r="C183" s="231"/>
      <c r="D183" s="218"/>
      <c r="E183" s="218"/>
      <c r="F183" s="220"/>
      <c r="G183" s="232"/>
      <c r="H183" s="202"/>
      <c r="I183" s="202"/>
      <c r="J183" s="202"/>
      <c r="K183" s="202"/>
      <c r="L183" s="202"/>
      <c r="M183" s="202"/>
      <c r="N183" s="202"/>
      <c r="O183" s="202"/>
      <c r="P183" s="202"/>
      <c r="Q183" s="202"/>
      <c r="R183" s="202"/>
      <c r="S183" s="202"/>
      <c r="T183" s="202"/>
      <c r="U183" s="202"/>
      <c r="V183" s="202"/>
      <c r="W183" s="202"/>
      <c r="X183" s="202"/>
      <c r="Y183" s="202"/>
      <c r="Z183" s="202"/>
      <c r="AA183" s="202"/>
      <c r="AB183" s="202"/>
      <c r="AC183" s="202"/>
      <c r="AD183" s="202"/>
      <c r="AE183" s="202"/>
      <c r="AF183" s="202"/>
      <c r="AG183" s="202"/>
      <c r="AH183" s="202"/>
      <c r="AI183" s="202"/>
      <c r="AJ183" s="202"/>
      <c r="AK183" s="202"/>
      <c r="AL183" s="202"/>
      <c r="AM183" s="202"/>
      <c r="AN183" s="202"/>
      <c r="AO183" s="202"/>
      <c r="AP183" s="202"/>
      <c r="AQ183" s="202"/>
      <c r="AR183" s="202"/>
      <c r="AS183" s="202"/>
      <c r="AT183" s="202"/>
      <c r="AU183" s="202"/>
      <c r="AV183" s="202"/>
      <c r="AW183" s="202"/>
      <c r="AX183" s="202"/>
      <c r="AY183" s="202"/>
      <c r="AZ183" s="202"/>
      <c r="BA183" s="202"/>
      <c r="BB183" s="202"/>
      <c r="BC183" s="202"/>
      <c r="BD183" s="202"/>
      <c r="BE183" s="202"/>
      <c r="BF183" s="202"/>
      <c r="BG183" s="202"/>
      <c r="BH183" s="202"/>
      <c r="BI183" s="202"/>
      <c r="BJ183" s="202"/>
      <c r="BK183" s="202"/>
      <c r="BL183" s="202"/>
      <c r="BM183" s="202"/>
      <c r="BN183" s="202"/>
      <c r="BO183" s="202"/>
      <c r="BP183" s="202"/>
      <c r="BQ183" s="202"/>
      <c r="BR183" s="202"/>
      <c r="BS183" s="202"/>
      <c r="BT183" s="202"/>
    </row>
    <row r="184" spans="1:72" s="719" customFormat="1" ht="15.75" customHeight="1">
      <c r="A184" s="215"/>
      <c r="B184" s="216"/>
      <c r="C184" s="217" t="s">
        <v>348</v>
      </c>
      <c r="D184" s="217" t="s">
        <v>374</v>
      </c>
      <c r="E184" s="218" t="s">
        <v>86</v>
      </c>
      <c r="F184" s="219">
        <f>22054.74+1073.4</f>
        <v>23128.140000000003</v>
      </c>
      <c r="G184" s="220" t="s">
        <v>330</v>
      </c>
      <c r="H184" s="202"/>
      <c r="I184" s="202"/>
      <c r="J184" s="202"/>
      <c r="K184" s="202"/>
      <c r="L184" s="202"/>
      <c r="M184" s="202"/>
      <c r="N184" s="202"/>
      <c r="O184" s="202"/>
      <c r="P184" s="202"/>
      <c r="Q184" s="202"/>
      <c r="R184" s="202"/>
      <c r="S184" s="202"/>
      <c r="T184" s="202"/>
      <c r="U184" s="202"/>
      <c r="V184" s="202"/>
      <c r="W184" s="202"/>
      <c r="X184" s="202"/>
      <c r="Y184" s="202"/>
      <c r="Z184" s="202"/>
      <c r="AA184" s="202"/>
      <c r="AB184" s="202"/>
      <c r="AC184" s="202"/>
      <c r="AD184" s="202"/>
      <c r="AE184" s="202"/>
      <c r="AF184" s="202"/>
      <c r="AG184" s="202"/>
      <c r="AH184" s="202"/>
      <c r="AI184" s="202"/>
      <c r="AJ184" s="202"/>
      <c r="AK184" s="202"/>
      <c r="AL184" s="202"/>
      <c r="AM184" s="202"/>
      <c r="AN184" s="202"/>
      <c r="AO184" s="202"/>
      <c r="AP184" s="202"/>
      <c r="AQ184" s="202"/>
      <c r="AR184" s="202"/>
      <c r="AS184" s="202"/>
      <c r="AT184" s="202"/>
      <c r="AU184" s="202"/>
      <c r="AV184" s="202"/>
      <c r="AW184" s="202"/>
      <c r="AX184" s="202"/>
      <c r="AY184" s="202"/>
      <c r="AZ184" s="202"/>
      <c r="BA184" s="202"/>
      <c r="BB184" s="202"/>
      <c r="BC184" s="202"/>
      <c r="BD184" s="202"/>
      <c r="BE184" s="202"/>
      <c r="BF184" s="202"/>
      <c r="BG184" s="202"/>
      <c r="BH184" s="202"/>
      <c r="BI184" s="202"/>
      <c r="BJ184" s="202"/>
      <c r="BK184" s="202"/>
      <c r="BL184" s="202"/>
      <c r="BM184" s="202"/>
      <c r="BN184" s="202"/>
      <c r="BO184" s="202"/>
      <c r="BP184" s="202"/>
      <c r="BQ184" s="202"/>
      <c r="BR184" s="202"/>
      <c r="BS184" s="202"/>
      <c r="BT184" s="202"/>
    </row>
    <row r="185" spans="1:72" s="719" customFormat="1" ht="38.25" customHeight="1">
      <c r="A185" s="221" t="s">
        <v>38</v>
      </c>
      <c r="B185" s="222" t="s">
        <v>375</v>
      </c>
      <c r="C185" s="217"/>
      <c r="D185" s="217"/>
      <c r="E185" s="223" t="s">
        <v>330</v>
      </c>
      <c r="F185" s="224" t="s">
        <v>330</v>
      </c>
      <c r="G185" s="225">
        <f>SUM(G187,G192)</f>
        <v>23128.14</v>
      </c>
      <c r="H185" s="202"/>
      <c r="I185" s="202"/>
      <c r="J185" s="202"/>
      <c r="K185" s="202"/>
      <c r="L185" s="202"/>
      <c r="M185" s="202"/>
      <c r="N185" s="202"/>
      <c r="O185" s="202"/>
      <c r="P185" s="202"/>
      <c r="Q185" s="202"/>
      <c r="R185" s="202"/>
      <c r="S185" s="202"/>
      <c r="T185" s="202"/>
      <c r="U185" s="202"/>
      <c r="V185" s="202"/>
      <c r="W185" s="202"/>
      <c r="X185" s="202"/>
      <c r="Y185" s="202"/>
      <c r="Z185" s="202"/>
      <c r="AA185" s="202"/>
      <c r="AB185" s="202"/>
      <c r="AC185" s="202"/>
      <c r="AD185" s="202"/>
      <c r="AE185" s="202"/>
      <c r="AF185" s="202"/>
      <c r="AG185" s="202"/>
      <c r="AH185" s="202"/>
      <c r="AI185" s="202"/>
      <c r="AJ185" s="202"/>
      <c r="AK185" s="202"/>
      <c r="AL185" s="202"/>
      <c r="AM185" s="202"/>
      <c r="AN185" s="202"/>
      <c r="AO185" s="202"/>
      <c r="AP185" s="202"/>
      <c r="AQ185" s="202"/>
      <c r="AR185" s="202"/>
      <c r="AS185" s="202"/>
      <c r="AT185" s="202"/>
      <c r="AU185" s="202"/>
      <c r="AV185" s="202"/>
      <c r="AW185" s="202"/>
      <c r="AX185" s="202"/>
      <c r="AY185" s="202"/>
      <c r="AZ185" s="202"/>
      <c r="BA185" s="202"/>
      <c r="BB185" s="202"/>
      <c r="BC185" s="202"/>
      <c r="BD185" s="202"/>
      <c r="BE185" s="202"/>
      <c r="BF185" s="202"/>
      <c r="BG185" s="202"/>
      <c r="BH185" s="202"/>
      <c r="BI185" s="202"/>
      <c r="BJ185" s="202"/>
      <c r="BK185" s="202"/>
      <c r="BL185" s="202"/>
      <c r="BM185" s="202"/>
      <c r="BN185" s="202"/>
      <c r="BO185" s="202"/>
      <c r="BP185" s="202"/>
      <c r="BQ185" s="202"/>
      <c r="BR185" s="202"/>
      <c r="BS185" s="202"/>
      <c r="BT185" s="202"/>
    </row>
    <row r="186" spans="1:72" s="719" customFormat="1" ht="9.75" customHeight="1">
      <c r="A186" s="215"/>
      <c r="B186" s="216"/>
      <c r="C186" s="234"/>
      <c r="D186" s="217"/>
      <c r="E186" s="217"/>
      <c r="F186" s="227"/>
      <c r="G186" s="228"/>
      <c r="H186" s="202"/>
      <c r="I186" s="202"/>
      <c r="J186" s="202"/>
      <c r="K186" s="202"/>
      <c r="L186" s="202"/>
      <c r="M186" s="202"/>
      <c r="N186" s="202"/>
      <c r="O186" s="202"/>
      <c r="P186" s="202"/>
      <c r="Q186" s="202"/>
      <c r="R186" s="202"/>
      <c r="S186" s="202"/>
      <c r="T186" s="202"/>
      <c r="U186" s="202"/>
      <c r="V186" s="202"/>
      <c r="W186" s="202"/>
      <c r="X186" s="202"/>
      <c r="Y186" s="202"/>
      <c r="Z186" s="202"/>
      <c r="AA186" s="202"/>
      <c r="AB186" s="202"/>
      <c r="AC186" s="202"/>
      <c r="AD186" s="202"/>
      <c r="AE186" s="202"/>
      <c r="AF186" s="202"/>
      <c r="AG186" s="202"/>
      <c r="AH186" s="202"/>
      <c r="AI186" s="202"/>
      <c r="AJ186" s="202"/>
      <c r="AK186" s="202"/>
      <c r="AL186" s="202"/>
      <c r="AM186" s="202"/>
      <c r="AN186" s="202"/>
      <c r="AO186" s="202"/>
      <c r="AP186" s="202"/>
      <c r="AQ186" s="202"/>
      <c r="AR186" s="202"/>
      <c r="AS186" s="202"/>
      <c r="AT186" s="202"/>
      <c r="AU186" s="202"/>
      <c r="AV186" s="202"/>
      <c r="AW186" s="202"/>
      <c r="AX186" s="202"/>
      <c r="AY186" s="202"/>
      <c r="AZ186" s="202"/>
      <c r="BA186" s="202"/>
      <c r="BB186" s="202"/>
      <c r="BC186" s="202"/>
      <c r="BD186" s="202"/>
      <c r="BE186" s="202"/>
      <c r="BF186" s="202"/>
      <c r="BG186" s="202"/>
      <c r="BH186" s="202"/>
      <c r="BI186" s="202"/>
      <c r="BJ186" s="202"/>
      <c r="BK186" s="202"/>
      <c r="BL186" s="202"/>
      <c r="BM186" s="202"/>
      <c r="BN186" s="202"/>
      <c r="BO186" s="202"/>
      <c r="BP186" s="202"/>
      <c r="BQ186" s="202"/>
      <c r="BR186" s="202"/>
      <c r="BS186" s="202"/>
      <c r="BT186" s="202"/>
    </row>
    <row r="187" spans="1:72" s="719" customFormat="1" ht="15.75" customHeight="1">
      <c r="A187" s="215"/>
      <c r="B187" s="721" t="s">
        <v>21</v>
      </c>
      <c r="C187" s="217"/>
      <c r="D187" s="217"/>
      <c r="E187" s="223" t="s">
        <v>330</v>
      </c>
      <c r="F187" s="224" t="s">
        <v>330</v>
      </c>
      <c r="G187" s="225">
        <f>SUM(G189)</f>
        <v>22899.17</v>
      </c>
      <c r="H187" s="202"/>
      <c r="I187" s="202"/>
      <c r="J187" s="202"/>
      <c r="K187" s="202"/>
      <c r="L187" s="202"/>
      <c r="M187" s="202"/>
      <c r="N187" s="202"/>
      <c r="O187" s="202"/>
      <c r="P187" s="202"/>
      <c r="Q187" s="202"/>
      <c r="R187" s="202"/>
      <c r="S187" s="202"/>
      <c r="T187" s="202"/>
      <c r="U187" s="202"/>
      <c r="V187" s="202"/>
      <c r="W187" s="202"/>
      <c r="X187" s="202"/>
      <c r="Y187" s="202"/>
      <c r="Z187" s="202"/>
      <c r="AA187" s="202"/>
      <c r="AB187" s="202"/>
      <c r="AC187" s="202"/>
      <c r="AD187" s="202"/>
      <c r="AE187" s="202"/>
      <c r="AF187" s="202"/>
      <c r="AG187" s="202"/>
      <c r="AH187" s="202"/>
      <c r="AI187" s="202"/>
      <c r="AJ187" s="202"/>
      <c r="AK187" s="202"/>
      <c r="AL187" s="202"/>
      <c r="AM187" s="202"/>
      <c r="AN187" s="202"/>
      <c r="AO187" s="202"/>
      <c r="AP187" s="202"/>
      <c r="AQ187" s="202"/>
      <c r="AR187" s="202"/>
      <c r="AS187" s="202"/>
      <c r="AT187" s="202"/>
      <c r="AU187" s="202"/>
      <c r="AV187" s="202"/>
      <c r="AW187" s="202"/>
      <c r="AX187" s="202"/>
      <c r="AY187" s="202"/>
      <c r="AZ187" s="202"/>
      <c r="BA187" s="202"/>
      <c r="BB187" s="202"/>
      <c r="BC187" s="202"/>
      <c r="BD187" s="202"/>
      <c r="BE187" s="202"/>
      <c r="BF187" s="202"/>
      <c r="BG187" s="202"/>
      <c r="BH187" s="202"/>
      <c r="BI187" s="202"/>
      <c r="BJ187" s="202"/>
      <c r="BK187" s="202"/>
      <c r="BL187" s="202"/>
      <c r="BM187" s="202"/>
      <c r="BN187" s="202"/>
      <c r="BO187" s="202"/>
      <c r="BP187" s="202"/>
      <c r="BQ187" s="202"/>
      <c r="BR187" s="202"/>
      <c r="BS187" s="202"/>
      <c r="BT187" s="202"/>
    </row>
    <row r="188" spans="1:72" s="719" customFormat="1" ht="5.25" customHeight="1">
      <c r="A188" s="215"/>
      <c r="B188" s="216"/>
      <c r="C188" s="234"/>
      <c r="D188" s="217"/>
      <c r="E188" s="217"/>
      <c r="F188" s="227"/>
      <c r="G188" s="228"/>
      <c r="H188" s="202"/>
      <c r="I188" s="202"/>
      <c r="J188" s="202"/>
      <c r="K188" s="202"/>
      <c r="L188" s="202"/>
      <c r="M188" s="202"/>
      <c r="N188" s="202"/>
      <c r="O188" s="202"/>
      <c r="P188" s="202"/>
      <c r="Q188" s="202"/>
      <c r="R188" s="202"/>
      <c r="S188" s="202"/>
      <c r="T188" s="202"/>
      <c r="U188" s="202"/>
      <c r="V188" s="202"/>
      <c r="W188" s="202"/>
      <c r="X188" s="202"/>
      <c r="Y188" s="202"/>
      <c r="Z188" s="202"/>
      <c r="AA188" s="202"/>
      <c r="AB188" s="202"/>
      <c r="AC188" s="202"/>
      <c r="AD188" s="202"/>
      <c r="AE188" s="202"/>
      <c r="AF188" s="202"/>
      <c r="AG188" s="202"/>
      <c r="AH188" s="202"/>
      <c r="AI188" s="202"/>
      <c r="AJ188" s="202"/>
      <c r="AK188" s="202"/>
      <c r="AL188" s="202"/>
      <c r="AM188" s="202"/>
      <c r="AN188" s="202"/>
      <c r="AO188" s="202"/>
      <c r="AP188" s="202"/>
      <c r="AQ188" s="202"/>
      <c r="AR188" s="202"/>
      <c r="AS188" s="202"/>
      <c r="AT188" s="202"/>
      <c r="AU188" s="202"/>
      <c r="AV188" s="202"/>
      <c r="AW188" s="202"/>
      <c r="AX188" s="202"/>
      <c r="AY188" s="202"/>
      <c r="AZ188" s="202"/>
      <c r="BA188" s="202"/>
      <c r="BB188" s="202"/>
      <c r="BC188" s="202"/>
      <c r="BD188" s="202"/>
      <c r="BE188" s="202"/>
      <c r="BF188" s="202"/>
      <c r="BG188" s="202"/>
      <c r="BH188" s="202"/>
      <c r="BI188" s="202"/>
      <c r="BJ188" s="202"/>
      <c r="BK188" s="202"/>
      <c r="BL188" s="202"/>
      <c r="BM188" s="202"/>
      <c r="BN188" s="202"/>
      <c r="BO188" s="202"/>
      <c r="BP188" s="202"/>
      <c r="BQ188" s="202"/>
      <c r="BR188" s="202"/>
      <c r="BS188" s="202"/>
      <c r="BT188" s="202"/>
    </row>
    <row r="189" spans="1:72" s="719" customFormat="1" ht="15.75" customHeight="1">
      <c r="A189" s="215"/>
      <c r="B189" s="216"/>
      <c r="C189" s="234"/>
      <c r="D189" s="217"/>
      <c r="E189" s="217"/>
      <c r="F189" s="227"/>
      <c r="G189" s="720">
        <f>SUM(G190:G190)</f>
        <v>22899.17</v>
      </c>
      <c r="H189" s="202"/>
      <c r="I189" s="202"/>
      <c r="J189" s="202"/>
      <c r="K189" s="202"/>
      <c r="L189" s="202"/>
      <c r="M189" s="202"/>
      <c r="N189" s="202"/>
      <c r="O189" s="202"/>
      <c r="P189" s="202"/>
      <c r="Q189" s="202"/>
      <c r="R189" s="202"/>
      <c r="S189" s="202"/>
      <c r="T189" s="202"/>
      <c r="U189" s="202"/>
      <c r="V189" s="202"/>
      <c r="W189" s="202"/>
      <c r="X189" s="202"/>
      <c r="Y189" s="202"/>
      <c r="Z189" s="202"/>
      <c r="AA189" s="202"/>
      <c r="AB189" s="202"/>
      <c r="AC189" s="202"/>
      <c r="AD189" s="202"/>
      <c r="AE189" s="202"/>
      <c r="AF189" s="202"/>
      <c r="AG189" s="202"/>
      <c r="AH189" s="202"/>
      <c r="AI189" s="202"/>
      <c r="AJ189" s="202"/>
      <c r="AK189" s="202"/>
      <c r="AL189" s="202"/>
      <c r="AM189" s="202"/>
      <c r="AN189" s="202"/>
      <c r="AO189" s="202"/>
      <c r="AP189" s="202"/>
      <c r="AQ189" s="202"/>
      <c r="AR189" s="202"/>
      <c r="AS189" s="202"/>
      <c r="AT189" s="202"/>
      <c r="AU189" s="202"/>
      <c r="AV189" s="202"/>
      <c r="AW189" s="202"/>
      <c r="AX189" s="202"/>
      <c r="AY189" s="202"/>
      <c r="AZ189" s="202"/>
      <c r="BA189" s="202"/>
      <c r="BB189" s="202"/>
      <c r="BC189" s="202"/>
      <c r="BD189" s="202"/>
      <c r="BE189" s="202"/>
      <c r="BF189" s="202"/>
      <c r="BG189" s="202"/>
      <c r="BH189" s="202"/>
      <c r="BI189" s="202"/>
      <c r="BJ189" s="202"/>
      <c r="BK189" s="202"/>
      <c r="BL189" s="202"/>
      <c r="BM189" s="202"/>
      <c r="BN189" s="202"/>
      <c r="BO189" s="202"/>
      <c r="BP189" s="202"/>
      <c r="BQ189" s="202"/>
      <c r="BR189" s="202"/>
      <c r="BS189" s="202"/>
      <c r="BT189" s="202"/>
    </row>
    <row r="190" spans="1:72" s="719" customFormat="1" ht="15.75" customHeight="1">
      <c r="A190" s="215"/>
      <c r="B190" s="216"/>
      <c r="C190" s="234"/>
      <c r="D190" s="217"/>
      <c r="E190" s="217" t="s">
        <v>270</v>
      </c>
      <c r="F190" s="227" t="s">
        <v>330</v>
      </c>
      <c r="G190" s="228">
        <f>21836.39+1062.78</f>
        <v>22899.17</v>
      </c>
      <c r="H190" s="202"/>
      <c r="I190" s="202"/>
      <c r="J190" s="202"/>
      <c r="K190" s="202"/>
      <c r="L190" s="202"/>
      <c r="M190" s="202"/>
      <c r="N190" s="202"/>
      <c r="O190" s="202"/>
      <c r="P190" s="202"/>
      <c r="Q190" s="202"/>
      <c r="R190" s="202"/>
      <c r="S190" s="202"/>
      <c r="T190" s="202"/>
      <c r="U190" s="202"/>
      <c r="V190" s="202"/>
      <c r="W190" s="202"/>
      <c r="X190" s="202"/>
      <c r="Y190" s="202"/>
      <c r="Z190" s="202"/>
      <c r="AA190" s="202"/>
      <c r="AB190" s="202"/>
      <c r="AC190" s="202"/>
      <c r="AD190" s="202"/>
      <c r="AE190" s="202"/>
      <c r="AF190" s="202"/>
      <c r="AG190" s="202"/>
      <c r="AH190" s="202"/>
      <c r="AI190" s="202"/>
      <c r="AJ190" s="202"/>
      <c r="AK190" s="202"/>
      <c r="AL190" s="202"/>
      <c r="AM190" s="202"/>
      <c r="AN190" s="202"/>
      <c r="AO190" s="202"/>
      <c r="AP190" s="202"/>
      <c r="AQ190" s="202"/>
      <c r="AR190" s="202"/>
      <c r="AS190" s="202"/>
      <c r="AT190" s="202"/>
      <c r="AU190" s="202"/>
      <c r="AV190" s="202"/>
      <c r="AW190" s="202"/>
      <c r="AX190" s="202"/>
      <c r="AY190" s="202"/>
      <c r="AZ190" s="202"/>
      <c r="BA190" s="202"/>
      <c r="BB190" s="202"/>
      <c r="BC190" s="202"/>
      <c r="BD190" s="202"/>
      <c r="BE190" s="202"/>
      <c r="BF190" s="202"/>
      <c r="BG190" s="202"/>
      <c r="BH190" s="202"/>
      <c r="BI190" s="202"/>
      <c r="BJ190" s="202"/>
      <c r="BK190" s="202"/>
      <c r="BL190" s="202"/>
      <c r="BM190" s="202"/>
      <c r="BN190" s="202"/>
      <c r="BO190" s="202"/>
      <c r="BP190" s="202"/>
      <c r="BQ190" s="202"/>
      <c r="BR190" s="202"/>
      <c r="BS190" s="202"/>
      <c r="BT190" s="202"/>
    </row>
    <row r="191" spans="1:72" s="719" customFormat="1" ht="5.25" customHeight="1">
      <c r="A191" s="215"/>
      <c r="B191" s="216"/>
      <c r="C191" s="234"/>
      <c r="D191" s="217"/>
      <c r="E191" s="218"/>
      <c r="F191" s="220"/>
      <c r="G191" s="232"/>
      <c r="H191" s="202"/>
      <c r="I191" s="202"/>
      <c r="J191" s="202"/>
      <c r="K191" s="202"/>
      <c r="L191" s="202"/>
      <c r="M191" s="202"/>
      <c r="N191" s="202"/>
      <c r="O191" s="202"/>
      <c r="P191" s="202"/>
      <c r="Q191" s="202"/>
      <c r="R191" s="202"/>
      <c r="S191" s="202"/>
      <c r="T191" s="202"/>
      <c r="U191" s="202"/>
      <c r="V191" s="202"/>
      <c r="W191" s="202"/>
      <c r="X191" s="202"/>
      <c r="Y191" s="202"/>
      <c r="Z191" s="202"/>
      <c r="AA191" s="202"/>
      <c r="AB191" s="202"/>
      <c r="AC191" s="202"/>
      <c r="AD191" s="202"/>
      <c r="AE191" s="202"/>
      <c r="AF191" s="202"/>
      <c r="AG191" s="202"/>
      <c r="AH191" s="202"/>
      <c r="AI191" s="202"/>
      <c r="AJ191" s="202"/>
      <c r="AK191" s="202"/>
      <c r="AL191" s="202"/>
      <c r="AM191" s="202"/>
      <c r="AN191" s="202"/>
      <c r="AO191" s="202"/>
      <c r="AP191" s="202"/>
      <c r="AQ191" s="202"/>
      <c r="AR191" s="202"/>
      <c r="AS191" s="202"/>
      <c r="AT191" s="202"/>
      <c r="AU191" s="202"/>
      <c r="AV191" s="202"/>
      <c r="AW191" s="202"/>
      <c r="AX191" s="202"/>
      <c r="AY191" s="202"/>
      <c r="AZ191" s="202"/>
      <c r="BA191" s="202"/>
      <c r="BB191" s="202"/>
      <c r="BC191" s="202"/>
      <c r="BD191" s="202"/>
      <c r="BE191" s="202"/>
      <c r="BF191" s="202"/>
      <c r="BG191" s="202"/>
      <c r="BH191" s="202"/>
      <c r="BI191" s="202"/>
      <c r="BJ191" s="202"/>
      <c r="BK191" s="202"/>
      <c r="BL191" s="202"/>
      <c r="BM191" s="202"/>
      <c r="BN191" s="202"/>
      <c r="BO191" s="202"/>
      <c r="BP191" s="202"/>
      <c r="BQ191" s="202"/>
      <c r="BR191" s="202"/>
      <c r="BS191" s="202"/>
      <c r="BT191" s="202"/>
    </row>
    <row r="192" spans="1:72" s="719" customFormat="1" ht="24.75" customHeight="1">
      <c r="A192" s="215"/>
      <c r="B192" s="723" t="s">
        <v>16</v>
      </c>
      <c r="C192" s="217"/>
      <c r="D192" s="217"/>
      <c r="E192" s="218" t="s">
        <v>330</v>
      </c>
      <c r="F192" s="220" t="s">
        <v>330</v>
      </c>
      <c r="G192" s="219">
        <f>SUM(G194)</f>
        <v>228.97</v>
      </c>
      <c r="H192" s="202"/>
      <c r="I192" s="202"/>
      <c r="J192" s="202"/>
      <c r="K192" s="202"/>
      <c r="L192" s="202"/>
      <c r="M192" s="202"/>
      <c r="N192" s="202"/>
      <c r="O192" s="202"/>
      <c r="P192" s="202"/>
      <c r="Q192" s="202"/>
      <c r="R192" s="202"/>
      <c r="S192" s="202"/>
      <c r="T192" s="202"/>
      <c r="U192" s="202"/>
      <c r="V192" s="202"/>
      <c r="W192" s="202"/>
      <c r="X192" s="202"/>
      <c r="Y192" s="202"/>
      <c r="Z192" s="202"/>
      <c r="AA192" s="202"/>
      <c r="AB192" s="202"/>
      <c r="AC192" s="202"/>
      <c r="AD192" s="202"/>
      <c r="AE192" s="202"/>
      <c r="AF192" s="202"/>
      <c r="AG192" s="202"/>
      <c r="AH192" s="202"/>
      <c r="AI192" s="202"/>
      <c r="AJ192" s="202"/>
      <c r="AK192" s="202"/>
      <c r="AL192" s="202"/>
      <c r="AM192" s="202"/>
      <c r="AN192" s="202"/>
      <c r="AO192" s="202"/>
      <c r="AP192" s="202"/>
      <c r="AQ192" s="202"/>
      <c r="AR192" s="202"/>
      <c r="AS192" s="202"/>
      <c r="AT192" s="202"/>
      <c r="AU192" s="202"/>
      <c r="AV192" s="202"/>
      <c r="AW192" s="202"/>
      <c r="AX192" s="202"/>
      <c r="AY192" s="202"/>
      <c r="AZ192" s="202"/>
      <c r="BA192" s="202"/>
      <c r="BB192" s="202"/>
      <c r="BC192" s="202"/>
      <c r="BD192" s="202"/>
      <c r="BE192" s="202"/>
      <c r="BF192" s="202"/>
      <c r="BG192" s="202"/>
      <c r="BH192" s="202"/>
      <c r="BI192" s="202"/>
      <c r="BJ192" s="202"/>
      <c r="BK192" s="202"/>
      <c r="BL192" s="202"/>
      <c r="BM192" s="202"/>
      <c r="BN192" s="202"/>
      <c r="BO192" s="202"/>
      <c r="BP192" s="202"/>
      <c r="BQ192" s="202"/>
      <c r="BR192" s="202"/>
      <c r="BS192" s="202"/>
      <c r="BT192" s="202"/>
    </row>
    <row r="193" spans="1:16135" s="719" customFormat="1" ht="6.75" customHeight="1">
      <c r="A193" s="215"/>
      <c r="B193" s="216"/>
      <c r="C193" s="234"/>
      <c r="D193" s="217"/>
      <c r="E193" s="217"/>
      <c r="F193" s="227"/>
      <c r="G193" s="228"/>
      <c r="H193" s="202"/>
      <c r="I193" s="202"/>
      <c r="J193" s="202"/>
      <c r="K193" s="202"/>
      <c r="L193" s="202"/>
      <c r="M193" s="202"/>
      <c r="N193" s="202"/>
      <c r="O193" s="202"/>
      <c r="P193" s="202"/>
      <c r="Q193" s="202"/>
      <c r="R193" s="202"/>
      <c r="S193" s="202"/>
      <c r="T193" s="202"/>
      <c r="U193" s="202"/>
      <c r="V193" s="202"/>
      <c r="W193" s="202"/>
      <c r="X193" s="202"/>
      <c r="Y193" s="202"/>
      <c r="Z193" s="202"/>
      <c r="AA193" s="202"/>
      <c r="AB193" s="202"/>
      <c r="AC193" s="202"/>
      <c r="AD193" s="202"/>
      <c r="AE193" s="202"/>
      <c r="AF193" s="202"/>
      <c r="AG193" s="202"/>
      <c r="AH193" s="202"/>
      <c r="AI193" s="202"/>
      <c r="AJ193" s="202"/>
      <c r="AK193" s="202"/>
      <c r="AL193" s="202"/>
      <c r="AM193" s="202"/>
      <c r="AN193" s="202"/>
      <c r="AO193" s="202"/>
      <c r="AP193" s="202"/>
      <c r="AQ193" s="202"/>
      <c r="AR193" s="202"/>
      <c r="AS193" s="202"/>
      <c r="AT193" s="202"/>
      <c r="AU193" s="202"/>
      <c r="AV193" s="202"/>
      <c r="AW193" s="202"/>
      <c r="AX193" s="202"/>
      <c r="AY193" s="202"/>
      <c r="AZ193" s="202"/>
      <c r="BA193" s="202"/>
      <c r="BB193" s="202"/>
      <c r="BC193" s="202"/>
      <c r="BD193" s="202"/>
      <c r="BE193" s="202"/>
      <c r="BF193" s="202"/>
      <c r="BG193" s="202"/>
      <c r="BH193" s="202"/>
      <c r="BI193" s="202"/>
      <c r="BJ193" s="202"/>
      <c r="BK193" s="202"/>
      <c r="BL193" s="202"/>
      <c r="BM193" s="202"/>
      <c r="BN193" s="202"/>
      <c r="BO193" s="202"/>
      <c r="BP193" s="202"/>
      <c r="BQ193" s="202"/>
      <c r="BR193" s="202"/>
      <c r="BS193" s="202"/>
      <c r="BT193" s="202"/>
    </row>
    <row r="194" spans="1:16135" s="719" customFormat="1" ht="15.75" customHeight="1">
      <c r="A194" s="215"/>
      <c r="B194" s="216"/>
      <c r="C194" s="234"/>
      <c r="D194" s="217"/>
      <c r="E194" s="217"/>
      <c r="F194" s="227"/>
      <c r="G194" s="720">
        <f>SUM(G195:G195)</f>
        <v>228.97</v>
      </c>
      <c r="H194" s="202"/>
      <c r="I194" s="202"/>
      <c r="J194" s="202"/>
      <c r="K194" s="202"/>
      <c r="L194" s="202"/>
      <c r="M194" s="202"/>
      <c r="N194" s="202"/>
      <c r="O194" s="202"/>
      <c r="P194" s="202"/>
      <c r="Q194" s="202"/>
      <c r="R194" s="202"/>
      <c r="S194" s="202"/>
      <c r="T194" s="202"/>
      <c r="U194" s="202"/>
      <c r="V194" s="202"/>
      <c r="W194" s="202"/>
      <c r="X194" s="202"/>
      <c r="Y194" s="202"/>
      <c r="Z194" s="202"/>
      <c r="AA194" s="202"/>
      <c r="AB194" s="202"/>
      <c r="AC194" s="202"/>
      <c r="AD194" s="202"/>
      <c r="AE194" s="202"/>
      <c r="AF194" s="202"/>
      <c r="AG194" s="202"/>
      <c r="AH194" s="202"/>
      <c r="AI194" s="202"/>
      <c r="AJ194" s="202"/>
      <c r="AK194" s="202"/>
      <c r="AL194" s="202"/>
      <c r="AM194" s="202"/>
      <c r="AN194" s="202"/>
      <c r="AO194" s="202"/>
      <c r="AP194" s="202"/>
      <c r="AQ194" s="202"/>
      <c r="AR194" s="202"/>
      <c r="AS194" s="202"/>
      <c r="AT194" s="202"/>
      <c r="AU194" s="202"/>
      <c r="AV194" s="202"/>
      <c r="AW194" s="202"/>
      <c r="AX194" s="202"/>
      <c r="AY194" s="202"/>
      <c r="AZ194" s="202"/>
      <c r="BA194" s="202"/>
      <c r="BB194" s="202"/>
      <c r="BC194" s="202"/>
      <c r="BD194" s="202"/>
      <c r="BE194" s="202"/>
      <c r="BF194" s="202"/>
      <c r="BG194" s="202"/>
      <c r="BH194" s="202"/>
      <c r="BI194" s="202"/>
      <c r="BJ194" s="202"/>
      <c r="BK194" s="202"/>
      <c r="BL194" s="202"/>
      <c r="BM194" s="202"/>
      <c r="BN194" s="202"/>
      <c r="BO194" s="202"/>
      <c r="BP194" s="202"/>
      <c r="BQ194" s="202"/>
      <c r="BR194" s="202"/>
      <c r="BS194" s="202"/>
      <c r="BT194" s="202"/>
    </row>
    <row r="195" spans="1:16135" s="719" customFormat="1" ht="15.75" customHeight="1">
      <c r="A195" s="215"/>
      <c r="B195" s="216"/>
      <c r="C195" s="234"/>
      <c r="D195" s="217"/>
      <c r="E195" s="217" t="s">
        <v>270</v>
      </c>
      <c r="F195" s="227" t="s">
        <v>330</v>
      </c>
      <c r="G195" s="228">
        <f>218.35+10.62</f>
        <v>228.97</v>
      </c>
      <c r="H195" s="202"/>
      <c r="I195" s="202"/>
      <c r="J195" s="202"/>
      <c r="K195" s="202"/>
      <c r="L195" s="202"/>
      <c r="M195" s="202"/>
      <c r="N195" s="202"/>
      <c r="O195" s="202"/>
      <c r="P195" s="202"/>
      <c r="Q195" s="202"/>
      <c r="R195" s="202"/>
      <c r="S195" s="202"/>
      <c r="T195" s="202"/>
      <c r="U195" s="202"/>
      <c r="V195" s="202"/>
      <c r="W195" s="202"/>
      <c r="X195" s="202"/>
      <c r="Y195" s="202"/>
      <c r="Z195" s="202"/>
      <c r="AA195" s="202"/>
      <c r="AB195" s="202"/>
      <c r="AC195" s="202"/>
      <c r="AD195" s="202"/>
      <c r="AE195" s="202"/>
      <c r="AF195" s="202"/>
      <c r="AG195" s="202"/>
      <c r="AH195" s="202"/>
      <c r="AI195" s="202"/>
      <c r="AJ195" s="202"/>
      <c r="AK195" s="202"/>
      <c r="AL195" s="202"/>
      <c r="AM195" s="202"/>
      <c r="AN195" s="202"/>
      <c r="AO195" s="202"/>
      <c r="AP195" s="202"/>
      <c r="AQ195" s="202"/>
      <c r="AR195" s="202"/>
      <c r="AS195" s="202"/>
      <c r="AT195" s="202"/>
      <c r="AU195" s="202"/>
      <c r="AV195" s="202"/>
      <c r="AW195" s="202"/>
      <c r="AX195" s="202"/>
      <c r="AY195" s="202"/>
      <c r="AZ195" s="202"/>
      <c r="BA195" s="202"/>
      <c r="BB195" s="202"/>
      <c r="BC195" s="202"/>
      <c r="BD195" s="202"/>
      <c r="BE195" s="202"/>
      <c r="BF195" s="202"/>
      <c r="BG195" s="202"/>
      <c r="BH195" s="202"/>
      <c r="BI195" s="202"/>
      <c r="BJ195" s="202"/>
      <c r="BK195" s="202"/>
      <c r="BL195" s="202"/>
      <c r="BM195" s="202"/>
      <c r="BN195" s="202"/>
      <c r="BO195" s="202"/>
      <c r="BP195" s="202"/>
      <c r="BQ195" s="202"/>
      <c r="BR195" s="202"/>
      <c r="BS195" s="202"/>
      <c r="BT195" s="202"/>
    </row>
    <row r="196" spans="1:16135" s="719" customFormat="1" ht="5.25" customHeight="1">
      <c r="A196" s="229"/>
      <c r="B196" s="230"/>
      <c r="C196" s="231"/>
      <c r="D196" s="218"/>
      <c r="E196" s="218"/>
      <c r="F196" s="220"/>
      <c r="G196" s="232"/>
      <c r="H196" s="202"/>
      <c r="I196" s="202"/>
      <c r="J196" s="202"/>
      <c r="K196" s="202"/>
      <c r="L196" s="202"/>
      <c r="M196" s="202"/>
      <c r="N196" s="202"/>
      <c r="O196" s="202"/>
      <c r="P196" s="202"/>
      <c r="Q196" s="202"/>
      <c r="R196" s="202"/>
      <c r="S196" s="202"/>
      <c r="T196" s="202"/>
      <c r="U196" s="202"/>
      <c r="V196" s="202"/>
      <c r="W196" s="202"/>
      <c r="X196" s="202"/>
      <c r="Y196" s="202"/>
      <c r="Z196" s="202"/>
      <c r="AA196" s="202"/>
      <c r="AB196" s="202"/>
      <c r="AC196" s="202"/>
      <c r="AD196" s="202"/>
      <c r="AE196" s="202"/>
      <c r="AF196" s="202"/>
      <c r="AG196" s="202"/>
      <c r="AH196" s="202"/>
      <c r="AI196" s="202"/>
      <c r="AJ196" s="202"/>
      <c r="AK196" s="202"/>
      <c r="AL196" s="202"/>
      <c r="AM196" s="202"/>
      <c r="AN196" s="202"/>
      <c r="AO196" s="202"/>
      <c r="AP196" s="202"/>
      <c r="AQ196" s="202"/>
      <c r="AR196" s="202"/>
      <c r="AS196" s="202"/>
      <c r="AT196" s="202"/>
      <c r="AU196" s="202"/>
      <c r="AV196" s="202"/>
      <c r="AW196" s="202"/>
      <c r="AX196" s="202"/>
      <c r="AY196" s="202"/>
      <c r="AZ196" s="202"/>
      <c r="BA196" s="202"/>
      <c r="BB196" s="202"/>
      <c r="BC196" s="202"/>
      <c r="BD196" s="202"/>
      <c r="BE196" s="202"/>
      <c r="BF196" s="202"/>
      <c r="BG196" s="202"/>
      <c r="BH196" s="202"/>
      <c r="BI196" s="202"/>
      <c r="BJ196" s="202"/>
      <c r="BK196" s="202"/>
      <c r="BL196" s="202"/>
      <c r="BM196" s="202"/>
      <c r="BN196" s="202"/>
      <c r="BO196" s="202"/>
      <c r="BP196" s="202"/>
      <c r="BQ196" s="202"/>
      <c r="BR196" s="202"/>
      <c r="BS196" s="202"/>
      <c r="BT196" s="202"/>
    </row>
    <row r="197" spans="1:16135" s="211" customFormat="1" ht="21.75" customHeight="1">
      <c r="A197" s="726"/>
      <c r="B197" s="727" t="s">
        <v>376</v>
      </c>
      <c r="C197" s="728"/>
      <c r="D197" s="729"/>
      <c r="E197" s="730"/>
      <c r="F197" s="730">
        <f>SUM(F12,F18,F26,F32,F41,F163,F171,F178,F184)</f>
        <v>3946955.79</v>
      </c>
      <c r="G197" s="730">
        <f>SUM(G13,G19,G27,G33,G42,G164,G172,G179,G185)</f>
        <v>4575275.99</v>
      </c>
      <c r="H197" s="210"/>
      <c r="I197" s="210"/>
      <c r="J197" s="210"/>
      <c r="K197" s="210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0"/>
      <c r="AA197" s="210"/>
      <c r="AB197" s="210"/>
      <c r="AC197" s="210"/>
      <c r="AD197" s="210"/>
      <c r="AE197" s="210"/>
      <c r="AF197" s="210"/>
      <c r="AG197" s="210"/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  <c r="BI197" s="210"/>
      <c r="BJ197" s="210"/>
      <c r="BK197" s="210"/>
      <c r="BL197" s="210"/>
      <c r="BM197" s="210"/>
      <c r="BN197" s="210"/>
      <c r="BO197" s="210"/>
      <c r="BP197" s="210"/>
      <c r="BQ197" s="210"/>
      <c r="BR197" s="210"/>
      <c r="BS197" s="210"/>
      <c r="BT197" s="210"/>
    </row>
    <row r="199" spans="1:16135" s="624" customFormat="1">
      <c r="A199" s="246"/>
      <c r="B199" s="697"/>
      <c r="C199" s="697"/>
      <c r="D199" s="697"/>
      <c r="E199" s="697"/>
      <c r="I199" s="21"/>
      <c r="BY199" s="697"/>
      <c r="BZ199" s="697"/>
      <c r="CA199" s="697"/>
      <c r="CB199" s="697"/>
      <c r="CC199" s="697"/>
      <c r="CD199" s="697"/>
      <c r="CE199" s="697"/>
      <c r="CF199" s="697"/>
      <c r="CG199" s="697"/>
      <c r="CH199" s="697"/>
      <c r="CI199" s="697"/>
      <c r="CJ199" s="697"/>
      <c r="CK199" s="697"/>
      <c r="CL199" s="697"/>
      <c r="CM199" s="697"/>
      <c r="CN199" s="697"/>
      <c r="CO199" s="697"/>
      <c r="CP199" s="697"/>
      <c r="CQ199" s="697"/>
      <c r="CR199" s="697"/>
      <c r="CS199" s="697"/>
      <c r="CT199" s="697"/>
      <c r="CU199" s="697"/>
      <c r="CV199" s="697"/>
      <c r="CW199" s="697"/>
      <c r="CX199" s="697"/>
      <c r="CY199" s="697"/>
      <c r="CZ199" s="697"/>
      <c r="DA199" s="697"/>
      <c r="DB199" s="697"/>
      <c r="DC199" s="697"/>
      <c r="DD199" s="697"/>
      <c r="DE199" s="697"/>
      <c r="DF199" s="697"/>
      <c r="DG199" s="697"/>
      <c r="DH199" s="697"/>
      <c r="DI199" s="697"/>
      <c r="DJ199" s="697"/>
      <c r="DK199" s="697"/>
      <c r="DL199" s="697"/>
      <c r="DM199" s="697"/>
      <c r="DN199" s="697"/>
      <c r="DO199" s="697"/>
      <c r="DP199" s="697"/>
      <c r="DQ199" s="697"/>
      <c r="DR199" s="697"/>
      <c r="DS199" s="697"/>
      <c r="DT199" s="697"/>
      <c r="DU199" s="697"/>
      <c r="DV199" s="697"/>
      <c r="DW199" s="697"/>
      <c r="DX199" s="697"/>
      <c r="DY199" s="697"/>
      <c r="DZ199" s="697"/>
      <c r="EA199" s="697"/>
      <c r="EB199" s="697"/>
      <c r="EC199" s="697"/>
      <c r="ED199" s="697"/>
      <c r="EE199" s="697"/>
      <c r="EF199" s="697"/>
      <c r="EG199" s="697"/>
      <c r="EH199" s="697"/>
      <c r="EI199" s="697"/>
      <c r="EJ199" s="697"/>
      <c r="EK199" s="697"/>
      <c r="EL199" s="697"/>
      <c r="EM199" s="697"/>
      <c r="EN199" s="697"/>
      <c r="EO199" s="697"/>
      <c r="EP199" s="697"/>
      <c r="EQ199" s="697"/>
      <c r="ER199" s="697"/>
      <c r="ES199" s="697"/>
      <c r="ET199" s="697"/>
      <c r="EU199" s="697"/>
      <c r="EV199" s="697"/>
      <c r="EW199" s="697"/>
      <c r="EX199" s="697"/>
      <c r="EY199" s="697"/>
      <c r="EZ199" s="697"/>
      <c r="FA199" s="697"/>
      <c r="FB199" s="697"/>
      <c r="FC199" s="697"/>
      <c r="FD199" s="697"/>
      <c r="FE199" s="697"/>
      <c r="FF199" s="697"/>
      <c r="FG199" s="697"/>
      <c r="FH199" s="697"/>
      <c r="FI199" s="697"/>
      <c r="FJ199" s="697"/>
      <c r="FK199" s="697"/>
      <c r="FL199" s="697"/>
      <c r="FM199" s="697"/>
      <c r="FN199" s="697"/>
      <c r="FO199" s="697"/>
      <c r="FP199" s="697"/>
      <c r="FQ199" s="697"/>
      <c r="FR199" s="697"/>
      <c r="FS199" s="697"/>
      <c r="FT199" s="697"/>
      <c r="FU199" s="697"/>
      <c r="FV199" s="697"/>
      <c r="FW199" s="697"/>
      <c r="FX199" s="697"/>
      <c r="FY199" s="697"/>
      <c r="FZ199" s="697"/>
      <c r="GA199" s="697"/>
      <c r="GB199" s="697"/>
      <c r="GC199" s="697"/>
      <c r="GD199" s="697"/>
      <c r="GE199" s="697"/>
      <c r="GF199" s="697"/>
      <c r="GG199" s="697"/>
      <c r="GH199" s="697"/>
      <c r="GI199" s="697"/>
      <c r="GJ199" s="697"/>
      <c r="GK199" s="697"/>
      <c r="GL199" s="697"/>
      <c r="GM199" s="697"/>
      <c r="GN199" s="697"/>
      <c r="GO199" s="697"/>
      <c r="GP199" s="697"/>
      <c r="GQ199" s="697"/>
      <c r="GR199" s="697"/>
      <c r="GS199" s="697"/>
      <c r="GT199" s="697"/>
      <c r="GU199" s="697"/>
      <c r="GV199" s="697"/>
      <c r="GW199" s="697"/>
      <c r="GX199" s="697"/>
      <c r="GY199" s="697"/>
      <c r="GZ199" s="697"/>
      <c r="HA199" s="697"/>
      <c r="HB199" s="697"/>
      <c r="HC199" s="697"/>
      <c r="HD199" s="697"/>
      <c r="HE199" s="697"/>
      <c r="HF199" s="697"/>
      <c r="HG199" s="697"/>
      <c r="HH199" s="697"/>
      <c r="HI199" s="697"/>
      <c r="HJ199" s="697"/>
      <c r="HK199" s="697"/>
      <c r="HL199" s="697"/>
      <c r="HM199" s="697"/>
      <c r="HN199" s="697"/>
      <c r="HO199" s="697"/>
      <c r="HP199" s="697"/>
      <c r="HQ199" s="697"/>
      <c r="HR199" s="697"/>
      <c r="HS199" s="697"/>
      <c r="HT199" s="697"/>
      <c r="HU199" s="697"/>
      <c r="HV199" s="697"/>
      <c r="HW199" s="697"/>
      <c r="HX199" s="697"/>
      <c r="HY199" s="697"/>
      <c r="HZ199" s="697"/>
      <c r="IA199" s="697"/>
      <c r="IB199" s="697"/>
      <c r="IC199" s="697"/>
      <c r="ID199" s="697"/>
      <c r="IE199" s="697"/>
      <c r="IF199" s="697"/>
      <c r="IG199" s="697"/>
      <c r="IH199" s="697"/>
      <c r="II199" s="697"/>
      <c r="IJ199" s="697"/>
      <c r="IK199" s="697"/>
      <c r="IL199" s="697"/>
      <c r="IM199" s="697"/>
      <c r="IN199" s="697"/>
      <c r="IO199" s="697"/>
      <c r="IP199" s="697"/>
      <c r="IQ199" s="697"/>
      <c r="IR199" s="697"/>
      <c r="IS199" s="697"/>
      <c r="IT199" s="697"/>
      <c r="IU199" s="697"/>
      <c r="IV199" s="697"/>
      <c r="IW199" s="697"/>
      <c r="IX199" s="697"/>
      <c r="IY199" s="697"/>
      <c r="IZ199" s="697"/>
      <c r="JA199" s="697"/>
      <c r="JB199" s="697"/>
      <c r="JC199" s="697"/>
      <c r="JD199" s="697"/>
      <c r="JE199" s="697"/>
      <c r="JF199" s="697"/>
      <c r="JG199" s="697"/>
      <c r="JH199" s="697"/>
      <c r="JI199" s="697"/>
      <c r="JJ199" s="697"/>
      <c r="JK199" s="697"/>
      <c r="JL199" s="697"/>
      <c r="JM199" s="697"/>
      <c r="JN199" s="697"/>
      <c r="JO199" s="697"/>
      <c r="JP199" s="697"/>
      <c r="JQ199" s="697"/>
      <c r="JR199" s="697"/>
      <c r="JS199" s="697"/>
      <c r="JT199" s="697"/>
      <c r="JU199" s="697"/>
      <c r="JV199" s="697"/>
      <c r="JW199" s="697"/>
      <c r="JX199" s="697"/>
      <c r="JY199" s="697"/>
      <c r="JZ199" s="697"/>
      <c r="KA199" s="697"/>
      <c r="KB199" s="697"/>
      <c r="KC199" s="697"/>
      <c r="KD199" s="697"/>
      <c r="KE199" s="697"/>
      <c r="KF199" s="697"/>
      <c r="KG199" s="697"/>
      <c r="KH199" s="697"/>
      <c r="KI199" s="697"/>
      <c r="KJ199" s="697"/>
      <c r="KK199" s="697"/>
      <c r="KL199" s="697"/>
      <c r="KM199" s="697"/>
      <c r="KN199" s="697"/>
      <c r="KO199" s="697"/>
      <c r="KP199" s="697"/>
      <c r="KQ199" s="697"/>
      <c r="KR199" s="697"/>
      <c r="KS199" s="697"/>
      <c r="KT199" s="697"/>
      <c r="KU199" s="697"/>
      <c r="KV199" s="697"/>
      <c r="KW199" s="697"/>
      <c r="KX199" s="697"/>
      <c r="KY199" s="697"/>
      <c r="KZ199" s="697"/>
      <c r="LA199" s="697"/>
      <c r="LB199" s="697"/>
      <c r="LC199" s="697"/>
      <c r="LD199" s="697"/>
      <c r="LE199" s="697"/>
      <c r="LF199" s="697"/>
      <c r="LG199" s="697"/>
      <c r="LH199" s="697"/>
      <c r="LI199" s="697"/>
      <c r="LJ199" s="697"/>
      <c r="LK199" s="697"/>
      <c r="LL199" s="697"/>
      <c r="LM199" s="697"/>
      <c r="LN199" s="697"/>
      <c r="LO199" s="697"/>
      <c r="LP199" s="697"/>
      <c r="LQ199" s="697"/>
      <c r="LR199" s="697"/>
      <c r="LS199" s="697"/>
      <c r="LT199" s="697"/>
      <c r="LU199" s="697"/>
      <c r="LV199" s="697"/>
      <c r="LW199" s="697"/>
      <c r="LX199" s="697"/>
      <c r="LY199" s="697"/>
      <c r="LZ199" s="697"/>
      <c r="MA199" s="697"/>
      <c r="MB199" s="697"/>
      <c r="MC199" s="697"/>
      <c r="MD199" s="697"/>
      <c r="ME199" s="697"/>
      <c r="MF199" s="697"/>
      <c r="MG199" s="697"/>
      <c r="MH199" s="697"/>
      <c r="MI199" s="697"/>
      <c r="MJ199" s="697"/>
      <c r="MK199" s="697"/>
      <c r="ML199" s="697"/>
      <c r="MM199" s="697"/>
      <c r="MN199" s="697"/>
      <c r="MO199" s="697"/>
      <c r="MP199" s="697"/>
      <c r="MQ199" s="697"/>
      <c r="MR199" s="697"/>
      <c r="MS199" s="697"/>
      <c r="MT199" s="697"/>
      <c r="MU199" s="697"/>
      <c r="MV199" s="697"/>
      <c r="MW199" s="697"/>
      <c r="MX199" s="697"/>
      <c r="MY199" s="697"/>
      <c r="MZ199" s="697"/>
      <c r="NA199" s="697"/>
      <c r="NB199" s="697"/>
      <c r="NC199" s="697"/>
      <c r="ND199" s="697"/>
      <c r="NE199" s="697"/>
      <c r="NF199" s="697"/>
      <c r="NG199" s="697"/>
      <c r="NH199" s="697"/>
      <c r="NI199" s="697"/>
      <c r="NJ199" s="697"/>
      <c r="NK199" s="697"/>
      <c r="NL199" s="697"/>
      <c r="NM199" s="697"/>
      <c r="NN199" s="697"/>
      <c r="NO199" s="697"/>
      <c r="NP199" s="697"/>
      <c r="NQ199" s="697"/>
      <c r="NR199" s="697"/>
      <c r="NS199" s="697"/>
      <c r="NT199" s="697"/>
      <c r="NU199" s="697"/>
      <c r="NV199" s="697"/>
      <c r="NW199" s="697"/>
      <c r="NX199" s="697"/>
      <c r="NY199" s="697"/>
      <c r="NZ199" s="697"/>
      <c r="OA199" s="697"/>
      <c r="OB199" s="697"/>
      <c r="OC199" s="697"/>
      <c r="OD199" s="697"/>
      <c r="OE199" s="697"/>
      <c r="OF199" s="697"/>
      <c r="OG199" s="697"/>
      <c r="OH199" s="697"/>
      <c r="OI199" s="697"/>
      <c r="OJ199" s="697"/>
      <c r="OK199" s="697"/>
      <c r="OL199" s="697"/>
      <c r="OM199" s="697"/>
      <c r="ON199" s="697"/>
      <c r="OO199" s="697"/>
      <c r="OP199" s="697"/>
      <c r="OQ199" s="697"/>
      <c r="OR199" s="697"/>
      <c r="OS199" s="697"/>
      <c r="OT199" s="697"/>
      <c r="OU199" s="697"/>
      <c r="OV199" s="697"/>
      <c r="OW199" s="697"/>
      <c r="OX199" s="697"/>
      <c r="OY199" s="697"/>
      <c r="OZ199" s="697"/>
      <c r="PA199" s="697"/>
      <c r="PB199" s="697"/>
      <c r="PC199" s="697"/>
      <c r="PD199" s="697"/>
      <c r="PE199" s="697"/>
      <c r="PF199" s="697"/>
      <c r="PG199" s="697"/>
      <c r="PH199" s="697"/>
      <c r="PI199" s="697"/>
      <c r="PJ199" s="697"/>
      <c r="PK199" s="697"/>
      <c r="PL199" s="697"/>
      <c r="PM199" s="697"/>
      <c r="PN199" s="697"/>
      <c r="PO199" s="697"/>
      <c r="PP199" s="697"/>
      <c r="PQ199" s="697"/>
      <c r="PR199" s="697"/>
      <c r="PS199" s="697"/>
      <c r="PT199" s="697"/>
      <c r="PU199" s="697"/>
      <c r="PV199" s="697"/>
      <c r="PW199" s="697"/>
      <c r="PX199" s="697"/>
      <c r="PY199" s="697"/>
      <c r="PZ199" s="697"/>
      <c r="QA199" s="697"/>
      <c r="QB199" s="697"/>
      <c r="QC199" s="697"/>
      <c r="QD199" s="697"/>
      <c r="QE199" s="697"/>
      <c r="QF199" s="697"/>
      <c r="QG199" s="697"/>
      <c r="QH199" s="697"/>
      <c r="QI199" s="697"/>
      <c r="QJ199" s="697"/>
      <c r="QK199" s="697"/>
      <c r="QL199" s="697"/>
      <c r="QM199" s="697"/>
      <c r="QN199" s="697"/>
      <c r="QO199" s="697"/>
      <c r="QP199" s="697"/>
      <c r="QQ199" s="697"/>
      <c r="QR199" s="697"/>
      <c r="QS199" s="697"/>
      <c r="QT199" s="697"/>
      <c r="QU199" s="697"/>
      <c r="QV199" s="697"/>
      <c r="QW199" s="697"/>
      <c r="QX199" s="697"/>
      <c r="QY199" s="697"/>
      <c r="QZ199" s="697"/>
      <c r="RA199" s="697"/>
      <c r="RB199" s="697"/>
      <c r="RC199" s="697"/>
      <c r="RD199" s="697"/>
      <c r="RE199" s="697"/>
      <c r="RF199" s="697"/>
      <c r="RG199" s="697"/>
      <c r="RH199" s="697"/>
      <c r="RI199" s="697"/>
      <c r="RJ199" s="697"/>
      <c r="RK199" s="697"/>
      <c r="RL199" s="697"/>
      <c r="RM199" s="697"/>
      <c r="RN199" s="697"/>
      <c r="RO199" s="697"/>
      <c r="RP199" s="697"/>
      <c r="RQ199" s="697"/>
      <c r="RR199" s="697"/>
      <c r="RS199" s="697"/>
      <c r="RT199" s="697"/>
      <c r="RU199" s="697"/>
      <c r="RV199" s="697"/>
      <c r="RW199" s="697"/>
      <c r="RX199" s="697"/>
      <c r="RY199" s="697"/>
      <c r="RZ199" s="697"/>
      <c r="SA199" s="697"/>
      <c r="SB199" s="697"/>
      <c r="SC199" s="697"/>
      <c r="SD199" s="697"/>
      <c r="SE199" s="697"/>
      <c r="SF199" s="697"/>
      <c r="SG199" s="697"/>
      <c r="SH199" s="697"/>
      <c r="SI199" s="697"/>
      <c r="SJ199" s="697"/>
      <c r="SK199" s="697"/>
      <c r="SL199" s="697"/>
      <c r="SM199" s="697"/>
      <c r="SN199" s="697"/>
      <c r="SO199" s="697"/>
      <c r="SP199" s="697"/>
      <c r="SQ199" s="697"/>
      <c r="SR199" s="697"/>
      <c r="SS199" s="697"/>
      <c r="ST199" s="697"/>
      <c r="SU199" s="697"/>
      <c r="SV199" s="697"/>
      <c r="SW199" s="697"/>
      <c r="SX199" s="697"/>
      <c r="SY199" s="697"/>
      <c r="SZ199" s="697"/>
      <c r="TA199" s="697"/>
      <c r="TB199" s="697"/>
      <c r="TC199" s="697"/>
      <c r="TD199" s="697"/>
      <c r="TE199" s="697"/>
      <c r="TF199" s="697"/>
      <c r="TG199" s="697"/>
      <c r="TH199" s="697"/>
      <c r="TI199" s="697"/>
      <c r="TJ199" s="697"/>
      <c r="TK199" s="697"/>
      <c r="TL199" s="697"/>
      <c r="TM199" s="697"/>
      <c r="TN199" s="697"/>
      <c r="TO199" s="697"/>
      <c r="TP199" s="697"/>
      <c r="TQ199" s="697"/>
      <c r="TR199" s="697"/>
      <c r="TS199" s="697"/>
      <c r="TT199" s="697"/>
      <c r="TU199" s="697"/>
      <c r="TV199" s="697"/>
      <c r="TW199" s="697"/>
      <c r="TX199" s="697"/>
      <c r="TY199" s="697"/>
      <c r="TZ199" s="697"/>
      <c r="UA199" s="697"/>
      <c r="UB199" s="697"/>
      <c r="UC199" s="697"/>
      <c r="UD199" s="697"/>
      <c r="UE199" s="697"/>
      <c r="UF199" s="697"/>
      <c r="UG199" s="697"/>
      <c r="UH199" s="697"/>
      <c r="UI199" s="697"/>
      <c r="UJ199" s="697"/>
      <c r="UK199" s="697"/>
      <c r="UL199" s="697"/>
      <c r="UM199" s="697"/>
      <c r="UN199" s="697"/>
      <c r="UO199" s="697"/>
      <c r="UP199" s="697"/>
      <c r="UQ199" s="697"/>
      <c r="UR199" s="697"/>
      <c r="US199" s="697"/>
      <c r="UT199" s="697"/>
      <c r="UU199" s="697"/>
      <c r="UV199" s="697"/>
      <c r="UW199" s="697"/>
      <c r="UX199" s="697"/>
      <c r="UY199" s="697"/>
      <c r="UZ199" s="697"/>
      <c r="VA199" s="697"/>
      <c r="VB199" s="697"/>
      <c r="VC199" s="697"/>
      <c r="VD199" s="697"/>
      <c r="VE199" s="697"/>
      <c r="VF199" s="697"/>
      <c r="VG199" s="697"/>
      <c r="VH199" s="697"/>
      <c r="VI199" s="697"/>
      <c r="VJ199" s="697"/>
      <c r="VK199" s="697"/>
      <c r="VL199" s="697"/>
      <c r="VM199" s="697"/>
      <c r="VN199" s="697"/>
      <c r="VO199" s="697"/>
      <c r="VP199" s="697"/>
      <c r="VQ199" s="697"/>
      <c r="VR199" s="697"/>
      <c r="VS199" s="697"/>
      <c r="VT199" s="697"/>
      <c r="VU199" s="697"/>
      <c r="VV199" s="697"/>
      <c r="VW199" s="697"/>
      <c r="VX199" s="697"/>
      <c r="VY199" s="697"/>
      <c r="VZ199" s="697"/>
      <c r="WA199" s="697"/>
      <c r="WB199" s="697"/>
      <c r="WC199" s="697"/>
      <c r="WD199" s="697"/>
      <c r="WE199" s="697"/>
      <c r="WF199" s="697"/>
      <c r="WG199" s="697"/>
      <c r="WH199" s="697"/>
      <c r="WI199" s="697"/>
      <c r="WJ199" s="697"/>
      <c r="WK199" s="697"/>
      <c r="WL199" s="697"/>
      <c r="WM199" s="697"/>
      <c r="WN199" s="697"/>
      <c r="WO199" s="697"/>
      <c r="WP199" s="697"/>
      <c r="WQ199" s="697"/>
      <c r="WR199" s="697"/>
      <c r="WS199" s="697"/>
      <c r="WT199" s="697"/>
      <c r="WU199" s="697"/>
      <c r="WV199" s="697"/>
      <c r="WW199" s="697"/>
      <c r="WX199" s="697"/>
      <c r="WY199" s="697"/>
      <c r="WZ199" s="697"/>
      <c r="XA199" s="697"/>
      <c r="XB199" s="697"/>
      <c r="XC199" s="697"/>
      <c r="XD199" s="697"/>
      <c r="XE199" s="697"/>
      <c r="XF199" s="697"/>
      <c r="XG199" s="697"/>
      <c r="XH199" s="697"/>
      <c r="XI199" s="697"/>
      <c r="XJ199" s="697"/>
      <c r="XK199" s="697"/>
      <c r="XL199" s="697"/>
      <c r="XM199" s="697"/>
      <c r="XN199" s="697"/>
      <c r="XO199" s="697"/>
      <c r="XP199" s="697"/>
      <c r="XQ199" s="697"/>
      <c r="XR199" s="697"/>
      <c r="XS199" s="697"/>
      <c r="XT199" s="697"/>
      <c r="XU199" s="697"/>
      <c r="XV199" s="697"/>
      <c r="XW199" s="697"/>
      <c r="XX199" s="697"/>
      <c r="XY199" s="697"/>
      <c r="XZ199" s="697"/>
      <c r="YA199" s="697"/>
      <c r="YB199" s="697"/>
      <c r="YC199" s="697"/>
      <c r="YD199" s="697"/>
      <c r="YE199" s="697"/>
      <c r="YF199" s="697"/>
      <c r="YG199" s="697"/>
      <c r="YH199" s="697"/>
      <c r="YI199" s="697"/>
      <c r="YJ199" s="697"/>
      <c r="YK199" s="697"/>
      <c r="YL199" s="697"/>
      <c r="YM199" s="697"/>
      <c r="YN199" s="697"/>
      <c r="YO199" s="697"/>
      <c r="YP199" s="697"/>
      <c r="YQ199" s="697"/>
      <c r="YR199" s="697"/>
      <c r="YS199" s="697"/>
      <c r="YT199" s="697"/>
      <c r="YU199" s="697"/>
      <c r="YV199" s="697"/>
      <c r="YW199" s="697"/>
      <c r="YX199" s="697"/>
      <c r="YY199" s="697"/>
      <c r="YZ199" s="697"/>
      <c r="ZA199" s="697"/>
      <c r="ZB199" s="697"/>
      <c r="ZC199" s="697"/>
      <c r="ZD199" s="697"/>
      <c r="ZE199" s="697"/>
      <c r="ZF199" s="697"/>
      <c r="ZG199" s="697"/>
      <c r="ZH199" s="697"/>
      <c r="ZI199" s="697"/>
      <c r="ZJ199" s="697"/>
      <c r="ZK199" s="697"/>
      <c r="ZL199" s="697"/>
      <c r="ZM199" s="697"/>
      <c r="ZN199" s="697"/>
      <c r="ZO199" s="697"/>
      <c r="ZP199" s="697"/>
      <c r="ZQ199" s="697"/>
      <c r="ZR199" s="697"/>
      <c r="ZS199" s="697"/>
      <c r="ZT199" s="697"/>
      <c r="ZU199" s="697"/>
      <c r="ZV199" s="697"/>
      <c r="ZW199" s="697"/>
      <c r="ZX199" s="697"/>
      <c r="ZY199" s="697"/>
      <c r="ZZ199" s="697"/>
      <c r="AAA199" s="697"/>
      <c r="AAB199" s="697"/>
      <c r="AAC199" s="697"/>
      <c r="AAD199" s="697"/>
      <c r="AAE199" s="697"/>
      <c r="AAF199" s="697"/>
      <c r="AAG199" s="697"/>
      <c r="AAH199" s="697"/>
      <c r="AAI199" s="697"/>
      <c r="AAJ199" s="697"/>
      <c r="AAK199" s="697"/>
      <c r="AAL199" s="697"/>
      <c r="AAM199" s="697"/>
      <c r="AAN199" s="697"/>
      <c r="AAO199" s="697"/>
      <c r="AAP199" s="697"/>
      <c r="AAQ199" s="697"/>
      <c r="AAR199" s="697"/>
      <c r="AAS199" s="697"/>
      <c r="AAT199" s="697"/>
      <c r="AAU199" s="697"/>
      <c r="AAV199" s="697"/>
      <c r="AAW199" s="697"/>
      <c r="AAX199" s="697"/>
      <c r="AAY199" s="697"/>
      <c r="AAZ199" s="697"/>
      <c r="ABA199" s="697"/>
      <c r="ABB199" s="697"/>
      <c r="ABC199" s="697"/>
      <c r="ABD199" s="697"/>
      <c r="ABE199" s="697"/>
      <c r="ABF199" s="697"/>
      <c r="ABG199" s="697"/>
      <c r="ABH199" s="697"/>
      <c r="ABI199" s="697"/>
      <c r="ABJ199" s="697"/>
      <c r="ABK199" s="697"/>
      <c r="ABL199" s="697"/>
      <c r="ABM199" s="697"/>
      <c r="ABN199" s="697"/>
      <c r="ABO199" s="697"/>
      <c r="ABP199" s="697"/>
      <c r="ABQ199" s="697"/>
      <c r="ABR199" s="697"/>
      <c r="ABS199" s="697"/>
      <c r="ABT199" s="697"/>
      <c r="ABU199" s="697"/>
      <c r="ABV199" s="697"/>
      <c r="ABW199" s="697"/>
      <c r="ABX199" s="697"/>
      <c r="ABY199" s="697"/>
      <c r="ABZ199" s="697"/>
      <c r="ACA199" s="697"/>
      <c r="ACB199" s="697"/>
      <c r="ACC199" s="697"/>
      <c r="ACD199" s="697"/>
      <c r="ACE199" s="697"/>
      <c r="ACF199" s="697"/>
      <c r="ACG199" s="697"/>
      <c r="ACH199" s="697"/>
      <c r="ACI199" s="697"/>
      <c r="ACJ199" s="697"/>
      <c r="ACK199" s="697"/>
      <c r="ACL199" s="697"/>
      <c r="ACM199" s="697"/>
      <c r="ACN199" s="697"/>
      <c r="ACO199" s="697"/>
      <c r="ACP199" s="697"/>
      <c r="ACQ199" s="697"/>
      <c r="ACR199" s="697"/>
      <c r="ACS199" s="697"/>
      <c r="ACT199" s="697"/>
      <c r="ACU199" s="697"/>
      <c r="ACV199" s="697"/>
      <c r="ACW199" s="697"/>
      <c r="ACX199" s="697"/>
      <c r="ACY199" s="697"/>
      <c r="ACZ199" s="697"/>
      <c r="ADA199" s="697"/>
      <c r="ADB199" s="697"/>
      <c r="ADC199" s="697"/>
      <c r="ADD199" s="697"/>
      <c r="ADE199" s="697"/>
      <c r="ADF199" s="697"/>
      <c r="ADG199" s="697"/>
      <c r="ADH199" s="697"/>
      <c r="ADI199" s="697"/>
      <c r="ADJ199" s="697"/>
      <c r="ADK199" s="697"/>
      <c r="ADL199" s="697"/>
      <c r="ADM199" s="697"/>
      <c r="ADN199" s="697"/>
      <c r="ADO199" s="697"/>
      <c r="ADP199" s="697"/>
      <c r="ADQ199" s="697"/>
      <c r="ADR199" s="697"/>
      <c r="ADS199" s="697"/>
      <c r="ADT199" s="697"/>
      <c r="ADU199" s="697"/>
      <c r="ADV199" s="697"/>
      <c r="ADW199" s="697"/>
      <c r="ADX199" s="697"/>
      <c r="ADY199" s="697"/>
      <c r="ADZ199" s="697"/>
      <c r="AEA199" s="697"/>
      <c r="AEB199" s="697"/>
      <c r="AEC199" s="697"/>
      <c r="AED199" s="697"/>
      <c r="AEE199" s="697"/>
      <c r="AEF199" s="697"/>
      <c r="AEG199" s="697"/>
      <c r="AEH199" s="697"/>
      <c r="AEI199" s="697"/>
      <c r="AEJ199" s="697"/>
      <c r="AEK199" s="697"/>
      <c r="AEL199" s="697"/>
      <c r="AEM199" s="697"/>
      <c r="AEN199" s="697"/>
      <c r="AEO199" s="697"/>
      <c r="AEP199" s="697"/>
      <c r="AEQ199" s="697"/>
      <c r="AER199" s="697"/>
      <c r="AES199" s="697"/>
      <c r="AET199" s="697"/>
      <c r="AEU199" s="697"/>
      <c r="AEV199" s="697"/>
      <c r="AEW199" s="697"/>
      <c r="AEX199" s="697"/>
      <c r="AEY199" s="697"/>
      <c r="AEZ199" s="697"/>
      <c r="AFA199" s="697"/>
      <c r="AFB199" s="697"/>
      <c r="AFC199" s="697"/>
      <c r="AFD199" s="697"/>
      <c r="AFE199" s="697"/>
      <c r="AFF199" s="697"/>
      <c r="AFG199" s="697"/>
      <c r="AFH199" s="697"/>
      <c r="AFI199" s="697"/>
      <c r="AFJ199" s="697"/>
      <c r="AFK199" s="697"/>
      <c r="AFL199" s="697"/>
      <c r="AFM199" s="697"/>
      <c r="AFN199" s="697"/>
      <c r="AFO199" s="697"/>
      <c r="AFP199" s="697"/>
      <c r="AFQ199" s="697"/>
      <c r="AFR199" s="697"/>
      <c r="AFS199" s="697"/>
      <c r="AFT199" s="697"/>
      <c r="AFU199" s="697"/>
      <c r="AFV199" s="697"/>
      <c r="AFW199" s="697"/>
      <c r="AFX199" s="697"/>
      <c r="AFY199" s="697"/>
      <c r="AFZ199" s="697"/>
      <c r="AGA199" s="697"/>
      <c r="AGB199" s="697"/>
      <c r="AGC199" s="697"/>
      <c r="AGD199" s="697"/>
      <c r="AGE199" s="697"/>
      <c r="AGF199" s="697"/>
      <c r="AGG199" s="697"/>
      <c r="AGH199" s="697"/>
      <c r="AGI199" s="697"/>
      <c r="AGJ199" s="697"/>
      <c r="AGK199" s="697"/>
      <c r="AGL199" s="697"/>
      <c r="AGM199" s="697"/>
      <c r="AGN199" s="697"/>
      <c r="AGO199" s="697"/>
      <c r="AGP199" s="697"/>
      <c r="AGQ199" s="697"/>
      <c r="AGR199" s="697"/>
      <c r="AGS199" s="697"/>
      <c r="AGT199" s="697"/>
      <c r="AGU199" s="697"/>
      <c r="AGV199" s="697"/>
      <c r="AGW199" s="697"/>
      <c r="AGX199" s="697"/>
      <c r="AGY199" s="697"/>
      <c r="AGZ199" s="697"/>
      <c r="AHA199" s="697"/>
      <c r="AHB199" s="697"/>
      <c r="AHC199" s="697"/>
      <c r="AHD199" s="697"/>
      <c r="AHE199" s="697"/>
      <c r="AHF199" s="697"/>
      <c r="AHG199" s="697"/>
      <c r="AHH199" s="697"/>
      <c r="AHI199" s="697"/>
      <c r="AHJ199" s="697"/>
      <c r="AHK199" s="697"/>
      <c r="AHL199" s="697"/>
      <c r="AHM199" s="697"/>
      <c r="AHN199" s="697"/>
      <c r="AHO199" s="697"/>
      <c r="AHP199" s="697"/>
      <c r="AHQ199" s="697"/>
      <c r="AHR199" s="697"/>
      <c r="AHS199" s="697"/>
      <c r="AHT199" s="697"/>
      <c r="AHU199" s="697"/>
      <c r="AHV199" s="697"/>
      <c r="AHW199" s="697"/>
      <c r="AHX199" s="697"/>
      <c r="AHY199" s="697"/>
      <c r="AHZ199" s="697"/>
      <c r="AIA199" s="697"/>
      <c r="AIB199" s="697"/>
      <c r="AIC199" s="697"/>
      <c r="AID199" s="697"/>
      <c r="AIE199" s="697"/>
      <c r="AIF199" s="697"/>
      <c r="AIG199" s="697"/>
      <c r="AIH199" s="697"/>
      <c r="AII199" s="697"/>
      <c r="AIJ199" s="697"/>
      <c r="AIK199" s="697"/>
      <c r="AIL199" s="697"/>
      <c r="AIM199" s="697"/>
      <c r="AIN199" s="697"/>
      <c r="AIO199" s="697"/>
      <c r="AIP199" s="697"/>
      <c r="AIQ199" s="697"/>
      <c r="AIR199" s="697"/>
      <c r="AIS199" s="697"/>
      <c r="AIT199" s="697"/>
      <c r="AIU199" s="697"/>
      <c r="AIV199" s="697"/>
      <c r="AIW199" s="697"/>
      <c r="AIX199" s="697"/>
      <c r="AIY199" s="697"/>
      <c r="AIZ199" s="697"/>
      <c r="AJA199" s="697"/>
      <c r="AJB199" s="697"/>
      <c r="AJC199" s="697"/>
      <c r="AJD199" s="697"/>
      <c r="AJE199" s="697"/>
      <c r="AJF199" s="697"/>
      <c r="AJG199" s="697"/>
      <c r="AJH199" s="697"/>
      <c r="AJI199" s="697"/>
      <c r="AJJ199" s="697"/>
      <c r="AJK199" s="697"/>
      <c r="AJL199" s="697"/>
      <c r="AJM199" s="697"/>
      <c r="AJN199" s="697"/>
      <c r="AJO199" s="697"/>
      <c r="AJP199" s="697"/>
      <c r="AJQ199" s="697"/>
      <c r="AJR199" s="697"/>
      <c r="AJS199" s="697"/>
      <c r="AJT199" s="697"/>
      <c r="AJU199" s="697"/>
      <c r="AJV199" s="697"/>
      <c r="AJW199" s="697"/>
      <c r="AJX199" s="697"/>
      <c r="AJY199" s="697"/>
      <c r="AJZ199" s="697"/>
      <c r="AKA199" s="697"/>
      <c r="AKB199" s="697"/>
      <c r="AKC199" s="697"/>
      <c r="AKD199" s="697"/>
      <c r="AKE199" s="697"/>
      <c r="AKF199" s="697"/>
      <c r="AKG199" s="697"/>
      <c r="AKH199" s="697"/>
      <c r="AKI199" s="697"/>
      <c r="AKJ199" s="697"/>
      <c r="AKK199" s="697"/>
      <c r="AKL199" s="697"/>
      <c r="AKM199" s="697"/>
      <c r="AKN199" s="697"/>
      <c r="AKO199" s="697"/>
      <c r="AKP199" s="697"/>
      <c r="AKQ199" s="697"/>
      <c r="AKR199" s="697"/>
      <c r="AKS199" s="697"/>
      <c r="AKT199" s="697"/>
      <c r="AKU199" s="697"/>
      <c r="AKV199" s="697"/>
      <c r="AKW199" s="697"/>
      <c r="AKX199" s="697"/>
      <c r="AKY199" s="697"/>
      <c r="AKZ199" s="697"/>
      <c r="ALA199" s="697"/>
      <c r="ALB199" s="697"/>
      <c r="ALC199" s="697"/>
      <c r="ALD199" s="697"/>
      <c r="ALE199" s="697"/>
      <c r="ALF199" s="697"/>
      <c r="ALG199" s="697"/>
      <c r="ALH199" s="697"/>
      <c r="ALI199" s="697"/>
      <c r="ALJ199" s="697"/>
      <c r="ALK199" s="697"/>
      <c r="ALL199" s="697"/>
      <c r="ALM199" s="697"/>
      <c r="ALN199" s="697"/>
      <c r="ALO199" s="697"/>
      <c r="ALP199" s="697"/>
      <c r="ALQ199" s="697"/>
      <c r="ALR199" s="697"/>
      <c r="ALS199" s="697"/>
      <c r="ALT199" s="697"/>
      <c r="ALU199" s="697"/>
      <c r="ALV199" s="697"/>
      <c r="ALW199" s="697"/>
      <c r="ALX199" s="697"/>
      <c r="ALY199" s="697"/>
      <c r="ALZ199" s="697"/>
      <c r="AMA199" s="697"/>
      <c r="AMB199" s="697"/>
      <c r="AMC199" s="697"/>
      <c r="AMD199" s="697"/>
      <c r="AME199" s="697"/>
      <c r="AMF199" s="697"/>
      <c r="AMG199" s="697"/>
      <c r="AMH199" s="697"/>
      <c r="AMI199" s="697"/>
      <c r="AMJ199" s="697"/>
      <c r="AMK199" s="697"/>
      <c r="AML199" s="697"/>
      <c r="AMM199" s="697"/>
      <c r="AMN199" s="697"/>
      <c r="AMO199" s="697"/>
      <c r="AMP199" s="697"/>
      <c r="AMQ199" s="697"/>
      <c r="AMR199" s="697"/>
      <c r="AMS199" s="697"/>
      <c r="AMT199" s="697"/>
      <c r="AMU199" s="697"/>
      <c r="AMV199" s="697"/>
      <c r="AMW199" s="697"/>
      <c r="AMX199" s="697"/>
      <c r="AMY199" s="697"/>
      <c r="AMZ199" s="697"/>
      <c r="ANA199" s="697"/>
      <c r="ANB199" s="697"/>
      <c r="ANC199" s="697"/>
      <c r="AND199" s="697"/>
      <c r="ANE199" s="697"/>
      <c r="ANF199" s="697"/>
      <c r="ANG199" s="697"/>
      <c r="ANH199" s="697"/>
      <c r="ANI199" s="697"/>
      <c r="ANJ199" s="697"/>
      <c r="ANK199" s="697"/>
      <c r="ANL199" s="697"/>
      <c r="ANM199" s="697"/>
      <c r="ANN199" s="697"/>
      <c r="ANO199" s="697"/>
      <c r="ANP199" s="697"/>
      <c r="ANQ199" s="697"/>
      <c r="ANR199" s="697"/>
      <c r="ANS199" s="697"/>
      <c r="ANT199" s="697"/>
      <c r="ANU199" s="697"/>
      <c r="ANV199" s="697"/>
      <c r="ANW199" s="697"/>
      <c r="ANX199" s="697"/>
      <c r="ANY199" s="697"/>
      <c r="ANZ199" s="697"/>
      <c r="AOA199" s="697"/>
      <c r="AOB199" s="697"/>
      <c r="AOC199" s="697"/>
      <c r="AOD199" s="697"/>
      <c r="AOE199" s="697"/>
      <c r="AOF199" s="697"/>
      <c r="AOG199" s="697"/>
      <c r="AOH199" s="697"/>
      <c r="AOI199" s="697"/>
      <c r="AOJ199" s="697"/>
      <c r="AOK199" s="697"/>
      <c r="AOL199" s="697"/>
      <c r="AOM199" s="697"/>
      <c r="AON199" s="697"/>
      <c r="AOO199" s="697"/>
      <c r="AOP199" s="697"/>
      <c r="AOQ199" s="697"/>
      <c r="AOR199" s="697"/>
      <c r="AOS199" s="697"/>
      <c r="AOT199" s="697"/>
      <c r="AOU199" s="697"/>
      <c r="AOV199" s="697"/>
      <c r="AOW199" s="697"/>
      <c r="AOX199" s="697"/>
      <c r="AOY199" s="697"/>
      <c r="AOZ199" s="697"/>
      <c r="APA199" s="697"/>
      <c r="APB199" s="697"/>
      <c r="APC199" s="697"/>
      <c r="APD199" s="697"/>
      <c r="APE199" s="697"/>
      <c r="APF199" s="697"/>
      <c r="APG199" s="697"/>
      <c r="APH199" s="697"/>
      <c r="API199" s="697"/>
      <c r="APJ199" s="697"/>
      <c r="APK199" s="697"/>
      <c r="APL199" s="697"/>
      <c r="APM199" s="697"/>
      <c r="APN199" s="697"/>
      <c r="APO199" s="697"/>
      <c r="APP199" s="697"/>
      <c r="APQ199" s="697"/>
      <c r="APR199" s="697"/>
      <c r="APS199" s="697"/>
      <c r="APT199" s="697"/>
      <c r="APU199" s="697"/>
      <c r="APV199" s="697"/>
      <c r="APW199" s="697"/>
      <c r="APX199" s="697"/>
      <c r="APY199" s="697"/>
      <c r="APZ199" s="697"/>
      <c r="AQA199" s="697"/>
      <c r="AQB199" s="697"/>
      <c r="AQC199" s="697"/>
      <c r="AQD199" s="697"/>
      <c r="AQE199" s="697"/>
      <c r="AQF199" s="697"/>
      <c r="AQG199" s="697"/>
      <c r="AQH199" s="697"/>
      <c r="AQI199" s="697"/>
      <c r="AQJ199" s="697"/>
      <c r="AQK199" s="697"/>
      <c r="AQL199" s="697"/>
      <c r="AQM199" s="697"/>
      <c r="AQN199" s="697"/>
      <c r="AQO199" s="697"/>
      <c r="AQP199" s="697"/>
      <c r="AQQ199" s="697"/>
      <c r="AQR199" s="697"/>
      <c r="AQS199" s="697"/>
      <c r="AQT199" s="697"/>
      <c r="AQU199" s="697"/>
      <c r="AQV199" s="697"/>
      <c r="AQW199" s="697"/>
      <c r="AQX199" s="697"/>
      <c r="AQY199" s="697"/>
      <c r="AQZ199" s="697"/>
      <c r="ARA199" s="697"/>
      <c r="ARB199" s="697"/>
      <c r="ARC199" s="697"/>
      <c r="ARD199" s="697"/>
      <c r="ARE199" s="697"/>
      <c r="ARF199" s="697"/>
      <c r="ARG199" s="697"/>
      <c r="ARH199" s="697"/>
      <c r="ARI199" s="697"/>
      <c r="ARJ199" s="697"/>
      <c r="ARK199" s="697"/>
      <c r="ARL199" s="697"/>
      <c r="ARM199" s="697"/>
      <c r="ARN199" s="697"/>
      <c r="ARO199" s="697"/>
      <c r="ARP199" s="697"/>
      <c r="ARQ199" s="697"/>
      <c r="ARR199" s="697"/>
      <c r="ARS199" s="697"/>
      <c r="ART199" s="697"/>
      <c r="ARU199" s="697"/>
      <c r="ARV199" s="697"/>
      <c r="ARW199" s="697"/>
      <c r="ARX199" s="697"/>
      <c r="ARY199" s="697"/>
      <c r="ARZ199" s="697"/>
      <c r="ASA199" s="697"/>
      <c r="ASB199" s="697"/>
      <c r="ASC199" s="697"/>
      <c r="ASD199" s="697"/>
      <c r="ASE199" s="697"/>
      <c r="ASF199" s="697"/>
      <c r="ASG199" s="697"/>
      <c r="ASH199" s="697"/>
      <c r="ASI199" s="697"/>
      <c r="ASJ199" s="697"/>
      <c r="ASK199" s="697"/>
      <c r="ASL199" s="697"/>
      <c r="ASM199" s="697"/>
      <c r="ASN199" s="697"/>
      <c r="ASO199" s="697"/>
      <c r="ASP199" s="697"/>
      <c r="ASQ199" s="697"/>
      <c r="ASR199" s="697"/>
      <c r="ASS199" s="697"/>
      <c r="AST199" s="697"/>
      <c r="ASU199" s="697"/>
      <c r="ASV199" s="697"/>
      <c r="ASW199" s="697"/>
      <c r="ASX199" s="697"/>
      <c r="ASY199" s="697"/>
      <c r="ASZ199" s="697"/>
      <c r="ATA199" s="697"/>
      <c r="ATB199" s="697"/>
      <c r="ATC199" s="697"/>
      <c r="ATD199" s="697"/>
      <c r="ATE199" s="697"/>
      <c r="ATF199" s="697"/>
      <c r="ATG199" s="697"/>
      <c r="ATH199" s="697"/>
      <c r="ATI199" s="697"/>
      <c r="ATJ199" s="697"/>
      <c r="ATK199" s="697"/>
      <c r="ATL199" s="697"/>
      <c r="ATM199" s="697"/>
      <c r="ATN199" s="697"/>
      <c r="ATO199" s="697"/>
      <c r="ATP199" s="697"/>
      <c r="ATQ199" s="697"/>
      <c r="ATR199" s="697"/>
      <c r="ATS199" s="697"/>
      <c r="ATT199" s="697"/>
      <c r="ATU199" s="697"/>
      <c r="ATV199" s="697"/>
      <c r="ATW199" s="697"/>
      <c r="ATX199" s="697"/>
      <c r="ATY199" s="697"/>
      <c r="ATZ199" s="697"/>
      <c r="AUA199" s="697"/>
      <c r="AUB199" s="697"/>
      <c r="AUC199" s="697"/>
      <c r="AUD199" s="697"/>
      <c r="AUE199" s="697"/>
      <c r="AUF199" s="697"/>
      <c r="AUG199" s="697"/>
      <c r="AUH199" s="697"/>
      <c r="AUI199" s="697"/>
      <c r="AUJ199" s="697"/>
      <c r="AUK199" s="697"/>
      <c r="AUL199" s="697"/>
      <c r="AUM199" s="697"/>
      <c r="AUN199" s="697"/>
      <c r="AUO199" s="697"/>
      <c r="AUP199" s="697"/>
      <c r="AUQ199" s="697"/>
      <c r="AUR199" s="697"/>
      <c r="AUS199" s="697"/>
      <c r="AUT199" s="697"/>
      <c r="AUU199" s="697"/>
      <c r="AUV199" s="697"/>
      <c r="AUW199" s="697"/>
      <c r="AUX199" s="697"/>
      <c r="AUY199" s="697"/>
      <c r="AUZ199" s="697"/>
      <c r="AVA199" s="697"/>
      <c r="AVB199" s="697"/>
      <c r="AVC199" s="697"/>
      <c r="AVD199" s="697"/>
      <c r="AVE199" s="697"/>
      <c r="AVF199" s="697"/>
      <c r="AVG199" s="697"/>
      <c r="AVH199" s="697"/>
      <c r="AVI199" s="697"/>
      <c r="AVJ199" s="697"/>
      <c r="AVK199" s="697"/>
      <c r="AVL199" s="697"/>
      <c r="AVM199" s="697"/>
      <c r="AVN199" s="697"/>
      <c r="AVO199" s="697"/>
      <c r="AVP199" s="697"/>
      <c r="AVQ199" s="697"/>
      <c r="AVR199" s="697"/>
      <c r="AVS199" s="697"/>
      <c r="AVT199" s="697"/>
      <c r="AVU199" s="697"/>
      <c r="AVV199" s="697"/>
      <c r="AVW199" s="697"/>
      <c r="AVX199" s="697"/>
      <c r="AVY199" s="697"/>
      <c r="AVZ199" s="697"/>
      <c r="AWA199" s="697"/>
      <c r="AWB199" s="697"/>
      <c r="AWC199" s="697"/>
      <c r="AWD199" s="697"/>
      <c r="AWE199" s="697"/>
      <c r="AWF199" s="697"/>
      <c r="AWG199" s="697"/>
      <c r="AWH199" s="697"/>
      <c r="AWI199" s="697"/>
      <c r="AWJ199" s="697"/>
      <c r="AWK199" s="697"/>
      <c r="AWL199" s="697"/>
      <c r="AWM199" s="697"/>
      <c r="AWN199" s="697"/>
      <c r="AWO199" s="697"/>
      <c r="AWP199" s="697"/>
      <c r="AWQ199" s="697"/>
      <c r="AWR199" s="697"/>
      <c r="AWS199" s="697"/>
      <c r="AWT199" s="697"/>
      <c r="AWU199" s="697"/>
      <c r="AWV199" s="697"/>
      <c r="AWW199" s="697"/>
      <c r="AWX199" s="697"/>
      <c r="AWY199" s="697"/>
      <c r="AWZ199" s="697"/>
      <c r="AXA199" s="697"/>
      <c r="AXB199" s="697"/>
      <c r="AXC199" s="697"/>
      <c r="AXD199" s="697"/>
      <c r="AXE199" s="697"/>
      <c r="AXF199" s="697"/>
      <c r="AXG199" s="697"/>
      <c r="AXH199" s="697"/>
      <c r="AXI199" s="697"/>
      <c r="AXJ199" s="697"/>
      <c r="AXK199" s="697"/>
      <c r="AXL199" s="697"/>
      <c r="AXM199" s="697"/>
      <c r="AXN199" s="697"/>
      <c r="AXO199" s="697"/>
      <c r="AXP199" s="697"/>
      <c r="AXQ199" s="697"/>
      <c r="AXR199" s="697"/>
      <c r="AXS199" s="697"/>
      <c r="AXT199" s="697"/>
      <c r="AXU199" s="697"/>
      <c r="AXV199" s="697"/>
      <c r="AXW199" s="697"/>
      <c r="AXX199" s="697"/>
      <c r="AXY199" s="697"/>
      <c r="AXZ199" s="697"/>
      <c r="AYA199" s="697"/>
      <c r="AYB199" s="697"/>
      <c r="AYC199" s="697"/>
      <c r="AYD199" s="697"/>
      <c r="AYE199" s="697"/>
      <c r="AYF199" s="697"/>
      <c r="AYG199" s="697"/>
      <c r="AYH199" s="697"/>
      <c r="AYI199" s="697"/>
      <c r="AYJ199" s="697"/>
      <c r="AYK199" s="697"/>
      <c r="AYL199" s="697"/>
      <c r="AYM199" s="697"/>
      <c r="AYN199" s="697"/>
      <c r="AYO199" s="697"/>
      <c r="AYP199" s="697"/>
      <c r="AYQ199" s="697"/>
      <c r="AYR199" s="697"/>
      <c r="AYS199" s="697"/>
      <c r="AYT199" s="697"/>
      <c r="AYU199" s="697"/>
      <c r="AYV199" s="697"/>
      <c r="AYW199" s="697"/>
      <c r="AYX199" s="697"/>
      <c r="AYY199" s="697"/>
      <c r="AYZ199" s="697"/>
      <c r="AZA199" s="697"/>
      <c r="AZB199" s="697"/>
      <c r="AZC199" s="697"/>
      <c r="AZD199" s="697"/>
      <c r="AZE199" s="697"/>
      <c r="AZF199" s="697"/>
      <c r="AZG199" s="697"/>
      <c r="AZH199" s="697"/>
      <c r="AZI199" s="697"/>
      <c r="AZJ199" s="697"/>
      <c r="AZK199" s="697"/>
      <c r="AZL199" s="697"/>
      <c r="AZM199" s="697"/>
      <c r="AZN199" s="697"/>
      <c r="AZO199" s="697"/>
      <c r="AZP199" s="697"/>
      <c r="AZQ199" s="697"/>
      <c r="AZR199" s="697"/>
      <c r="AZS199" s="697"/>
      <c r="AZT199" s="697"/>
      <c r="AZU199" s="697"/>
      <c r="AZV199" s="697"/>
      <c r="AZW199" s="697"/>
      <c r="AZX199" s="697"/>
      <c r="AZY199" s="697"/>
      <c r="AZZ199" s="697"/>
      <c r="BAA199" s="697"/>
      <c r="BAB199" s="697"/>
      <c r="BAC199" s="697"/>
      <c r="BAD199" s="697"/>
      <c r="BAE199" s="697"/>
      <c r="BAF199" s="697"/>
      <c r="BAG199" s="697"/>
      <c r="BAH199" s="697"/>
      <c r="BAI199" s="697"/>
      <c r="BAJ199" s="697"/>
      <c r="BAK199" s="697"/>
      <c r="BAL199" s="697"/>
      <c r="BAM199" s="697"/>
      <c r="BAN199" s="697"/>
      <c r="BAO199" s="697"/>
      <c r="BAP199" s="697"/>
      <c r="BAQ199" s="697"/>
      <c r="BAR199" s="697"/>
      <c r="BAS199" s="697"/>
      <c r="BAT199" s="697"/>
      <c r="BAU199" s="697"/>
      <c r="BAV199" s="697"/>
      <c r="BAW199" s="697"/>
      <c r="BAX199" s="697"/>
      <c r="BAY199" s="697"/>
      <c r="BAZ199" s="697"/>
      <c r="BBA199" s="697"/>
      <c r="BBB199" s="697"/>
      <c r="BBC199" s="697"/>
      <c r="BBD199" s="697"/>
      <c r="BBE199" s="697"/>
      <c r="BBF199" s="697"/>
      <c r="BBG199" s="697"/>
      <c r="BBH199" s="697"/>
      <c r="BBI199" s="697"/>
      <c r="BBJ199" s="697"/>
      <c r="BBK199" s="697"/>
      <c r="BBL199" s="697"/>
      <c r="BBM199" s="697"/>
      <c r="BBN199" s="697"/>
      <c r="BBO199" s="697"/>
      <c r="BBP199" s="697"/>
      <c r="BBQ199" s="697"/>
      <c r="BBR199" s="697"/>
      <c r="BBS199" s="697"/>
      <c r="BBT199" s="697"/>
      <c r="BBU199" s="697"/>
      <c r="BBV199" s="697"/>
      <c r="BBW199" s="697"/>
      <c r="BBX199" s="697"/>
      <c r="BBY199" s="697"/>
      <c r="BBZ199" s="697"/>
      <c r="BCA199" s="697"/>
      <c r="BCB199" s="697"/>
      <c r="BCC199" s="697"/>
      <c r="BCD199" s="697"/>
      <c r="BCE199" s="697"/>
      <c r="BCF199" s="697"/>
      <c r="BCG199" s="697"/>
      <c r="BCH199" s="697"/>
      <c r="BCI199" s="697"/>
      <c r="BCJ199" s="697"/>
      <c r="BCK199" s="697"/>
      <c r="BCL199" s="697"/>
      <c r="BCM199" s="697"/>
      <c r="BCN199" s="697"/>
      <c r="BCO199" s="697"/>
      <c r="BCP199" s="697"/>
      <c r="BCQ199" s="697"/>
      <c r="BCR199" s="697"/>
      <c r="BCS199" s="697"/>
      <c r="BCT199" s="697"/>
      <c r="BCU199" s="697"/>
      <c r="BCV199" s="697"/>
      <c r="BCW199" s="697"/>
      <c r="BCX199" s="697"/>
      <c r="BCY199" s="697"/>
      <c r="BCZ199" s="697"/>
      <c r="BDA199" s="697"/>
      <c r="BDB199" s="697"/>
      <c r="BDC199" s="697"/>
      <c r="BDD199" s="697"/>
      <c r="BDE199" s="697"/>
      <c r="BDF199" s="697"/>
      <c r="BDG199" s="697"/>
      <c r="BDH199" s="697"/>
      <c r="BDI199" s="697"/>
      <c r="BDJ199" s="697"/>
      <c r="BDK199" s="697"/>
      <c r="BDL199" s="697"/>
      <c r="BDM199" s="697"/>
      <c r="BDN199" s="697"/>
      <c r="BDO199" s="697"/>
      <c r="BDP199" s="697"/>
      <c r="BDQ199" s="697"/>
      <c r="BDR199" s="697"/>
      <c r="BDS199" s="697"/>
      <c r="BDT199" s="697"/>
      <c r="BDU199" s="697"/>
      <c r="BDV199" s="697"/>
      <c r="BDW199" s="697"/>
      <c r="BDX199" s="697"/>
      <c r="BDY199" s="697"/>
      <c r="BDZ199" s="697"/>
      <c r="BEA199" s="697"/>
      <c r="BEB199" s="697"/>
      <c r="BEC199" s="697"/>
      <c r="BED199" s="697"/>
      <c r="BEE199" s="697"/>
      <c r="BEF199" s="697"/>
      <c r="BEG199" s="697"/>
      <c r="BEH199" s="697"/>
      <c r="BEI199" s="697"/>
      <c r="BEJ199" s="697"/>
      <c r="BEK199" s="697"/>
      <c r="BEL199" s="697"/>
      <c r="BEM199" s="697"/>
      <c r="BEN199" s="697"/>
      <c r="BEO199" s="697"/>
      <c r="BEP199" s="697"/>
      <c r="BEQ199" s="697"/>
      <c r="BER199" s="697"/>
      <c r="BES199" s="697"/>
      <c r="BET199" s="697"/>
      <c r="BEU199" s="697"/>
      <c r="BEV199" s="697"/>
      <c r="BEW199" s="697"/>
      <c r="BEX199" s="697"/>
      <c r="BEY199" s="697"/>
      <c r="BEZ199" s="697"/>
      <c r="BFA199" s="697"/>
      <c r="BFB199" s="697"/>
      <c r="BFC199" s="697"/>
      <c r="BFD199" s="697"/>
      <c r="BFE199" s="697"/>
      <c r="BFF199" s="697"/>
      <c r="BFG199" s="697"/>
      <c r="BFH199" s="697"/>
      <c r="BFI199" s="697"/>
      <c r="BFJ199" s="697"/>
      <c r="BFK199" s="697"/>
      <c r="BFL199" s="697"/>
      <c r="BFM199" s="697"/>
      <c r="BFN199" s="697"/>
      <c r="BFO199" s="697"/>
      <c r="BFP199" s="697"/>
      <c r="BFQ199" s="697"/>
      <c r="BFR199" s="697"/>
      <c r="BFS199" s="697"/>
      <c r="BFT199" s="697"/>
      <c r="BFU199" s="697"/>
      <c r="BFV199" s="697"/>
      <c r="BFW199" s="697"/>
      <c r="BFX199" s="697"/>
      <c r="BFY199" s="697"/>
      <c r="BFZ199" s="697"/>
      <c r="BGA199" s="697"/>
      <c r="BGB199" s="697"/>
      <c r="BGC199" s="697"/>
      <c r="BGD199" s="697"/>
      <c r="BGE199" s="697"/>
      <c r="BGF199" s="697"/>
      <c r="BGG199" s="697"/>
      <c r="BGH199" s="697"/>
      <c r="BGI199" s="697"/>
      <c r="BGJ199" s="697"/>
      <c r="BGK199" s="697"/>
      <c r="BGL199" s="697"/>
      <c r="BGM199" s="697"/>
      <c r="BGN199" s="697"/>
      <c r="BGO199" s="697"/>
      <c r="BGP199" s="697"/>
      <c r="BGQ199" s="697"/>
      <c r="BGR199" s="697"/>
      <c r="BGS199" s="697"/>
      <c r="BGT199" s="697"/>
      <c r="BGU199" s="697"/>
      <c r="BGV199" s="697"/>
      <c r="BGW199" s="697"/>
      <c r="BGX199" s="697"/>
      <c r="BGY199" s="697"/>
      <c r="BGZ199" s="697"/>
      <c r="BHA199" s="697"/>
      <c r="BHB199" s="697"/>
      <c r="BHC199" s="697"/>
      <c r="BHD199" s="697"/>
      <c r="BHE199" s="697"/>
      <c r="BHF199" s="697"/>
      <c r="BHG199" s="697"/>
      <c r="BHH199" s="697"/>
      <c r="BHI199" s="697"/>
      <c r="BHJ199" s="697"/>
      <c r="BHK199" s="697"/>
      <c r="BHL199" s="697"/>
      <c r="BHM199" s="697"/>
      <c r="BHN199" s="697"/>
      <c r="BHO199" s="697"/>
      <c r="BHP199" s="697"/>
      <c r="BHQ199" s="697"/>
      <c r="BHR199" s="697"/>
      <c r="BHS199" s="697"/>
      <c r="BHT199" s="697"/>
      <c r="BHU199" s="697"/>
      <c r="BHV199" s="697"/>
      <c r="BHW199" s="697"/>
      <c r="BHX199" s="697"/>
      <c r="BHY199" s="697"/>
      <c r="BHZ199" s="697"/>
      <c r="BIA199" s="697"/>
      <c r="BIB199" s="697"/>
      <c r="BIC199" s="697"/>
      <c r="BID199" s="697"/>
      <c r="BIE199" s="697"/>
      <c r="BIF199" s="697"/>
      <c r="BIG199" s="697"/>
      <c r="BIH199" s="697"/>
      <c r="BII199" s="697"/>
      <c r="BIJ199" s="697"/>
      <c r="BIK199" s="697"/>
      <c r="BIL199" s="697"/>
      <c r="BIM199" s="697"/>
      <c r="BIN199" s="697"/>
      <c r="BIO199" s="697"/>
      <c r="BIP199" s="697"/>
      <c r="BIQ199" s="697"/>
      <c r="BIR199" s="697"/>
      <c r="BIS199" s="697"/>
      <c r="BIT199" s="697"/>
      <c r="BIU199" s="697"/>
      <c r="BIV199" s="697"/>
      <c r="BIW199" s="697"/>
      <c r="BIX199" s="697"/>
      <c r="BIY199" s="697"/>
      <c r="BIZ199" s="697"/>
      <c r="BJA199" s="697"/>
      <c r="BJB199" s="697"/>
      <c r="BJC199" s="697"/>
      <c r="BJD199" s="697"/>
      <c r="BJE199" s="697"/>
      <c r="BJF199" s="697"/>
      <c r="BJG199" s="697"/>
      <c r="BJH199" s="697"/>
      <c r="BJI199" s="697"/>
      <c r="BJJ199" s="697"/>
      <c r="BJK199" s="697"/>
      <c r="BJL199" s="697"/>
      <c r="BJM199" s="697"/>
      <c r="BJN199" s="697"/>
      <c r="BJO199" s="697"/>
      <c r="BJP199" s="697"/>
      <c r="BJQ199" s="697"/>
      <c r="BJR199" s="697"/>
      <c r="BJS199" s="697"/>
      <c r="BJT199" s="697"/>
      <c r="BJU199" s="697"/>
      <c r="BJV199" s="697"/>
      <c r="BJW199" s="697"/>
      <c r="BJX199" s="697"/>
      <c r="BJY199" s="697"/>
      <c r="BJZ199" s="697"/>
      <c r="BKA199" s="697"/>
      <c r="BKB199" s="697"/>
      <c r="BKC199" s="697"/>
      <c r="BKD199" s="697"/>
      <c r="BKE199" s="697"/>
      <c r="BKF199" s="697"/>
      <c r="BKG199" s="697"/>
      <c r="BKH199" s="697"/>
      <c r="BKI199" s="697"/>
      <c r="BKJ199" s="697"/>
      <c r="BKK199" s="697"/>
      <c r="BKL199" s="697"/>
      <c r="BKM199" s="697"/>
      <c r="BKN199" s="697"/>
      <c r="BKO199" s="697"/>
      <c r="BKP199" s="697"/>
      <c r="BKQ199" s="697"/>
      <c r="BKR199" s="697"/>
      <c r="BKS199" s="697"/>
      <c r="BKT199" s="697"/>
      <c r="BKU199" s="697"/>
      <c r="BKV199" s="697"/>
      <c r="BKW199" s="697"/>
      <c r="BKX199" s="697"/>
      <c r="BKY199" s="697"/>
      <c r="BKZ199" s="697"/>
      <c r="BLA199" s="697"/>
      <c r="BLB199" s="697"/>
      <c r="BLC199" s="697"/>
      <c r="BLD199" s="697"/>
      <c r="BLE199" s="697"/>
      <c r="BLF199" s="697"/>
      <c r="BLG199" s="697"/>
      <c r="BLH199" s="697"/>
      <c r="BLI199" s="697"/>
      <c r="BLJ199" s="697"/>
      <c r="BLK199" s="697"/>
      <c r="BLL199" s="697"/>
      <c r="BLM199" s="697"/>
      <c r="BLN199" s="697"/>
      <c r="BLO199" s="697"/>
      <c r="BLP199" s="697"/>
      <c r="BLQ199" s="697"/>
      <c r="BLR199" s="697"/>
      <c r="BLS199" s="697"/>
      <c r="BLT199" s="697"/>
      <c r="BLU199" s="697"/>
      <c r="BLV199" s="697"/>
      <c r="BLW199" s="697"/>
      <c r="BLX199" s="697"/>
      <c r="BLY199" s="697"/>
      <c r="BLZ199" s="697"/>
      <c r="BMA199" s="697"/>
      <c r="BMB199" s="697"/>
      <c r="BMC199" s="697"/>
      <c r="BMD199" s="697"/>
      <c r="BME199" s="697"/>
      <c r="BMF199" s="697"/>
      <c r="BMG199" s="697"/>
      <c r="BMH199" s="697"/>
      <c r="BMI199" s="697"/>
      <c r="BMJ199" s="697"/>
      <c r="BMK199" s="697"/>
      <c r="BML199" s="697"/>
      <c r="BMM199" s="697"/>
      <c r="BMN199" s="697"/>
      <c r="BMO199" s="697"/>
      <c r="BMP199" s="697"/>
      <c r="BMQ199" s="697"/>
      <c r="BMR199" s="697"/>
      <c r="BMS199" s="697"/>
      <c r="BMT199" s="697"/>
      <c r="BMU199" s="697"/>
      <c r="BMV199" s="697"/>
      <c r="BMW199" s="697"/>
      <c r="BMX199" s="697"/>
      <c r="BMY199" s="697"/>
      <c r="BMZ199" s="697"/>
      <c r="BNA199" s="697"/>
      <c r="BNB199" s="697"/>
      <c r="BNC199" s="697"/>
      <c r="BND199" s="697"/>
      <c r="BNE199" s="697"/>
      <c r="BNF199" s="697"/>
      <c r="BNG199" s="697"/>
      <c r="BNH199" s="697"/>
      <c r="BNI199" s="697"/>
      <c r="BNJ199" s="697"/>
      <c r="BNK199" s="697"/>
      <c r="BNL199" s="697"/>
      <c r="BNM199" s="697"/>
      <c r="BNN199" s="697"/>
      <c r="BNO199" s="697"/>
      <c r="BNP199" s="697"/>
      <c r="BNQ199" s="697"/>
      <c r="BNR199" s="697"/>
      <c r="BNS199" s="697"/>
      <c r="BNT199" s="697"/>
      <c r="BNU199" s="697"/>
      <c r="BNV199" s="697"/>
      <c r="BNW199" s="697"/>
      <c r="BNX199" s="697"/>
      <c r="BNY199" s="697"/>
      <c r="BNZ199" s="697"/>
      <c r="BOA199" s="697"/>
      <c r="BOB199" s="697"/>
      <c r="BOC199" s="697"/>
      <c r="BOD199" s="697"/>
      <c r="BOE199" s="697"/>
      <c r="BOF199" s="697"/>
      <c r="BOG199" s="697"/>
      <c r="BOH199" s="697"/>
      <c r="BOI199" s="697"/>
      <c r="BOJ199" s="697"/>
      <c r="BOK199" s="697"/>
      <c r="BOL199" s="697"/>
      <c r="BOM199" s="697"/>
      <c r="BON199" s="697"/>
      <c r="BOO199" s="697"/>
      <c r="BOP199" s="697"/>
      <c r="BOQ199" s="697"/>
      <c r="BOR199" s="697"/>
      <c r="BOS199" s="697"/>
      <c r="BOT199" s="697"/>
      <c r="BOU199" s="697"/>
      <c r="BOV199" s="697"/>
      <c r="BOW199" s="697"/>
      <c r="BOX199" s="697"/>
      <c r="BOY199" s="697"/>
      <c r="BOZ199" s="697"/>
      <c r="BPA199" s="697"/>
      <c r="BPB199" s="697"/>
      <c r="BPC199" s="697"/>
      <c r="BPD199" s="697"/>
      <c r="BPE199" s="697"/>
      <c r="BPF199" s="697"/>
      <c r="BPG199" s="697"/>
      <c r="BPH199" s="697"/>
      <c r="BPI199" s="697"/>
      <c r="BPJ199" s="697"/>
      <c r="BPK199" s="697"/>
      <c r="BPL199" s="697"/>
      <c r="BPM199" s="697"/>
      <c r="BPN199" s="697"/>
      <c r="BPO199" s="697"/>
      <c r="BPP199" s="697"/>
      <c r="BPQ199" s="697"/>
      <c r="BPR199" s="697"/>
      <c r="BPS199" s="697"/>
      <c r="BPT199" s="697"/>
      <c r="BPU199" s="697"/>
      <c r="BPV199" s="697"/>
      <c r="BPW199" s="697"/>
      <c r="BPX199" s="697"/>
      <c r="BPY199" s="697"/>
      <c r="BPZ199" s="697"/>
      <c r="BQA199" s="697"/>
      <c r="BQB199" s="697"/>
      <c r="BQC199" s="697"/>
      <c r="BQD199" s="697"/>
      <c r="BQE199" s="697"/>
      <c r="BQF199" s="697"/>
      <c r="BQG199" s="697"/>
      <c r="BQH199" s="697"/>
      <c r="BQI199" s="697"/>
      <c r="BQJ199" s="697"/>
      <c r="BQK199" s="697"/>
      <c r="BQL199" s="697"/>
      <c r="BQM199" s="697"/>
      <c r="BQN199" s="697"/>
      <c r="BQO199" s="697"/>
      <c r="BQP199" s="697"/>
      <c r="BQQ199" s="697"/>
      <c r="BQR199" s="697"/>
      <c r="BQS199" s="697"/>
      <c r="BQT199" s="697"/>
      <c r="BQU199" s="697"/>
      <c r="BQV199" s="697"/>
      <c r="BQW199" s="697"/>
      <c r="BQX199" s="697"/>
      <c r="BQY199" s="697"/>
      <c r="BQZ199" s="697"/>
      <c r="BRA199" s="697"/>
      <c r="BRB199" s="697"/>
      <c r="BRC199" s="697"/>
      <c r="BRD199" s="697"/>
      <c r="BRE199" s="697"/>
      <c r="BRF199" s="697"/>
      <c r="BRG199" s="697"/>
      <c r="BRH199" s="697"/>
      <c r="BRI199" s="697"/>
      <c r="BRJ199" s="697"/>
      <c r="BRK199" s="697"/>
      <c r="BRL199" s="697"/>
      <c r="BRM199" s="697"/>
      <c r="BRN199" s="697"/>
      <c r="BRO199" s="697"/>
      <c r="BRP199" s="697"/>
      <c r="BRQ199" s="697"/>
      <c r="BRR199" s="697"/>
      <c r="BRS199" s="697"/>
      <c r="BRT199" s="697"/>
      <c r="BRU199" s="697"/>
      <c r="BRV199" s="697"/>
      <c r="BRW199" s="697"/>
      <c r="BRX199" s="697"/>
      <c r="BRY199" s="697"/>
      <c r="BRZ199" s="697"/>
      <c r="BSA199" s="697"/>
      <c r="BSB199" s="697"/>
      <c r="BSC199" s="697"/>
      <c r="BSD199" s="697"/>
      <c r="BSE199" s="697"/>
      <c r="BSF199" s="697"/>
      <c r="BSG199" s="697"/>
      <c r="BSH199" s="697"/>
      <c r="BSI199" s="697"/>
      <c r="BSJ199" s="697"/>
      <c r="BSK199" s="697"/>
      <c r="BSL199" s="697"/>
      <c r="BSM199" s="697"/>
      <c r="BSN199" s="697"/>
      <c r="BSO199" s="697"/>
      <c r="BSP199" s="697"/>
      <c r="BSQ199" s="697"/>
      <c r="BSR199" s="697"/>
      <c r="BSS199" s="697"/>
      <c r="BST199" s="697"/>
      <c r="BSU199" s="697"/>
      <c r="BSV199" s="697"/>
      <c r="BSW199" s="697"/>
      <c r="BSX199" s="697"/>
      <c r="BSY199" s="697"/>
      <c r="BSZ199" s="697"/>
      <c r="BTA199" s="697"/>
      <c r="BTB199" s="697"/>
      <c r="BTC199" s="697"/>
      <c r="BTD199" s="697"/>
      <c r="BTE199" s="697"/>
      <c r="BTF199" s="697"/>
      <c r="BTG199" s="697"/>
      <c r="BTH199" s="697"/>
      <c r="BTI199" s="697"/>
      <c r="BTJ199" s="697"/>
      <c r="BTK199" s="697"/>
      <c r="BTL199" s="697"/>
      <c r="BTM199" s="697"/>
      <c r="BTN199" s="697"/>
      <c r="BTO199" s="697"/>
      <c r="BTP199" s="697"/>
      <c r="BTQ199" s="697"/>
      <c r="BTR199" s="697"/>
      <c r="BTS199" s="697"/>
      <c r="BTT199" s="697"/>
      <c r="BTU199" s="697"/>
      <c r="BTV199" s="697"/>
      <c r="BTW199" s="697"/>
      <c r="BTX199" s="697"/>
      <c r="BTY199" s="697"/>
      <c r="BTZ199" s="697"/>
      <c r="BUA199" s="697"/>
      <c r="BUB199" s="697"/>
      <c r="BUC199" s="697"/>
      <c r="BUD199" s="697"/>
      <c r="BUE199" s="697"/>
      <c r="BUF199" s="697"/>
      <c r="BUG199" s="697"/>
      <c r="BUH199" s="697"/>
      <c r="BUI199" s="697"/>
      <c r="BUJ199" s="697"/>
      <c r="BUK199" s="697"/>
      <c r="BUL199" s="697"/>
      <c r="BUM199" s="697"/>
      <c r="BUN199" s="697"/>
      <c r="BUO199" s="697"/>
      <c r="BUP199" s="697"/>
      <c r="BUQ199" s="697"/>
      <c r="BUR199" s="697"/>
      <c r="BUS199" s="697"/>
      <c r="BUT199" s="697"/>
      <c r="BUU199" s="697"/>
      <c r="BUV199" s="697"/>
      <c r="BUW199" s="697"/>
      <c r="BUX199" s="697"/>
      <c r="BUY199" s="697"/>
      <c r="BUZ199" s="697"/>
      <c r="BVA199" s="697"/>
      <c r="BVB199" s="697"/>
      <c r="BVC199" s="697"/>
      <c r="BVD199" s="697"/>
      <c r="BVE199" s="697"/>
      <c r="BVF199" s="697"/>
      <c r="BVG199" s="697"/>
      <c r="BVH199" s="697"/>
      <c r="BVI199" s="697"/>
      <c r="BVJ199" s="697"/>
      <c r="BVK199" s="697"/>
      <c r="BVL199" s="697"/>
      <c r="BVM199" s="697"/>
      <c r="BVN199" s="697"/>
      <c r="BVO199" s="697"/>
      <c r="BVP199" s="697"/>
      <c r="BVQ199" s="697"/>
      <c r="BVR199" s="697"/>
      <c r="BVS199" s="697"/>
      <c r="BVT199" s="697"/>
      <c r="BVU199" s="697"/>
      <c r="BVV199" s="697"/>
      <c r="BVW199" s="697"/>
      <c r="BVX199" s="697"/>
      <c r="BVY199" s="697"/>
      <c r="BVZ199" s="697"/>
      <c r="BWA199" s="697"/>
      <c r="BWB199" s="697"/>
      <c r="BWC199" s="697"/>
      <c r="BWD199" s="697"/>
      <c r="BWE199" s="697"/>
      <c r="BWF199" s="697"/>
      <c r="BWG199" s="697"/>
      <c r="BWH199" s="697"/>
      <c r="BWI199" s="697"/>
      <c r="BWJ199" s="697"/>
      <c r="BWK199" s="697"/>
      <c r="BWL199" s="697"/>
      <c r="BWM199" s="697"/>
      <c r="BWN199" s="697"/>
      <c r="BWO199" s="697"/>
      <c r="BWP199" s="697"/>
      <c r="BWQ199" s="697"/>
      <c r="BWR199" s="697"/>
      <c r="BWS199" s="697"/>
      <c r="BWT199" s="697"/>
      <c r="BWU199" s="697"/>
      <c r="BWV199" s="697"/>
      <c r="BWW199" s="697"/>
      <c r="BWX199" s="697"/>
      <c r="BWY199" s="697"/>
      <c r="BWZ199" s="697"/>
      <c r="BXA199" s="697"/>
      <c r="BXB199" s="697"/>
      <c r="BXC199" s="697"/>
      <c r="BXD199" s="697"/>
      <c r="BXE199" s="697"/>
      <c r="BXF199" s="697"/>
      <c r="BXG199" s="697"/>
      <c r="BXH199" s="697"/>
      <c r="BXI199" s="697"/>
      <c r="BXJ199" s="697"/>
      <c r="BXK199" s="697"/>
      <c r="BXL199" s="697"/>
      <c r="BXM199" s="697"/>
      <c r="BXN199" s="697"/>
      <c r="BXO199" s="697"/>
      <c r="BXP199" s="697"/>
      <c r="BXQ199" s="697"/>
      <c r="BXR199" s="697"/>
      <c r="BXS199" s="697"/>
      <c r="BXT199" s="697"/>
      <c r="BXU199" s="697"/>
      <c r="BXV199" s="697"/>
      <c r="BXW199" s="697"/>
      <c r="BXX199" s="697"/>
      <c r="BXY199" s="697"/>
      <c r="BXZ199" s="697"/>
      <c r="BYA199" s="697"/>
      <c r="BYB199" s="697"/>
      <c r="BYC199" s="697"/>
      <c r="BYD199" s="697"/>
      <c r="BYE199" s="697"/>
      <c r="BYF199" s="697"/>
      <c r="BYG199" s="697"/>
      <c r="BYH199" s="697"/>
      <c r="BYI199" s="697"/>
      <c r="BYJ199" s="697"/>
      <c r="BYK199" s="697"/>
      <c r="BYL199" s="697"/>
      <c r="BYM199" s="697"/>
      <c r="BYN199" s="697"/>
      <c r="BYO199" s="697"/>
      <c r="BYP199" s="697"/>
      <c r="BYQ199" s="697"/>
      <c r="BYR199" s="697"/>
      <c r="BYS199" s="697"/>
      <c r="BYT199" s="697"/>
      <c r="BYU199" s="697"/>
      <c r="BYV199" s="697"/>
      <c r="BYW199" s="697"/>
      <c r="BYX199" s="697"/>
      <c r="BYY199" s="697"/>
      <c r="BYZ199" s="697"/>
      <c r="BZA199" s="697"/>
      <c r="BZB199" s="697"/>
      <c r="BZC199" s="697"/>
      <c r="BZD199" s="697"/>
      <c r="BZE199" s="697"/>
      <c r="BZF199" s="697"/>
      <c r="BZG199" s="697"/>
      <c r="BZH199" s="697"/>
      <c r="BZI199" s="697"/>
      <c r="BZJ199" s="697"/>
      <c r="BZK199" s="697"/>
      <c r="BZL199" s="697"/>
      <c r="BZM199" s="697"/>
      <c r="BZN199" s="697"/>
      <c r="BZO199" s="697"/>
      <c r="BZP199" s="697"/>
      <c r="BZQ199" s="697"/>
      <c r="BZR199" s="697"/>
      <c r="BZS199" s="697"/>
      <c r="BZT199" s="697"/>
      <c r="BZU199" s="697"/>
      <c r="BZV199" s="697"/>
      <c r="BZW199" s="697"/>
      <c r="BZX199" s="697"/>
      <c r="BZY199" s="697"/>
      <c r="BZZ199" s="697"/>
      <c r="CAA199" s="697"/>
      <c r="CAB199" s="697"/>
      <c r="CAC199" s="697"/>
      <c r="CAD199" s="697"/>
      <c r="CAE199" s="697"/>
      <c r="CAF199" s="697"/>
      <c r="CAG199" s="697"/>
      <c r="CAH199" s="697"/>
      <c r="CAI199" s="697"/>
      <c r="CAJ199" s="697"/>
      <c r="CAK199" s="697"/>
      <c r="CAL199" s="697"/>
      <c r="CAM199" s="697"/>
      <c r="CAN199" s="697"/>
      <c r="CAO199" s="697"/>
      <c r="CAP199" s="697"/>
      <c r="CAQ199" s="697"/>
      <c r="CAR199" s="697"/>
      <c r="CAS199" s="697"/>
      <c r="CAT199" s="697"/>
      <c r="CAU199" s="697"/>
      <c r="CAV199" s="697"/>
      <c r="CAW199" s="697"/>
      <c r="CAX199" s="697"/>
      <c r="CAY199" s="697"/>
      <c r="CAZ199" s="697"/>
      <c r="CBA199" s="697"/>
      <c r="CBB199" s="697"/>
      <c r="CBC199" s="697"/>
      <c r="CBD199" s="697"/>
      <c r="CBE199" s="697"/>
      <c r="CBF199" s="697"/>
      <c r="CBG199" s="697"/>
      <c r="CBH199" s="697"/>
      <c r="CBI199" s="697"/>
      <c r="CBJ199" s="697"/>
      <c r="CBK199" s="697"/>
      <c r="CBL199" s="697"/>
      <c r="CBM199" s="697"/>
      <c r="CBN199" s="697"/>
      <c r="CBO199" s="697"/>
      <c r="CBP199" s="697"/>
      <c r="CBQ199" s="697"/>
      <c r="CBR199" s="697"/>
      <c r="CBS199" s="697"/>
      <c r="CBT199" s="697"/>
      <c r="CBU199" s="697"/>
      <c r="CBV199" s="697"/>
      <c r="CBW199" s="697"/>
      <c r="CBX199" s="697"/>
      <c r="CBY199" s="697"/>
      <c r="CBZ199" s="697"/>
      <c r="CCA199" s="697"/>
      <c r="CCB199" s="697"/>
      <c r="CCC199" s="697"/>
      <c r="CCD199" s="697"/>
      <c r="CCE199" s="697"/>
      <c r="CCF199" s="697"/>
      <c r="CCG199" s="697"/>
      <c r="CCH199" s="697"/>
      <c r="CCI199" s="697"/>
      <c r="CCJ199" s="697"/>
      <c r="CCK199" s="697"/>
      <c r="CCL199" s="697"/>
      <c r="CCM199" s="697"/>
      <c r="CCN199" s="697"/>
      <c r="CCO199" s="697"/>
      <c r="CCP199" s="697"/>
      <c r="CCQ199" s="697"/>
      <c r="CCR199" s="697"/>
      <c r="CCS199" s="697"/>
      <c r="CCT199" s="697"/>
      <c r="CCU199" s="697"/>
      <c r="CCV199" s="697"/>
      <c r="CCW199" s="697"/>
      <c r="CCX199" s="697"/>
      <c r="CCY199" s="697"/>
      <c r="CCZ199" s="697"/>
      <c r="CDA199" s="697"/>
      <c r="CDB199" s="697"/>
      <c r="CDC199" s="697"/>
      <c r="CDD199" s="697"/>
      <c r="CDE199" s="697"/>
      <c r="CDF199" s="697"/>
      <c r="CDG199" s="697"/>
      <c r="CDH199" s="697"/>
      <c r="CDI199" s="697"/>
      <c r="CDJ199" s="697"/>
      <c r="CDK199" s="697"/>
      <c r="CDL199" s="697"/>
      <c r="CDM199" s="697"/>
      <c r="CDN199" s="697"/>
      <c r="CDO199" s="697"/>
      <c r="CDP199" s="697"/>
      <c r="CDQ199" s="697"/>
      <c r="CDR199" s="697"/>
      <c r="CDS199" s="697"/>
      <c r="CDT199" s="697"/>
      <c r="CDU199" s="697"/>
      <c r="CDV199" s="697"/>
      <c r="CDW199" s="697"/>
      <c r="CDX199" s="697"/>
      <c r="CDY199" s="697"/>
      <c r="CDZ199" s="697"/>
      <c r="CEA199" s="697"/>
      <c r="CEB199" s="697"/>
      <c r="CEC199" s="697"/>
      <c r="CED199" s="697"/>
      <c r="CEE199" s="697"/>
      <c r="CEF199" s="697"/>
      <c r="CEG199" s="697"/>
      <c r="CEH199" s="697"/>
      <c r="CEI199" s="697"/>
      <c r="CEJ199" s="697"/>
      <c r="CEK199" s="697"/>
      <c r="CEL199" s="697"/>
      <c r="CEM199" s="697"/>
      <c r="CEN199" s="697"/>
      <c r="CEO199" s="697"/>
      <c r="CEP199" s="697"/>
      <c r="CEQ199" s="697"/>
      <c r="CER199" s="697"/>
      <c r="CES199" s="697"/>
      <c r="CET199" s="697"/>
      <c r="CEU199" s="697"/>
      <c r="CEV199" s="697"/>
      <c r="CEW199" s="697"/>
      <c r="CEX199" s="697"/>
      <c r="CEY199" s="697"/>
      <c r="CEZ199" s="697"/>
      <c r="CFA199" s="697"/>
      <c r="CFB199" s="697"/>
      <c r="CFC199" s="697"/>
      <c r="CFD199" s="697"/>
      <c r="CFE199" s="697"/>
      <c r="CFF199" s="697"/>
      <c r="CFG199" s="697"/>
      <c r="CFH199" s="697"/>
      <c r="CFI199" s="697"/>
      <c r="CFJ199" s="697"/>
      <c r="CFK199" s="697"/>
      <c r="CFL199" s="697"/>
      <c r="CFM199" s="697"/>
      <c r="CFN199" s="697"/>
      <c r="CFO199" s="697"/>
      <c r="CFP199" s="697"/>
      <c r="CFQ199" s="697"/>
      <c r="CFR199" s="697"/>
      <c r="CFS199" s="697"/>
      <c r="CFT199" s="697"/>
      <c r="CFU199" s="697"/>
      <c r="CFV199" s="697"/>
      <c r="CFW199" s="697"/>
      <c r="CFX199" s="697"/>
      <c r="CFY199" s="697"/>
      <c r="CFZ199" s="697"/>
      <c r="CGA199" s="697"/>
      <c r="CGB199" s="697"/>
      <c r="CGC199" s="697"/>
      <c r="CGD199" s="697"/>
      <c r="CGE199" s="697"/>
      <c r="CGF199" s="697"/>
      <c r="CGG199" s="697"/>
      <c r="CGH199" s="697"/>
      <c r="CGI199" s="697"/>
      <c r="CGJ199" s="697"/>
      <c r="CGK199" s="697"/>
      <c r="CGL199" s="697"/>
      <c r="CGM199" s="697"/>
      <c r="CGN199" s="697"/>
      <c r="CGO199" s="697"/>
      <c r="CGP199" s="697"/>
      <c r="CGQ199" s="697"/>
      <c r="CGR199" s="697"/>
      <c r="CGS199" s="697"/>
      <c r="CGT199" s="697"/>
      <c r="CGU199" s="697"/>
      <c r="CGV199" s="697"/>
      <c r="CGW199" s="697"/>
      <c r="CGX199" s="697"/>
      <c r="CGY199" s="697"/>
      <c r="CGZ199" s="697"/>
      <c r="CHA199" s="697"/>
      <c r="CHB199" s="697"/>
      <c r="CHC199" s="697"/>
      <c r="CHD199" s="697"/>
      <c r="CHE199" s="697"/>
      <c r="CHF199" s="697"/>
      <c r="CHG199" s="697"/>
      <c r="CHH199" s="697"/>
      <c r="CHI199" s="697"/>
      <c r="CHJ199" s="697"/>
      <c r="CHK199" s="697"/>
      <c r="CHL199" s="697"/>
      <c r="CHM199" s="697"/>
      <c r="CHN199" s="697"/>
      <c r="CHO199" s="697"/>
      <c r="CHP199" s="697"/>
      <c r="CHQ199" s="697"/>
      <c r="CHR199" s="697"/>
      <c r="CHS199" s="697"/>
      <c r="CHT199" s="697"/>
      <c r="CHU199" s="697"/>
      <c r="CHV199" s="697"/>
      <c r="CHW199" s="697"/>
      <c r="CHX199" s="697"/>
      <c r="CHY199" s="697"/>
      <c r="CHZ199" s="697"/>
      <c r="CIA199" s="697"/>
      <c r="CIB199" s="697"/>
      <c r="CIC199" s="697"/>
      <c r="CID199" s="697"/>
      <c r="CIE199" s="697"/>
      <c r="CIF199" s="697"/>
      <c r="CIG199" s="697"/>
      <c r="CIH199" s="697"/>
      <c r="CII199" s="697"/>
      <c r="CIJ199" s="697"/>
      <c r="CIK199" s="697"/>
      <c r="CIL199" s="697"/>
      <c r="CIM199" s="697"/>
      <c r="CIN199" s="697"/>
      <c r="CIO199" s="697"/>
      <c r="CIP199" s="697"/>
      <c r="CIQ199" s="697"/>
      <c r="CIR199" s="697"/>
      <c r="CIS199" s="697"/>
      <c r="CIT199" s="697"/>
      <c r="CIU199" s="697"/>
      <c r="CIV199" s="697"/>
      <c r="CIW199" s="697"/>
      <c r="CIX199" s="697"/>
      <c r="CIY199" s="697"/>
      <c r="CIZ199" s="697"/>
      <c r="CJA199" s="697"/>
      <c r="CJB199" s="697"/>
      <c r="CJC199" s="697"/>
      <c r="CJD199" s="697"/>
      <c r="CJE199" s="697"/>
      <c r="CJF199" s="697"/>
      <c r="CJG199" s="697"/>
      <c r="CJH199" s="697"/>
      <c r="CJI199" s="697"/>
      <c r="CJJ199" s="697"/>
      <c r="CJK199" s="697"/>
      <c r="CJL199" s="697"/>
      <c r="CJM199" s="697"/>
      <c r="CJN199" s="697"/>
      <c r="CJO199" s="697"/>
      <c r="CJP199" s="697"/>
      <c r="CJQ199" s="697"/>
      <c r="CJR199" s="697"/>
      <c r="CJS199" s="697"/>
      <c r="CJT199" s="697"/>
      <c r="CJU199" s="697"/>
      <c r="CJV199" s="697"/>
      <c r="CJW199" s="697"/>
      <c r="CJX199" s="697"/>
      <c r="CJY199" s="697"/>
      <c r="CJZ199" s="697"/>
      <c r="CKA199" s="697"/>
      <c r="CKB199" s="697"/>
      <c r="CKC199" s="697"/>
      <c r="CKD199" s="697"/>
      <c r="CKE199" s="697"/>
      <c r="CKF199" s="697"/>
      <c r="CKG199" s="697"/>
      <c r="CKH199" s="697"/>
      <c r="CKI199" s="697"/>
      <c r="CKJ199" s="697"/>
      <c r="CKK199" s="697"/>
      <c r="CKL199" s="697"/>
      <c r="CKM199" s="697"/>
      <c r="CKN199" s="697"/>
      <c r="CKO199" s="697"/>
      <c r="CKP199" s="697"/>
      <c r="CKQ199" s="697"/>
      <c r="CKR199" s="697"/>
      <c r="CKS199" s="697"/>
      <c r="CKT199" s="697"/>
      <c r="CKU199" s="697"/>
      <c r="CKV199" s="697"/>
      <c r="CKW199" s="697"/>
      <c r="CKX199" s="697"/>
      <c r="CKY199" s="697"/>
      <c r="CKZ199" s="697"/>
      <c r="CLA199" s="697"/>
      <c r="CLB199" s="697"/>
      <c r="CLC199" s="697"/>
      <c r="CLD199" s="697"/>
      <c r="CLE199" s="697"/>
      <c r="CLF199" s="697"/>
      <c r="CLG199" s="697"/>
      <c r="CLH199" s="697"/>
      <c r="CLI199" s="697"/>
      <c r="CLJ199" s="697"/>
      <c r="CLK199" s="697"/>
      <c r="CLL199" s="697"/>
      <c r="CLM199" s="697"/>
      <c r="CLN199" s="697"/>
      <c r="CLO199" s="697"/>
      <c r="CLP199" s="697"/>
      <c r="CLQ199" s="697"/>
      <c r="CLR199" s="697"/>
      <c r="CLS199" s="697"/>
      <c r="CLT199" s="697"/>
      <c r="CLU199" s="697"/>
      <c r="CLV199" s="697"/>
      <c r="CLW199" s="697"/>
      <c r="CLX199" s="697"/>
      <c r="CLY199" s="697"/>
      <c r="CLZ199" s="697"/>
      <c r="CMA199" s="697"/>
      <c r="CMB199" s="697"/>
      <c r="CMC199" s="697"/>
      <c r="CMD199" s="697"/>
      <c r="CME199" s="697"/>
      <c r="CMF199" s="697"/>
      <c r="CMG199" s="697"/>
      <c r="CMH199" s="697"/>
      <c r="CMI199" s="697"/>
      <c r="CMJ199" s="697"/>
      <c r="CMK199" s="697"/>
      <c r="CML199" s="697"/>
      <c r="CMM199" s="697"/>
      <c r="CMN199" s="697"/>
      <c r="CMO199" s="697"/>
      <c r="CMP199" s="697"/>
      <c r="CMQ199" s="697"/>
      <c r="CMR199" s="697"/>
      <c r="CMS199" s="697"/>
      <c r="CMT199" s="697"/>
      <c r="CMU199" s="697"/>
      <c r="CMV199" s="697"/>
      <c r="CMW199" s="697"/>
      <c r="CMX199" s="697"/>
      <c r="CMY199" s="697"/>
      <c r="CMZ199" s="697"/>
      <c r="CNA199" s="697"/>
      <c r="CNB199" s="697"/>
      <c r="CNC199" s="697"/>
      <c r="CND199" s="697"/>
      <c r="CNE199" s="697"/>
      <c r="CNF199" s="697"/>
      <c r="CNG199" s="697"/>
      <c r="CNH199" s="697"/>
      <c r="CNI199" s="697"/>
      <c r="CNJ199" s="697"/>
      <c r="CNK199" s="697"/>
      <c r="CNL199" s="697"/>
      <c r="CNM199" s="697"/>
      <c r="CNN199" s="697"/>
      <c r="CNO199" s="697"/>
      <c r="CNP199" s="697"/>
      <c r="CNQ199" s="697"/>
      <c r="CNR199" s="697"/>
      <c r="CNS199" s="697"/>
      <c r="CNT199" s="697"/>
      <c r="CNU199" s="697"/>
      <c r="CNV199" s="697"/>
      <c r="CNW199" s="697"/>
      <c r="CNX199" s="697"/>
      <c r="CNY199" s="697"/>
      <c r="CNZ199" s="697"/>
      <c r="COA199" s="697"/>
      <c r="COB199" s="697"/>
      <c r="COC199" s="697"/>
      <c r="COD199" s="697"/>
      <c r="COE199" s="697"/>
      <c r="COF199" s="697"/>
      <c r="COG199" s="697"/>
      <c r="COH199" s="697"/>
      <c r="COI199" s="697"/>
      <c r="COJ199" s="697"/>
      <c r="COK199" s="697"/>
      <c r="COL199" s="697"/>
      <c r="COM199" s="697"/>
      <c r="CON199" s="697"/>
      <c r="COO199" s="697"/>
      <c r="COP199" s="697"/>
      <c r="COQ199" s="697"/>
      <c r="COR199" s="697"/>
      <c r="COS199" s="697"/>
      <c r="COT199" s="697"/>
      <c r="COU199" s="697"/>
      <c r="COV199" s="697"/>
      <c r="COW199" s="697"/>
      <c r="COX199" s="697"/>
      <c r="COY199" s="697"/>
      <c r="COZ199" s="697"/>
      <c r="CPA199" s="697"/>
      <c r="CPB199" s="697"/>
      <c r="CPC199" s="697"/>
      <c r="CPD199" s="697"/>
      <c r="CPE199" s="697"/>
      <c r="CPF199" s="697"/>
      <c r="CPG199" s="697"/>
      <c r="CPH199" s="697"/>
      <c r="CPI199" s="697"/>
      <c r="CPJ199" s="697"/>
      <c r="CPK199" s="697"/>
      <c r="CPL199" s="697"/>
      <c r="CPM199" s="697"/>
      <c r="CPN199" s="697"/>
      <c r="CPO199" s="697"/>
      <c r="CPP199" s="697"/>
      <c r="CPQ199" s="697"/>
      <c r="CPR199" s="697"/>
      <c r="CPS199" s="697"/>
      <c r="CPT199" s="697"/>
      <c r="CPU199" s="697"/>
      <c r="CPV199" s="697"/>
      <c r="CPW199" s="697"/>
      <c r="CPX199" s="697"/>
      <c r="CPY199" s="697"/>
      <c r="CPZ199" s="697"/>
      <c r="CQA199" s="697"/>
      <c r="CQB199" s="697"/>
      <c r="CQC199" s="697"/>
      <c r="CQD199" s="697"/>
      <c r="CQE199" s="697"/>
      <c r="CQF199" s="697"/>
      <c r="CQG199" s="697"/>
      <c r="CQH199" s="697"/>
      <c r="CQI199" s="697"/>
      <c r="CQJ199" s="697"/>
      <c r="CQK199" s="697"/>
      <c r="CQL199" s="697"/>
      <c r="CQM199" s="697"/>
      <c r="CQN199" s="697"/>
      <c r="CQO199" s="697"/>
      <c r="CQP199" s="697"/>
      <c r="CQQ199" s="697"/>
      <c r="CQR199" s="697"/>
      <c r="CQS199" s="697"/>
      <c r="CQT199" s="697"/>
      <c r="CQU199" s="697"/>
      <c r="CQV199" s="697"/>
      <c r="CQW199" s="697"/>
      <c r="CQX199" s="697"/>
      <c r="CQY199" s="697"/>
      <c r="CQZ199" s="697"/>
      <c r="CRA199" s="697"/>
      <c r="CRB199" s="697"/>
      <c r="CRC199" s="697"/>
      <c r="CRD199" s="697"/>
      <c r="CRE199" s="697"/>
      <c r="CRF199" s="697"/>
      <c r="CRG199" s="697"/>
      <c r="CRH199" s="697"/>
      <c r="CRI199" s="697"/>
      <c r="CRJ199" s="697"/>
      <c r="CRK199" s="697"/>
      <c r="CRL199" s="697"/>
      <c r="CRM199" s="697"/>
      <c r="CRN199" s="697"/>
      <c r="CRO199" s="697"/>
      <c r="CRP199" s="697"/>
      <c r="CRQ199" s="697"/>
      <c r="CRR199" s="697"/>
      <c r="CRS199" s="697"/>
      <c r="CRT199" s="697"/>
      <c r="CRU199" s="697"/>
      <c r="CRV199" s="697"/>
      <c r="CRW199" s="697"/>
      <c r="CRX199" s="697"/>
      <c r="CRY199" s="697"/>
      <c r="CRZ199" s="697"/>
      <c r="CSA199" s="697"/>
      <c r="CSB199" s="697"/>
      <c r="CSC199" s="697"/>
      <c r="CSD199" s="697"/>
      <c r="CSE199" s="697"/>
      <c r="CSF199" s="697"/>
      <c r="CSG199" s="697"/>
      <c r="CSH199" s="697"/>
      <c r="CSI199" s="697"/>
      <c r="CSJ199" s="697"/>
      <c r="CSK199" s="697"/>
      <c r="CSL199" s="697"/>
      <c r="CSM199" s="697"/>
      <c r="CSN199" s="697"/>
      <c r="CSO199" s="697"/>
      <c r="CSP199" s="697"/>
      <c r="CSQ199" s="697"/>
      <c r="CSR199" s="697"/>
      <c r="CSS199" s="697"/>
      <c r="CST199" s="697"/>
      <c r="CSU199" s="697"/>
      <c r="CSV199" s="697"/>
      <c r="CSW199" s="697"/>
      <c r="CSX199" s="697"/>
      <c r="CSY199" s="697"/>
      <c r="CSZ199" s="697"/>
      <c r="CTA199" s="697"/>
      <c r="CTB199" s="697"/>
      <c r="CTC199" s="697"/>
      <c r="CTD199" s="697"/>
      <c r="CTE199" s="697"/>
      <c r="CTF199" s="697"/>
      <c r="CTG199" s="697"/>
      <c r="CTH199" s="697"/>
      <c r="CTI199" s="697"/>
      <c r="CTJ199" s="697"/>
      <c r="CTK199" s="697"/>
      <c r="CTL199" s="697"/>
      <c r="CTM199" s="697"/>
      <c r="CTN199" s="697"/>
      <c r="CTO199" s="697"/>
      <c r="CTP199" s="697"/>
      <c r="CTQ199" s="697"/>
      <c r="CTR199" s="697"/>
      <c r="CTS199" s="697"/>
      <c r="CTT199" s="697"/>
      <c r="CTU199" s="697"/>
      <c r="CTV199" s="697"/>
      <c r="CTW199" s="697"/>
      <c r="CTX199" s="697"/>
      <c r="CTY199" s="697"/>
      <c r="CTZ199" s="697"/>
      <c r="CUA199" s="697"/>
      <c r="CUB199" s="697"/>
      <c r="CUC199" s="697"/>
      <c r="CUD199" s="697"/>
      <c r="CUE199" s="697"/>
      <c r="CUF199" s="697"/>
      <c r="CUG199" s="697"/>
      <c r="CUH199" s="697"/>
      <c r="CUI199" s="697"/>
      <c r="CUJ199" s="697"/>
      <c r="CUK199" s="697"/>
      <c r="CUL199" s="697"/>
      <c r="CUM199" s="697"/>
      <c r="CUN199" s="697"/>
      <c r="CUO199" s="697"/>
      <c r="CUP199" s="697"/>
      <c r="CUQ199" s="697"/>
      <c r="CUR199" s="697"/>
      <c r="CUS199" s="697"/>
      <c r="CUT199" s="697"/>
      <c r="CUU199" s="697"/>
      <c r="CUV199" s="697"/>
      <c r="CUW199" s="697"/>
      <c r="CUX199" s="697"/>
      <c r="CUY199" s="697"/>
      <c r="CUZ199" s="697"/>
      <c r="CVA199" s="697"/>
      <c r="CVB199" s="697"/>
      <c r="CVC199" s="697"/>
      <c r="CVD199" s="697"/>
      <c r="CVE199" s="697"/>
      <c r="CVF199" s="697"/>
      <c r="CVG199" s="697"/>
      <c r="CVH199" s="697"/>
      <c r="CVI199" s="697"/>
      <c r="CVJ199" s="697"/>
      <c r="CVK199" s="697"/>
      <c r="CVL199" s="697"/>
      <c r="CVM199" s="697"/>
      <c r="CVN199" s="697"/>
      <c r="CVO199" s="697"/>
      <c r="CVP199" s="697"/>
      <c r="CVQ199" s="697"/>
      <c r="CVR199" s="697"/>
      <c r="CVS199" s="697"/>
      <c r="CVT199" s="697"/>
      <c r="CVU199" s="697"/>
      <c r="CVV199" s="697"/>
      <c r="CVW199" s="697"/>
      <c r="CVX199" s="697"/>
      <c r="CVY199" s="697"/>
      <c r="CVZ199" s="697"/>
      <c r="CWA199" s="697"/>
      <c r="CWB199" s="697"/>
      <c r="CWC199" s="697"/>
      <c r="CWD199" s="697"/>
      <c r="CWE199" s="697"/>
      <c r="CWF199" s="697"/>
      <c r="CWG199" s="697"/>
      <c r="CWH199" s="697"/>
      <c r="CWI199" s="697"/>
      <c r="CWJ199" s="697"/>
      <c r="CWK199" s="697"/>
      <c r="CWL199" s="697"/>
      <c r="CWM199" s="697"/>
      <c r="CWN199" s="697"/>
      <c r="CWO199" s="697"/>
      <c r="CWP199" s="697"/>
      <c r="CWQ199" s="697"/>
      <c r="CWR199" s="697"/>
      <c r="CWS199" s="697"/>
      <c r="CWT199" s="697"/>
      <c r="CWU199" s="697"/>
      <c r="CWV199" s="697"/>
      <c r="CWW199" s="697"/>
      <c r="CWX199" s="697"/>
      <c r="CWY199" s="697"/>
      <c r="CWZ199" s="697"/>
      <c r="CXA199" s="697"/>
      <c r="CXB199" s="697"/>
      <c r="CXC199" s="697"/>
      <c r="CXD199" s="697"/>
      <c r="CXE199" s="697"/>
      <c r="CXF199" s="697"/>
      <c r="CXG199" s="697"/>
      <c r="CXH199" s="697"/>
      <c r="CXI199" s="697"/>
      <c r="CXJ199" s="697"/>
      <c r="CXK199" s="697"/>
      <c r="CXL199" s="697"/>
      <c r="CXM199" s="697"/>
      <c r="CXN199" s="697"/>
      <c r="CXO199" s="697"/>
      <c r="CXP199" s="697"/>
      <c r="CXQ199" s="697"/>
      <c r="CXR199" s="697"/>
      <c r="CXS199" s="697"/>
      <c r="CXT199" s="697"/>
      <c r="CXU199" s="697"/>
      <c r="CXV199" s="697"/>
      <c r="CXW199" s="697"/>
      <c r="CXX199" s="697"/>
      <c r="CXY199" s="697"/>
      <c r="CXZ199" s="697"/>
      <c r="CYA199" s="697"/>
      <c r="CYB199" s="697"/>
      <c r="CYC199" s="697"/>
      <c r="CYD199" s="697"/>
      <c r="CYE199" s="697"/>
      <c r="CYF199" s="697"/>
      <c r="CYG199" s="697"/>
      <c r="CYH199" s="697"/>
      <c r="CYI199" s="697"/>
      <c r="CYJ199" s="697"/>
      <c r="CYK199" s="697"/>
      <c r="CYL199" s="697"/>
      <c r="CYM199" s="697"/>
      <c r="CYN199" s="697"/>
      <c r="CYO199" s="697"/>
      <c r="CYP199" s="697"/>
      <c r="CYQ199" s="697"/>
      <c r="CYR199" s="697"/>
      <c r="CYS199" s="697"/>
      <c r="CYT199" s="697"/>
      <c r="CYU199" s="697"/>
      <c r="CYV199" s="697"/>
      <c r="CYW199" s="697"/>
      <c r="CYX199" s="697"/>
      <c r="CYY199" s="697"/>
      <c r="CYZ199" s="697"/>
      <c r="CZA199" s="697"/>
      <c r="CZB199" s="697"/>
      <c r="CZC199" s="697"/>
      <c r="CZD199" s="697"/>
      <c r="CZE199" s="697"/>
      <c r="CZF199" s="697"/>
      <c r="CZG199" s="697"/>
      <c r="CZH199" s="697"/>
      <c r="CZI199" s="697"/>
      <c r="CZJ199" s="697"/>
      <c r="CZK199" s="697"/>
      <c r="CZL199" s="697"/>
      <c r="CZM199" s="697"/>
      <c r="CZN199" s="697"/>
      <c r="CZO199" s="697"/>
      <c r="CZP199" s="697"/>
      <c r="CZQ199" s="697"/>
      <c r="CZR199" s="697"/>
      <c r="CZS199" s="697"/>
      <c r="CZT199" s="697"/>
      <c r="CZU199" s="697"/>
      <c r="CZV199" s="697"/>
      <c r="CZW199" s="697"/>
      <c r="CZX199" s="697"/>
      <c r="CZY199" s="697"/>
      <c r="CZZ199" s="697"/>
      <c r="DAA199" s="697"/>
      <c r="DAB199" s="697"/>
      <c r="DAC199" s="697"/>
      <c r="DAD199" s="697"/>
      <c r="DAE199" s="697"/>
      <c r="DAF199" s="697"/>
      <c r="DAG199" s="697"/>
      <c r="DAH199" s="697"/>
      <c r="DAI199" s="697"/>
      <c r="DAJ199" s="697"/>
      <c r="DAK199" s="697"/>
      <c r="DAL199" s="697"/>
      <c r="DAM199" s="697"/>
      <c r="DAN199" s="697"/>
      <c r="DAO199" s="697"/>
      <c r="DAP199" s="697"/>
      <c r="DAQ199" s="697"/>
      <c r="DAR199" s="697"/>
      <c r="DAS199" s="697"/>
      <c r="DAT199" s="697"/>
      <c r="DAU199" s="697"/>
      <c r="DAV199" s="697"/>
      <c r="DAW199" s="697"/>
      <c r="DAX199" s="697"/>
      <c r="DAY199" s="697"/>
      <c r="DAZ199" s="697"/>
      <c r="DBA199" s="697"/>
      <c r="DBB199" s="697"/>
      <c r="DBC199" s="697"/>
      <c r="DBD199" s="697"/>
      <c r="DBE199" s="697"/>
      <c r="DBF199" s="697"/>
      <c r="DBG199" s="697"/>
      <c r="DBH199" s="697"/>
      <c r="DBI199" s="697"/>
      <c r="DBJ199" s="697"/>
      <c r="DBK199" s="697"/>
      <c r="DBL199" s="697"/>
      <c r="DBM199" s="697"/>
      <c r="DBN199" s="697"/>
      <c r="DBO199" s="697"/>
      <c r="DBP199" s="697"/>
      <c r="DBQ199" s="697"/>
      <c r="DBR199" s="697"/>
      <c r="DBS199" s="697"/>
      <c r="DBT199" s="697"/>
      <c r="DBU199" s="697"/>
      <c r="DBV199" s="697"/>
      <c r="DBW199" s="697"/>
      <c r="DBX199" s="697"/>
      <c r="DBY199" s="697"/>
      <c r="DBZ199" s="697"/>
      <c r="DCA199" s="697"/>
      <c r="DCB199" s="697"/>
      <c r="DCC199" s="697"/>
      <c r="DCD199" s="697"/>
      <c r="DCE199" s="697"/>
      <c r="DCF199" s="697"/>
      <c r="DCG199" s="697"/>
      <c r="DCH199" s="697"/>
      <c r="DCI199" s="697"/>
      <c r="DCJ199" s="697"/>
      <c r="DCK199" s="697"/>
      <c r="DCL199" s="697"/>
      <c r="DCM199" s="697"/>
      <c r="DCN199" s="697"/>
      <c r="DCO199" s="697"/>
      <c r="DCP199" s="697"/>
      <c r="DCQ199" s="697"/>
      <c r="DCR199" s="697"/>
      <c r="DCS199" s="697"/>
      <c r="DCT199" s="697"/>
      <c r="DCU199" s="697"/>
      <c r="DCV199" s="697"/>
      <c r="DCW199" s="697"/>
      <c r="DCX199" s="697"/>
      <c r="DCY199" s="697"/>
      <c r="DCZ199" s="697"/>
      <c r="DDA199" s="697"/>
      <c r="DDB199" s="697"/>
      <c r="DDC199" s="697"/>
      <c r="DDD199" s="697"/>
      <c r="DDE199" s="697"/>
      <c r="DDF199" s="697"/>
      <c r="DDG199" s="697"/>
      <c r="DDH199" s="697"/>
      <c r="DDI199" s="697"/>
      <c r="DDJ199" s="697"/>
      <c r="DDK199" s="697"/>
      <c r="DDL199" s="697"/>
      <c r="DDM199" s="697"/>
      <c r="DDN199" s="697"/>
      <c r="DDO199" s="697"/>
      <c r="DDP199" s="697"/>
      <c r="DDQ199" s="697"/>
      <c r="DDR199" s="697"/>
      <c r="DDS199" s="697"/>
      <c r="DDT199" s="697"/>
      <c r="DDU199" s="697"/>
      <c r="DDV199" s="697"/>
      <c r="DDW199" s="697"/>
      <c r="DDX199" s="697"/>
      <c r="DDY199" s="697"/>
      <c r="DDZ199" s="697"/>
      <c r="DEA199" s="697"/>
      <c r="DEB199" s="697"/>
      <c r="DEC199" s="697"/>
      <c r="DED199" s="697"/>
      <c r="DEE199" s="697"/>
      <c r="DEF199" s="697"/>
      <c r="DEG199" s="697"/>
      <c r="DEH199" s="697"/>
      <c r="DEI199" s="697"/>
      <c r="DEJ199" s="697"/>
      <c r="DEK199" s="697"/>
      <c r="DEL199" s="697"/>
      <c r="DEM199" s="697"/>
      <c r="DEN199" s="697"/>
      <c r="DEO199" s="697"/>
      <c r="DEP199" s="697"/>
      <c r="DEQ199" s="697"/>
      <c r="DER199" s="697"/>
      <c r="DES199" s="697"/>
      <c r="DET199" s="697"/>
      <c r="DEU199" s="697"/>
      <c r="DEV199" s="697"/>
      <c r="DEW199" s="697"/>
      <c r="DEX199" s="697"/>
      <c r="DEY199" s="697"/>
      <c r="DEZ199" s="697"/>
      <c r="DFA199" s="697"/>
      <c r="DFB199" s="697"/>
      <c r="DFC199" s="697"/>
      <c r="DFD199" s="697"/>
      <c r="DFE199" s="697"/>
      <c r="DFF199" s="697"/>
      <c r="DFG199" s="697"/>
      <c r="DFH199" s="697"/>
      <c r="DFI199" s="697"/>
      <c r="DFJ199" s="697"/>
      <c r="DFK199" s="697"/>
      <c r="DFL199" s="697"/>
      <c r="DFM199" s="697"/>
      <c r="DFN199" s="697"/>
      <c r="DFO199" s="697"/>
      <c r="DFP199" s="697"/>
      <c r="DFQ199" s="697"/>
      <c r="DFR199" s="697"/>
      <c r="DFS199" s="697"/>
      <c r="DFT199" s="697"/>
      <c r="DFU199" s="697"/>
      <c r="DFV199" s="697"/>
      <c r="DFW199" s="697"/>
      <c r="DFX199" s="697"/>
      <c r="DFY199" s="697"/>
      <c r="DFZ199" s="697"/>
      <c r="DGA199" s="697"/>
      <c r="DGB199" s="697"/>
      <c r="DGC199" s="697"/>
      <c r="DGD199" s="697"/>
      <c r="DGE199" s="697"/>
      <c r="DGF199" s="697"/>
      <c r="DGG199" s="697"/>
      <c r="DGH199" s="697"/>
      <c r="DGI199" s="697"/>
      <c r="DGJ199" s="697"/>
      <c r="DGK199" s="697"/>
      <c r="DGL199" s="697"/>
      <c r="DGM199" s="697"/>
      <c r="DGN199" s="697"/>
      <c r="DGO199" s="697"/>
      <c r="DGP199" s="697"/>
      <c r="DGQ199" s="697"/>
      <c r="DGR199" s="697"/>
      <c r="DGS199" s="697"/>
      <c r="DGT199" s="697"/>
      <c r="DGU199" s="697"/>
      <c r="DGV199" s="697"/>
      <c r="DGW199" s="697"/>
      <c r="DGX199" s="697"/>
      <c r="DGY199" s="697"/>
      <c r="DGZ199" s="697"/>
      <c r="DHA199" s="697"/>
      <c r="DHB199" s="697"/>
      <c r="DHC199" s="697"/>
      <c r="DHD199" s="697"/>
      <c r="DHE199" s="697"/>
      <c r="DHF199" s="697"/>
      <c r="DHG199" s="697"/>
      <c r="DHH199" s="697"/>
      <c r="DHI199" s="697"/>
      <c r="DHJ199" s="697"/>
      <c r="DHK199" s="697"/>
      <c r="DHL199" s="697"/>
      <c r="DHM199" s="697"/>
      <c r="DHN199" s="697"/>
      <c r="DHO199" s="697"/>
      <c r="DHP199" s="697"/>
      <c r="DHQ199" s="697"/>
      <c r="DHR199" s="697"/>
      <c r="DHS199" s="697"/>
      <c r="DHT199" s="697"/>
      <c r="DHU199" s="697"/>
      <c r="DHV199" s="697"/>
      <c r="DHW199" s="697"/>
      <c r="DHX199" s="697"/>
      <c r="DHY199" s="697"/>
      <c r="DHZ199" s="697"/>
      <c r="DIA199" s="697"/>
      <c r="DIB199" s="697"/>
      <c r="DIC199" s="697"/>
      <c r="DID199" s="697"/>
      <c r="DIE199" s="697"/>
      <c r="DIF199" s="697"/>
      <c r="DIG199" s="697"/>
      <c r="DIH199" s="697"/>
      <c r="DII199" s="697"/>
      <c r="DIJ199" s="697"/>
      <c r="DIK199" s="697"/>
      <c r="DIL199" s="697"/>
      <c r="DIM199" s="697"/>
      <c r="DIN199" s="697"/>
      <c r="DIO199" s="697"/>
      <c r="DIP199" s="697"/>
      <c r="DIQ199" s="697"/>
      <c r="DIR199" s="697"/>
      <c r="DIS199" s="697"/>
      <c r="DIT199" s="697"/>
      <c r="DIU199" s="697"/>
      <c r="DIV199" s="697"/>
      <c r="DIW199" s="697"/>
      <c r="DIX199" s="697"/>
      <c r="DIY199" s="697"/>
      <c r="DIZ199" s="697"/>
      <c r="DJA199" s="697"/>
      <c r="DJB199" s="697"/>
      <c r="DJC199" s="697"/>
      <c r="DJD199" s="697"/>
      <c r="DJE199" s="697"/>
      <c r="DJF199" s="697"/>
      <c r="DJG199" s="697"/>
      <c r="DJH199" s="697"/>
      <c r="DJI199" s="697"/>
      <c r="DJJ199" s="697"/>
      <c r="DJK199" s="697"/>
      <c r="DJL199" s="697"/>
      <c r="DJM199" s="697"/>
      <c r="DJN199" s="697"/>
      <c r="DJO199" s="697"/>
      <c r="DJP199" s="697"/>
      <c r="DJQ199" s="697"/>
      <c r="DJR199" s="697"/>
      <c r="DJS199" s="697"/>
      <c r="DJT199" s="697"/>
      <c r="DJU199" s="697"/>
      <c r="DJV199" s="697"/>
      <c r="DJW199" s="697"/>
      <c r="DJX199" s="697"/>
      <c r="DJY199" s="697"/>
      <c r="DJZ199" s="697"/>
      <c r="DKA199" s="697"/>
      <c r="DKB199" s="697"/>
      <c r="DKC199" s="697"/>
      <c r="DKD199" s="697"/>
      <c r="DKE199" s="697"/>
      <c r="DKF199" s="697"/>
      <c r="DKG199" s="697"/>
      <c r="DKH199" s="697"/>
      <c r="DKI199" s="697"/>
      <c r="DKJ199" s="697"/>
      <c r="DKK199" s="697"/>
      <c r="DKL199" s="697"/>
      <c r="DKM199" s="697"/>
      <c r="DKN199" s="697"/>
      <c r="DKO199" s="697"/>
      <c r="DKP199" s="697"/>
      <c r="DKQ199" s="697"/>
      <c r="DKR199" s="697"/>
      <c r="DKS199" s="697"/>
      <c r="DKT199" s="697"/>
      <c r="DKU199" s="697"/>
      <c r="DKV199" s="697"/>
      <c r="DKW199" s="697"/>
      <c r="DKX199" s="697"/>
      <c r="DKY199" s="697"/>
      <c r="DKZ199" s="697"/>
      <c r="DLA199" s="697"/>
      <c r="DLB199" s="697"/>
      <c r="DLC199" s="697"/>
      <c r="DLD199" s="697"/>
      <c r="DLE199" s="697"/>
      <c r="DLF199" s="697"/>
      <c r="DLG199" s="697"/>
      <c r="DLH199" s="697"/>
      <c r="DLI199" s="697"/>
      <c r="DLJ199" s="697"/>
      <c r="DLK199" s="697"/>
      <c r="DLL199" s="697"/>
      <c r="DLM199" s="697"/>
      <c r="DLN199" s="697"/>
      <c r="DLO199" s="697"/>
      <c r="DLP199" s="697"/>
      <c r="DLQ199" s="697"/>
      <c r="DLR199" s="697"/>
      <c r="DLS199" s="697"/>
      <c r="DLT199" s="697"/>
      <c r="DLU199" s="697"/>
      <c r="DLV199" s="697"/>
      <c r="DLW199" s="697"/>
      <c r="DLX199" s="697"/>
      <c r="DLY199" s="697"/>
      <c r="DLZ199" s="697"/>
      <c r="DMA199" s="697"/>
      <c r="DMB199" s="697"/>
      <c r="DMC199" s="697"/>
      <c r="DMD199" s="697"/>
      <c r="DME199" s="697"/>
      <c r="DMF199" s="697"/>
      <c r="DMG199" s="697"/>
      <c r="DMH199" s="697"/>
      <c r="DMI199" s="697"/>
      <c r="DMJ199" s="697"/>
      <c r="DMK199" s="697"/>
      <c r="DML199" s="697"/>
      <c r="DMM199" s="697"/>
      <c r="DMN199" s="697"/>
      <c r="DMO199" s="697"/>
      <c r="DMP199" s="697"/>
      <c r="DMQ199" s="697"/>
      <c r="DMR199" s="697"/>
      <c r="DMS199" s="697"/>
      <c r="DMT199" s="697"/>
      <c r="DMU199" s="697"/>
      <c r="DMV199" s="697"/>
      <c r="DMW199" s="697"/>
      <c r="DMX199" s="697"/>
      <c r="DMY199" s="697"/>
      <c r="DMZ199" s="697"/>
      <c r="DNA199" s="697"/>
      <c r="DNB199" s="697"/>
      <c r="DNC199" s="697"/>
      <c r="DND199" s="697"/>
      <c r="DNE199" s="697"/>
      <c r="DNF199" s="697"/>
      <c r="DNG199" s="697"/>
      <c r="DNH199" s="697"/>
      <c r="DNI199" s="697"/>
      <c r="DNJ199" s="697"/>
      <c r="DNK199" s="697"/>
      <c r="DNL199" s="697"/>
      <c r="DNM199" s="697"/>
      <c r="DNN199" s="697"/>
      <c r="DNO199" s="697"/>
      <c r="DNP199" s="697"/>
      <c r="DNQ199" s="697"/>
      <c r="DNR199" s="697"/>
      <c r="DNS199" s="697"/>
      <c r="DNT199" s="697"/>
      <c r="DNU199" s="697"/>
      <c r="DNV199" s="697"/>
      <c r="DNW199" s="697"/>
      <c r="DNX199" s="697"/>
      <c r="DNY199" s="697"/>
      <c r="DNZ199" s="697"/>
      <c r="DOA199" s="697"/>
      <c r="DOB199" s="697"/>
      <c r="DOC199" s="697"/>
      <c r="DOD199" s="697"/>
      <c r="DOE199" s="697"/>
      <c r="DOF199" s="697"/>
      <c r="DOG199" s="697"/>
      <c r="DOH199" s="697"/>
      <c r="DOI199" s="697"/>
      <c r="DOJ199" s="697"/>
      <c r="DOK199" s="697"/>
      <c r="DOL199" s="697"/>
      <c r="DOM199" s="697"/>
      <c r="DON199" s="697"/>
      <c r="DOO199" s="697"/>
      <c r="DOP199" s="697"/>
      <c r="DOQ199" s="697"/>
      <c r="DOR199" s="697"/>
      <c r="DOS199" s="697"/>
      <c r="DOT199" s="697"/>
      <c r="DOU199" s="697"/>
      <c r="DOV199" s="697"/>
      <c r="DOW199" s="697"/>
      <c r="DOX199" s="697"/>
      <c r="DOY199" s="697"/>
      <c r="DOZ199" s="697"/>
      <c r="DPA199" s="697"/>
      <c r="DPB199" s="697"/>
      <c r="DPC199" s="697"/>
      <c r="DPD199" s="697"/>
      <c r="DPE199" s="697"/>
      <c r="DPF199" s="697"/>
      <c r="DPG199" s="697"/>
      <c r="DPH199" s="697"/>
      <c r="DPI199" s="697"/>
      <c r="DPJ199" s="697"/>
      <c r="DPK199" s="697"/>
      <c r="DPL199" s="697"/>
      <c r="DPM199" s="697"/>
      <c r="DPN199" s="697"/>
      <c r="DPO199" s="697"/>
      <c r="DPP199" s="697"/>
      <c r="DPQ199" s="697"/>
      <c r="DPR199" s="697"/>
      <c r="DPS199" s="697"/>
      <c r="DPT199" s="697"/>
      <c r="DPU199" s="697"/>
      <c r="DPV199" s="697"/>
      <c r="DPW199" s="697"/>
      <c r="DPX199" s="697"/>
      <c r="DPY199" s="697"/>
      <c r="DPZ199" s="697"/>
      <c r="DQA199" s="697"/>
      <c r="DQB199" s="697"/>
      <c r="DQC199" s="697"/>
      <c r="DQD199" s="697"/>
      <c r="DQE199" s="697"/>
      <c r="DQF199" s="697"/>
      <c r="DQG199" s="697"/>
      <c r="DQH199" s="697"/>
      <c r="DQI199" s="697"/>
      <c r="DQJ199" s="697"/>
      <c r="DQK199" s="697"/>
      <c r="DQL199" s="697"/>
      <c r="DQM199" s="697"/>
      <c r="DQN199" s="697"/>
      <c r="DQO199" s="697"/>
      <c r="DQP199" s="697"/>
      <c r="DQQ199" s="697"/>
      <c r="DQR199" s="697"/>
      <c r="DQS199" s="697"/>
      <c r="DQT199" s="697"/>
      <c r="DQU199" s="697"/>
      <c r="DQV199" s="697"/>
      <c r="DQW199" s="697"/>
      <c r="DQX199" s="697"/>
      <c r="DQY199" s="697"/>
      <c r="DQZ199" s="697"/>
      <c r="DRA199" s="697"/>
      <c r="DRB199" s="697"/>
      <c r="DRC199" s="697"/>
      <c r="DRD199" s="697"/>
      <c r="DRE199" s="697"/>
      <c r="DRF199" s="697"/>
      <c r="DRG199" s="697"/>
      <c r="DRH199" s="697"/>
      <c r="DRI199" s="697"/>
      <c r="DRJ199" s="697"/>
      <c r="DRK199" s="697"/>
      <c r="DRL199" s="697"/>
      <c r="DRM199" s="697"/>
      <c r="DRN199" s="697"/>
      <c r="DRO199" s="697"/>
      <c r="DRP199" s="697"/>
      <c r="DRQ199" s="697"/>
      <c r="DRR199" s="697"/>
      <c r="DRS199" s="697"/>
      <c r="DRT199" s="697"/>
      <c r="DRU199" s="697"/>
      <c r="DRV199" s="697"/>
      <c r="DRW199" s="697"/>
      <c r="DRX199" s="697"/>
      <c r="DRY199" s="697"/>
      <c r="DRZ199" s="697"/>
      <c r="DSA199" s="697"/>
      <c r="DSB199" s="697"/>
      <c r="DSC199" s="697"/>
      <c r="DSD199" s="697"/>
      <c r="DSE199" s="697"/>
      <c r="DSF199" s="697"/>
      <c r="DSG199" s="697"/>
      <c r="DSH199" s="697"/>
      <c r="DSI199" s="697"/>
      <c r="DSJ199" s="697"/>
      <c r="DSK199" s="697"/>
      <c r="DSL199" s="697"/>
      <c r="DSM199" s="697"/>
      <c r="DSN199" s="697"/>
      <c r="DSO199" s="697"/>
      <c r="DSP199" s="697"/>
      <c r="DSQ199" s="697"/>
      <c r="DSR199" s="697"/>
      <c r="DSS199" s="697"/>
      <c r="DST199" s="697"/>
      <c r="DSU199" s="697"/>
      <c r="DSV199" s="697"/>
      <c r="DSW199" s="697"/>
      <c r="DSX199" s="697"/>
      <c r="DSY199" s="697"/>
      <c r="DSZ199" s="697"/>
      <c r="DTA199" s="697"/>
      <c r="DTB199" s="697"/>
      <c r="DTC199" s="697"/>
      <c r="DTD199" s="697"/>
      <c r="DTE199" s="697"/>
      <c r="DTF199" s="697"/>
      <c r="DTG199" s="697"/>
      <c r="DTH199" s="697"/>
      <c r="DTI199" s="697"/>
      <c r="DTJ199" s="697"/>
      <c r="DTK199" s="697"/>
      <c r="DTL199" s="697"/>
      <c r="DTM199" s="697"/>
      <c r="DTN199" s="697"/>
      <c r="DTO199" s="697"/>
      <c r="DTP199" s="697"/>
      <c r="DTQ199" s="697"/>
      <c r="DTR199" s="697"/>
      <c r="DTS199" s="697"/>
      <c r="DTT199" s="697"/>
      <c r="DTU199" s="697"/>
      <c r="DTV199" s="697"/>
      <c r="DTW199" s="697"/>
      <c r="DTX199" s="697"/>
      <c r="DTY199" s="697"/>
      <c r="DTZ199" s="697"/>
      <c r="DUA199" s="697"/>
      <c r="DUB199" s="697"/>
      <c r="DUC199" s="697"/>
      <c r="DUD199" s="697"/>
      <c r="DUE199" s="697"/>
      <c r="DUF199" s="697"/>
      <c r="DUG199" s="697"/>
      <c r="DUH199" s="697"/>
      <c r="DUI199" s="697"/>
      <c r="DUJ199" s="697"/>
      <c r="DUK199" s="697"/>
      <c r="DUL199" s="697"/>
      <c r="DUM199" s="697"/>
      <c r="DUN199" s="697"/>
      <c r="DUO199" s="697"/>
      <c r="DUP199" s="697"/>
      <c r="DUQ199" s="697"/>
      <c r="DUR199" s="697"/>
      <c r="DUS199" s="697"/>
      <c r="DUT199" s="697"/>
      <c r="DUU199" s="697"/>
      <c r="DUV199" s="697"/>
      <c r="DUW199" s="697"/>
      <c r="DUX199" s="697"/>
      <c r="DUY199" s="697"/>
      <c r="DUZ199" s="697"/>
      <c r="DVA199" s="697"/>
      <c r="DVB199" s="697"/>
      <c r="DVC199" s="697"/>
      <c r="DVD199" s="697"/>
      <c r="DVE199" s="697"/>
      <c r="DVF199" s="697"/>
      <c r="DVG199" s="697"/>
      <c r="DVH199" s="697"/>
      <c r="DVI199" s="697"/>
      <c r="DVJ199" s="697"/>
      <c r="DVK199" s="697"/>
      <c r="DVL199" s="697"/>
      <c r="DVM199" s="697"/>
      <c r="DVN199" s="697"/>
      <c r="DVO199" s="697"/>
      <c r="DVP199" s="697"/>
      <c r="DVQ199" s="697"/>
      <c r="DVR199" s="697"/>
      <c r="DVS199" s="697"/>
      <c r="DVT199" s="697"/>
      <c r="DVU199" s="697"/>
      <c r="DVV199" s="697"/>
      <c r="DVW199" s="697"/>
      <c r="DVX199" s="697"/>
      <c r="DVY199" s="697"/>
      <c r="DVZ199" s="697"/>
      <c r="DWA199" s="697"/>
      <c r="DWB199" s="697"/>
      <c r="DWC199" s="697"/>
      <c r="DWD199" s="697"/>
      <c r="DWE199" s="697"/>
      <c r="DWF199" s="697"/>
      <c r="DWG199" s="697"/>
      <c r="DWH199" s="697"/>
      <c r="DWI199" s="697"/>
      <c r="DWJ199" s="697"/>
      <c r="DWK199" s="697"/>
      <c r="DWL199" s="697"/>
      <c r="DWM199" s="697"/>
      <c r="DWN199" s="697"/>
      <c r="DWO199" s="697"/>
      <c r="DWP199" s="697"/>
      <c r="DWQ199" s="697"/>
      <c r="DWR199" s="697"/>
      <c r="DWS199" s="697"/>
      <c r="DWT199" s="697"/>
      <c r="DWU199" s="697"/>
      <c r="DWV199" s="697"/>
      <c r="DWW199" s="697"/>
      <c r="DWX199" s="697"/>
      <c r="DWY199" s="697"/>
      <c r="DWZ199" s="697"/>
      <c r="DXA199" s="697"/>
      <c r="DXB199" s="697"/>
      <c r="DXC199" s="697"/>
      <c r="DXD199" s="697"/>
      <c r="DXE199" s="697"/>
      <c r="DXF199" s="697"/>
      <c r="DXG199" s="697"/>
      <c r="DXH199" s="697"/>
      <c r="DXI199" s="697"/>
      <c r="DXJ199" s="697"/>
      <c r="DXK199" s="697"/>
      <c r="DXL199" s="697"/>
      <c r="DXM199" s="697"/>
      <c r="DXN199" s="697"/>
      <c r="DXO199" s="697"/>
      <c r="DXP199" s="697"/>
      <c r="DXQ199" s="697"/>
      <c r="DXR199" s="697"/>
      <c r="DXS199" s="697"/>
      <c r="DXT199" s="697"/>
      <c r="DXU199" s="697"/>
      <c r="DXV199" s="697"/>
      <c r="DXW199" s="697"/>
      <c r="DXX199" s="697"/>
      <c r="DXY199" s="697"/>
      <c r="DXZ199" s="697"/>
      <c r="DYA199" s="697"/>
      <c r="DYB199" s="697"/>
      <c r="DYC199" s="697"/>
      <c r="DYD199" s="697"/>
      <c r="DYE199" s="697"/>
      <c r="DYF199" s="697"/>
      <c r="DYG199" s="697"/>
      <c r="DYH199" s="697"/>
      <c r="DYI199" s="697"/>
      <c r="DYJ199" s="697"/>
      <c r="DYK199" s="697"/>
      <c r="DYL199" s="697"/>
      <c r="DYM199" s="697"/>
      <c r="DYN199" s="697"/>
      <c r="DYO199" s="697"/>
      <c r="DYP199" s="697"/>
      <c r="DYQ199" s="697"/>
      <c r="DYR199" s="697"/>
      <c r="DYS199" s="697"/>
      <c r="DYT199" s="697"/>
      <c r="DYU199" s="697"/>
      <c r="DYV199" s="697"/>
      <c r="DYW199" s="697"/>
      <c r="DYX199" s="697"/>
      <c r="DYY199" s="697"/>
      <c r="DYZ199" s="697"/>
      <c r="DZA199" s="697"/>
      <c r="DZB199" s="697"/>
      <c r="DZC199" s="697"/>
      <c r="DZD199" s="697"/>
      <c r="DZE199" s="697"/>
      <c r="DZF199" s="697"/>
      <c r="DZG199" s="697"/>
      <c r="DZH199" s="697"/>
      <c r="DZI199" s="697"/>
      <c r="DZJ199" s="697"/>
      <c r="DZK199" s="697"/>
      <c r="DZL199" s="697"/>
      <c r="DZM199" s="697"/>
      <c r="DZN199" s="697"/>
      <c r="DZO199" s="697"/>
      <c r="DZP199" s="697"/>
      <c r="DZQ199" s="697"/>
      <c r="DZR199" s="697"/>
      <c r="DZS199" s="697"/>
      <c r="DZT199" s="697"/>
      <c r="DZU199" s="697"/>
      <c r="DZV199" s="697"/>
      <c r="DZW199" s="697"/>
      <c r="DZX199" s="697"/>
      <c r="DZY199" s="697"/>
      <c r="DZZ199" s="697"/>
      <c r="EAA199" s="697"/>
      <c r="EAB199" s="697"/>
      <c r="EAC199" s="697"/>
      <c r="EAD199" s="697"/>
      <c r="EAE199" s="697"/>
      <c r="EAF199" s="697"/>
      <c r="EAG199" s="697"/>
      <c r="EAH199" s="697"/>
      <c r="EAI199" s="697"/>
      <c r="EAJ199" s="697"/>
      <c r="EAK199" s="697"/>
      <c r="EAL199" s="697"/>
      <c r="EAM199" s="697"/>
      <c r="EAN199" s="697"/>
      <c r="EAO199" s="697"/>
      <c r="EAP199" s="697"/>
      <c r="EAQ199" s="697"/>
      <c r="EAR199" s="697"/>
      <c r="EAS199" s="697"/>
      <c r="EAT199" s="697"/>
      <c r="EAU199" s="697"/>
      <c r="EAV199" s="697"/>
      <c r="EAW199" s="697"/>
      <c r="EAX199" s="697"/>
      <c r="EAY199" s="697"/>
      <c r="EAZ199" s="697"/>
      <c r="EBA199" s="697"/>
      <c r="EBB199" s="697"/>
      <c r="EBC199" s="697"/>
      <c r="EBD199" s="697"/>
      <c r="EBE199" s="697"/>
      <c r="EBF199" s="697"/>
      <c r="EBG199" s="697"/>
      <c r="EBH199" s="697"/>
      <c r="EBI199" s="697"/>
      <c r="EBJ199" s="697"/>
      <c r="EBK199" s="697"/>
      <c r="EBL199" s="697"/>
      <c r="EBM199" s="697"/>
      <c r="EBN199" s="697"/>
      <c r="EBO199" s="697"/>
      <c r="EBP199" s="697"/>
      <c r="EBQ199" s="697"/>
      <c r="EBR199" s="697"/>
      <c r="EBS199" s="697"/>
      <c r="EBT199" s="697"/>
      <c r="EBU199" s="697"/>
      <c r="EBV199" s="697"/>
      <c r="EBW199" s="697"/>
      <c r="EBX199" s="697"/>
      <c r="EBY199" s="697"/>
      <c r="EBZ199" s="697"/>
      <c r="ECA199" s="697"/>
      <c r="ECB199" s="697"/>
      <c r="ECC199" s="697"/>
      <c r="ECD199" s="697"/>
      <c r="ECE199" s="697"/>
      <c r="ECF199" s="697"/>
      <c r="ECG199" s="697"/>
      <c r="ECH199" s="697"/>
      <c r="ECI199" s="697"/>
      <c r="ECJ199" s="697"/>
      <c r="ECK199" s="697"/>
      <c r="ECL199" s="697"/>
      <c r="ECM199" s="697"/>
      <c r="ECN199" s="697"/>
      <c r="ECO199" s="697"/>
      <c r="ECP199" s="697"/>
      <c r="ECQ199" s="697"/>
      <c r="ECR199" s="697"/>
      <c r="ECS199" s="697"/>
      <c r="ECT199" s="697"/>
      <c r="ECU199" s="697"/>
      <c r="ECV199" s="697"/>
      <c r="ECW199" s="697"/>
      <c r="ECX199" s="697"/>
      <c r="ECY199" s="697"/>
      <c r="ECZ199" s="697"/>
      <c r="EDA199" s="697"/>
      <c r="EDB199" s="697"/>
      <c r="EDC199" s="697"/>
      <c r="EDD199" s="697"/>
      <c r="EDE199" s="697"/>
      <c r="EDF199" s="697"/>
      <c r="EDG199" s="697"/>
      <c r="EDH199" s="697"/>
      <c r="EDI199" s="697"/>
      <c r="EDJ199" s="697"/>
      <c r="EDK199" s="697"/>
      <c r="EDL199" s="697"/>
      <c r="EDM199" s="697"/>
      <c r="EDN199" s="697"/>
      <c r="EDO199" s="697"/>
      <c r="EDP199" s="697"/>
      <c r="EDQ199" s="697"/>
      <c r="EDR199" s="697"/>
      <c r="EDS199" s="697"/>
      <c r="EDT199" s="697"/>
      <c r="EDU199" s="697"/>
      <c r="EDV199" s="697"/>
      <c r="EDW199" s="697"/>
      <c r="EDX199" s="697"/>
      <c r="EDY199" s="697"/>
      <c r="EDZ199" s="697"/>
      <c r="EEA199" s="697"/>
      <c r="EEB199" s="697"/>
      <c r="EEC199" s="697"/>
      <c r="EED199" s="697"/>
      <c r="EEE199" s="697"/>
      <c r="EEF199" s="697"/>
      <c r="EEG199" s="697"/>
      <c r="EEH199" s="697"/>
      <c r="EEI199" s="697"/>
      <c r="EEJ199" s="697"/>
      <c r="EEK199" s="697"/>
      <c r="EEL199" s="697"/>
      <c r="EEM199" s="697"/>
      <c r="EEN199" s="697"/>
      <c r="EEO199" s="697"/>
      <c r="EEP199" s="697"/>
      <c r="EEQ199" s="697"/>
      <c r="EER199" s="697"/>
      <c r="EES199" s="697"/>
      <c r="EET199" s="697"/>
      <c r="EEU199" s="697"/>
      <c r="EEV199" s="697"/>
      <c r="EEW199" s="697"/>
      <c r="EEX199" s="697"/>
      <c r="EEY199" s="697"/>
      <c r="EEZ199" s="697"/>
      <c r="EFA199" s="697"/>
      <c r="EFB199" s="697"/>
      <c r="EFC199" s="697"/>
      <c r="EFD199" s="697"/>
      <c r="EFE199" s="697"/>
      <c r="EFF199" s="697"/>
      <c r="EFG199" s="697"/>
      <c r="EFH199" s="697"/>
      <c r="EFI199" s="697"/>
      <c r="EFJ199" s="697"/>
      <c r="EFK199" s="697"/>
      <c r="EFL199" s="697"/>
      <c r="EFM199" s="697"/>
      <c r="EFN199" s="697"/>
      <c r="EFO199" s="697"/>
      <c r="EFP199" s="697"/>
      <c r="EFQ199" s="697"/>
      <c r="EFR199" s="697"/>
      <c r="EFS199" s="697"/>
      <c r="EFT199" s="697"/>
      <c r="EFU199" s="697"/>
      <c r="EFV199" s="697"/>
      <c r="EFW199" s="697"/>
      <c r="EFX199" s="697"/>
      <c r="EFY199" s="697"/>
      <c r="EFZ199" s="697"/>
      <c r="EGA199" s="697"/>
      <c r="EGB199" s="697"/>
      <c r="EGC199" s="697"/>
      <c r="EGD199" s="697"/>
      <c r="EGE199" s="697"/>
      <c r="EGF199" s="697"/>
      <c r="EGG199" s="697"/>
      <c r="EGH199" s="697"/>
      <c r="EGI199" s="697"/>
      <c r="EGJ199" s="697"/>
      <c r="EGK199" s="697"/>
      <c r="EGL199" s="697"/>
      <c r="EGM199" s="697"/>
      <c r="EGN199" s="697"/>
      <c r="EGO199" s="697"/>
      <c r="EGP199" s="697"/>
      <c r="EGQ199" s="697"/>
      <c r="EGR199" s="697"/>
      <c r="EGS199" s="697"/>
      <c r="EGT199" s="697"/>
      <c r="EGU199" s="697"/>
      <c r="EGV199" s="697"/>
      <c r="EGW199" s="697"/>
      <c r="EGX199" s="697"/>
      <c r="EGY199" s="697"/>
      <c r="EGZ199" s="697"/>
      <c r="EHA199" s="697"/>
      <c r="EHB199" s="697"/>
      <c r="EHC199" s="697"/>
      <c r="EHD199" s="697"/>
      <c r="EHE199" s="697"/>
      <c r="EHF199" s="697"/>
      <c r="EHG199" s="697"/>
      <c r="EHH199" s="697"/>
      <c r="EHI199" s="697"/>
      <c r="EHJ199" s="697"/>
      <c r="EHK199" s="697"/>
      <c r="EHL199" s="697"/>
      <c r="EHM199" s="697"/>
      <c r="EHN199" s="697"/>
      <c r="EHO199" s="697"/>
      <c r="EHP199" s="697"/>
      <c r="EHQ199" s="697"/>
      <c r="EHR199" s="697"/>
      <c r="EHS199" s="697"/>
      <c r="EHT199" s="697"/>
      <c r="EHU199" s="697"/>
      <c r="EHV199" s="697"/>
      <c r="EHW199" s="697"/>
      <c r="EHX199" s="697"/>
      <c r="EHY199" s="697"/>
      <c r="EHZ199" s="697"/>
      <c r="EIA199" s="697"/>
      <c r="EIB199" s="697"/>
      <c r="EIC199" s="697"/>
      <c r="EID199" s="697"/>
      <c r="EIE199" s="697"/>
      <c r="EIF199" s="697"/>
      <c r="EIG199" s="697"/>
      <c r="EIH199" s="697"/>
      <c r="EII199" s="697"/>
      <c r="EIJ199" s="697"/>
      <c r="EIK199" s="697"/>
      <c r="EIL199" s="697"/>
      <c r="EIM199" s="697"/>
      <c r="EIN199" s="697"/>
      <c r="EIO199" s="697"/>
      <c r="EIP199" s="697"/>
      <c r="EIQ199" s="697"/>
      <c r="EIR199" s="697"/>
      <c r="EIS199" s="697"/>
      <c r="EIT199" s="697"/>
      <c r="EIU199" s="697"/>
      <c r="EIV199" s="697"/>
      <c r="EIW199" s="697"/>
      <c r="EIX199" s="697"/>
      <c r="EIY199" s="697"/>
      <c r="EIZ199" s="697"/>
      <c r="EJA199" s="697"/>
      <c r="EJB199" s="697"/>
      <c r="EJC199" s="697"/>
      <c r="EJD199" s="697"/>
      <c r="EJE199" s="697"/>
      <c r="EJF199" s="697"/>
      <c r="EJG199" s="697"/>
      <c r="EJH199" s="697"/>
      <c r="EJI199" s="697"/>
      <c r="EJJ199" s="697"/>
      <c r="EJK199" s="697"/>
      <c r="EJL199" s="697"/>
      <c r="EJM199" s="697"/>
      <c r="EJN199" s="697"/>
      <c r="EJO199" s="697"/>
      <c r="EJP199" s="697"/>
      <c r="EJQ199" s="697"/>
      <c r="EJR199" s="697"/>
      <c r="EJS199" s="697"/>
      <c r="EJT199" s="697"/>
      <c r="EJU199" s="697"/>
      <c r="EJV199" s="697"/>
      <c r="EJW199" s="697"/>
      <c r="EJX199" s="697"/>
      <c r="EJY199" s="697"/>
      <c r="EJZ199" s="697"/>
      <c r="EKA199" s="697"/>
      <c r="EKB199" s="697"/>
      <c r="EKC199" s="697"/>
      <c r="EKD199" s="697"/>
      <c r="EKE199" s="697"/>
      <c r="EKF199" s="697"/>
      <c r="EKG199" s="697"/>
      <c r="EKH199" s="697"/>
      <c r="EKI199" s="697"/>
      <c r="EKJ199" s="697"/>
      <c r="EKK199" s="697"/>
      <c r="EKL199" s="697"/>
      <c r="EKM199" s="697"/>
      <c r="EKN199" s="697"/>
      <c r="EKO199" s="697"/>
      <c r="EKP199" s="697"/>
      <c r="EKQ199" s="697"/>
      <c r="EKR199" s="697"/>
      <c r="EKS199" s="697"/>
      <c r="EKT199" s="697"/>
      <c r="EKU199" s="697"/>
      <c r="EKV199" s="697"/>
      <c r="EKW199" s="697"/>
      <c r="EKX199" s="697"/>
      <c r="EKY199" s="697"/>
      <c r="EKZ199" s="697"/>
      <c r="ELA199" s="697"/>
      <c r="ELB199" s="697"/>
      <c r="ELC199" s="697"/>
      <c r="ELD199" s="697"/>
      <c r="ELE199" s="697"/>
      <c r="ELF199" s="697"/>
      <c r="ELG199" s="697"/>
      <c r="ELH199" s="697"/>
      <c r="ELI199" s="697"/>
      <c r="ELJ199" s="697"/>
      <c r="ELK199" s="697"/>
      <c r="ELL199" s="697"/>
      <c r="ELM199" s="697"/>
      <c r="ELN199" s="697"/>
      <c r="ELO199" s="697"/>
      <c r="ELP199" s="697"/>
      <c r="ELQ199" s="697"/>
      <c r="ELR199" s="697"/>
      <c r="ELS199" s="697"/>
      <c r="ELT199" s="697"/>
      <c r="ELU199" s="697"/>
      <c r="ELV199" s="697"/>
      <c r="ELW199" s="697"/>
      <c r="ELX199" s="697"/>
      <c r="ELY199" s="697"/>
      <c r="ELZ199" s="697"/>
      <c r="EMA199" s="697"/>
      <c r="EMB199" s="697"/>
      <c r="EMC199" s="697"/>
      <c r="EMD199" s="697"/>
      <c r="EME199" s="697"/>
      <c r="EMF199" s="697"/>
      <c r="EMG199" s="697"/>
      <c r="EMH199" s="697"/>
      <c r="EMI199" s="697"/>
      <c r="EMJ199" s="697"/>
      <c r="EMK199" s="697"/>
      <c r="EML199" s="697"/>
      <c r="EMM199" s="697"/>
      <c r="EMN199" s="697"/>
      <c r="EMO199" s="697"/>
      <c r="EMP199" s="697"/>
      <c r="EMQ199" s="697"/>
      <c r="EMR199" s="697"/>
      <c r="EMS199" s="697"/>
      <c r="EMT199" s="697"/>
      <c r="EMU199" s="697"/>
      <c r="EMV199" s="697"/>
      <c r="EMW199" s="697"/>
      <c r="EMX199" s="697"/>
      <c r="EMY199" s="697"/>
      <c r="EMZ199" s="697"/>
      <c r="ENA199" s="697"/>
      <c r="ENB199" s="697"/>
      <c r="ENC199" s="697"/>
      <c r="END199" s="697"/>
      <c r="ENE199" s="697"/>
      <c r="ENF199" s="697"/>
      <c r="ENG199" s="697"/>
      <c r="ENH199" s="697"/>
      <c r="ENI199" s="697"/>
      <c r="ENJ199" s="697"/>
      <c r="ENK199" s="697"/>
      <c r="ENL199" s="697"/>
      <c r="ENM199" s="697"/>
      <c r="ENN199" s="697"/>
      <c r="ENO199" s="697"/>
      <c r="ENP199" s="697"/>
      <c r="ENQ199" s="697"/>
      <c r="ENR199" s="697"/>
      <c r="ENS199" s="697"/>
      <c r="ENT199" s="697"/>
      <c r="ENU199" s="697"/>
      <c r="ENV199" s="697"/>
      <c r="ENW199" s="697"/>
      <c r="ENX199" s="697"/>
      <c r="ENY199" s="697"/>
      <c r="ENZ199" s="697"/>
      <c r="EOA199" s="697"/>
      <c r="EOB199" s="697"/>
      <c r="EOC199" s="697"/>
      <c r="EOD199" s="697"/>
      <c r="EOE199" s="697"/>
      <c r="EOF199" s="697"/>
      <c r="EOG199" s="697"/>
      <c r="EOH199" s="697"/>
      <c r="EOI199" s="697"/>
      <c r="EOJ199" s="697"/>
      <c r="EOK199" s="697"/>
      <c r="EOL199" s="697"/>
      <c r="EOM199" s="697"/>
      <c r="EON199" s="697"/>
      <c r="EOO199" s="697"/>
      <c r="EOP199" s="697"/>
      <c r="EOQ199" s="697"/>
      <c r="EOR199" s="697"/>
      <c r="EOS199" s="697"/>
      <c r="EOT199" s="697"/>
      <c r="EOU199" s="697"/>
      <c r="EOV199" s="697"/>
      <c r="EOW199" s="697"/>
      <c r="EOX199" s="697"/>
      <c r="EOY199" s="697"/>
      <c r="EOZ199" s="697"/>
      <c r="EPA199" s="697"/>
      <c r="EPB199" s="697"/>
      <c r="EPC199" s="697"/>
      <c r="EPD199" s="697"/>
      <c r="EPE199" s="697"/>
      <c r="EPF199" s="697"/>
      <c r="EPG199" s="697"/>
      <c r="EPH199" s="697"/>
      <c r="EPI199" s="697"/>
      <c r="EPJ199" s="697"/>
      <c r="EPK199" s="697"/>
      <c r="EPL199" s="697"/>
      <c r="EPM199" s="697"/>
      <c r="EPN199" s="697"/>
      <c r="EPO199" s="697"/>
      <c r="EPP199" s="697"/>
      <c r="EPQ199" s="697"/>
      <c r="EPR199" s="697"/>
      <c r="EPS199" s="697"/>
      <c r="EPT199" s="697"/>
      <c r="EPU199" s="697"/>
      <c r="EPV199" s="697"/>
      <c r="EPW199" s="697"/>
      <c r="EPX199" s="697"/>
      <c r="EPY199" s="697"/>
      <c r="EPZ199" s="697"/>
      <c r="EQA199" s="697"/>
      <c r="EQB199" s="697"/>
      <c r="EQC199" s="697"/>
      <c r="EQD199" s="697"/>
      <c r="EQE199" s="697"/>
      <c r="EQF199" s="697"/>
      <c r="EQG199" s="697"/>
      <c r="EQH199" s="697"/>
      <c r="EQI199" s="697"/>
      <c r="EQJ199" s="697"/>
      <c r="EQK199" s="697"/>
      <c r="EQL199" s="697"/>
      <c r="EQM199" s="697"/>
      <c r="EQN199" s="697"/>
      <c r="EQO199" s="697"/>
      <c r="EQP199" s="697"/>
      <c r="EQQ199" s="697"/>
      <c r="EQR199" s="697"/>
      <c r="EQS199" s="697"/>
      <c r="EQT199" s="697"/>
      <c r="EQU199" s="697"/>
      <c r="EQV199" s="697"/>
      <c r="EQW199" s="697"/>
      <c r="EQX199" s="697"/>
      <c r="EQY199" s="697"/>
      <c r="EQZ199" s="697"/>
      <c r="ERA199" s="697"/>
      <c r="ERB199" s="697"/>
      <c r="ERC199" s="697"/>
      <c r="ERD199" s="697"/>
      <c r="ERE199" s="697"/>
      <c r="ERF199" s="697"/>
      <c r="ERG199" s="697"/>
      <c r="ERH199" s="697"/>
      <c r="ERI199" s="697"/>
      <c r="ERJ199" s="697"/>
      <c r="ERK199" s="697"/>
      <c r="ERL199" s="697"/>
      <c r="ERM199" s="697"/>
      <c r="ERN199" s="697"/>
      <c r="ERO199" s="697"/>
      <c r="ERP199" s="697"/>
      <c r="ERQ199" s="697"/>
      <c r="ERR199" s="697"/>
      <c r="ERS199" s="697"/>
      <c r="ERT199" s="697"/>
      <c r="ERU199" s="697"/>
      <c r="ERV199" s="697"/>
      <c r="ERW199" s="697"/>
      <c r="ERX199" s="697"/>
      <c r="ERY199" s="697"/>
      <c r="ERZ199" s="697"/>
      <c r="ESA199" s="697"/>
      <c r="ESB199" s="697"/>
      <c r="ESC199" s="697"/>
      <c r="ESD199" s="697"/>
      <c r="ESE199" s="697"/>
      <c r="ESF199" s="697"/>
      <c r="ESG199" s="697"/>
      <c r="ESH199" s="697"/>
      <c r="ESI199" s="697"/>
      <c r="ESJ199" s="697"/>
      <c r="ESK199" s="697"/>
      <c r="ESL199" s="697"/>
      <c r="ESM199" s="697"/>
      <c r="ESN199" s="697"/>
      <c r="ESO199" s="697"/>
      <c r="ESP199" s="697"/>
      <c r="ESQ199" s="697"/>
      <c r="ESR199" s="697"/>
      <c r="ESS199" s="697"/>
      <c r="EST199" s="697"/>
      <c r="ESU199" s="697"/>
      <c r="ESV199" s="697"/>
      <c r="ESW199" s="697"/>
      <c r="ESX199" s="697"/>
      <c r="ESY199" s="697"/>
      <c r="ESZ199" s="697"/>
      <c r="ETA199" s="697"/>
      <c r="ETB199" s="697"/>
      <c r="ETC199" s="697"/>
      <c r="ETD199" s="697"/>
      <c r="ETE199" s="697"/>
      <c r="ETF199" s="697"/>
      <c r="ETG199" s="697"/>
      <c r="ETH199" s="697"/>
      <c r="ETI199" s="697"/>
      <c r="ETJ199" s="697"/>
      <c r="ETK199" s="697"/>
      <c r="ETL199" s="697"/>
      <c r="ETM199" s="697"/>
      <c r="ETN199" s="697"/>
      <c r="ETO199" s="697"/>
      <c r="ETP199" s="697"/>
      <c r="ETQ199" s="697"/>
      <c r="ETR199" s="697"/>
      <c r="ETS199" s="697"/>
      <c r="ETT199" s="697"/>
      <c r="ETU199" s="697"/>
      <c r="ETV199" s="697"/>
      <c r="ETW199" s="697"/>
      <c r="ETX199" s="697"/>
      <c r="ETY199" s="697"/>
      <c r="ETZ199" s="697"/>
      <c r="EUA199" s="697"/>
      <c r="EUB199" s="697"/>
      <c r="EUC199" s="697"/>
      <c r="EUD199" s="697"/>
      <c r="EUE199" s="697"/>
      <c r="EUF199" s="697"/>
      <c r="EUG199" s="697"/>
      <c r="EUH199" s="697"/>
      <c r="EUI199" s="697"/>
      <c r="EUJ199" s="697"/>
      <c r="EUK199" s="697"/>
      <c r="EUL199" s="697"/>
      <c r="EUM199" s="697"/>
      <c r="EUN199" s="697"/>
      <c r="EUO199" s="697"/>
      <c r="EUP199" s="697"/>
      <c r="EUQ199" s="697"/>
      <c r="EUR199" s="697"/>
      <c r="EUS199" s="697"/>
      <c r="EUT199" s="697"/>
      <c r="EUU199" s="697"/>
      <c r="EUV199" s="697"/>
      <c r="EUW199" s="697"/>
      <c r="EUX199" s="697"/>
      <c r="EUY199" s="697"/>
      <c r="EUZ199" s="697"/>
      <c r="EVA199" s="697"/>
      <c r="EVB199" s="697"/>
      <c r="EVC199" s="697"/>
      <c r="EVD199" s="697"/>
      <c r="EVE199" s="697"/>
      <c r="EVF199" s="697"/>
      <c r="EVG199" s="697"/>
      <c r="EVH199" s="697"/>
      <c r="EVI199" s="697"/>
      <c r="EVJ199" s="697"/>
      <c r="EVK199" s="697"/>
      <c r="EVL199" s="697"/>
      <c r="EVM199" s="697"/>
      <c r="EVN199" s="697"/>
      <c r="EVO199" s="697"/>
      <c r="EVP199" s="697"/>
      <c r="EVQ199" s="697"/>
      <c r="EVR199" s="697"/>
      <c r="EVS199" s="697"/>
      <c r="EVT199" s="697"/>
      <c r="EVU199" s="697"/>
      <c r="EVV199" s="697"/>
      <c r="EVW199" s="697"/>
      <c r="EVX199" s="697"/>
      <c r="EVY199" s="697"/>
      <c r="EVZ199" s="697"/>
      <c r="EWA199" s="697"/>
      <c r="EWB199" s="697"/>
      <c r="EWC199" s="697"/>
      <c r="EWD199" s="697"/>
      <c r="EWE199" s="697"/>
      <c r="EWF199" s="697"/>
      <c r="EWG199" s="697"/>
      <c r="EWH199" s="697"/>
      <c r="EWI199" s="697"/>
      <c r="EWJ199" s="697"/>
      <c r="EWK199" s="697"/>
      <c r="EWL199" s="697"/>
      <c r="EWM199" s="697"/>
      <c r="EWN199" s="697"/>
      <c r="EWO199" s="697"/>
      <c r="EWP199" s="697"/>
      <c r="EWQ199" s="697"/>
      <c r="EWR199" s="697"/>
      <c r="EWS199" s="697"/>
      <c r="EWT199" s="697"/>
      <c r="EWU199" s="697"/>
      <c r="EWV199" s="697"/>
      <c r="EWW199" s="697"/>
      <c r="EWX199" s="697"/>
      <c r="EWY199" s="697"/>
      <c r="EWZ199" s="697"/>
      <c r="EXA199" s="697"/>
      <c r="EXB199" s="697"/>
      <c r="EXC199" s="697"/>
      <c r="EXD199" s="697"/>
      <c r="EXE199" s="697"/>
      <c r="EXF199" s="697"/>
      <c r="EXG199" s="697"/>
      <c r="EXH199" s="697"/>
      <c r="EXI199" s="697"/>
      <c r="EXJ199" s="697"/>
      <c r="EXK199" s="697"/>
      <c r="EXL199" s="697"/>
      <c r="EXM199" s="697"/>
      <c r="EXN199" s="697"/>
      <c r="EXO199" s="697"/>
      <c r="EXP199" s="697"/>
      <c r="EXQ199" s="697"/>
      <c r="EXR199" s="697"/>
      <c r="EXS199" s="697"/>
      <c r="EXT199" s="697"/>
      <c r="EXU199" s="697"/>
      <c r="EXV199" s="697"/>
      <c r="EXW199" s="697"/>
      <c r="EXX199" s="697"/>
      <c r="EXY199" s="697"/>
      <c r="EXZ199" s="697"/>
      <c r="EYA199" s="697"/>
      <c r="EYB199" s="697"/>
      <c r="EYC199" s="697"/>
      <c r="EYD199" s="697"/>
      <c r="EYE199" s="697"/>
      <c r="EYF199" s="697"/>
      <c r="EYG199" s="697"/>
      <c r="EYH199" s="697"/>
      <c r="EYI199" s="697"/>
      <c r="EYJ199" s="697"/>
      <c r="EYK199" s="697"/>
      <c r="EYL199" s="697"/>
      <c r="EYM199" s="697"/>
      <c r="EYN199" s="697"/>
      <c r="EYO199" s="697"/>
      <c r="EYP199" s="697"/>
      <c r="EYQ199" s="697"/>
      <c r="EYR199" s="697"/>
      <c r="EYS199" s="697"/>
      <c r="EYT199" s="697"/>
      <c r="EYU199" s="697"/>
      <c r="EYV199" s="697"/>
      <c r="EYW199" s="697"/>
      <c r="EYX199" s="697"/>
      <c r="EYY199" s="697"/>
      <c r="EYZ199" s="697"/>
      <c r="EZA199" s="697"/>
      <c r="EZB199" s="697"/>
      <c r="EZC199" s="697"/>
      <c r="EZD199" s="697"/>
      <c r="EZE199" s="697"/>
      <c r="EZF199" s="697"/>
      <c r="EZG199" s="697"/>
      <c r="EZH199" s="697"/>
      <c r="EZI199" s="697"/>
      <c r="EZJ199" s="697"/>
      <c r="EZK199" s="697"/>
      <c r="EZL199" s="697"/>
      <c r="EZM199" s="697"/>
      <c r="EZN199" s="697"/>
      <c r="EZO199" s="697"/>
      <c r="EZP199" s="697"/>
      <c r="EZQ199" s="697"/>
      <c r="EZR199" s="697"/>
      <c r="EZS199" s="697"/>
      <c r="EZT199" s="697"/>
      <c r="EZU199" s="697"/>
      <c r="EZV199" s="697"/>
      <c r="EZW199" s="697"/>
      <c r="EZX199" s="697"/>
      <c r="EZY199" s="697"/>
      <c r="EZZ199" s="697"/>
      <c r="FAA199" s="697"/>
      <c r="FAB199" s="697"/>
      <c r="FAC199" s="697"/>
      <c r="FAD199" s="697"/>
      <c r="FAE199" s="697"/>
      <c r="FAF199" s="697"/>
      <c r="FAG199" s="697"/>
      <c r="FAH199" s="697"/>
      <c r="FAI199" s="697"/>
      <c r="FAJ199" s="697"/>
      <c r="FAK199" s="697"/>
      <c r="FAL199" s="697"/>
      <c r="FAM199" s="697"/>
      <c r="FAN199" s="697"/>
      <c r="FAO199" s="697"/>
      <c r="FAP199" s="697"/>
      <c r="FAQ199" s="697"/>
      <c r="FAR199" s="697"/>
      <c r="FAS199" s="697"/>
      <c r="FAT199" s="697"/>
      <c r="FAU199" s="697"/>
      <c r="FAV199" s="697"/>
      <c r="FAW199" s="697"/>
      <c r="FAX199" s="697"/>
      <c r="FAY199" s="697"/>
      <c r="FAZ199" s="697"/>
      <c r="FBA199" s="697"/>
      <c r="FBB199" s="697"/>
      <c r="FBC199" s="697"/>
      <c r="FBD199" s="697"/>
      <c r="FBE199" s="697"/>
      <c r="FBF199" s="697"/>
      <c r="FBG199" s="697"/>
      <c r="FBH199" s="697"/>
      <c r="FBI199" s="697"/>
      <c r="FBJ199" s="697"/>
      <c r="FBK199" s="697"/>
      <c r="FBL199" s="697"/>
      <c r="FBM199" s="697"/>
      <c r="FBN199" s="697"/>
      <c r="FBO199" s="697"/>
      <c r="FBP199" s="697"/>
      <c r="FBQ199" s="697"/>
      <c r="FBR199" s="697"/>
      <c r="FBS199" s="697"/>
      <c r="FBT199" s="697"/>
      <c r="FBU199" s="697"/>
      <c r="FBV199" s="697"/>
      <c r="FBW199" s="697"/>
      <c r="FBX199" s="697"/>
      <c r="FBY199" s="697"/>
      <c r="FBZ199" s="697"/>
      <c r="FCA199" s="697"/>
      <c r="FCB199" s="697"/>
      <c r="FCC199" s="697"/>
      <c r="FCD199" s="697"/>
      <c r="FCE199" s="697"/>
      <c r="FCF199" s="697"/>
      <c r="FCG199" s="697"/>
      <c r="FCH199" s="697"/>
      <c r="FCI199" s="697"/>
      <c r="FCJ199" s="697"/>
      <c r="FCK199" s="697"/>
      <c r="FCL199" s="697"/>
      <c r="FCM199" s="697"/>
      <c r="FCN199" s="697"/>
      <c r="FCO199" s="697"/>
      <c r="FCP199" s="697"/>
      <c r="FCQ199" s="697"/>
      <c r="FCR199" s="697"/>
      <c r="FCS199" s="697"/>
      <c r="FCT199" s="697"/>
      <c r="FCU199" s="697"/>
      <c r="FCV199" s="697"/>
      <c r="FCW199" s="697"/>
      <c r="FCX199" s="697"/>
      <c r="FCY199" s="697"/>
      <c r="FCZ199" s="697"/>
      <c r="FDA199" s="697"/>
      <c r="FDB199" s="697"/>
      <c r="FDC199" s="697"/>
      <c r="FDD199" s="697"/>
      <c r="FDE199" s="697"/>
      <c r="FDF199" s="697"/>
      <c r="FDG199" s="697"/>
      <c r="FDH199" s="697"/>
      <c r="FDI199" s="697"/>
      <c r="FDJ199" s="697"/>
      <c r="FDK199" s="697"/>
      <c r="FDL199" s="697"/>
      <c r="FDM199" s="697"/>
      <c r="FDN199" s="697"/>
      <c r="FDO199" s="697"/>
      <c r="FDP199" s="697"/>
      <c r="FDQ199" s="697"/>
      <c r="FDR199" s="697"/>
      <c r="FDS199" s="697"/>
      <c r="FDT199" s="697"/>
      <c r="FDU199" s="697"/>
      <c r="FDV199" s="697"/>
      <c r="FDW199" s="697"/>
      <c r="FDX199" s="697"/>
      <c r="FDY199" s="697"/>
      <c r="FDZ199" s="697"/>
      <c r="FEA199" s="697"/>
      <c r="FEB199" s="697"/>
      <c r="FEC199" s="697"/>
      <c r="FED199" s="697"/>
      <c r="FEE199" s="697"/>
      <c r="FEF199" s="697"/>
      <c r="FEG199" s="697"/>
      <c r="FEH199" s="697"/>
      <c r="FEI199" s="697"/>
      <c r="FEJ199" s="697"/>
      <c r="FEK199" s="697"/>
      <c r="FEL199" s="697"/>
      <c r="FEM199" s="697"/>
      <c r="FEN199" s="697"/>
      <c r="FEO199" s="697"/>
      <c r="FEP199" s="697"/>
      <c r="FEQ199" s="697"/>
      <c r="FER199" s="697"/>
      <c r="FES199" s="697"/>
      <c r="FET199" s="697"/>
      <c r="FEU199" s="697"/>
      <c r="FEV199" s="697"/>
      <c r="FEW199" s="697"/>
      <c r="FEX199" s="697"/>
      <c r="FEY199" s="697"/>
      <c r="FEZ199" s="697"/>
      <c r="FFA199" s="697"/>
      <c r="FFB199" s="697"/>
      <c r="FFC199" s="697"/>
      <c r="FFD199" s="697"/>
      <c r="FFE199" s="697"/>
      <c r="FFF199" s="697"/>
      <c r="FFG199" s="697"/>
      <c r="FFH199" s="697"/>
      <c r="FFI199" s="697"/>
      <c r="FFJ199" s="697"/>
      <c r="FFK199" s="697"/>
      <c r="FFL199" s="697"/>
      <c r="FFM199" s="697"/>
      <c r="FFN199" s="697"/>
      <c r="FFO199" s="697"/>
      <c r="FFP199" s="697"/>
      <c r="FFQ199" s="697"/>
      <c r="FFR199" s="697"/>
      <c r="FFS199" s="697"/>
      <c r="FFT199" s="697"/>
      <c r="FFU199" s="697"/>
      <c r="FFV199" s="697"/>
      <c r="FFW199" s="697"/>
      <c r="FFX199" s="697"/>
      <c r="FFY199" s="697"/>
      <c r="FFZ199" s="697"/>
      <c r="FGA199" s="697"/>
      <c r="FGB199" s="697"/>
      <c r="FGC199" s="697"/>
      <c r="FGD199" s="697"/>
      <c r="FGE199" s="697"/>
      <c r="FGF199" s="697"/>
      <c r="FGG199" s="697"/>
      <c r="FGH199" s="697"/>
      <c r="FGI199" s="697"/>
      <c r="FGJ199" s="697"/>
      <c r="FGK199" s="697"/>
      <c r="FGL199" s="697"/>
      <c r="FGM199" s="697"/>
      <c r="FGN199" s="697"/>
      <c r="FGO199" s="697"/>
      <c r="FGP199" s="697"/>
      <c r="FGQ199" s="697"/>
      <c r="FGR199" s="697"/>
      <c r="FGS199" s="697"/>
      <c r="FGT199" s="697"/>
      <c r="FGU199" s="697"/>
      <c r="FGV199" s="697"/>
      <c r="FGW199" s="697"/>
      <c r="FGX199" s="697"/>
      <c r="FGY199" s="697"/>
      <c r="FGZ199" s="697"/>
      <c r="FHA199" s="697"/>
      <c r="FHB199" s="697"/>
      <c r="FHC199" s="697"/>
      <c r="FHD199" s="697"/>
      <c r="FHE199" s="697"/>
      <c r="FHF199" s="697"/>
      <c r="FHG199" s="697"/>
      <c r="FHH199" s="697"/>
      <c r="FHI199" s="697"/>
      <c r="FHJ199" s="697"/>
      <c r="FHK199" s="697"/>
      <c r="FHL199" s="697"/>
      <c r="FHM199" s="697"/>
      <c r="FHN199" s="697"/>
      <c r="FHO199" s="697"/>
      <c r="FHP199" s="697"/>
      <c r="FHQ199" s="697"/>
      <c r="FHR199" s="697"/>
      <c r="FHS199" s="697"/>
      <c r="FHT199" s="697"/>
      <c r="FHU199" s="697"/>
      <c r="FHV199" s="697"/>
      <c r="FHW199" s="697"/>
      <c r="FHX199" s="697"/>
      <c r="FHY199" s="697"/>
      <c r="FHZ199" s="697"/>
      <c r="FIA199" s="697"/>
      <c r="FIB199" s="697"/>
      <c r="FIC199" s="697"/>
      <c r="FID199" s="697"/>
      <c r="FIE199" s="697"/>
      <c r="FIF199" s="697"/>
      <c r="FIG199" s="697"/>
      <c r="FIH199" s="697"/>
      <c r="FII199" s="697"/>
      <c r="FIJ199" s="697"/>
      <c r="FIK199" s="697"/>
      <c r="FIL199" s="697"/>
      <c r="FIM199" s="697"/>
      <c r="FIN199" s="697"/>
      <c r="FIO199" s="697"/>
      <c r="FIP199" s="697"/>
      <c r="FIQ199" s="697"/>
      <c r="FIR199" s="697"/>
      <c r="FIS199" s="697"/>
      <c r="FIT199" s="697"/>
      <c r="FIU199" s="697"/>
      <c r="FIV199" s="697"/>
      <c r="FIW199" s="697"/>
      <c r="FIX199" s="697"/>
      <c r="FIY199" s="697"/>
      <c r="FIZ199" s="697"/>
      <c r="FJA199" s="697"/>
      <c r="FJB199" s="697"/>
      <c r="FJC199" s="697"/>
      <c r="FJD199" s="697"/>
      <c r="FJE199" s="697"/>
      <c r="FJF199" s="697"/>
      <c r="FJG199" s="697"/>
      <c r="FJH199" s="697"/>
      <c r="FJI199" s="697"/>
      <c r="FJJ199" s="697"/>
      <c r="FJK199" s="697"/>
      <c r="FJL199" s="697"/>
      <c r="FJM199" s="697"/>
      <c r="FJN199" s="697"/>
      <c r="FJO199" s="697"/>
      <c r="FJP199" s="697"/>
      <c r="FJQ199" s="697"/>
      <c r="FJR199" s="697"/>
      <c r="FJS199" s="697"/>
      <c r="FJT199" s="697"/>
      <c r="FJU199" s="697"/>
      <c r="FJV199" s="697"/>
      <c r="FJW199" s="697"/>
      <c r="FJX199" s="697"/>
      <c r="FJY199" s="697"/>
      <c r="FJZ199" s="697"/>
      <c r="FKA199" s="697"/>
      <c r="FKB199" s="697"/>
      <c r="FKC199" s="697"/>
      <c r="FKD199" s="697"/>
      <c r="FKE199" s="697"/>
      <c r="FKF199" s="697"/>
      <c r="FKG199" s="697"/>
      <c r="FKH199" s="697"/>
      <c r="FKI199" s="697"/>
      <c r="FKJ199" s="697"/>
      <c r="FKK199" s="697"/>
      <c r="FKL199" s="697"/>
      <c r="FKM199" s="697"/>
      <c r="FKN199" s="697"/>
      <c r="FKO199" s="697"/>
      <c r="FKP199" s="697"/>
      <c r="FKQ199" s="697"/>
      <c r="FKR199" s="697"/>
      <c r="FKS199" s="697"/>
      <c r="FKT199" s="697"/>
      <c r="FKU199" s="697"/>
      <c r="FKV199" s="697"/>
      <c r="FKW199" s="697"/>
      <c r="FKX199" s="697"/>
      <c r="FKY199" s="697"/>
      <c r="FKZ199" s="697"/>
      <c r="FLA199" s="697"/>
      <c r="FLB199" s="697"/>
      <c r="FLC199" s="697"/>
      <c r="FLD199" s="697"/>
      <c r="FLE199" s="697"/>
      <c r="FLF199" s="697"/>
      <c r="FLG199" s="697"/>
      <c r="FLH199" s="697"/>
      <c r="FLI199" s="697"/>
      <c r="FLJ199" s="697"/>
      <c r="FLK199" s="697"/>
      <c r="FLL199" s="697"/>
      <c r="FLM199" s="697"/>
      <c r="FLN199" s="697"/>
      <c r="FLO199" s="697"/>
      <c r="FLP199" s="697"/>
      <c r="FLQ199" s="697"/>
      <c r="FLR199" s="697"/>
      <c r="FLS199" s="697"/>
      <c r="FLT199" s="697"/>
      <c r="FLU199" s="697"/>
      <c r="FLV199" s="697"/>
      <c r="FLW199" s="697"/>
      <c r="FLX199" s="697"/>
      <c r="FLY199" s="697"/>
      <c r="FLZ199" s="697"/>
      <c r="FMA199" s="697"/>
      <c r="FMB199" s="697"/>
      <c r="FMC199" s="697"/>
      <c r="FMD199" s="697"/>
      <c r="FME199" s="697"/>
      <c r="FMF199" s="697"/>
      <c r="FMG199" s="697"/>
      <c r="FMH199" s="697"/>
      <c r="FMI199" s="697"/>
      <c r="FMJ199" s="697"/>
      <c r="FMK199" s="697"/>
      <c r="FML199" s="697"/>
      <c r="FMM199" s="697"/>
      <c r="FMN199" s="697"/>
      <c r="FMO199" s="697"/>
      <c r="FMP199" s="697"/>
      <c r="FMQ199" s="697"/>
      <c r="FMR199" s="697"/>
      <c r="FMS199" s="697"/>
      <c r="FMT199" s="697"/>
      <c r="FMU199" s="697"/>
      <c r="FMV199" s="697"/>
      <c r="FMW199" s="697"/>
      <c r="FMX199" s="697"/>
      <c r="FMY199" s="697"/>
      <c r="FMZ199" s="697"/>
      <c r="FNA199" s="697"/>
      <c r="FNB199" s="697"/>
      <c r="FNC199" s="697"/>
      <c r="FND199" s="697"/>
      <c r="FNE199" s="697"/>
      <c r="FNF199" s="697"/>
      <c r="FNG199" s="697"/>
      <c r="FNH199" s="697"/>
      <c r="FNI199" s="697"/>
      <c r="FNJ199" s="697"/>
      <c r="FNK199" s="697"/>
      <c r="FNL199" s="697"/>
      <c r="FNM199" s="697"/>
      <c r="FNN199" s="697"/>
      <c r="FNO199" s="697"/>
      <c r="FNP199" s="697"/>
      <c r="FNQ199" s="697"/>
      <c r="FNR199" s="697"/>
      <c r="FNS199" s="697"/>
      <c r="FNT199" s="697"/>
      <c r="FNU199" s="697"/>
      <c r="FNV199" s="697"/>
      <c r="FNW199" s="697"/>
      <c r="FNX199" s="697"/>
      <c r="FNY199" s="697"/>
      <c r="FNZ199" s="697"/>
      <c r="FOA199" s="697"/>
      <c r="FOB199" s="697"/>
      <c r="FOC199" s="697"/>
      <c r="FOD199" s="697"/>
      <c r="FOE199" s="697"/>
      <c r="FOF199" s="697"/>
      <c r="FOG199" s="697"/>
      <c r="FOH199" s="697"/>
      <c r="FOI199" s="697"/>
      <c r="FOJ199" s="697"/>
      <c r="FOK199" s="697"/>
      <c r="FOL199" s="697"/>
      <c r="FOM199" s="697"/>
      <c r="FON199" s="697"/>
      <c r="FOO199" s="697"/>
      <c r="FOP199" s="697"/>
      <c r="FOQ199" s="697"/>
      <c r="FOR199" s="697"/>
      <c r="FOS199" s="697"/>
      <c r="FOT199" s="697"/>
      <c r="FOU199" s="697"/>
      <c r="FOV199" s="697"/>
      <c r="FOW199" s="697"/>
      <c r="FOX199" s="697"/>
      <c r="FOY199" s="697"/>
      <c r="FOZ199" s="697"/>
      <c r="FPA199" s="697"/>
      <c r="FPB199" s="697"/>
      <c r="FPC199" s="697"/>
      <c r="FPD199" s="697"/>
      <c r="FPE199" s="697"/>
      <c r="FPF199" s="697"/>
      <c r="FPG199" s="697"/>
      <c r="FPH199" s="697"/>
      <c r="FPI199" s="697"/>
      <c r="FPJ199" s="697"/>
      <c r="FPK199" s="697"/>
      <c r="FPL199" s="697"/>
      <c r="FPM199" s="697"/>
      <c r="FPN199" s="697"/>
      <c r="FPO199" s="697"/>
      <c r="FPP199" s="697"/>
      <c r="FPQ199" s="697"/>
      <c r="FPR199" s="697"/>
      <c r="FPS199" s="697"/>
      <c r="FPT199" s="697"/>
      <c r="FPU199" s="697"/>
      <c r="FPV199" s="697"/>
      <c r="FPW199" s="697"/>
      <c r="FPX199" s="697"/>
      <c r="FPY199" s="697"/>
      <c r="FPZ199" s="697"/>
      <c r="FQA199" s="697"/>
      <c r="FQB199" s="697"/>
      <c r="FQC199" s="697"/>
      <c r="FQD199" s="697"/>
      <c r="FQE199" s="697"/>
      <c r="FQF199" s="697"/>
      <c r="FQG199" s="697"/>
      <c r="FQH199" s="697"/>
      <c r="FQI199" s="697"/>
      <c r="FQJ199" s="697"/>
      <c r="FQK199" s="697"/>
      <c r="FQL199" s="697"/>
      <c r="FQM199" s="697"/>
      <c r="FQN199" s="697"/>
      <c r="FQO199" s="697"/>
      <c r="FQP199" s="697"/>
      <c r="FQQ199" s="697"/>
      <c r="FQR199" s="697"/>
      <c r="FQS199" s="697"/>
      <c r="FQT199" s="697"/>
      <c r="FQU199" s="697"/>
      <c r="FQV199" s="697"/>
      <c r="FQW199" s="697"/>
      <c r="FQX199" s="697"/>
      <c r="FQY199" s="697"/>
      <c r="FQZ199" s="697"/>
      <c r="FRA199" s="697"/>
      <c r="FRB199" s="697"/>
      <c r="FRC199" s="697"/>
      <c r="FRD199" s="697"/>
      <c r="FRE199" s="697"/>
      <c r="FRF199" s="697"/>
      <c r="FRG199" s="697"/>
      <c r="FRH199" s="697"/>
      <c r="FRI199" s="697"/>
      <c r="FRJ199" s="697"/>
      <c r="FRK199" s="697"/>
      <c r="FRL199" s="697"/>
      <c r="FRM199" s="697"/>
      <c r="FRN199" s="697"/>
      <c r="FRO199" s="697"/>
      <c r="FRP199" s="697"/>
      <c r="FRQ199" s="697"/>
      <c r="FRR199" s="697"/>
      <c r="FRS199" s="697"/>
      <c r="FRT199" s="697"/>
      <c r="FRU199" s="697"/>
      <c r="FRV199" s="697"/>
      <c r="FRW199" s="697"/>
      <c r="FRX199" s="697"/>
      <c r="FRY199" s="697"/>
      <c r="FRZ199" s="697"/>
      <c r="FSA199" s="697"/>
      <c r="FSB199" s="697"/>
      <c r="FSC199" s="697"/>
      <c r="FSD199" s="697"/>
      <c r="FSE199" s="697"/>
      <c r="FSF199" s="697"/>
      <c r="FSG199" s="697"/>
      <c r="FSH199" s="697"/>
      <c r="FSI199" s="697"/>
      <c r="FSJ199" s="697"/>
      <c r="FSK199" s="697"/>
      <c r="FSL199" s="697"/>
      <c r="FSM199" s="697"/>
      <c r="FSN199" s="697"/>
      <c r="FSO199" s="697"/>
      <c r="FSP199" s="697"/>
      <c r="FSQ199" s="697"/>
      <c r="FSR199" s="697"/>
      <c r="FSS199" s="697"/>
      <c r="FST199" s="697"/>
      <c r="FSU199" s="697"/>
      <c r="FSV199" s="697"/>
      <c r="FSW199" s="697"/>
      <c r="FSX199" s="697"/>
      <c r="FSY199" s="697"/>
      <c r="FSZ199" s="697"/>
      <c r="FTA199" s="697"/>
      <c r="FTB199" s="697"/>
      <c r="FTC199" s="697"/>
      <c r="FTD199" s="697"/>
      <c r="FTE199" s="697"/>
      <c r="FTF199" s="697"/>
      <c r="FTG199" s="697"/>
      <c r="FTH199" s="697"/>
      <c r="FTI199" s="697"/>
      <c r="FTJ199" s="697"/>
      <c r="FTK199" s="697"/>
      <c r="FTL199" s="697"/>
      <c r="FTM199" s="697"/>
      <c r="FTN199" s="697"/>
      <c r="FTO199" s="697"/>
      <c r="FTP199" s="697"/>
      <c r="FTQ199" s="697"/>
      <c r="FTR199" s="697"/>
      <c r="FTS199" s="697"/>
      <c r="FTT199" s="697"/>
      <c r="FTU199" s="697"/>
      <c r="FTV199" s="697"/>
      <c r="FTW199" s="697"/>
      <c r="FTX199" s="697"/>
      <c r="FTY199" s="697"/>
      <c r="FTZ199" s="697"/>
      <c r="FUA199" s="697"/>
      <c r="FUB199" s="697"/>
      <c r="FUC199" s="697"/>
      <c r="FUD199" s="697"/>
      <c r="FUE199" s="697"/>
      <c r="FUF199" s="697"/>
      <c r="FUG199" s="697"/>
      <c r="FUH199" s="697"/>
      <c r="FUI199" s="697"/>
      <c r="FUJ199" s="697"/>
      <c r="FUK199" s="697"/>
      <c r="FUL199" s="697"/>
      <c r="FUM199" s="697"/>
      <c r="FUN199" s="697"/>
      <c r="FUO199" s="697"/>
      <c r="FUP199" s="697"/>
      <c r="FUQ199" s="697"/>
      <c r="FUR199" s="697"/>
      <c r="FUS199" s="697"/>
      <c r="FUT199" s="697"/>
      <c r="FUU199" s="697"/>
      <c r="FUV199" s="697"/>
      <c r="FUW199" s="697"/>
      <c r="FUX199" s="697"/>
      <c r="FUY199" s="697"/>
      <c r="FUZ199" s="697"/>
      <c r="FVA199" s="697"/>
      <c r="FVB199" s="697"/>
      <c r="FVC199" s="697"/>
      <c r="FVD199" s="697"/>
      <c r="FVE199" s="697"/>
      <c r="FVF199" s="697"/>
      <c r="FVG199" s="697"/>
      <c r="FVH199" s="697"/>
      <c r="FVI199" s="697"/>
      <c r="FVJ199" s="697"/>
      <c r="FVK199" s="697"/>
      <c r="FVL199" s="697"/>
      <c r="FVM199" s="697"/>
      <c r="FVN199" s="697"/>
      <c r="FVO199" s="697"/>
      <c r="FVP199" s="697"/>
      <c r="FVQ199" s="697"/>
      <c r="FVR199" s="697"/>
      <c r="FVS199" s="697"/>
      <c r="FVT199" s="697"/>
      <c r="FVU199" s="697"/>
      <c r="FVV199" s="697"/>
      <c r="FVW199" s="697"/>
      <c r="FVX199" s="697"/>
      <c r="FVY199" s="697"/>
      <c r="FVZ199" s="697"/>
      <c r="FWA199" s="697"/>
      <c r="FWB199" s="697"/>
      <c r="FWC199" s="697"/>
      <c r="FWD199" s="697"/>
      <c r="FWE199" s="697"/>
      <c r="FWF199" s="697"/>
      <c r="FWG199" s="697"/>
      <c r="FWH199" s="697"/>
      <c r="FWI199" s="697"/>
      <c r="FWJ199" s="697"/>
      <c r="FWK199" s="697"/>
      <c r="FWL199" s="697"/>
      <c r="FWM199" s="697"/>
      <c r="FWN199" s="697"/>
      <c r="FWO199" s="697"/>
      <c r="FWP199" s="697"/>
      <c r="FWQ199" s="697"/>
      <c r="FWR199" s="697"/>
      <c r="FWS199" s="697"/>
      <c r="FWT199" s="697"/>
      <c r="FWU199" s="697"/>
      <c r="FWV199" s="697"/>
      <c r="FWW199" s="697"/>
      <c r="FWX199" s="697"/>
      <c r="FWY199" s="697"/>
      <c r="FWZ199" s="697"/>
      <c r="FXA199" s="697"/>
      <c r="FXB199" s="697"/>
      <c r="FXC199" s="697"/>
      <c r="FXD199" s="697"/>
      <c r="FXE199" s="697"/>
      <c r="FXF199" s="697"/>
      <c r="FXG199" s="697"/>
      <c r="FXH199" s="697"/>
      <c r="FXI199" s="697"/>
      <c r="FXJ199" s="697"/>
      <c r="FXK199" s="697"/>
      <c r="FXL199" s="697"/>
      <c r="FXM199" s="697"/>
      <c r="FXN199" s="697"/>
      <c r="FXO199" s="697"/>
      <c r="FXP199" s="697"/>
      <c r="FXQ199" s="697"/>
      <c r="FXR199" s="697"/>
      <c r="FXS199" s="697"/>
      <c r="FXT199" s="697"/>
      <c r="FXU199" s="697"/>
      <c r="FXV199" s="697"/>
      <c r="FXW199" s="697"/>
      <c r="FXX199" s="697"/>
      <c r="FXY199" s="697"/>
      <c r="FXZ199" s="697"/>
      <c r="FYA199" s="697"/>
      <c r="FYB199" s="697"/>
      <c r="FYC199" s="697"/>
      <c r="FYD199" s="697"/>
      <c r="FYE199" s="697"/>
      <c r="FYF199" s="697"/>
      <c r="FYG199" s="697"/>
      <c r="FYH199" s="697"/>
      <c r="FYI199" s="697"/>
      <c r="FYJ199" s="697"/>
      <c r="FYK199" s="697"/>
      <c r="FYL199" s="697"/>
      <c r="FYM199" s="697"/>
      <c r="FYN199" s="697"/>
      <c r="FYO199" s="697"/>
      <c r="FYP199" s="697"/>
      <c r="FYQ199" s="697"/>
      <c r="FYR199" s="697"/>
      <c r="FYS199" s="697"/>
      <c r="FYT199" s="697"/>
      <c r="FYU199" s="697"/>
      <c r="FYV199" s="697"/>
      <c r="FYW199" s="697"/>
      <c r="FYX199" s="697"/>
      <c r="FYY199" s="697"/>
      <c r="FYZ199" s="697"/>
      <c r="FZA199" s="697"/>
      <c r="FZB199" s="697"/>
      <c r="FZC199" s="697"/>
      <c r="FZD199" s="697"/>
      <c r="FZE199" s="697"/>
      <c r="FZF199" s="697"/>
      <c r="FZG199" s="697"/>
      <c r="FZH199" s="697"/>
      <c r="FZI199" s="697"/>
      <c r="FZJ199" s="697"/>
      <c r="FZK199" s="697"/>
      <c r="FZL199" s="697"/>
      <c r="FZM199" s="697"/>
      <c r="FZN199" s="697"/>
      <c r="FZO199" s="697"/>
      <c r="FZP199" s="697"/>
      <c r="FZQ199" s="697"/>
      <c r="FZR199" s="697"/>
      <c r="FZS199" s="697"/>
      <c r="FZT199" s="697"/>
      <c r="FZU199" s="697"/>
      <c r="FZV199" s="697"/>
      <c r="FZW199" s="697"/>
      <c r="FZX199" s="697"/>
      <c r="FZY199" s="697"/>
      <c r="FZZ199" s="697"/>
      <c r="GAA199" s="697"/>
      <c r="GAB199" s="697"/>
      <c r="GAC199" s="697"/>
      <c r="GAD199" s="697"/>
      <c r="GAE199" s="697"/>
      <c r="GAF199" s="697"/>
      <c r="GAG199" s="697"/>
      <c r="GAH199" s="697"/>
      <c r="GAI199" s="697"/>
      <c r="GAJ199" s="697"/>
      <c r="GAK199" s="697"/>
      <c r="GAL199" s="697"/>
      <c r="GAM199" s="697"/>
      <c r="GAN199" s="697"/>
      <c r="GAO199" s="697"/>
      <c r="GAP199" s="697"/>
      <c r="GAQ199" s="697"/>
      <c r="GAR199" s="697"/>
      <c r="GAS199" s="697"/>
      <c r="GAT199" s="697"/>
      <c r="GAU199" s="697"/>
      <c r="GAV199" s="697"/>
      <c r="GAW199" s="697"/>
      <c r="GAX199" s="697"/>
      <c r="GAY199" s="697"/>
      <c r="GAZ199" s="697"/>
      <c r="GBA199" s="697"/>
      <c r="GBB199" s="697"/>
      <c r="GBC199" s="697"/>
      <c r="GBD199" s="697"/>
      <c r="GBE199" s="697"/>
      <c r="GBF199" s="697"/>
      <c r="GBG199" s="697"/>
      <c r="GBH199" s="697"/>
      <c r="GBI199" s="697"/>
      <c r="GBJ199" s="697"/>
      <c r="GBK199" s="697"/>
      <c r="GBL199" s="697"/>
      <c r="GBM199" s="697"/>
      <c r="GBN199" s="697"/>
      <c r="GBO199" s="697"/>
      <c r="GBP199" s="697"/>
      <c r="GBQ199" s="697"/>
      <c r="GBR199" s="697"/>
      <c r="GBS199" s="697"/>
      <c r="GBT199" s="697"/>
      <c r="GBU199" s="697"/>
      <c r="GBV199" s="697"/>
      <c r="GBW199" s="697"/>
      <c r="GBX199" s="697"/>
      <c r="GBY199" s="697"/>
      <c r="GBZ199" s="697"/>
      <c r="GCA199" s="697"/>
      <c r="GCB199" s="697"/>
      <c r="GCC199" s="697"/>
      <c r="GCD199" s="697"/>
      <c r="GCE199" s="697"/>
      <c r="GCF199" s="697"/>
      <c r="GCG199" s="697"/>
      <c r="GCH199" s="697"/>
      <c r="GCI199" s="697"/>
      <c r="GCJ199" s="697"/>
      <c r="GCK199" s="697"/>
      <c r="GCL199" s="697"/>
      <c r="GCM199" s="697"/>
      <c r="GCN199" s="697"/>
      <c r="GCO199" s="697"/>
      <c r="GCP199" s="697"/>
      <c r="GCQ199" s="697"/>
      <c r="GCR199" s="697"/>
      <c r="GCS199" s="697"/>
      <c r="GCT199" s="697"/>
      <c r="GCU199" s="697"/>
      <c r="GCV199" s="697"/>
      <c r="GCW199" s="697"/>
      <c r="GCX199" s="697"/>
      <c r="GCY199" s="697"/>
      <c r="GCZ199" s="697"/>
      <c r="GDA199" s="697"/>
      <c r="GDB199" s="697"/>
      <c r="GDC199" s="697"/>
      <c r="GDD199" s="697"/>
      <c r="GDE199" s="697"/>
      <c r="GDF199" s="697"/>
      <c r="GDG199" s="697"/>
      <c r="GDH199" s="697"/>
      <c r="GDI199" s="697"/>
      <c r="GDJ199" s="697"/>
      <c r="GDK199" s="697"/>
      <c r="GDL199" s="697"/>
      <c r="GDM199" s="697"/>
      <c r="GDN199" s="697"/>
      <c r="GDO199" s="697"/>
      <c r="GDP199" s="697"/>
      <c r="GDQ199" s="697"/>
      <c r="GDR199" s="697"/>
      <c r="GDS199" s="697"/>
      <c r="GDT199" s="697"/>
      <c r="GDU199" s="697"/>
      <c r="GDV199" s="697"/>
      <c r="GDW199" s="697"/>
      <c r="GDX199" s="697"/>
      <c r="GDY199" s="697"/>
      <c r="GDZ199" s="697"/>
      <c r="GEA199" s="697"/>
      <c r="GEB199" s="697"/>
      <c r="GEC199" s="697"/>
      <c r="GED199" s="697"/>
      <c r="GEE199" s="697"/>
      <c r="GEF199" s="697"/>
      <c r="GEG199" s="697"/>
      <c r="GEH199" s="697"/>
      <c r="GEI199" s="697"/>
      <c r="GEJ199" s="697"/>
      <c r="GEK199" s="697"/>
      <c r="GEL199" s="697"/>
      <c r="GEM199" s="697"/>
      <c r="GEN199" s="697"/>
      <c r="GEO199" s="697"/>
      <c r="GEP199" s="697"/>
      <c r="GEQ199" s="697"/>
      <c r="GER199" s="697"/>
      <c r="GES199" s="697"/>
      <c r="GET199" s="697"/>
      <c r="GEU199" s="697"/>
      <c r="GEV199" s="697"/>
      <c r="GEW199" s="697"/>
      <c r="GEX199" s="697"/>
      <c r="GEY199" s="697"/>
      <c r="GEZ199" s="697"/>
      <c r="GFA199" s="697"/>
      <c r="GFB199" s="697"/>
      <c r="GFC199" s="697"/>
      <c r="GFD199" s="697"/>
      <c r="GFE199" s="697"/>
      <c r="GFF199" s="697"/>
      <c r="GFG199" s="697"/>
      <c r="GFH199" s="697"/>
      <c r="GFI199" s="697"/>
      <c r="GFJ199" s="697"/>
      <c r="GFK199" s="697"/>
      <c r="GFL199" s="697"/>
      <c r="GFM199" s="697"/>
      <c r="GFN199" s="697"/>
      <c r="GFO199" s="697"/>
      <c r="GFP199" s="697"/>
      <c r="GFQ199" s="697"/>
      <c r="GFR199" s="697"/>
      <c r="GFS199" s="697"/>
      <c r="GFT199" s="697"/>
      <c r="GFU199" s="697"/>
      <c r="GFV199" s="697"/>
      <c r="GFW199" s="697"/>
      <c r="GFX199" s="697"/>
      <c r="GFY199" s="697"/>
      <c r="GFZ199" s="697"/>
      <c r="GGA199" s="697"/>
      <c r="GGB199" s="697"/>
      <c r="GGC199" s="697"/>
      <c r="GGD199" s="697"/>
      <c r="GGE199" s="697"/>
      <c r="GGF199" s="697"/>
      <c r="GGG199" s="697"/>
      <c r="GGH199" s="697"/>
      <c r="GGI199" s="697"/>
      <c r="GGJ199" s="697"/>
      <c r="GGK199" s="697"/>
      <c r="GGL199" s="697"/>
      <c r="GGM199" s="697"/>
      <c r="GGN199" s="697"/>
      <c r="GGO199" s="697"/>
      <c r="GGP199" s="697"/>
      <c r="GGQ199" s="697"/>
      <c r="GGR199" s="697"/>
      <c r="GGS199" s="697"/>
      <c r="GGT199" s="697"/>
      <c r="GGU199" s="697"/>
      <c r="GGV199" s="697"/>
      <c r="GGW199" s="697"/>
      <c r="GGX199" s="697"/>
      <c r="GGY199" s="697"/>
      <c r="GGZ199" s="697"/>
      <c r="GHA199" s="697"/>
      <c r="GHB199" s="697"/>
      <c r="GHC199" s="697"/>
      <c r="GHD199" s="697"/>
      <c r="GHE199" s="697"/>
      <c r="GHF199" s="697"/>
      <c r="GHG199" s="697"/>
      <c r="GHH199" s="697"/>
      <c r="GHI199" s="697"/>
      <c r="GHJ199" s="697"/>
      <c r="GHK199" s="697"/>
      <c r="GHL199" s="697"/>
      <c r="GHM199" s="697"/>
      <c r="GHN199" s="697"/>
      <c r="GHO199" s="697"/>
      <c r="GHP199" s="697"/>
      <c r="GHQ199" s="697"/>
      <c r="GHR199" s="697"/>
      <c r="GHS199" s="697"/>
      <c r="GHT199" s="697"/>
      <c r="GHU199" s="697"/>
      <c r="GHV199" s="697"/>
      <c r="GHW199" s="697"/>
      <c r="GHX199" s="697"/>
      <c r="GHY199" s="697"/>
      <c r="GHZ199" s="697"/>
      <c r="GIA199" s="697"/>
      <c r="GIB199" s="697"/>
      <c r="GIC199" s="697"/>
      <c r="GID199" s="697"/>
      <c r="GIE199" s="697"/>
      <c r="GIF199" s="697"/>
      <c r="GIG199" s="697"/>
      <c r="GIH199" s="697"/>
      <c r="GII199" s="697"/>
      <c r="GIJ199" s="697"/>
      <c r="GIK199" s="697"/>
      <c r="GIL199" s="697"/>
      <c r="GIM199" s="697"/>
      <c r="GIN199" s="697"/>
      <c r="GIO199" s="697"/>
      <c r="GIP199" s="697"/>
      <c r="GIQ199" s="697"/>
      <c r="GIR199" s="697"/>
      <c r="GIS199" s="697"/>
      <c r="GIT199" s="697"/>
      <c r="GIU199" s="697"/>
      <c r="GIV199" s="697"/>
      <c r="GIW199" s="697"/>
      <c r="GIX199" s="697"/>
      <c r="GIY199" s="697"/>
      <c r="GIZ199" s="697"/>
      <c r="GJA199" s="697"/>
      <c r="GJB199" s="697"/>
      <c r="GJC199" s="697"/>
      <c r="GJD199" s="697"/>
      <c r="GJE199" s="697"/>
      <c r="GJF199" s="697"/>
      <c r="GJG199" s="697"/>
      <c r="GJH199" s="697"/>
      <c r="GJI199" s="697"/>
      <c r="GJJ199" s="697"/>
      <c r="GJK199" s="697"/>
      <c r="GJL199" s="697"/>
      <c r="GJM199" s="697"/>
      <c r="GJN199" s="697"/>
      <c r="GJO199" s="697"/>
      <c r="GJP199" s="697"/>
      <c r="GJQ199" s="697"/>
      <c r="GJR199" s="697"/>
      <c r="GJS199" s="697"/>
      <c r="GJT199" s="697"/>
      <c r="GJU199" s="697"/>
      <c r="GJV199" s="697"/>
      <c r="GJW199" s="697"/>
      <c r="GJX199" s="697"/>
      <c r="GJY199" s="697"/>
      <c r="GJZ199" s="697"/>
      <c r="GKA199" s="697"/>
      <c r="GKB199" s="697"/>
      <c r="GKC199" s="697"/>
      <c r="GKD199" s="697"/>
      <c r="GKE199" s="697"/>
      <c r="GKF199" s="697"/>
      <c r="GKG199" s="697"/>
      <c r="GKH199" s="697"/>
      <c r="GKI199" s="697"/>
      <c r="GKJ199" s="697"/>
      <c r="GKK199" s="697"/>
      <c r="GKL199" s="697"/>
      <c r="GKM199" s="697"/>
      <c r="GKN199" s="697"/>
      <c r="GKO199" s="697"/>
      <c r="GKP199" s="697"/>
      <c r="GKQ199" s="697"/>
      <c r="GKR199" s="697"/>
      <c r="GKS199" s="697"/>
      <c r="GKT199" s="697"/>
      <c r="GKU199" s="697"/>
      <c r="GKV199" s="697"/>
      <c r="GKW199" s="697"/>
      <c r="GKX199" s="697"/>
      <c r="GKY199" s="697"/>
      <c r="GKZ199" s="697"/>
      <c r="GLA199" s="697"/>
      <c r="GLB199" s="697"/>
      <c r="GLC199" s="697"/>
      <c r="GLD199" s="697"/>
      <c r="GLE199" s="697"/>
      <c r="GLF199" s="697"/>
      <c r="GLG199" s="697"/>
      <c r="GLH199" s="697"/>
      <c r="GLI199" s="697"/>
      <c r="GLJ199" s="697"/>
      <c r="GLK199" s="697"/>
      <c r="GLL199" s="697"/>
      <c r="GLM199" s="697"/>
      <c r="GLN199" s="697"/>
      <c r="GLO199" s="697"/>
      <c r="GLP199" s="697"/>
      <c r="GLQ199" s="697"/>
      <c r="GLR199" s="697"/>
      <c r="GLS199" s="697"/>
      <c r="GLT199" s="697"/>
      <c r="GLU199" s="697"/>
      <c r="GLV199" s="697"/>
      <c r="GLW199" s="697"/>
      <c r="GLX199" s="697"/>
      <c r="GLY199" s="697"/>
      <c r="GLZ199" s="697"/>
      <c r="GMA199" s="697"/>
      <c r="GMB199" s="697"/>
      <c r="GMC199" s="697"/>
      <c r="GMD199" s="697"/>
      <c r="GME199" s="697"/>
      <c r="GMF199" s="697"/>
      <c r="GMG199" s="697"/>
      <c r="GMH199" s="697"/>
      <c r="GMI199" s="697"/>
      <c r="GMJ199" s="697"/>
      <c r="GMK199" s="697"/>
      <c r="GML199" s="697"/>
      <c r="GMM199" s="697"/>
      <c r="GMN199" s="697"/>
      <c r="GMO199" s="697"/>
      <c r="GMP199" s="697"/>
      <c r="GMQ199" s="697"/>
      <c r="GMR199" s="697"/>
      <c r="GMS199" s="697"/>
      <c r="GMT199" s="697"/>
      <c r="GMU199" s="697"/>
      <c r="GMV199" s="697"/>
      <c r="GMW199" s="697"/>
      <c r="GMX199" s="697"/>
      <c r="GMY199" s="697"/>
      <c r="GMZ199" s="697"/>
      <c r="GNA199" s="697"/>
      <c r="GNB199" s="697"/>
      <c r="GNC199" s="697"/>
      <c r="GND199" s="697"/>
      <c r="GNE199" s="697"/>
      <c r="GNF199" s="697"/>
      <c r="GNG199" s="697"/>
      <c r="GNH199" s="697"/>
      <c r="GNI199" s="697"/>
      <c r="GNJ199" s="697"/>
      <c r="GNK199" s="697"/>
      <c r="GNL199" s="697"/>
      <c r="GNM199" s="697"/>
      <c r="GNN199" s="697"/>
      <c r="GNO199" s="697"/>
      <c r="GNP199" s="697"/>
      <c r="GNQ199" s="697"/>
      <c r="GNR199" s="697"/>
      <c r="GNS199" s="697"/>
      <c r="GNT199" s="697"/>
      <c r="GNU199" s="697"/>
      <c r="GNV199" s="697"/>
      <c r="GNW199" s="697"/>
      <c r="GNX199" s="697"/>
      <c r="GNY199" s="697"/>
      <c r="GNZ199" s="697"/>
      <c r="GOA199" s="697"/>
      <c r="GOB199" s="697"/>
      <c r="GOC199" s="697"/>
      <c r="GOD199" s="697"/>
      <c r="GOE199" s="697"/>
      <c r="GOF199" s="697"/>
      <c r="GOG199" s="697"/>
      <c r="GOH199" s="697"/>
      <c r="GOI199" s="697"/>
      <c r="GOJ199" s="697"/>
      <c r="GOK199" s="697"/>
      <c r="GOL199" s="697"/>
      <c r="GOM199" s="697"/>
      <c r="GON199" s="697"/>
      <c r="GOO199" s="697"/>
      <c r="GOP199" s="697"/>
      <c r="GOQ199" s="697"/>
      <c r="GOR199" s="697"/>
      <c r="GOS199" s="697"/>
      <c r="GOT199" s="697"/>
      <c r="GOU199" s="697"/>
      <c r="GOV199" s="697"/>
      <c r="GOW199" s="697"/>
      <c r="GOX199" s="697"/>
      <c r="GOY199" s="697"/>
      <c r="GOZ199" s="697"/>
      <c r="GPA199" s="697"/>
      <c r="GPB199" s="697"/>
      <c r="GPC199" s="697"/>
      <c r="GPD199" s="697"/>
      <c r="GPE199" s="697"/>
      <c r="GPF199" s="697"/>
      <c r="GPG199" s="697"/>
      <c r="GPH199" s="697"/>
      <c r="GPI199" s="697"/>
      <c r="GPJ199" s="697"/>
      <c r="GPK199" s="697"/>
      <c r="GPL199" s="697"/>
      <c r="GPM199" s="697"/>
      <c r="GPN199" s="697"/>
      <c r="GPO199" s="697"/>
      <c r="GPP199" s="697"/>
      <c r="GPQ199" s="697"/>
      <c r="GPR199" s="697"/>
      <c r="GPS199" s="697"/>
      <c r="GPT199" s="697"/>
      <c r="GPU199" s="697"/>
      <c r="GPV199" s="697"/>
      <c r="GPW199" s="697"/>
      <c r="GPX199" s="697"/>
      <c r="GPY199" s="697"/>
      <c r="GPZ199" s="697"/>
      <c r="GQA199" s="697"/>
      <c r="GQB199" s="697"/>
      <c r="GQC199" s="697"/>
      <c r="GQD199" s="697"/>
      <c r="GQE199" s="697"/>
      <c r="GQF199" s="697"/>
      <c r="GQG199" s="697"/>
      <c r="GQH199" s="697"/>
      <c r="GQI199" s="697"/>
      <c r="GQJ199" s="697"/>
      <c r="GQK199" s="697"/>
      <c r="GQL199" s="697"/>
      <c r="GQM199" s="697"/>
      <c r="GQN199" s="697"/>
      <c r="GQO199" s="697"/>
      <c r="GQP199" s="697"/>
      <c r="GQQ199" s="697"/>
      <c r="GQR199" s="697"/>
      <c r="GQS199" s="697"/>
      <c r="GQT199" s="697"/>
      <c r="GQU199" s="697"/>
      <c r="GQV199" s="697"/>
      <c r="GQW199" s="697"/>
      <c r="GQX199" s="697"/>
      <c r="GQY199" s="697"/>
      <c r="GQZ199" s="697"/>
      <c r="GRA199" s="697"/>
      <c r="GRB199" s="697"/>
      <c r="GRC199" s="697"/>
      <c r="GRD199" s="697"/>
      <c r="GRE199" s="697"/>
      <c r="GRF199" s="697"/>
      <c r="GRG199" s="697"/>
      <c r="GRH199" s="697"/>
      <c r="GRI199" s="697"/>
      <c r="GRJ199" s="697"/>
      <c r="GRK199" s="697"/>
      <c r="GRL199" s="697"/>
      <c r="GRM199" s="697"/>
      <c r="GRN199" s="697"/>
      <c r="GRO199" s="697"/>
      <c r="GRP199" s="697"/>
      <c r="GRQ199" s="697"/>
      <c r="GRR199" s="697"/>
      <c r="GRS199" s="697"/>
      <c r="GRT199" s="697"/>
      <c r="GRU199" s="697"/>
      <c r="GRV199" s="697"/>
      <c r="GRW199" s="697"/>
      <c r="GRX199" s="697"/>
      <c r="GRY199" s="697"/>
      <c r="GRZ199" s="697"/>
      <c r="GSA199" s="697"/>
      <c r="GSB199" s="697"/>
      <c r="GSC199" s="697"/>
      <c r="GSD199" s="697"/>
      <c r="GSE199" s="697"/>
      <c r="GSF199" s="697"/>
      <c r="GSG199" s="697"/>
      <c r="GSH199" s="697"/>
      <c r="GSI199" s="697"/>
      <c r="GSJ199" s="697"/>
      <c r="GSK199" s="697"/>
      <c r="GSL199" s="697"/>
      <c r="GSM199" s="697"/>
      <c r="GSN199" s="697"/>
      <c r="GSO199" s="697"/>
      <c r="GSP199" s="697"/>
      <c r="GSQ199" s="697"/>
      <c r="GSR199" s="697"/>
      <c r="GSS199" s="697"/>
      <c r="GST199" s="697"/>
      <c r="GSU199" s="697"/>
      <c r="GSV199" s="697"/>
      <c r="GSW199" s="697"/>
      <c r="GSX199" s="697"/>
      <c r="GSY199" s="697"/>
      <c r="GSZ199" s="697"/>
      <c r="GTA199" s="697"/>
      <c r="GTB199" s="697"/>
      <c r="GTC199" s="697"/>
      <c r="GTD199" s="697"/>
      <c r="GTE199" s="697"/>
      <c r="GTF199" s="697"/>
      <c r="GTG199" s="697"/>
      <c r="GTH199" s="697"/>
      <c r="GTI199" s="697"/>
      <c r="GTJ199" s="697"/>
      <c r="GTK199" s="697"/>
      <c r="GTL199" s="697"/>
      <c r="GTM199" s="697"/>
      <c r="GTN199" s="697"/>
      <c r="GTO199" s="697"/>
      <c r="GTP199" s="697"/>
      <c r="GTQ199" s="697"/>
      <c r="GTR199" s="697"/>
      <c r="GTS199" s="697"/>
      <c r="GTT199" s="697"/>
      <c r="GTU199" s="697"/>
      <c r="GTV199" s="697"/>
      <c r="GTW199" s="697"/>
      <c r="GTX199" s="697"/>
      <c r="GTY199" s="697"/>
      <c r="GTZ199" s="697"/>
      <c r="GUA199" s="697"/>
      <c r="GUB199" s="697"/>
      <c r="GUC199" s="697"/>
      <c r="GUD199" s="697"/>
      <c r="GUE199" s="697"/>
      <c r="GUF199" s="697"/>
      <c r="GUG199" s="697"/>
      <c r="GUH199" s="697"/>
      <c r="GUI199" s="697"/>
      <c r="GUJ199" s="697"/>
      <c r="GUK199" s="697"/>
      <c r="GUL199" s="697"/>
      <c r="GUM199" s="697"/>
      <c r="GUN199" s="697"/>
      <c r="GUO199" s="697"/>
      <c r="GUP199" s="697"/>
      <c r="GUQ199" s="697"/>
      <c r="GUR199" s="697"/>
      <c r="GUS199" s="697"/>
      <c r="GUT199" s="697"/>
      <c r="GUU199" s="697"/>
      <c r="GUV199" s="697"/>
      <c r="GUW199" s="697"/>
      <c r="GUX199" s="697"/>
      <c r="GUY199" s="697"/>
      <c r="GUZ199" s="697"/>
      <c r="GVA199" s="697"/>
      <c r="GVB199" s="697"/>
      <c r="GVC199" s="697"/>
      <c r="GVD199" s="697"/>
      <c r="GVE199" s="697"/>
      <c r="GVF199" s="697"/>
      <c r="GVG199" s="697"/>
      <c r="GVH199" s="697"/>
      <c r="GVI199" s="697"/>
      <c r="GVJ199" s="697"/>
      <c r="GVK199" s="697"/>
      <c r="GVL199" s="697"/>
      <c r="GVM199" s="697"/>
      <c r="GVN199" s="697"/>
      <c r="GVO199" s="697"/>
      <c r="GVP199" s="697"/>
      <c r="GVQ199" s="697"/>
      <c r="GVR199" s="697"/>
      <c r="GVS199" s="697"/>
      <c r="GVT199" s="697"/>
      <c r="GVU199" s="697"/>
      <c r="GVV199" s="697"/>
      <c r="GVW199" s="697"/>
      <c r="GVX199" s="697"/>
      <c r="GVY199" s="697"/>
      <c r="GVZ199" s="697"/>
      <c r="GWA199" s="697"/>
      <c r="GWB199" s="697"/>
      <c r="GWC199" s="697"/>
      <c r="GWD199" s="697"/>
      <c r="GWE199" s="697"/>
      <c r="GWF199" s="697"/>
      <c r="GWG199" s="697"/>
      <c r="GWH199" s="697"/>
      <c r="GWI199" s="697"/>
      <c r="GWJ199" s="697"/>
      <c r="GWK199" s="697"/>
      <c r="GWL199" s="697"/>
      <c r="GWM199" s="697"/>
      <c r="GWN199" s="697"/>
      <c r="GWO199" s="697"/>
      <c r="GWP199" s="697"/>
      <c r="GWQ199" s="697"/>
      <c r="GWR199" s="697"/>
      <c r="GWS199" s="697"/>
      <c r="GWT199" s="697"/>
      <c r="GWU199" s="697"/>
      <c r="GWV199" s="697"/>
      <c r="GWW199" s="697"/>
      <c r="GWX199" s="697"/>
      <c r="GWY199" s="697"/>
      <c r="GWZ199" s="697"/>
      <c r="GXA199" s="697"/>
      <c r="GXB199" s="697"/>
      <c r="GXC199" s="697"/>
      <c r="GXD199" s="697"/>
      <c r="GXE199" s="697"/>
      <c r="GXF199" s="697"/>
      <c r="GXG199" s="697"/>
      <c r="GXH199" s="697"/>
      <c r="GXI199" s="697"/>
      <c r="GXJ199" s="697"/>
      <c r="GXK199" s="697"/>
      <c r="GXL199" s="697"/>
      <c r="GXM199" s="697"/>
      <c r="GXN199" s="697"/>
      <c r="GXO199" s="697"/>
      <c r="GXP199" s="697"/>
      <c r="GXQ199" s="697"/>
      <c r="GXR199" s="697"/>
      <c r="GXS199" s="697"/>
      <c r="GXT199" s="697"/>
      <c r="GXU199" s="697"/>
      <c r="GXV199" s="697"/>
      <c r="GXW199" s="697"/>
      <c r="GXX199" s="697"/>
      <c r="GXY199" s="697"/>
      <c r="GXZ199" s="697"/>
      <c r="GYA199" s="697"/>
      <c r="GYB199" s="697"/>
      <c r="GYC199" s="697"/>
      <c r="GYD199" s="697"/>
      <c r="GYE199" s="697"/>
      <c r="GYF199" s="697"/>
      <c r="GYG199" s="697"/>
      <c r="GYH199" s="697"/>
      <c r="GYI199" s="697"/>
      <c r="GYJ199" s="697"/>
      <c r="GYK199" s="697"/>
      <c r="GYL199" s="697"/>
      <c r="GYM199" s="697"/>
      <c r="GYN199" s="697"/>
      <c r="GYO199" s="697"/>
      <c r="GYP199" s="697"/>
      <c r="GYQ199" s="697"/>
      <c r="GYR199" s="697"/>
      <c r="GYS199" s="697"/>
      <c r="GYT199" s="697"/>
      <c r="GYU199" s="697"/>
      <c r="GYV199" s="697"/>
      <c r="GYW199" s="697"/>
      <c r="GYX199" s="697"/>
      <c r="GYY199" s="697"/>
      <c r="GYZ199" s="697"/>
      <c r="GZA199" s="697"/>
      <c r="GZB199" s="697"/>
      <c r="GZC199" s="697"/>
      <c r="GZD199" s="697"/>
      <c r="GZE199" s="697"/>
      <c r="GZF199" s="697"/>
      <c r="GZG199" s="697"/>
      <c r="GZH199" s="697"/>
      <c r="GZI199" s="697"/>
      <c r="GZJ199" s="697"/>
      <c r="GZK199" s="697"/>
      <c r="GZL199" s="697"/>
      <c r="GZM199" s="697"/>
      <c r="GZN199" s="697"/>
      <c r="GZO199" s="697"/>
      <c r="GZP199" s="697"/>
      <c r="GZQ199" s="697"/>
      <c r="GZR199" s="697"/>
      <c r="GZS199" s="697"/>
      <c r="GZT199" s="697"/>
      <c r="GZU199" s="697"/>
      <c r="GZV199" s="697"/>
      <c r="GZW199" s="697"/>
      <c r="GZX199" s="697"/>
      <c r="GZY199" s="697"/>
      <c r="GZZ199" s="697"/>
      <c r="HAA199" s="697"/>
      <c r="HAB199" s="697"/>
      <c r="HAC199" s="697"/>
      <c r="HAD199" s="697"/>
      <c r="HAE199" s="697"/>
      <c r="HAF199" s="697"/>
      <c r="HAG199" s="697"/>
      <c r="HAH199" s="697"/>
      <c r="HAI199" s="697"/>
      <c r="HAJ199" s="697"/>
      <c r="HAK199" s="697"/>
      <c r="HAL199" s="697"/>
      <c r="HAM199" s="697"/>
      <c r="HAN199" s="697"/>
      <c r="HAO199" s="697"/>
      <c r="HAP199" s="697"/>
      <c r="HAQ199" s="697"/>
      <c r="HAR199" s="697"/>
      <c r="HAS199" s="697"/>
      <c r="HAT199" s="697"/>
      <c r="HAU199" s="697"/>
      <c r="HAV199" s="697"/>
      <c r="HAW199" s="697"/>
      <c r="HAX199" s="697"/>
      <c r="HAY199" s="697"/>
      <c r="HAZ199" s="697"/>
      <c r="HBA199" s="697"/>
      <c r="HBB199" s="697"/>
      <c r="HBC199" s="697"/>
      <c r="HBD199" s="697"/>
      <c r="HBE199" s="697"/>
      <c r="HBF199" s="697"/>
      <c r="HBG199" s="697"/>
      <c r="HBH199" s="697"/>
      <c r="HBI199" s="697"/>
      <c r="HBJ199" s="697"/>
      <c r="HBK199" s="697"/>
      <c r="HBL199" s="697"/>
      <c r="HBM199" s="697"/>
      <c r="HBN199" s="697"/>
      <c r="HBO199" s="697"/>
      <c r="HBP199" s="697"/>
      <c r="HBQ199" s="697"/>
      <c r="HBR199" s="697"/>
      <c r="HBS199" s="697"/>
      <c r="HBT199" s="697"/>
      <c r="HBU199" s="697"/>
      <c r="HBV199" s="697"/>
      <c r="HBW199" s="697"/>
      <c r="HBX199" s="697"/>
      <c r="HBY199" s="697"/>
      <c r="HBZ199" s="697"/>
      <c r="HCA199" s="697"/>
      <c r="HCB199" s="697"/>
      <c r="HCC199" s="697"/>
      <c r="HCD199" s="697"/>
      <c r="HCE199" s="697"/>
      <c r="HCF199" s="697"/>
      <c r="HCG199" s="697"/>
      <c r="HCH199" s="697"/>
      <c r="HCI199" s="697"/>
      <c r="HCJ199" s="697"/>
      <c r="HCK199" s="697"/>
      <c r="HCL199" s="697"/>
      <c r="HCM199" s="697"/>
      <c r="HCN199" s="697"/>
      <c r="HCO199" s="697"/>
      <c r="HCP199" s="697"/>
      <c r="HCQ199" s="697"/>
      <c r="HCR199" s="697"/>
      <c r="HCS199" s="697"/>
      <c r="HCT199" s="697"/>
      <c r="HCU199" s="697"/>
      <c r="HCV199" s="697"/>
      <c r="HCW199" s="697"/>
      <c r="HCX199" s="697"/>
      <c r="HCY199" s="697"/>
      <c r="HCZ199" s="697"/>
      <c r="HDA199" s="697"/>
      <c r="HDB199" s="697"/>
      <c r="HDC199" s="697"/>
      <c r="HDD199" s="697"/>
      <c r="HDE199" s="697"/>
      <c r="HDF199" s="697"/>
      <c r="HDG199" s="697"/>
      <c r="HDH199" s="697"/>
      <c r="HDI199" s="697"/>
      <c r="HDJ199" s="697"/>
      <c r="HDK199" s="697"/>
      <c r="HDL199" s="697"/>
      <c r="HDM199" s="697"/>
      <c r="HDN199" s="697"/>
      <c r="HDO199" s="697"/>
      <c r="HDP199" s="697"/>
      <c r="HDQ199" s="697"/>
      <c r="HDR199" s="697"/>
      <c r="HDS199" s="697"/>
      <c r="HDT199" s="697"/>
      <c r="HDU199" s="697"/>
      <c r="HDV199" s="697"/>
      <c r="HDW199" s="697"/>
      <c r="HDX199" s="697"/>
      <c r="HDY199" s="697"/>
      <c r="HDZ199" s="697"/>
      <c r="HEA199" s="697"/>
      <c r="HEB199" s="697"/>
      <c r="HEC199" s="697"/>
      <c r="HED199" s="697"/>
      <c r="HEE199" s="697"/>
      <c r="HEF199" s="697"/>
      <c r="HEG199" s="697"/>
      <c r="HEH199" s="697"/>
      <c r="HEI199" s="697"/>
      <c r="HEJ199" s="697"/>
      <c r="HEK199" s="697"/>
      <c r="HEL199" s="697"/>
      <c r="HEM199" s="697"/>
      <c r="HEN199" s="697"/>
      <c r="HEO199" s="697"/>
      <c r="HEP199" s="697"/>
      <c r="HEQ199" s="697"/>
      <c r="HER199" s="697"/>
      <c r="HES199" s="697"/>
      <c r="HET199" s="697"/>
      <c r="HEU199" s="697"/>
      <c r="HEV199" s="697"/>
      <c r="HEW199" s="697"/>
      <c r="HEX199" s="697"/>
      <c r="HEY199" s="697"/>
      <c r="HEZ199" s="697"/>
      <c r="HFA199" s="697"/>
      <c r="HFB199" s="697"/>
      <c r="HFC199" s="697"/>
      <c r="HFD199" s="697"/>
      <c r="HFE199" s="697"/>
      <c r="HFF199" s="697"/>
      <c r="HFG199" s="697"/>
      <c r="HFH199" s="697"/>
      <c r="HFI199" s="697"/>
      <c r="HFJ199" s="697"/>
      <c r="HFK199" s="697"/>
      <c r="HFL199" s="697"/>
      <c r="HFM199" s="697"/>
      <c r="HFN199" s="697"/>
      <c r="HFO199" s="697"/>
      <c r="HFP199" s="697"/>
      <c r="HFQ199" s="697"/>
      <c r="HFR199" s="697"/>
      <c r="HFS199" s="697"/>
      <c r="HFT199" s="697"/>
      <c r="HFU199" s="697"/>
      <c r="HFV199" s="697"/>
      <c r="HFW199" s="697"/>
      <c r="HFX199" s="697"/>
      <c r="HFY199" s="697"/>
      <c r="HFZ199" s="697"/>
      <c r="HGA199" s="697"/>
      <c r="HGB199" s="697"/>
      <c r="HGC199" s="697"/>
      <c r="HGD199" s="697"/>
      <c r="HGE199" s="697"/>
      <c r="HGF199" s="697"/>
      <c r="HGG199" s="697"/>
      <c r="HGH199" s="697"/>
      <c r="HGI199" s="697"/>
      <c r="HGJ199" s="697"/>
      <c r="HGK199" s="697"/>
      <c r="HGL199" s="697"/>
      <c r="HGM199" s="697"/>
      <c r="HGN199" s="697"/>
      <c r="HGO199" s="697"/>
      <c r="HGP199" s="697"/>
      <c r="HGQ199" s="697"/>
      <c r="HGR199" s="697"/>
      <c r="HGS199" s="697"/>
      <c r="HGT199" s="697"/>
      <c r="HGU199" s="697"/>
      <c r="HGV199" s="697"/>
      <c r="HGW199" s="697"/>
      <c r="HGX199" s="697"/>
      <c r="HGY199" s="697"/>
      <c r="HGZ199" s="697"/>
      <c r="HHA199" s="697"/>
      <c r="HHB199" s="697"/>
      <c r="HHC199" s="697"/>
      <c r="HHD199" s="697"/>
      <c r="HHE199" s="697"/>
      <c r="HHF199" s="697"/>
      <c r="HHG199" s="697"/>
      <c r="HHH199" s="697"/>
      <c r="HHI199" s="697"/>
      <c r="HHJ199" s="697"/>
      <c r="HHK199" s="697"/>
      <c r="HHL199" s="697"/>
      <c r="HHM199" s="697"/>
      <c r="HHN199" s="697"/>
      <c r="HHO199" s="697"/>
      <c r="HHP199" s="697"/>
      <c r="HHQ199" s="697"/>
      <c r="HHR199" s="697"/>
      <c r="HHS199" s="697"/>
      <c r="HHT199" s="697"/>
      <c r="HHU199" s="697"/>
      <c r="HHV199" s="697"/>
      <c r="HHW199" s="697"/>
      <c r="HHX199" s="697"/>
      <c r="HHY199" s="697"/>
      <c r="HHZ199" s="697"/>
      <c r="HIA199" s="697"/>
      <c r="HIB199" s="697"/>
      <c r="HIC199" s="697"/>
      <c r="HID199" s="697"/>
      <c r="HIE199" s="697"/>
      <c r="HIF199" s="697"/>
      <c r="HIG199" s="697"/>
      <c r="HIH199" s="697"/>
      <c r="HII199" s="697"/>
      <c r="HIJ199" s="697"/>
      <c r="HIK199" s="697"/>
      <c r="HIL199" s="697"/>
      <c r="HIM199" s="697"/>
      <c r="HIN199" s="697"/>
      <c r="HIO199" s="697"/>
      <c r="HIP199" s="697"/>
      <c r="HIQ199" s="697"/>
      <c r="HIR199" s="697"/>
      <c r="HIS199" s="697"/>
      <c r="HIT199" s="697"/>
      <c r="HIU199" s="697"/>
      <c r="HIV199" s="697"/>
      <c r="HIW199" s="697"/>
      <c r="HIX199" s="697"/>
      <c r="HIY199" s="697"/>
      <c r="HIZ199" s="697"/>
      <c r="HJA199" s="697"/>
      <c r="HJB199" s="697"/>
      <c r="HJC199" s="697"/>
      <c r="HJD199" s="697"/>
      <c r="HJE199" s="697"/>
      <c r="HJF199" s="697"/>
      <c r="HJG199" s="697"/>
      <c r="HJH199" s="697"/>
      <c r="HJI199" s="697"/>
      <c r="HJJ199" s="697"/>
      <c r="HJK199" s="697"/>
      <c r="HJL199" s="697"/>
      <c r="HJM199" s="697"/>
      <c r="HJN199" s="697"/>
      <c r="HJO199" s="697"/>
      <c r="HJP199" s="697"/>
      <c r="HJQ199" s="697"/>
      <c r="HJR199" s="697"/>
      <c r="HJS199" s="697"/>
      <c r="HJT199" s="697"/>
      <c r="HJU199" s="697"/>
      <c r="HJV199" s="697"/>
      <c r="HJW199" s="697"/>
      <c r="HJX199" s="697"/>
      <c r="HJY199" s="697"/>
      <c r="HJZ199" s="697"/>
      <c r="HKA199" s="697"/>
      <c r="HKB199" s="697"/>
      <c r="HKC199" s="697"/>
      <c r="HKD199" s="697"/>
      <c r="HKE199" s="697"/>
      <c r="HKF199" s="697"/>
      <c r="HKG199" s="697"/>
      <c r="HKH199" s="697"/>
      <c r="HKI199" s="697"/>
      <c r="HKJ199" s="697"/>
      <c r="HKK199" s="697"/>
      <c r="HKL199" s="697"/>
      <c r="HKM199" s="697"/>
      <c r="HKN199" s="697"/>
      <c r="HKO199" s="697"/>
      <c r="HKP199" s="697"/>
      <c r="HKQ199" s="697"/>
      <c r="HKR199" s="697"/>
      <c r="HKS199" s="697"/>
      <c r="HKT199" s="697"/>
      <c r="HKU199" s="697"/>
      <c r="HKV199" s="697"/>
      <c r="HKW199" s="697"/>
      <c r="HKX199" s="697"/>
      <c r="HKY199" s="697"/>
      <c r="HKZ199" s="697"/>
      <c r="HLA199" s="697"/>
      <c r="HLB199" s="697"/>
      <c r="HLC199" s="697"/>
      <c r="HLD199" s="697"/>
      <c r="HLE199" s="697"/>
      <c r="HLF199" s="697"/>
      <c r="HLG199" s="697"/>
      <c r="HLH199" s="697"/>
      <c r="HLI199" s="697"/>
      <c r="HLJ199" s="697"/>
      <c r="HLK199" s="697"/>
      <c r="HLL199" s="697"/>
      <c r="HLM199" s="697"/>
      <c r="HLN199" s="697"/>
      <c r="HLO199" s="697"/>
      <c r="HLP199" s="697"/>
      <c r="HLQ199" s="697"/>
      <c r="HLR199" s="697"/>
      <c r="HLS199" s="697"/>
      <c r="HLT199" s="697"/>
      <c r="HLU199" s="697"/>
      <c r="HLV199" s="697"/>
      <c r="HLW199" s="697"/>
      <c r="HLX199" s="697"/>
      <c r="HLY199" s="697"/>
      <c r="HLZ199" s="697"/>
      <c r="HMA199" s="697"/>
      <c r="HMB199" s="697"/>
      <c r="HMC199" s="697"/>
      <c r="HMD199" s="697"/>
      <c r="HME199" s="697"/>
      <c r="HMF199" s="697"/>
      <c r="HMG199" s="697"/>
      <c r="HMH199" s="697"/>
      <c r="HMI199" s="697"/>
      <c r="HMJ199" s="697"/>
      <c r="HMK199" s="697"/>
      <c r="HML199" s="697"/>
      <c r="HMM199" s="697"/>
      <c r="HMN199" s="697"/>
      <c r="HMO199" s="697"/>
      <c r="HMP199" s="697"/>
      <c r="HMQ199" s="697"/>
      <c r="HMR199" s="697"/>
      <c r="HMS199" s="697"/>
      <c r="HMT199" s="697"/>
      <c r="HMU199" s="697"/>
      <c r="HMV199" s="697"/>
      <c r="HMW199" s="697"/>
      <c r="HMX199" s="697"/>
      <c r="HMY199" s="697"/>
      <c r="HMZ199" s="697"/>
      <c r="HNA199" s="697"/>
      <c r="HNB199" s="697"/>
      <c r="HNC199" s="697"/>
      <c r="HND199" s="697"/>
      <c r="HNE199" s="697"/>
      <c r="HNF199" s="697"/>
      <c r="HNG199" s="697"/>
      <c r="HNH199" s="697"/>
      <c r="HNI199" s="697"/>
      <c r="HNJ199" s="697"/>
      <c r="HNK199" s="697"/>
      <c r="HNL199" s="697"/>
      <c r="HNM199" s="697"/>
      <c r="HNN199" s="697"/>
      <c r="HNO199" s="697"/>
      <c r="HNP199" s="697"/>
      <c r="HNQ199" s="697"/>
      <c r="HNR199" s="697"/>
      <c r="HNS199" s="697"/>
      <c r="HNT199" s="697"/>
      <c r="HNU199" s="697"/>
      <c r="HNV199" s="697"/>
      <c r="HNW199" s="697"/>
      <c r="HNX199" s="697"/>
      <c r="HNY199" s="697"/>
      <c r="HNZ199" s="697"/>
      <c r="HOA199" s="697"/>
      <c r="HOB199" s="697"/>
      <c r="HOC199" s="697"/>
      <c r="HOD199" s="697"/>
      <c r="HOE199" s="697"/>
      <c r="HOF199" s="697"/>
      <c r="HOG199" s="697"/>
      <c r="HOH199" s="697"/>
      <c r="HOI199" s="697"/>
      <c r="HOJ199" s="697"/>
      <c r="HOK199" s="697"/>
      <c r="HOL199" s="697"/>
      <c r="HOM199" s="697"/>
      <c r="HON199" s="697"/>
      <c r="HOO199" s="697"/>
      <c r="HOP199" s="697"/>
      <c r="HOQ199" s="697"/>
      <c r="HOR199" s="697"/>
      <c r="HOS199" s="697"/>
      <c r="HOT199" s="697"/>
      <c r="HOU199" s="697"/>
      <c r="HOV199" s="697"/>
      <c r="HOW199" s="697"/>
      <c r="HOX199" s="697"/>
      <c r="HOY199" s="697"/>
      <c r="HOZ199" s="697"/>
      <c r="HPA199" s="697"/>
      <c r="HPB199" s="697"/>
      <c r="HPC199" s="697"/>
      <c r="HPD199" s="697"/>
      <c r="HPE199" s="697"/>
      <c r="HPF199" s="697"/>
      <c r="HPG199" s="697"/>
      <c r="HPH199" s="697"/>
      <c r="HPI199" s="697"/>
      <c r="HPJ199" s="697"/>
      <c r="HPK199" s="697"/>
      <c r="HPL199" s="697"/>
      <c r="HPM199" s="697"/>
      <c r="HPN199" s="697"/>
      <c r="HPO199" s="697"/>
      <c r="HPP199" s="697"/>
      <c r="HPQ199" s="697"/>
      <c r="HPR199" s="697"/>
      <c r="HPS199" s="697"/>
      <c r="HPT199" s="697"/>
      <c r="HPU199" s="697"/>
      <c r="HPV199" s="697"/>
      <c r="HPW199" s="697"/>
      <c r="HPX199" s="697"/>
      <c r="HPY199" s="697"/>
      <c r="HPZ199" s="697"/>
      <c r="HQA199" s="697"/>
      <c r="HQB199" s="697"/>
      <c r="HQC199" s="697"/>
      <c r="HQD199" s="697"/>
      <c r="HQE199" s="697"/>
      <c r="HQF199" s="697"/>
      <c r="HQG199" s="697"/>
      <c r="HQH199" s="697"/>
      <c r="HQI199" s="697"/>
      <c r="HQJ199" s="697"/>
      <c r="HQK199" s="697"/>
      <c r="HQL199" s="697"/>
      <c r="HQM199" s="697"/>
      <c r="HQN199" s="697"/>
      <c r="HQO199" s="697"/>
      <c r="HQP199" s="697"/>
      <c r="HQQ199" s="697"/>
      <c r="HQR199" s="697"/>
      <c r="HQS199" s="697"/>
      <c r="HQT199" s="697"/>
      <c r="HQU199" s="697"/>
      <c r="HQV199" s="697"/>
      <c r="HQW199" s="697"/>
      <c r="HQX199" s="697"/>
      <c r="HQY199" s="697"/>
      <c r="HQZ199" s="697"/>
      <c r="HRA199" s="697"/>
      <c r="HRB199" s="697"/>
      <c r="HRC199" s="697"/>
      <c r="HRD199" s="697"/>
      <c r="HRE199" s="697"/>
      <c r="HRF199" s="697"/>
      <c r="HRG199" s="697"/>
      <c r="HRH199" s="697"/>
      <c r="HRI199" s="697"/>
      <c r="HRJ199" s="697"/>
      <c r="HRK199" s="697"/>
      <c r="HRL199" s="697"/>
      <c r="HRM199" s="697"/>
      <c r="HRN199" s="697"/>
      <c r="HRO199" s="697"/>
      <c r="HRP199" s="697"/>
      <c r="HRQ199" s="697"/>
      <c r="HRR199" s="697"/>
      <c r="HRS199" s="697"/>
      <c r="HRT199" s="697"/>
      <c r="HRU199" s="697"/>
      <c r="HRV199" s="697"/>
      <c r="HRW199" s="697"/>
      <c r="HRX199" s="697"/>
      <c r="HRY199" s="697"/>
      <c r="HRZ199" s="697"/>
      <c r="HSA199" s="697"/>
      <c r="HSB199" s="697"/>
      <c r="HSC199" s="697"/>
      <c r="HSD199" s="697"/>
      <c r="HSE199" s="697"/>
      <c r="HSF199" s="697"/>
      <c r="HSG199" s="697"/>
      <c r="HSH199" s="697"/>
      <c r="HSI199" s="697"/>
      <c r="HSJ199" s="697"/>
      <c r="HSK199" s="697"/>
      <c r="HSL199" s="697"/>
      <c r="HSM199" s="697"/>
      <c r="HSN199" s="697"/>
      <c r="HSO199" s="697"/>
      <c r="HSP199" s="697"/>
      <c r="HSQ199" s="697"/>
      <c r="HSR199" s="697"/>
      <c r="HSS199" s="697"/>
      <c r="HST199" s="697"/>
      <c r="HSU199" s="697"/>
      <c r="HSV199" s="697"/>
      <c r="HSW199" s="697"/>
      <c r="HSX199" s="697"/>
      <c r="HSY199" s="697"/>
      <c r="HSZ199" s="697"/>
      <c r="HTA199" s="697"/>
      <c r="HTB199" s="697"/>
      <c r="HTC199" s="697"/>
      <c r="HTD199" s="697"/>
      <c r="HTE199" s="697"/>
      <c r="HTF199" s="697"/>
      <c r="HTG199" s="697"/>
      <c r="HTH199" s="697"/>
      <c r="HTI199" s="697"/>
      <c r="HTJ199" s="697"/>
      <c r="HTK199" s="697"/>
      <c r="HTL199" s="697"/>
      <c r="HTM199" s="697"/>
      <c r="HTN199" s="697"/>
      <c r="HTO199" s="697"/>
      <c r="HTP199" s="697"/>
      <c r="HTQ199" s="697"/>
      <c r="HTR199" s="697"/>
      <c r="HTS199" s="697"/>
      <c r="HTT199" s="697"/>
      <c r="HTU199" s="697"/>
      <c r="HTV199" s="697"/>
      <c r="HTW199" s="697"/>
      <c r="HTX199" s="697"/>
      <c r="HTY199" s="697"/>
      <c r="HTZ199" s="697"/>
      <c r="HUA199" s="697"/>
      <c r="HUB199" s="697"/>
      <c r="HUC199" s="697"/>
      <c r="HUD199" s="697"/>
      <c r="HUE199" s="697"/>
      <c r="HUF199" s="697"/>
      <c r="HUG199" s="697"/>
      <c r="HUH199" s="697"/>
      <c r="HUI199" s="697"/>
      <c r="HUJ199" s="697"/>
      <c r="HUK199" s="697"/>
      <c r="HUL199" s="697"/>
      <c r="HUM199" s="697"/>
      <c r="HUN199" s="697"/>
      <c r="HUO199" s="697"/>
      <c r="HUP199" s="697"/>
      <c r="HUQ199" s="697"/>
      <c r="HUR199" s="697"/>
      <c r="HUS199" s="697"/>
      <c r="HUT199" s="697"/>
      <c r="HUU199" s="697"/>
      <c r="HUV199" s="697"/>
      <c r="HUW199" s="697"/>
      <c r="HUX199" s="697"/>
      <c r="HUY199" s="697"/>
      <c r="HUZ199" s="697"/>
      <c r="HVA199" s="697"/>
      <c r="HVB199" s="697"/>
      <c r="HVC199" s="697"/>
      <c r="HVD199" s="697"/>
      <c r="HVE199" s="697"/>
      <c r="HVF199" s="697"/>
      <c r="HVG199" s="697"/>
      <c r="HVH199" s="697"/>
      <c r="HVI199" s="697"/>
      <c r="HVJ199" s="697"/>
      <c r="HVK199" s="697"/>
      <c r="HVL199" s="697"/>
      <c r="HVM199" s="697"/>
      <c r="HVN199" s="697"/>
      <c r="HVO199" s="697"/>
      <c r="HVP199" s="697"/>
      <c r="HVQ199" s="697"/>
      <c r="HVR199" s="697"/>
      <c r="HVS199" s="697"/>
      <c r="HVT199" s="697"/>
      <c r="HVU199" s="697"/>
      <c r="HVV199" s="697"/>
      <c r="HVW199" s="697"/>
      <c r="HVX199" s="697"/>
      <c r="HVY199" s="697"/>
      <c r="HVZ199" s="697"/>
      <c r="HWA199" s="697"/>
      <c r="HWB199" s="697"/>
      <c r="HWC199" s="697"/>
      <c r="HWD199" s="697"/>
      <c r="HWE199" s="697"/>
      <c r="HWF199" s="697"/>
      <c r="HWG199" s="697"/>
      <c r="HWH199" s="697"/>
      <c r="HWI199" s="697"/>
      <c r="HWJ199" s="697"/>
      <c r="HWK199" s="697"/>
      <c r="HWL199" s="697"/>
      <c r="HWM199" s="697"/>
      <c r="HWN199" s="697"/>
      <c r="HWO199" s="697"/>
      <c r="HWP199" s="697"/>
      <c r="HWQ199" s="697"/>
      <c r="HWR199" s="697"/>
      <c r="HWS199" s="697"/>
      <c r="HWT199" s="697"/>
      <c r="HWU199" s="697"/>
      <c r="HWV199" s="697"/>
      <c r="HWW199" s="697"/>
      <c r="HWX199" s="697"/>
      <c r="HWY199" s="697"/>
      <c r="HWZ199" s="697"/>
      <c r="HXA199" s="697"/>
      <c r="HXB199" s="697"/>
      <c r="HXC199" s="697"/>
      <c r="HXD199" s="697"/>
      <c r="HXE199" s="697"/>
      <c r="HXF199" s="697"/>
      <c r="HXG199" s="697"/>
      <c r="HXH199" s="697"/>
      <c r="HXI199" s="697"/>
      <c r="HXJ199" s="697"/>
      <c r="HXK199" s="697"/>
      <c r="HXL199" s="697"/>
      <c r="HXM199" s="697"/>
      <c r="HXN199" s="697"/>
      <c r="HXO199" s="697"/>
      <c r="HXP199" s="697"/>
      <c r="HXQ199" s="697"/>
      <c r="HXR199" s="697"/>
      <c r="HXS199" s="697"/>
      <c r="HXT199" s="697"/>
      <c r="HXU199" s="697"/>
      <c r="HXV199" s="697"/>
      <c r="HXW199" s="697"/>
      <c r="HXX199" s="697"/>
      <c r="HXY199" s="697"/>
      <c r="HXZ199" s="697"/>
      <c r="HYA199" s="697"/>
      <c r="HYB199" s="697"/>
      <c r="HYC199" s="697"/>
      <c r="HYD199" s="697"/>
      <c r="HYE199" s="697"/>
      <c r="HYF199" s="697"/>
      <c r="HYG199" s="697"/>
      <c r="HYH199" s="697"/>
      <c r="HYI199" s="697"/>
      <c r="HYJ199" s="697"/>
      <c r="HYK199" s="697"/>
      <c r="HYL199" s="697"/>
      <c r="HYM199" s="697"/>
      <c r="HYN199" s="697"/>
      <c r="HYO199" s="697"/>
      <c r="HYP199" s="697"/>
      <c r="HYQ199" s="697"/>
      <c r="HYR199" s="697"/>
      <c r="HYS199" s="697"/>
      <c r="HYT199" s="697"/>
      <c r="HYU199" s="697"/>
      <c r="HYV199" s="697"/>
      <c r="HYW199" s="697"/>
      <c r="HYX199" s="697"/>
      <c r="HYY199" s="697"/>
      <c r="HYZ199" s="697"/>
      <c r="HZA199" s="697"/>
      <c r="HZB199" s="697"/>
      <c r="HZC199" s="697"/>
      <c r="HZD199" s="697"/>
      <c r="HZE199" s="697"/>
      <c r="HZF199" s="697"/>
      <c r="HZG199" s="697"/>
      <c r="HZH199" s="697"/>
      <c r="HZI199" s="697"/>
      <c r="HZJ199" s="697"/>
      <c r="HZK199" s="697"/>
      <c r="HZL199" s="697"/>
      <c r="HZM199" s="697"/>
      <c r="HZN199" s="697"/>
      <c r="HZO199" s="697"/>
      <c r="HZP199" s="697"/>
      <c r="HZQ199" s="697"/>
      <c r="HZR199" s="697"/>
      <c r="HZS199" s="697"/>
      <c r="HZT199" s="697"/>
      <c r="HZU199" s="697"/>
      <c r="HZV199" s="697"/>
      <c r="HZW199" s="697"/>
      <c r="HZX199" s="697"/>
      <c r="HZY199" s="697"/>
      <c r="HZZ199" s="697"/>
      <c r="IAA199" s="697"/>
      <c r="IAB199" s="697"/>
      <c r="IAC199" s="697"/>
      <c r="IAD199" s="697"/>
      <c r="IAE199" s="697"/>
      <c r="IAF199" s="697"/>
      <c r="IAG199" s="697"/>
      <c r="IAH199" s="697"/>
      <c r="IAI199" s="697"/>
      <c r="IAJ199" s="697"/>
      <c r="IAK199" s="697"/>
      <c r="IAL199" s="697"/>
      <c r="IAM199" s="697"/>
      <c r="IAN199" s="697"/>
      <c r="IAO199" s="697"/>
      <c r="IAP199" s="697"/>
      <c r="IAQ199" s="697"/>
      <c r="IAR199" s="697"/>
      <c r="IAS199" s="697"/>
      <c r="IAT199" s="697"/>
      <c r="IAU199" s="697"/>
      <c r="IAV199" s="697"/>
      <c r="IAW199" s="697"/>
      <c r="IAX199" s="697"/>
      <c r="IAY199" s="697"/>
      <c r="IAZ199" s="697"/>
      <c r="IBA199" s="697"/>
      <c r="IBB199" s="697"/>
      <c r="IBC199" s="697"/>
      <c r="IBD199" s="697"/>
      <c r="IBE199" s="697"/>
      <c r="IBF199" s="697"/>
      <c r="IBG199" s="697"/>
      <c r="IBH199" s="697"/>
      <c r="IBI199" s="697"/>
      <c r="IBJ199" s="697"/>
      <c r="IBK199" s="697"/>
      <c r="IBL199" s="697"/>
      <c r="IBM199" s="697"/>
      <c r="IBN199" s="697"/>
      <c r="IBO199" s="697"/>
      <c r="IBP199" s="697"/>
      <c r="IBQ199" s="697"/>
      <c r="IBR199" s="697"/>
      <c r="IBS199" s="697"/>
      <c r="IBT199" s="697"/>
      <c r="IBU199" s="697"/>
      <c r="IBV199" s="697"/>
      <c r="IBW199" s="697"/>
      <c r="IBX199" s="697"/>
      <c r="IBY199" s="697"/>
      <c r="IBZ199" s="697"/>
      <c r="ICA199" s="697"/>
      <c r="ICB199" s="697"/>
      <c r="ICC199" s="697"/>
      <c r="ICD199" s="697"/>
      <c r="ICE199" s="697"/>
      <c r="ICF199" s="697"/>
      <c r="ICG199" s="697"/>
      <c r="ICH199" s="697"/>
      <c r="ICI199" s="697"/>
      <c r="ICJ199" s="697"/>
      <c r="ICK199" s="697"/>
      <c r="ICL199" s="697"/>
      <c r="ICM199" s="697"/>
      <c r="ICN199" s="697"/>
      <c r="ICO199" s="697"/>
      <c r="ICP199" s="697"/>
      <c r="ICQ199" s="697"/>
      <c r="ICR199" s="697"/>
      <c r="ICS199" s="697"/>
      <c r="ICT199" s="697"/>
      <c r="ICU199" s="697"/>
      <c r="ICV199" s="697"/>
      <c r="ICW199" s="697"/>
      <c r="ICX199" s="697"/>
      <c r="ICY199" s="697"/>
      <c r="ICZ199" s="697"/>
      <c r="IDA199" s="697"/>
      <c r="IDB199" s="697"/>
      <c r="IDC199" s="697"/>
      <c r="IDD199" s="697"/>
      <c r="IDE199" s="697"/>
      <c r="IDF199" s="697"/>
      <c r="IDG199" s="697"/>
      <c r="IDH199" s="697"/>
      <c r="IDI199" s="697"/>
      <c r="IDJ199" s="697"/>
      <c r="IDK199" s="697"/>
      <c r="IDL199" s="697"/>
      <c r="IDM199" s="697"/>
      <c r="IDN199" s="697"/>
      <c r="IDO199" s="697"/>
      <c r="IDP199" s="697"/>
      <c r="IDQ199" s="697"/>
      <c r="IDR199" s="697"/>
      <c r="IDS199" s="697"/>
      <c r="IDT199" s="697"/>
      <c r="IDU199" s="697"/>
      <c r="IDV199" s="697"/>
      <c r="IDW199" s="697"/>
      <c r="IDX199" s="697"/>
      <c r="IDY199" s="697"/>
      <c r="IDZ199" s="697"/>
      <c r="IEA199" s="697"/>
      <c r="IEB199" s="697"/>
      <c r="IEC199" s="697"/>
      <c r="IED199" s="697"/>
      <c r="IEE199" s="697"/>
      <c r="IEF199" s="697"/>
      <c r="IEG199" s="697"/>
      <c r="IEH199" s="697"/>
      <c r="IEI199" s="697"/>
      <c r="IEJ199" s="697"/>
      <c r="IEK199" s="697"/>
      <c r="IEL199" s="697"/>
      <c r="IEM199" s="697"/>
      <c r="IEN199" s="697"/>
      <c r="IEO199" s="697"/>
      <c r="IEP199" s="697"/>
      <c r="IEQ199" s="697"/>
      <c r="IER199" s="697"/>
      <c r="IES199" s="697"/>
      <c r="IET199" s="697"/>
      <c r="IEU199" s="697"/>
      <c r="IEV199" s="697"/>
      <c r="IEW199" s="697"/>
      <c r="IEX199" s="697"/>
      <c r="IEY199" s="697"/>
      <c r="IEZ199" s="697"/>
      <c r="IFA199" s="697"/>
      <c r="IFB199" s="697"/>
      <c r="IFC199" s="697"/>
      <c r="IFD199" s="697"/>
      <c r="IFE199" s="697"/>
      <c r="IFF199" s="697"/>
      <c r="IFG199" s="697"/>
      <c r="IFH199" s="697"/>
      <c r="IFI199" s="697"/>
      <c r="IFJ199" s="697"/>
      <c r="IFK199" s="697"/>
      <c r="IFL199" s="697"/>
      <c r="IFM199" s="697"/>
      <c r="IFN199" s="697"/>
      <c r="IFO199" s="697"/>
      <c r="IFP199" s="697"/>
      <c r="IFQ199" s="697"/>
      <c r="IFR199" s="697"/>
      <c r="IFS199" s="697"/>
      <c r="IFT199" s="697"/>
      <c r="IFU199" s="697"/>
      <c r="IFV199" s="697"/>
      <c r="IFW199" s="697"/>
      <c r="IFX199" s="697"/>
      <c r="IFY199" s="697"/>
      <c r="IFZ199" s="697"/>
      <c r="IGA199" s="697"/>
      <c r="IGB199" s="697"/>
      <c r="IGC199" s="697"/>
      <c r="IGD199" s="697"/>
      <c r="IGE199" s="697"/>
      <c r="IGF199" s="697"/>
      <c r="IGG199" s="697"/>
      <c r="IGH199" s="697"/>
      <c r="IGI199" s="697"/>
      <c r="IGJ199" s="697"/>
      <c r="IGK199" s="697"/>
      <c r="IGL199" s="697"/>
      <c r="IGM199" s="697"/>
      <c r="IGN199" s="697"/>
      <c r="IGO199" s="697"/>
      <c r="IGP199" s="697"/>
      <c r="IGQ199" s="697"/>
      <c r="IGR199" s="697"/>
      <c r="IGS199" s="697"/>
      <c r="IGT199" s="697"/>
      <c r="IGU199" s="697"/>
      <c r="IGV199" s="697"/>
      <c r="IGW199" s="697"/>
      <c r="IGX199" s="697"/>
      <c r="IGY199" s="697"/>
      <c r="IGZ199" s="697"/>
      <c r="IHA199" s="697"/>
      <c r="IHB199" s="697"/>
      <c r="IHC199" s="697"/>
      <c r="IHD199" s="697"/>
      <c r="IHE199" s="697"/>
      <c r="IHF199" s="697"/>
      <c r="IHG199" s="697"/>
      <c r="IHH199" s="697"/>
      <c r="IHI199" s="697"/>
      <c r="IHJ199" s="697"/>
      <c r="IHK199" s="697"/>
      <c r="IHL199" s="697"/>
      <c r="IHM199" s="697"/>
      <c r="IHN199" s="697"/>
      <c r="IHO199" s="697"/>
      <c r="IHP199" s="697"/>
      <c r="IHQ199" s="697"/>
      <c r="IHR199" s="697"/>
      <c r="IHS199" s="697"/>
      <c r="IHT199" s="697"/>
      <c r="IHU199" s="697"/>
      <c r="IHV199" s="697"/>
      <c r="IHW199" s="697"/>
      <c r="IHX199" s="697"/>
      <c r="IHY199" s="697"/>
      <c r="IHZ199" s="697"/>
      <c r="IIA199" s="697"/>
      <c r="IIB199" s="697"/>
      <c r="IIC199" s="697"/>
      <c r="IID199" s="697"/>
      <c r="IIE199" s="697"/>
      <c r="IIF199" s="697"/>
      <c r="IIG199" s="697"/>
      <c r="IIH199" s="697"/>
      <c r="III199" s="697"/>
      <c r="IIJ199" s="697"/>
      <c r="IIK199" s="697"/>
      <c r="IIL199" s="697"/>
      <c r="IIM199" s="697"/>
      <c r="IIN199" s="697"/>
      <c r="IIO199" s="697"/>
      <c r="IIP199" s="697"/>
      <c r="IIQ199" s="697"/>
      <c r="IIR199" s="697"/>
      <c r="IIS199" s="697"/>
      <c r="IIT199" s="697"/>
      <c r="IIU199" s="697"/>
      <c r="IIV199" s="697"/>
      <c r="IIW199" s="697"/>
      <c r="IIX199" s="697"/>
      <c r="IIY199" s="697"/>
      <c r="IIZ199" s="697"/>
      <c r="IJA199" s="697"/>
      <c r="IJB199" s="697"/>
      <c r="IJC199" s="697"/>
      <c r="IJD199" s="697"/>
      <c r="IJE199" s="697"/>
      <c r="IJF199" s="697"/>
      <c r="IJG199" s="697"/>
      <c r="IJH199" s="697"/>
      <c r="IJI199" s="697"/>
      <c r="IJJ199" s="697"/>
      <c r="IJK199" s="697"/>
      <c r="IJL199" s="697"/>
      <c r="IJM199" s="697"/>
      <c r="IJN199" s="697"/>
      <c r="IJO199" s="697"/>
      <c r="IJP199" s="697"/>
      <c r="IJQ199" s="697"/>
      <c r="IJR199" s="697"/>
      <c r="IJS199" s="697"/>
      <c r="IJT199" s="697"/>
      <c r="IJU199" s="697"/>
      <c r="IJV199" s="697"/>
      <c r="IJW199" s="697"/>
      <c r="IJX199" s="697"/>
      <c r="IJY199" s="697"/>
      <c r="IJZ199" s="697"/>
      <c r="IKA199" s="697"/>
      <c r="IKB199" s="697"/>
      <c r="IKC199" s="697"/>
      <c r="IKD199" s="697"/>
      <c r="IKE199" s="697"/>
      <c r="IKF199" s="697"/>
      <c r="IKG199" s="697"/>
      <c r="IKH199" s="697"/>
      <c r="IKI199" s="697"/>
      <c r="IKJ199" s="697"/>
      <c r="IKK199" s="697"/>
      <c r="IKL199" s="697"/>
      <c r="IKM199" s="697"/>
      <c r="IKN199" s="697"/>
      <c r="IKO199" s="697"/>
      <c r="IKP199" s="697"/>
      <c r="IKQ199" s="697"/>
      <c r="IKR199" s="697"/>
      <c r="IKS199" s="697"/>
      <c r="IKT199" s="697"/>
      <c r="IKU199" s="697"/>
      <c r="IKV199" s="697"/>
      <c r="IKW199" s="697"/>
      <c r="IKX199" s="697"/>
      <c r="IKY199" s="697"/>
      <c r="IKZ199" s="697"/>
      <c r="ILA199" s="697"/>
      <c r="ILB199" s="697"/>
      <c r="ILC199" s="697"/>
      <c r="ILD199" s="697"/>
      <c r="ILE199" s="697"/>
      <c r="ILF199" s="697"/>
      <c r="ILG199" s="697"/>
      <c r="ILH199" s="697"/>
      <c r="ILI199" s="697"/>
      <c r="ILJ199" s="697"/>
      <c r="ILK199" s="697"/>
      <c r="ILL199" s="697"/>
      <c r="ILM199" s="697"/>
      <c r="ILN199" s="697"/>
      <c r="ILO199" s="697"/>
      <c r="ILP199" s="697"/>
      <c r="ILQ199" s="697"/>
      <c r="ILR199" s="697"/>
      <c r="ILS199" s="697"/>
      <c r="ILT199" s="697"/>
      <c r="ILU199" s="697"/>
      <c r="ILV199" s="697"/>
      <c r="ILW199" s="697"/>
      <c r="ILX199" s="697"/>
      <c r="ILY199" s="697"/>
      <c r="ILZ199" s="697"/>
      <c r="IMA199" s="697"/>
      <c r="IMB199" s="697"/>
      <c r="IMC199" s="697"/>
      <c r="IMD199" s="697"/>
      <c r="IME199" s="697"/>
      <c r="IMF199" s="697"/>
      <c r="IMG199" s="697"/>
      <c r="IMH199" s="697"/>
      <c r="IMI199" s="697"/>
      <c r="IMJ199" s="697"/>
      <c r="IMK199" s="697"/>
      <c r="IML199" s="697"/>
      <c r="IMM199" s="697"/>
      <c r="IMN199" s="697"/>
      <c r="IMO199" s="697"/>
      <c r="IMP199" s="697"/>
      <c r="IMQ199" s="697"/>
      <c r="IMR199" s="697"/>
      <c r="IMS199" s="697"/>
      <c r="IMT199" s="697"/>
      <c r="IMU199" s="697"/>
      <c r="IMV199" s="697"/>
      <c r="IMW199" s="697"/>
      <c r="IMX199" s="697"/>
      <c r="IMY199" s="697"/>
      <c r="IMZ199" s="697"/>
      <c r="INA199" s="697"/>
      <c r="INB199" s="697"/>
      <c r="INC199" s="697"/>
      <c r="IND199" s="697"/>
      <c r="INE199" s="697"/>
      <c r="INF199" s="697"/>
      <c r="ING199" s="697"/>
      <c r="INH199" s="697"/>
      <c r="INI199" s="697"/>
      <c r="INJ199" s="697"/>
      <c r="INK199" s="697"/>
      <c r="INL199" s="697"/>
      <c r="INM199" s="697"/>
      <c r="INN199" s="697"/>
      <c r="INO199" s="697"/>
      <c r="INP199" s="697"/>
      <c r="INQ199" s="697"/>
      <c r="INR199" s="697"/>
      <c r="INS199" s="697"/>
      <c r="INT199" s="697"/>
      <c r="INU199" s="697"/>
      <c r="INV199" s="697"/>
      <c r="INW199" s="697"/>
      <c r="INX199" s="697"/>
      <c r="INY199" s="697"/>
      <c r="INZ199" s="697"/>
      <c r="IOA199" s="697"/>
      <c r="IOB199" s="697"/>
      <c r="IOC199" s="697"/>
      <c r="IOD199" s="697"/>
      <c r="IOE199" s="697"/>
      <c r="IOF199" s="697"/>
      <c r="IOG199" s="697"/>
      <c r="IOH199" s="697"/>
      <c r="IOI199" s="697"/>
      <c r="IOJ199" s="697"/>
      <c r="IOK199" s="697"/>
      <c r="IOL199" s="697"/>
      <c r="IOM199" s="697"/>
      <c r="ION199" s="697"/>
      <c r="IOO199" s="697"/>
      <c r="IOP199" s="697"/>
      <c r="IOQ199" s="697"/>
      <c r="IOR199" s="697"/>
      <c r="IOS199" s="697"/>
      <c r="IOT199" s="697"/>
      <c r="IOU199" s="697"/>
      <c r="IOV199" s="697"/>
      <c r="IOW199" s="697"/>
      <c r="IOX199" s="697"/>
      <c r="IOY199" s="697"/>
      <c r="IOZ199" s="697"/>
      <c r="IPA199" s="697"/>
      <c r="IPB199" s="697"/>
      <c r="IPC199" s="697"/>
      <c r="IPD199" s="697"/>
      <c r="IPE199" s="697"/>
      <c r="IPF199" s="697"/>
      <c r="IPG199" s="697"/>
      <c r="IPH199" s="697"/>
      <c r="IPI199" s="697"/>
      <c r="IPJ199" s="697"/>
      <c r="IPK199" s="697"/>
      <c r="IPL199" s="697"/>
      <c r="IPM199" s="697"/>
      <c r="IPN199" s="697"/>
      <c r="IPO199" s="697"/>
      <c r="IPP199" s="697"/>
      <c r="IPQ199" s="697"/>
      <c r="IPR199" s="697"/>
      <c r="IPS199" s="697"/>
      <c r="IPT199" s="697"/>
      <c r="IPU199" s="697"/>
      <c r="IPV199" s="697"/>
      <c r="IPW199" s="697"/>
      <c r="IPX199" s="697"/>
      <c r="IPY199" s="697"/>
      <c r="IPZ199" s="697"/>
      <c r="IQA199" s="697"/>
      <c r="IQB199" s="697"/>
      <c r="IQC199" s="697"/>
      <c r="IQD199" s="697"/>
      <c r="IQE199" s="697"/>
      <c r="IQF199" s="697"/>
      <c r="IQG199" s="697"/>
      <c r="IQH199" s="697"/>
      <c r="IQI199" s="697"/>
      <c r="IQJ199" s="697"/>
      <c r="IQK199" s="697"/>
      <c r="IQL199" s="697"/>
      <c r="IQM199" s="697"/>
      <c r="IQN199" s="697"/>
      <c r="IQO199" s="697"/>
      <c r="IQP199" s="697"/>
      <c r="IQQ199" s="697"/>
      <c r="IQR199" s="697"/>
      <c r="IQS199" s="697"/>
      <c r="IQT199" s="697"/>
      <c r="IQU199" s="697"/>
      <c r="IQV199" s="697"/>
      <c r="IQW199" s="697"/>
      <c r="IQX199" s="697"/>
      <c r="IQY199" s="697"/>
      <c r="IQZ199" s="697"/>
      <c r="IRA199" s="697"/>
      <c r="IRB199" s="697"/>
      <c r="IRC199" s="697"/>
      <c r="IRD199" s="697"/>
      <c r="IRE199" s="697"/>
      <c r="IRF199" s="697"/>
      <c r="IRG199" s="697"/>
      <c r="IRH199" s="697"/>
      <c r="IRI199" s="697"/>
      <c r="IRJ199" s="697"/>
      <c r="IRK199" s="697"/>
      <c r="IRL199" s="697"/>
      <c r="IRM199" s="697"/>
      <c r="IRN199" s="697"/>
      <c r="IRO199" s="697"/>
      <c r="IRP199" s="697"/>
      <c r="IRQ199" s="697"/>
      <c r="IRR199" s="697"/>
      <c r="IRS199" s="697"/>
      <c r="IRT199" s="697"/>
      <c r="IRU199" s="697"/>
      <c r="IRV199" s="697"/>
      <c r="IRW199" s="697"/>
      <c r="IRX199" s="697"/>
      <c r="IRY199" s="697"/>
      <c r="IRZ199" s="697"/>
      <c r="ISA199" s="697"/>
      <c r="ISB199" s="697"/>
      <c r="ISC199" s="697"/>
      <c r="ISD199" s="697"/>
      <c r="ISE199" s="697"/>
      <c r="ISF199" s="697"/>
      <c r="ISG199" s="697"/>
      <c r="ISH199" s="697"/>
      <c r="ISI199" s="697"/>
      <c r="ISJ199" s="697"/>
      <c r="ISK199" s="697"/>
      <c r="ISL199" s="697"/>
      <c r="ISM199" s="697"/>
      <c r="ISN199" s="697"/>
      <c r="ISO199" s="697"/>
      <c r="ISP199" s="697"/>
      <c r="ISQ199" s="697"/>
      <c r="ISR199" s="697"/>
      <c r="ISS199" s="697"/>
      <c r="IST199" s="697"/>
      <c r="ISU199" s="697"/>
      <c r="ISV199" s="697"/>
      <c r="ISW199" s="697"/>
      <c r="ISX199" s="697"/>
      <c r="ISY199" s="697"/>
      <c r="ISZ199" s="697"/>
      <c r="ITA199" s="697"/>
      <c r="ITB199" s="697"/>
      <c r="ITC199" s="697"/>
      <c r="ITD199" s="697"/>
      <c r="ITE199" s="697"/>
      <c r="ITF199" s="697"/>
      <c r="ITG199" s="697"/>
      <c r="ITH199" s="697"/>
      <c r="ITI199" s="697"/>
      <c r="ITJ199" s="697"/>
      <c r="ITK199" s="697"/>
      <c r="ITL199" s="697"/>
      <c r="ITM199" s="697"/>
      <c r="ITN199" s="697"/>
      <c r="ITO199" s="697"/>
      <c r="ITP199" s="697"/>
      <c r="ITQ199" s="697"/>
      <c r="ITR199" s="697"/>
      <c r="ITS199" s="697"/>
      <c r="ITT199" s="697"/>
      <c r="ITU199" s="697"/>
      <c r="ITV199" s="697"/>
      <c r="ITW199" s="697"/>
      <c r="ITX199" s="697"/>
      <c r="ITY199" s="697"/>
      <c r="ITZ199" s="697"/>
      <c r="IUA199" s="697"/>
      <c r="IUB199" s="697"/>
      <c r="IUC199" s="697"/>
      <c r="IUD199" s="697"/>
      <c r="IUE199" s="697"/>
      <c r="IUF199" s="697"/>
      <c r="IUG199" s="697"/>
      <c r="IUH199" s="697"/>
      <c r="IUI199" s="697"/>
      <c r="IUJ199" s="697"/>
      <c r="IUK199" s="697"/>
      <c r="IUL199" s="697"/>
      <c r="IUM199" s="697"/>
      <c r="IUN199" s="697"/>
      <c r="IUO199" s="697"/>
      <c r="IUP199" s="697"/>
      <c r="IUQ199" s="697"/>
      <c r="IUR199" s="697"/>
      <c r="IUS199" s="697"/>
      <c r="IUT199" s="697"/>
      <c r="IUU199" s="697"/>
      <c r="IUV199" s="697"/>
      <c r="IUW199" s="697"/>
      <c r="IUX199" s="697"/>
      <c r="IUY199" s="697"/>
      <c r="IUZ199" s="697"/>
      <c r="IVA199" s="697"/>
      <c r="IVB199" s="697"/>
      <c r="IVC199" s="697"/>
      <c r="IVD199" s="697"/>
      <c r="IVE199" s="697"/>
      <c r="IVF199" s="697"/>
      <c r="IVG199" s="697"/>
      <c r="IVH199" s="697"/>
      <c r="IVI199" s="697"/>
      <c r="IVJ199" s="697"/>
      <c r="IVK199" s="697"/>
      <c r="IVL199" s="697"/>
      <c r="IVM199" s="697"/>
      <c r="IVN199" s="697"/>
      <c r="IVO199" s="697"/>
      <c r="IVP199" s="697"/>
      <c r="IVQ199" s="697"/>
      <c r="IVR199" s="697"/>
      <c r="IVS199" s="697"/>
      <c r="IVT199" s="697"/>
      <c r="IVU199" s="697"/>
      <c r="IVV199" s="697"/>
      <c r="IVW199" s="697"/>
      <c r="IVX199" s="697"/>
      <c r="IVY199" s="697"/>
      <c r="IVZ199" s="697"/>
      <c r="IWA199" s="697"/>
      <c r="IWB199" s="697"/>
      <c r="IWC199" s="697"/>
      <c r="IWD199" s="697"/>
      <c r="IWE199" s="697"/>
      <c r="IWF199" s="697"/>
      <c r="IWG199" s="697"/>
      <c r="IWH199" s="697"/>
      <c r="IWI199" s="697"/>
      <c r="IWJ199" s="697"/>
      <c r="IWK199" s="697"/>
      <c r="IWL199" s="697"/>
      <c r="IWM199" s="697"/>
      <c r="IWN199" s="697"/>
      <c r="IWO199" s="697"/>
      <c r="IWP199" s="697"/>
      <c r="IWQ199" s="697"/>
      <c r="IWR199" s="697"/>
      <c r="IWS199" s="697"/>
      <c r="IWT199" s="697"/>
      <c r="IWU199" s="697"/>
      <c r="IWV199" s="697"/>
      <c r="IWW199" s="697"/>
      <c r="IWX199" s="697"/>
      <c r="IWY199" s="697"/>
      <c r="IWZ199" s="697"/>
      <c r="IXA199" s="697"/>
      <c r="IXB199" s="697"/>
      <c r="IXC199" s="697"/>
      <c r="IXD199" s="697"/>
      <c r="IXE199" s="697"/>
      <c r="IXF199" s="697"/>
      <c r="IXG199" s="697"/>
      <c r="IXH199" s="697"/>
      <c r="IXI199" s="697"/>
      <c r="IXJ199" s="697"/>
      <c r="IXK199" s="697"/>
      <c r="IXL199" s="697"/>
      <c r="IXM199" s="697"/>
      <c r="IXN199" s="697"/>
      <c r="IXO199" s="697"/>
      <c r="IXP199" s="697"/>
      <c r="IXQ199" s="697"/>
      <c r="IXR199" s="697"/>
      <c r="IXS199" s="697"/>
      <c r="IXT199" s="697"/>
      <c r="IXU199" s="697"/>
      <c r="IXV199" s="697"/>
      <c r="IXW199" s="697"/>
      <c r="IXX199" s="697"/>
      <c r="IXY199" s="697"/>
      <c r="IXZ199" s="697"/>
      <c r="IYA199" s="697"/>
      <c r="IYB199" s="697"/>
      <c r="IYC199" s="697"/>
      <c r="IYD199" s="697"/>
      <c r="IYE199" s="697"/>
      <c r="IYF199" s="697"/>
      <c r="IYG199" s="697"/>
      <c r="IYH199" s="697"/>
      <c r="IYI199" s="697"/>
      <c r="IYJ199" s="697"/>
      <c r="IYK199" s="697"/>
      <c r="IYL199" s="697"/>
      <c r="IYM199" s="697"/>
      <c r="IYN199" s="697"/>
      <c r="IYO199" s="697"/>
      <c r="IYP199" s="697"/>
      <c r="IYQ199" s="697"/>
      <c r="IYR199" s="697"/>
      <c r="IYS199" s="697"/>
      <c r="IYT199" s="697"/>
      <c r="IYU199" s="697"/>
      <c r="IYV199" s="697"/>
      <c r="IYW199" s="697"/>
      <c r="IYX199" s="697"/>
      <c r="IYY199" s="697"/>
      <c r="IYZ199" s="697"/>
      <c r="IZA199" s="697"/>
      <c r="IZB199" s="697"/>
      <c r="IZC199" s="697"/>
      <c r="IZD199" s="697"/>
      <c r="IZE199" s="697"/>
      <c r="IZF199" s="697"/>
      <c r="IZG199" s="697"/>
      <c r="IZH199" s="697"/>
      <c r="IZI199" s="697"/>
      <c r="IZJ199" s="697"/>
      <c r="IZK199" s="697"/>
      <c r="IZL199" s="697"/>
      <c r="IZM199" s="697"/>
      <c r="IZN199" s="697"/>
      <c r="IZO199" s="697"/>
      <c r="IZP199" s="697"/>
      <c r="IZQ199" s="697"/>
      <c r="IZR199" s="697"/>
      <c r="IZS199" s="697"/>
      <c r="IZT199" s="697"/>
      <c r="IZU199" s="697"/>
      <c r="IZV199" s="697"/>
      <c r="IZW199" s="697"/>
      <c r="IZX199" s="697"/>
      <c r="IZY199" s="697"/>
      <c r="IZZ199" s="697"/>
      <c r="JAA199" s="697"/>
      <c r="JAB199" s="697"/>
      <c r="JAC199" s="697"/>
      <c r="JAD199" s="697"/>
      <c r="JAE199" s="697"/>
      <c r="JAF199" s="697"/>
      <c r="JAG199" s="697"/>
      <c r="JAH199" s="697"/>
      <c r="JAI199" s="697"/>
      <c r="JAJ199" s="697"/>
      <c r="JAK199" s="697"/>
      <c r="JAL199" s="697"/>
      <c r="JAM199" s="697"/>
      <c r="JAN199" s="697"/>
      <c r="JAO199" s="697"/>
      <c r="JAP199" s="697"/>
      <c r="JAQ199" s="697"/>
      <c r="JAR199" s="697"/>
      <c r="JAS199" s="697"/>
      <c r="JAT199" s="697"/>
      <c r="JAU199" s="697"/>
      <c r="JAV199" s="697"/>
      <c r="JAW199" s="697"/>
      <c r="JAX199" s="697"/>
      <c r="JAY199" s="697"/>
      <c r="JAZ199" s="697"/>
      <c r="JBA199" s="697"/>
      <c r="JBB199" s="697"/>
      <c r="JBC199" s="697"/>
      <c r="JBD199" s="697"/>
      <c r="JBE199" s="697"/>
      <c r="JBF199" s="697"/>
      <c r="JBG199" s="697"/>
      <c r="JBH199" s="697"/>
      <c r="JBI199" s="697"/>
      <c r="JBJ199" s="697"/>
      <c r="JBK199" s="697"/>
      <c r="JBL199" s="697"/>
      <c r="JBM199" s="697"/>
      <c r="JBN199" s="697"/>
      <c r="JBO199" s="697"/>
      <c r="JBP199" s="697"/>
      <c r="JBQ199" s="697"/>
      <c r="JBR199" s="697"/>
      <c r="JBS199" s="697"/>
      <c r="JBT199" s="697"/>
      <c r="JBU199" s="697"/>
      <c r="JBV199" s="697"/>
      <c r="JBW199" s="697"/>
      <c r="JBX199" s="697"/>
      <c r="JBY199" s="697"/>
      <c r="JBZ199" s="697"/>
      <c r="JCA199" s="697"/>
      <c r="JCB199" s="697"/>
      <c r="JCC199" s="697"/>
      <c r="JCD199" s="697"/>
      <c r="JCE199" s="697"/>
      <c r="JCF199" s="697"/>
      <c r="JCG199" s="697"/>
      <c r="JCH199" s="697"/>
      <c r="JCI199" s="697"/>
      <c r="JCJ199" s="697"/>
      <c r="JCK199" s="697"/>
      <c r="JCL199" s="697"/>
      <c r="JCM199" s="697"/>
      <c r="JCN199" s="697"/>
      <c r="JCO199" s="697"/>
      <c r="JCP199" s="697"/>
      <c r="JCQ199" s="697"/>
      <c r="JCR199" s="697"/>
      <c r="JCS199" s="697"/>
      <c r="JCT199" s="697"/>
      <c r="JCU199" s="697"/>
      <c r="JCV199" s="697"/>
      <c r="JCW199" s="697"/>
      <c r="JCX199" s="697"/>
      <c r="JCY199" s="697"/>
      <c r="JCZ199" s="697"/>
      <c r="JDA199" s="697"/>
      <c r="JDB199" s="697"/>
      <c r="JDC199" s="697"/>
      <c r="JDD199" s="697"/>
      <c r="JDE199" s="697"/>
      <c r="JDF199" s="697"/>
      <c r="JDG199" s="697"/>
      <c r="JDH199" s="697"/>
      <c r="JDI199" s="697"/>
      <c r="JDJ199" s="697"/>
      <c r="JDK199" s="697"/>
      <c r="JDL199" s="697"/>
      <c r="JDM199" s="697"/>
      <c r="JDN199" s="697"/>
      <c r="JDO199" s="697"/>
      <c r="JDP199" s="697"/>
      <c r="JDQ199" s="697"/>
      <c r="JDR199" s="697"/>
      <c r="JDS199" s="697"/>
      <c r="JDT199" s="697"/>
      <c r="JDU199" s="697"/>
      <c r="JDV199" s="697"/>
      <c r="JDW199" s="697"/>
      <c r="JDX199" s="697"/>
      <c r="JDY199" s="697"/>
      <c r="JDZ199" s="697"/>
      <c r="JEA199" s="697"/>
      <c r="JEB199" s="697"/>
      <c r="JEC199" s="697"/>
      <c r="JED199" s="697"/>
      <c r="JEE199" s="697"/>
      <c r="JEF199" s="697"/>
      <c r="JEG199" s="697"/>
      <c r="JEH199" s="697"/>
      <c r="JEI199" s="697"/>
      <c r="JEJ199" s="697"/>
      <c r="JEK199" s="697"/>
      <c r="JEL199" s="697"/>
      <c r="JEM199" s="697"/>
      <c r="JEN199" s="697"/>
      <c r="JEO199" s="697"/>
      <c r="JEP199" s="697"/>
      <c r="JEQ199" s="697"/>
      <c r="JER199" s="697"/>
      <c r="JES199" s="697"/>
      <c r="JET199" s="697"/>
      <c r="JEU199" s="697"/>
      <c r="JEV199" s="697"/>
      <c r="JEW199" s="697"/>
      <c r="JEX199" s="697"/>
      <c r="JEY199" s="697"/>
      <c r="JEZ199" s="697"/>
      <c r="JFA199" s="697"/>
      <c r="JFB199" s="697"/>
      <c r="JFC199" s="697"/>
      <c r="JFD199" s="697"/>
      <c r="JFE199" s="697"/>
      <c r="JFF199" s="697"/>
      <c r="JFG199" s="697"/>
      <c r="JFH199" s="697"/>
      <c r="JFI199" s="697"/>
      <c r="JFJ199" s="697"/>
      <c r="JFK199" s="697"/>
      <c r="JFL199" s="697"/>
      <c r="JFM199" s="697"/>
      <c r="JFN199" s="697"/>
      <c r="JFO199" s="697"/>
      <c r="JFP199" s="697"/>
      <c r="JFQ199" s="697"/>
      <c r="JFR199" s="697"/>
      <c r="JFS199" s="697"/>
      <c r="JFT199" s="697"/>
      <c r="JFU199" s="697"/>
      <c r="JFV199" s="697"/>
      <c r="JFW199" s="697"/>
      <c r="JFX199" s="697"/>
      <c r="JFY199" s="697"/>
      <c r="JFZ199" s="697"/>
      <c r="JGA199" s="697"/>
      <c r="JGB199" s="697"/>
      <c r="JGC199" s="697"/>
      <c r="JGD199" s="697"/>
      <c r="JGE199" s="697"/>
      <c r="JGF199" s="697"/>
      <c r="JGG199" s="697"/>
      <c r="JGH199" s="697"/>
      <c r="JGI199" s="697"/>
      <c r="JGJ199" s="697"/>
      <c r="JGK199" s="697"/>
      <c r="JGL199" s="697"/>
      <c r="JGM199" s="697"/>
      <c r="JGN199" s="697"/>
      <c r="JGO199" s="697"/>
      <c r="JGP199" s="697"/>
      <c r="JGQ199" s="697"/>
      <c r="JGR199" s="697"/>
      <c r="JGS199" s="697"/>
      <c r="JGT199" s="697"/>
      <c r="JGU199" s="697"/>
      <c r="JGV199" s="697"/>
      <c r="JGW199" s="697"/>
      <c r="JGX199" s="697"/>
      <c r="JGY199" s="697"/>
      <c r="JGZ199" s="697"/>
      <c r="JHA199" s="697"/>
      <c r="JHB199" s="697"/>
      <c r="JHC199" s="697"/>
      <c r="JHD199" s="697"/>
      <c r="JHE199" s="697"/>
      <c r="JHF199" s="697"/>
      <c r="JHG199" s="697"/>
      <c r="JHH199" s="697"/>
      <c r="JHI199" s="697"/>
      <c r="JHJ199" s="697"/>
      <c r="JHK199" s="697"/>
      <c r="JHL199" s="697"/>
      <c r="JHM199" s="697"/>
      <c r="JHN199" s="697"/>
      <c r="JHO199" s="697"/>
      <c r="JHP199" s="697"/>
      <c r="JHQ199" s="697"/>
      <c r="JHR199" s="697"/>
      <c r="JHS199" s="697"/>
      <c r="JHT199" s="697"/>
      <c r="JHU199" s="697"/>
      <c r="JHV199" s="697"/>
      <c r="JHW199" s="697"/>
      <c r="JHX199" s="697"/>
      <c r="JHY199" s="697"/>
      <c r="JHZ199" s="697"/>
      <c r="JIA199" s="697"/>
      <c r="JIB199" s="697"/>
      <c r="JIC199" s="697"/>
      <c r="JID199" s="697"/>
      <c r="JIE199" s="697"/>
      <c r="JIF199" s="697"/>
      <c r="JIG199" s="697"/>
      <c r="JIH199" s="697"/>
      <c r="JII199" s="697"/>
      <c r="JIJ199" s="697"/>
      <c r="JIK199" s="697"/>
      <c r="JIL199" s="697"/>
      <c r="JIM199" s="697"/>
      <c r="JIN199" s="697"/>
      <c r="JIO199" s="697"/>
      <c r="JIP199" s="697"/>
      <c r="JIQ199" s="697"/>
      <c r="JIR199" s="697"/>
      <c r="JIS199" s="697"/>
      <c r="JIT199" s="697"/>
      <c r="JIU199" s="697"/>
      <c r="JIV199" s="697"/>
      <c r="JIW199" s="697"/>
      <c r="JIX199" s="697"/>
      <c r="JIY199" s="697"/>
      <c r="JIZ199" s="697"/>
      <c r="JJA199" s="697"/>
      <c r="JJB199" s="697"/>
      <c r="JJC199" s="697"/>
      <c r="JJD199" s="697"/>
      <c r="JJE199" s="697"/>
      <c r="JJF199" s="697"/>
      <c r="JJG199" s="697"/>
      <c r="JJH199" s="697"/>
      <c r="JJI199" s="697"/>
      <c r="JJJ199" s="697"/>
      <c r="JJK199" s="697"/>
      <c r="JJL199" s="697"/>
      <c r="JJM199" s="697"/>
      <c r="JJN199" s="697"/>
      <c r="JJO199" s="697"/>
      <c r="JJP199" s="697"/>
      <c r="JJQ199" s="697"/>
      <c r="JJR199" s="697"/>
      <c r="JJS199" s="697"/>
      <c r="JJT199" s="697"/>
      <c r="JJU199" s="697"/>
      <c r="JJV199" s="697"/>
      <c r="JJW199" s="697"/>
      <c r="JJX199" s="697"/>
      <c r="JJY199" s="697"/>
      <c r="JJZ199" s="697"/>
      <c r="JKA199" s="697"/>
      <c r="JKB199" s="697"/>
      <c r="JKC199" s="697"/>
      <c r="JKD199" s="697"/>
      <c r="JKE199" s="697"/>
      <c r="JKF199" s="697"/>
      <c r="JKG199" s="697"/>
      <c r="JKH199" s="697"/>
      <c r="JKI199" s="697"/>
      <c r="JKJ199" s="697"/>
      <c r="JKK199" s="697"/>
      <c r="JKL199" s="697"/>
      <c r="JKM199" s="697"/>
      <c r="JKN199" s="697"/>
      <c r="JKO199" s="697"/>
      <c r="JKP199" s="697"/>
      <c r="JKQ199" s="697"/>
      <c r="JKR199" s="697"/>
      <c r="JKS199" s="697"/>
      <c r="JKT199" s="697"/>
      <c r="JKU199" s="697"/>
      <c r="JKV199" s="697"/>
      <c r="JKW199" s="697"/>
      <c r="JKX199" s="697"/>
      <c r="JKY199" s="697"/>
      <c r="JKZ199" s="697"/>
      <c r="JLA199" s="697"/>
      <c r="JLB199" s="697"/>
      <c r="JLC199" s="697"/>
      <c r="JLD199" s="697"/>
      <c r="JLE199" s="697"/>
      <c r="JLF199" s="697"/>
      <c r="JLG199" s="697"/>
      <c r="JLH199" s="697"/>
      <c r="JLI199" s="697"/>
      <c r="JLJ199" s="697"/>
      <c r="JLK199" s="697"/>
      <c r="JLL199" s="697"/>
      <c r="JLM199" s="697"/>
      <c r="JLN199" s="697"/>
      <c r="JLO199" s="697"/>
      <c r="JLP199" s="697"/>
      <c r="JLQ199" s="697"/>
      <c r="JLR199" s="697"/>
      <c r="JLS199" s="697"/>
      <c r="JLT199" s="697"/>
      <c r="JLU199" s="697"/>
      <c r="JLV199" s="697"/>
      <c r="JLW199" s="697"/>
      <c r="JLX199" s="697"/>
      <c r="JLY199" s="697"/>
      <c r="JLZ199" s="697"/>
      <c r="JMA199" s="697"/>
      <c r="JMB199" s="697"/>
      <c r="JMC199" s="697"/>
      <c r="JMD199" s="697"/>
      <c r="JME199" s="697"/>
      <c r="JMF199" s="697"/>
      <c r="JMG199" s="697"/>
      <c r="JMH199" s="697"/>
      <c r="JMI199" s="697"/>
      <c r="JMJ199" s="697"/>
      <c r="JMK199" s="697"/>
      <c r="JML199" s="697"/>
      <c r="JMM199" s="697"/>
      <c r="JMN199" s="697"/>
      <c r="JMO199" s="697"/>
      <c r="JMP199" s="697"/>
      <c r="JMQ199" s="697"/>
      <c r="JMR199" s="697"/>
      <c r="JMS199" s="697"/>
      <c r="JMT199" s="697"/>
      <c r="JMU199" s="697"/>
      <c r="JMV199" s="697"/>
      <c r="JMW199" s="697"/>
      <c r="JMX199" s="697"/>
      <c r="JMY199" s="697"/>
      <c r="JMZ199" s="697"/>
      <c r="JNA199" s="697"/>
      <c r="JNB199" s="697"/>
      <c r="JNC199" s="697"/>
      <c r="JND199" s="697"/>
      <c r="JNE199" s="697"/>
      <c r="JNF199" s="697"/>
      <c r="JNG199" s="697"/>
      <c r="JNH199" s="697"/>
      <c r="JNI199" s="697"/>
      <c r="JNJ199" s="697"/>
      <c r="JNK199" s="697"/>
      <c r="JNL199" s="697"/>
      <c r="JNM199" s="697"/>
      <c r="JNN199" s="697"/>
      <c r="JNO199" s="697"/>
      <c r="JNP199" s="697"/>
      <c r="JNQ199" s="697"/>
      <c r="JNR199" s="697"/>
      <c r="JNS199" s="697"/>
      <c r="JNT199" s="697"/>
      <c r="JNU199" s="697"/>
      <c r="JNV199" s="697"/>
      <c r="JNW199" s="697"/>
      <c r="JNX199" s="697"/>
      <c r="JNY199" s="697"/>
      <c r="JNZ199" s="697"/>
      <c r="JOA199" s="697"/>
      <c r="JOB199" s="697"/>
      <c r="JOC199" s="697"/>
      <c r="JOD199" s="697"/>
      <c r="JOE199" s="697"/>
      <c r="JOF199" s="697"/>
      <c r="JOG199" s="697"/>
      <c r="JOH199" s="697"/>
      <c r="JOI199" s="697"/>
      <c r="JOJ199" s="697"/>
      <c r="JOK199" s="697"/>
      <c r="JOL199" s="697"/>
      <c r="JOM199" s="697"/>
      <c r="JON199" s="697"/>
      <c r="JOO199" s="697"/>
      <c r="JOP199" s="697"/>
      <c r="JOQ199" s="697"/>
      <c r="JOR199" s="697"/>
      <c r="JOS199" s="697"/>
      <c r="JOT199" s="697"/>
      <c r="JOU199" s="697"/>
      <c r="JOV199" s="697"/>
      <c r="JOW199" s="697"/>
      <c r="JOX199" s="697"/>
      <c r="JOY199" s="697"/>
      <c r="JOZ199" s="697"/>
      <c r="JPA199" s="697"/>
      <c r="JPB199" s="697"/>
      <c r="JPC199" s="697"/>
      <c r="JPD199" s="697"/>
      <c r="JPE199" s="697"/>
      <c r="JPF199" s="697"/>
      <c r="JPG199" s="697"/>
      <c r="JPH199" s="697"/>
      <c r="JPI199" s="697"/>
      <c r="JPJ199" s="697"/>
      <c r="JPK199" s="697"/>
      <c r="JPL199" s="697"/>
      <c r="JPM199" s="697"/>
      <c r="JPN199" s="697"/>
      <c r="JPO199" s="697"/>
      <c r="JPP199" s="697"/>
      <c r="JPQ199" s="697"/>
      <c r="JPR199" s="697"/>
      <c r="JPS199" s="697"/>
      <c r="JPT199" s="697"/>
      <c r="JPU199" s="697"/>
      <c r="JPV199" s="697"/>
      <c r="JPW199" s="697"/>
      <c r="JPX199" s="697"/>
      <c r="JPY199" s="697"/>
      <c r="JPZ199" s="697"/>
      <c r="JQA199" s="697"/>
      <c r="JQB199" s="697"/>
      <c r="JQC199" s="697"/>
      <c r="JQD199" s="697"/>
      <c r="JQE199" s="697"/>
      <c r="JQF199" s="697"/>
      <c r="JQG199" s="697"/>
      <c r="JQH199" s="697"/>
      <c r="JQI199" s="697"/>
      <c r="JQJ199" s="697"/>
      <c r="JQK199" s="697"/>
      <c r="JQL199" s="697"/>
      <c r="JQM199" s="697"/>
      <c r="JQN199" s="697"/>
      <c r="JQO199" s="697"/>
      <c r="JQP199" s="697"/>
      <c r="JQQ199" s="697"/>
      <c r="JQR199" s="697"/>
      <c r="JQS199" s="697"/>
      <c r="JQT199" s="697"/>
      <c r="JQU199" s="697"/>
      <c r="JQV199" s="697"/>
      <c r="JQW199" s="697"/>
      <c r="JQX199" s="697"/>
      <c r="JQY199" s="697"/>
      <c r="JQZ199" s="697"/>
      <c r="JRA199" s="697"/>
      <c r="JRB199" s="697"/>
      <c r="JRC199" s="697"/>
      <c r="JRD199" s="697"/>
      <c r="JRE199" s="697"/>
      <c r="JRF199" s="697"/>
      <c r="JRG199" s="697"/>
      <c r="JRH199" s="697"/>
      <c r="JRI199" s="697"/>
      <c r="JRJ199" s="697"/>
      <c r="JRK199" s="697"/>
      <c r="JRL199" s="697"/>
      <c r="JRM199" s="697"/>
      <c r="JRN199" s="697"/>
      <c r="JRO199" s="697"/>
      <c r="JRP199" s="697"/>
      <c r="JRQ199" s="697"/>
      <c r="JRR199" s="697"/>
      <c r="JRS199" s="697"/>
      <c r="JRT199" s="697"/>
      <c r="JRU199" s="697"/>
      <c r="JRV199" s="697"/>
      <c r="JRW199" s="697"/>
      <c r="JRX199" s="697"/>
      <c r="JRY199" s="697"/>
      <c r="JRZ199" s="697"/>
      <c r="JSA199" s="697"/>
      <c r="JSB199" s="697"/>
      <c r="JSC199" s="697"/>
      <c r="JSD199" s="697"/>
      <c r="JSE199" s="697"/>
      <c r="JSF199" s="697"/>
      <c r="JSG199" s="697"/>
      <c r="JSH199" s="697"/>
      <c r="JSI199" s="697"/>
      <c r="JSJ199" s="697"/>
      <c r="JSK199" s="697"/>
      <c r="JSL199" s="697"/>
      <c r="JSM199" s="697"/>
      <c r="JSN199" s="697"/>
      <c r="JSO199" s="697"/>
      <c r="JSP199" s="697"/>
      <c r="JSQ199" s="697"/>
      <c r="JSR199" s="697"/>
      <c r="JSS199" s="697"/>
      <c r="JST199" s="697"/>
      <c r="JSU199" s="697"/>
      <c r="JSV199" s="697"/>
      <c r="JSW199" s="697"/>
      <c r="JSX199" s="697"/>
      <c r="JSY199" s="697"/>
      <c r="JSZ199" s="697"/>
      <c r="JTA199" s="697"/>
      <c r="JTB199" s="697"/>
      <c r="JTC199" s="697"/>
      <c r="JTD199" s="697"/>
      <c r="JTE199" s="697"/>
      <c r="JTF199" s="697"/>
      <c r="JTG199" s="697"/>
      <c r="JTH199" s="697"/>
      <c r="JTI199" s="697"/>
      <c r="JTJ199" s="697"/>
      <c r="JTK199" s="697"/>
      <c r="JTL199" s="697"/>
      <c r="JTM199" s="697"/>
      <c r="JTN199" s="697"/>
      <c r="JTO199" s="697"/>
      <c r="JTP199" s="697"/>
      <c r="JTQ199" s="697"/>
      <c r="JTR199" s="697"/>
      <c r="JTS199" s="697"/>
      <c r="JTT199" s="697"/>
      <c r="JTU199" s="697"/>
      <c r="JTV199" s="697"/>
      <c r="JTW199" s="697"/>
      <c r="JTX199" s="697"/>
      <c r="JTY199" s="697"/>
      <c r="JTZ199" s="697"/>
      <c r="JUA199" s="697"/>
      <c r="JUB199" s="697"/>
      <c r="JUC199" s="697"/>
      <c r="JUD199" s="697"/>
      <c r="JUE199" s="697"/>
      <c r="JUF199" s="697"/>
      <c r="JUG199" s="697"/>
      <c r="JUH199" s="697"/>
      <c r="JUI199" s="697"/>
      <c r="JUJ199" s="697"/>
      <c r="JUK199" s="697"/>
      <c r="JUL199" s="697"/>
      <c r="JUM199" s="697"/>
      <c r="JUN199" s="697"/>
      <c r="JUO199" s="697"/>
      <c r="JUP199" s="697"/>
      <c r="JUQ199" s="697"/>
      <c r="JUR199" s="697"/>
      <c r="JUS199" s="697"/>
      <c r="JUT199" s="697"/>
      <c r="JUU199" s="697"/>
      <c r="JUV199" s="697"/>
      <c r="JUW199" s="697"/>
      <c r="JUX199" s="697"/>
      <c r="JUY199" s="697"/>
      <c r="JUZ199" s="697"/>
      <c r="JVA199" s="697"/>
      <c r="JVB199" s="697"/>
      <c r="JVC199" s="697"/>
      <c r="JVD199" s="697"/>
      <c r="JVE199" s="697"/>
      <c r="JVF199" s="697"/>
      <c r="JVG199" s="697"/>
      <c r="JVH199" s="697"/>
      <c r="JVI199" s="697"/>
      <c r="JVJ199" s="697"/>
      <c r="JVK199" s="697"/>
      <c r="JVL199" s="697"/>
      <c r="JVM199" s="697"/>
      <c r="JVN199" s="697"/>
      <c r="JVO199" s="697"/>
      <c r="JVP199" s="697"/>
      <c r="JVQ199" s="697"/>
      <c r="JVR199" s="697"/>
      <c r="JVS199" s="697"/>
      <c r="JVT199" s="697"/>
      <c r="JVU199" s="697"/>
      <c r="JVV199" s="697"/>
      <c r="JVW199" s="697"/>
      <c r="JVX199" s="697"/>
      <c r="JVY199" s="697"/>
      <c r="JVZ199" s="697"/>
      <c r="JWA199" s="697"/>
      <c r="JWB199" s="697"/>
      <c r="JWC199" s="697"/>
      <c r="JWD199" s="697"/>
      <c r="JWE199" s="697"/>
      <c r="JWF199" s="697"/>
      <c r="JWG199" s="697"/>
      <c r="JWH199" s="697"/>
      <c r="JWI199" s="697"/>
      <c r="JWJ199" s="697"/>
      <c r="JWK199" s="697"/>
      <c r="JWL199" s="697"/>
      <c r="JWM199" s="697"/>
      <c r="JWN199" s="697"/>
      <c r="JWO199" s="697"/>
      <c r="JWP199" s="697"/>
      <c r="JWQ199" s="697"/>
      <c r="JWR199" s="697"/>
      <c r="JWS199" s="697"/>
      <c r="JWT199" s="697"/>
      <c r="JWU199" s="697"/>
      <c r="JWV199" s="697"/>
      <c r="JWW199" s="697"/>
      <c r="JWX199" s="697"/>
      <c r="JWY199" s="697"/>
      <c r="JWZ199" s="697"/>
      <c r="JXA199" s="697"/>
      <c r="JXB199" s="697"/>
      <c r="JXC199" s="697"/>
      <c r="JXD199" s="697"/>
      <c r="JXE199" s="697"/>
      <c r="JXF199" s="697"/>
      <c r="JXG199" s="697"/>
      <c r="JXH199" s="697"/>
      <c r="JXI199" s="697"/>
      <c r="JXJ199" s="697"/>
      <c r="JXK199" s="697"/>
      <c r="JXL199" s="697"/>
      <c r="JXM199" s="697"/>
      <c r="JXN199" s="697"/>
      <c r="JXO199" s="697"/>
      <c r="JXP199" s="697"/>
      <c r="JXQ199" s="697"/>
      <c r="JXR199" s="697"/>
      <c r="JXS199" s="697"/>
      <c r="JXT199" s="697"/>
      <c r="JXU199" s="697"/>
      <c r="JXV199" s="697"/>
      <c r="JXW199" s="697"/>
      <c r="JXX199" s="697"/>
      <c r="JXY199" s="697"/>
      <c r="JXZ199" s="697"/>
      <c r="JYA199" s="697"/>
      <c r="JYB199" s="697"/>
      <c r="JYC199" s="697"/>
      <c r="JYD199" s="697"/>
      <c r="JYE199" s="697"/>
      <c r="JYF199" s="697"/>
      <c r="JYG199" s="697"/>
      <c r="JYH199" s="697"/>
      <c r="JYI199" s="697"/>
      <c r="JYJ199" s="697"/>
      <c r="JYK199" s="697"/>
      <c r="JYL199" s="697"/>
      <c r="JYM199" s="697"/>
      <c r="JYN199" s="697"/>
      <c r="JYO199" s="697"/>
      <c r="JYP199" s="697"/>
      <c r="JYQ199" s="697"/>
      <c r="JYR199" s="697"/>
      <c r="JYS199" s="697"/>
      <c r="JYT199" s="697"/>
      <c r="JYU199" s="697"/>
      <c r="JYV199" s="697"/>
      <c r="JYW199" s="697"/>
      <c r="JYX199" s="697"/>
      <c r="JYY199" s="697"/>
      <c r="JYZ199" s="697"/>
      <c r="JZA199" s="697"/>
      <c r="JZB199" s="697"/>
      <c r="JZC199" s="697"/>
      <c r="JZD199" s="697"/>
      <c r="JZE199" s="697"/>
      <c r="JZF199" s="697"/>
      <c r="JZG199" s="697"/>
      <c r="JZH199" s="697"/>
      <c r="JZI199" s="697"/>
      <c r="JZJ199" s="697"/>
      <c r="JZK199" s="697"/>
      <c r="JZL199" s="697"/>
      <c r="JZM199" s="697"/>
      <c r="JZN199" s="697"/>
      <c r="JZO199" s="697"/>
      <c r="JZP199" s="697"/>
      <c r="JZQ199" s="697"/>
      <c r="JZR199" s="697"/>
      <c r="JZS199" s="697"/>
      <c r="JZT199" s="697"/>
      <c r="JZU199" s="697"/>
      <c r="JZV199" s="697"/>
      <c r="JZW199" s="697"/>
      <c r="JZX199" s="697"/>
      <c r="JZY199" s="697"/>
      <c r="JZZ199" s="697"/>
      <c r="KAA199" s="697"/>
      <c r="KAB199" s="697"/>
      <c r="KAC199" s="697"/>
      <c r="KAD199" s="697"/>
      <c r="KAE199" s="697"/>
      <c r="KAF199" s="697"/>
      <c r="KAG199" s="697"/>
      <c r="KAH199" s="697"/>
      <c r="KAI199" s="697"/>
      <c r="KAJ199" s="697"/>
      <c r="KAK199" s="697"/>
      <c r="KAL199" s="697"/>
      <c r="KAM199" s="697"/>
      <c r="KAN199" s="697"/>
      <c r="KAO199" s="697"/>
      <c r="KAP199" s="697"/>
      <c r="KAQ199" s="697"/>
      <c r="KAR199" s="697"/>
      <c r="KAS199" s="697"/>
      <c r="KAT199" s="697"/>
      <c r="KAU199" s="697"/>
      <c r="KAV199" s="697"/>
      <c r="KAW199" s="697"/>
      <c r="KAX199" s="697"/>
      <c r="KAY199" s="697"/>
      <c r="KAZ199" s="697"/>
      <c r="KBA199" s="697"/>
      <c r="KBB199" s="697"/>
      <c r="KBC199" s="697"/>
      <c r="KBD199" s="697"/>
      <c r="KBE199" s="697"/>
      <c r="KBF199" s="697"/>
      <c r="KBG199" s="697"/>
      <c r="KBH199" s="697"/>
      <c r="KBI199" s="697"/>
      <c r="KBJ199" s="697"/>
      <c r="KBK199" s="697"/>
      <c r="KBL199" s="697"/>
      <c r="KBM199" s="697"/>
      <c r="KBN199" s="697"/>
      <c r="KBO199" s="697"/>
      <c r="KBP199" s="697"/>
      <c r="KBQ199" s="697"/>
      <c r="KBR199" s="697"/>
      <c r="KBS199" s="697"/>
      <c r="KBT199" s="697"/>
      <c r="KBU199" s="697"/>
      <c r="KBV199" s="697"/>
      <c r="KBW199" s="697"/>
      <c r="KBX199" s="697"/>
      <c r="KBY199" s="697"/>
      <c r="KBZ199" s="697"/>
      <c r="KCA199" s="697"/>
      <c r="KCB199" s="697"/>
      <c r="KCC199" s="697"/>
      <c r="KCD199" s="697"/>
      <c r="KCE199" s="697"/>
      <c r="KCF199" s="697"/>
      <c r="KCG199" s="697"/>
      <c r="KCH199" s="697"/>
      <c r="KCI199" s="697"/>
      <c r="KCJ199" s="697"/>
      <c r="KCK199" s="697"/>
      <c r="KCL199" s="697"/>
      <c r="KCM199" s="697"/>
      <c r="KCN199" s="697"/>
      <c r="KCO199" s="697"/>
      <c r="KCP199" s="697"/>
      <c r="KCQ199" s="697"/>
      <c r="KCR199" s="697"/>
      <c r="KCS199" s="697"/>
      <c r="KCT199" s="697"/>
      <c r="KCU199" s="697"/>
      <c r="KCV199" s="697"/>
      <c r="KCW199" s="697"/>
      <c r="KCX199" s="697"/>
      <c r="KCY199" s="697"/>
      <c r="KCZ199" s="697"/>
      <c r="KDA199" s="697"/>
      <c r="KDB199" s="697"/>
      <c r="KDC199" s="697"/>
      <c r="KDD199" s="697"/>
      <c r="KDE199" s="697"/>
      <c r="KDF199" s="697"/>
      <c r="KDG199" s="697"/>
      <c r="KDH199" s="697"/>
      <c r="KDI199" s="697"/>
      <c r="KDJ199" s="697"/>
      <c r="KDK199" s="697"/>
      <c r="KDL199" s="697"/>
      <c r="KDM199" s="697"/>
      <c r="KDN199" s="697"/>
      <c r="KDO199" s="697"/>
      <c r="KDP199" s="697"/>
      <c r="KDQ199" s="697"/>
      <c r="KDR199" s="697"/>
      <c r="KDS199" s="697"/>
      <c r="KDT199" s="697"/>
      <c r="KDU199" s="697"/>
      <c r="KDV199" s="697"/>
      <c r="KDW199" s="697"/>
      <c r="KDX199" s="697"/>
      <c r="KDY199" s="697"/>
      <c r="KDZ199" s="697"/>
      <c r="KEA199" s="697"/>
      <c r="KEB199" s="697"/>
      <c r="KEC199" s="697"/>
      <c r="KED199" s="697"/>
      <c r="KEE199" s="697"/>
      <c r="KEF199" s="697"/>
      <c r="KEG199" s="697"/>
      <c r="KEH199" s="697"/>
      <c r="KEI199" s="697"/>
      <c r="KEJ199" s="697"/>
      <c r="KEK199" s="697"/>
      <c r="KEL199" s="697"/>
      <c r="KEM199" s="697"/>
      <c r="KEN199" s="697"/>
      <c r="KEO199" s="697"/>
      <c r="KEP199" s="697"/>
      <c r="KEQ199" s="697"/>
      <c r="KER199" s="697"/>
      <c r="KES199" s="697"/>
      <c r="KET199" s="697"/>
      <c r="KEU199" s="697"/>
      <c r="KEV199" s="697"/>
      <c r="KEW199" s="697"/>
      <c r="KEX199" s="697"/>
      <c r="KEY199" s="697"/>
      <c r="KEZ199" s="697"/>
      <c r="KFA199" s="697"/>
      <c r="KFB199" s="697"/>
      <c r="KFC199" s="697"/>
      <c r="KFD199" s="697"/>
      <c r="KFE199" s="697"/>
      <c r="KFF199" s="697"/>
      <c r="KFG199" s="697"/>
      <c r="KFH199" s="697"/>
      <c r="KFI199" s="697"/>
      <c r="KFJ199" s="697"/>
      <c r="KFK199" s="697"/>
      <c r="KFL199" s="697"/>
      <c r="KFM199" s="697"/>
      <c r="KFN199" s="697"/>
      <c r="KFO199" s="697"/>
      <c r="KFP199" s="697"/>
      <c r="KFQ199" s="697"/>
      <c r="KFR199" s="697"/>
      <c r="KFS199" s="697"/>
      <c r="KFT199" s="697"/>
      <c r="KFU199" s="697"/>
      <c r="KFV199" s="697"/>
      <c r="KFW199" s="697"/>
      <c r="KFX199" s="697"/>
      <c r="KFY199" s="697"/>
      <c r="KFZ199" s="697"/>
      <c r="KGA199" s="697"/>
      <c r="KGB199" s="697"/>
      <c r="KGC199" s="697"/>
      <c r="KGD199" s="697"/>
      <c r="KGE199" s="697"/>
      <c r="KGF199" s="697"/>
      <c r="KGG199" s="697"/>
      <c r="KGH199" s="697"/>
      <c r="KGI199" s="697"/>
      <c r="KGJ199" s="697"/>
      <c r="KGK199" s="697"/>
      <c r="KGL199" s="697"/>
      <c r="KGM199" s="697"/>
      <c r="KGN199" s="697"/>
      <c r="KGO199" s="697"/>
      <c r="KGP199" s="697"/>
      <c r="KGQ199" s="697"/>
      <c r="KGR199" s="697"/>
      <c r="KGS199" s="697"/>
      <c r="KGT199" s="697"/>
      <c r="KGU199" s="697"/>
      <c r="KGV199" s="697"/>
      <c r="KGW199" s="697"/>
      <c r="KGX199" s="697"/>
      <c r="KGY199" s="697"/>
      <c r="KGZ199" s="697"/>
      <c r="KHA199" s="697"/>
      <c r="KHB199" s="697"/>
      <c r="KHC199" s="697"/>
      <c r="KHD199" s="697"/>
      <c r="KHE199" s="697"/>
      <c r="KHF199" s="697"/>
      <c r="KHG199" s="697"/>
      <c r="KHH199" s="697"/>
      <c r="KHI199" s="697"/>
      <c r="KHJ199" s="697"/>
      <c r="KHK199" s="697"/>
      <c r="KHL199" s="697"/>
      <c r="KHM199" s="697"/>
      <c r="KHN199" s="697"/>
      <c r="KHO199" s="697"/>
      <c r="KHP199" s="697"/>
      <c r="KHQ199" s="697"/>
      <c r="KHR199" s="697"/>
      <c r="KHS199" s="697"/>
      <c r="KHT199" s="697"/>
      <c r="KHU199" s="697"/>
      <c r="KHV199" s="697"/>
      <c r="KHW199" s="697"/>
      <c r="KHX199" s="697"/>
      <c r="KHY199" s="697"/>
      <c r="KHZ199" s="697"/>
      <c r="KIA199" s="697"/>
      <c r="KIB199" s="697"/>
      <c r="KIC199" s="697"/>
      <c r="KID199" s="697"/>
      <c r="KIE199" s="697"/>
      <c r="KIF199" s="697"/>
      <c r="KIG199" s="697"/>
      <c r="KIH199" s="697"/>
      <c r="KII199" s="697"/>
      <c r="KIJ199" s="697"/>
      <c r="KIK199" s="697"/>
      <c r="KIL199" s="697"/>
      <c r="KIM199" s="697"/>
      <c r="KIN199" s="697"/>
      <c r="KIO199" s="697"/>
      <c r="KIP199" s="697"/>
      <c r="KIQ199" s="697"/>
      <c r="KIR199" s="697"/>
      <c r="KIS199" s="697"/>
      <c r="KIT199" s="697"/>
      <c r="KIU199" s="697"/>
      <c r="KIV199" s="697"/>
      <c r="KIW199" s="697"/>
      <c r="KIX199" s="697"/>
      <c r="KIY199" s="697"/>
      <c r="KIZ199" s="697"/>
      <c r="KJA199" s="697"/>
      <c r="KJB199" s="697"/>
      <c r="KJC199" s="697"/>
      <c r="KJD199" s="697"/>
      <c r="KJE199" s="697"/>
      <c r="KJF199" s="697"/>
      <c r="KJG199" s="697"/>
      <c r="KJH199" s="697"/>
      <c r="KJI199" s="697"/>
      <c r="KJJ199" s="697"/>
      <c r="KJK199" s="697"/>
      <c r="KJL199" s="697"/>
      <c r="KJM199" s="697"/>
      <c r="KJN199" s="697"/>
      <c r="KJO199" s="697"/>
      <c r="KJP199" s="697"/>
      <c r="KJQ199" s="697"/>
      <c r="KJR199" s="697"/>
      <c r="KJS199" s="697"/>
      <c r="KJT199" s="697"/>
      <c r="KJU199" s="697"/>
      <c r="KJV199" s="697"/>
      <c r="KJW199" s="697"/>
      <c r="KJX199" s="697"/>
      <c r="KJY199" s="697"/>
      <c r="KJZ199" s="697"/>
      <c r="KKA199" s="697"/>
      <c r="KKB199" s="697"/>
      <c r="KKC199" s="697"/>
      <c r="KKD199" s="697"/>
      <c r="KKE199" s="697"/>
      <c r="KKF199" s="697"/>
      <c r="KKG199" s="697"/>
      <c r="KKH199" s="697"/>
      <c r="KKI199" s="697"/>
      <c r="KKJ199" s="697"/>
      <c r="KKK199" s="697"/>
      <c r="KKL199" s="697"/>
      <c r="KKM199" s="697"/>
      <c r="KKN199" s="697"/>
      <c r="KKO199" s="697"/>
      <c r="KKP199" s="697"/>
      <c r="KKQ199" s="697"/>
      <c r="KKR199" s="697"/>
      <c r="KKS199" s="697"/>
      <c r="KKT199" s="697"/>
      <c r="KKU199" s="697"/>
      <c r="KKV199" s="697"/>
      <c r="KKW199" s="697"/>
      <c r="KKX199" s="697"/>
      <c r="KKY199" s="697"/>
      <c r="KKZ199" s="697"/>
      <c r="KLA199" s="697"/>
      <c r="KLB199" s="697"/>
      <c r="KLC199" s="697"/>
      <c r="KLD199" s="697"/>
      <c r="KLE199" s="697"/>
      <c r="KLF199" s="697"/>
      <c r="KLG199" s="697"/>
      <c r="KLH199" s="697"/>
      <c r="KLI199" s="697"/>
      <c r="KLJ199" s="697"/>
      <c r="KLK199" s="697"/>
      <c r="KLL199" s="697"/>
      <c r="KLM199" s="697"/>
      <c r="KLN199" s="697"/>
      <c r="KLO199" s="697"/>
      <c r="KLP199" s="697"/>
      <c r="KLQ199" s="697"/>
      <c r="KLR199" s="697"/>
      <c r="KLS199" s="697"/>
      <c r="KLT199" s="697"/>
      <c r="KLU199" s="697"/>
      <c r="KLV199" s="697"/>
      <c r="KLW199" s="697"/>
      <c r="KLX199" s="697"/>
      <c r="KLY199" s="697"/>
      <c r="KLZ199" s="697"/>
      <c r="KMA199" s="697"/>
      <c r="KMB199" s="697"/>
      <c r="KMC199" s="697"/>
      <c r="KMD199" s="697"/>
      <c r="KME199" s="697"/>
      <c r="KMF199" s="697"/>
      <c r="KMG199" s="697"/>
      <c r="KMH199" s="697"/>
      <c r="KMI199" s="697"/>
      <c r="KMJ199" s="697"/>
      <c r="KMK199" s="697"/>
      <c r="KML199" s="697"/>
      <c r="KMM199" s="697"/>
      <c r="KMN199" s="697"/>
      <c r="KMO199" s="697"/>
      <c r="KMP199" s="697"/>
      <c r="KMQ199" s="697"/>
      <c r="KMR199" s="697"/>
      <c r="KMS199" s="697"/>
      <c r="KMT199" s="697"/>
      <c r="KMU199" s="697"/>
      <c r="KMV199" s="697"/>
      <c r="KMW199" s="697"/>
      <c r="KMX199" s="697"/>
      <c r="KMY199" s="697"/>
      <c r="KMZ199" s="697"/>
      <c r="KNA199" s="697"/>
      <c r="KNB199" s="697"/>
      <c r="KNC199" s="697"/>
      <c r="KND199" s="697"/>
      <c r="KNE199" s="697"/>
      <c r="KNF199" s="697"/>
      <c r="KNG199" s="697"/>
      <c r="KNH199" s="697"/>
      <c r="KNI199" s="697"/>
      <c r="KNJ199" s="697"/>
      <c r="KNK199" s="697"/>
      <c r="KNL199" s="697"/>
      <c r="KNM199" s="697"/>
      <c r="KNN199" s="697"/>
      <c r="KNO199" s="697"/>
      <c r="KNP199" s="697"/>
      <c r="KNQ199" s="697"/>
      <c r="KNR199" s="697"/>
      <c r="KNS199" s="697"/>
      <c r="KNT199" s="697"/>
      <c r="KNU199" s="697"/>
      <c r="KNV199" s="697"/>
      <c r="KNW199" s="697"/>
      <c r="KNX199" s="697"/>
      <c r="KNY199" s="697"/>
      <c r="KNZ199" s="697"/>
      <c r="KOA199" s="697"/>
      <c r="KOB199" s="697"/>
      <c r="KOC199" s="697"/>
      <c r="KOD199" s="697"/>
      <c r="KOE199" s="697"/>
      <c r="KOF199" s="697"/>
      <c r="KOG199" s="697"/>
      <c r="KOH199" s="697"/>
      <c r="KOI199" s="697"/>
      <c r="KOJ199" s="697"/>
      <c r="KOK199" s="697"/>
      <c r="KOL199" s="697"/>
      <c r="KOM199" s="697"/>
      <c r="KON199" s="697"/>
      <c r="KOO199" s="697"/>
      <c r="KOP199" s="697"/>
      <c r="KOQ199" s="697"/>
      <c r="KOR199" s="697"/>
      <c r="KOS199" s="697"/>
      <c r="KOT199" s="697"/>
      <c r="KOU199" s="697"/>
      <c r="KOV199" s="697"/>
      <c r="KOW199" s="697"/>
      <c r="KOX199" s="697"/>
      <c r="KOY199" s="697"/>
      <c r="KOZ199" s="697"/>
      <c r="KPA199" s="697"/>
      <c r="KPB199" s="697"/>
      <c r="KPC199" s="697"/>
      <c r="KPD199" s="697"/>
      <c r="KPE199" s="697"/>
      <c r="KPF199" s="697"/>
      <c r="KPG199" s="697"/>
      <c r="KPH199" s="697"/>
      <c r="KPI199" s="697"/>
      <c r="KPJ199" s="697"/>
      <c r="KPK199" s="697"/>
      <c r="KPL199" s="697"/>
      <c r="KPM199" s="697"/>
      <c r="KPN199" s="697"/>
      <c r="KPO199" s="697"/>
      <c r="KPP199" s="697"/>
      <c r="KPQ199" s="697"/>
      <c r="KPR199" s="697"/>
      <c r="KPS199" s="697"/>
      <c r="KPT199" s="697"/>
      <c r="KPU199" s="697"/>
      <c r="KPV199" s="697"/>
      <c r="KPW199" s="697"/>
      <c r="KPX199" s="697"/>
      <c r="KPY199" s="697"/>
      <c r="KPZ199" s="697"/>
      <c r="KQA199" s="697"/>
      <c r="KQB199" s="697"/>
      <c r="KQC199" s="697"/>
      <c r="KQD199" s="697"/>
      <c r="KQE199" s="697"/>
      <c r="KQF199" s="697"/>
      <c r="KQG199" s="697"/>
      <c r="KQH199" s="697"/>
      <c r="KQI199" s="697"/>
      <c r="KQJ199" s="697"/>
      <c r="KQK199" s="697"/>
      <c r="KQL199" s="697"/>
      <c r="KQM199" s="697"/>
      <c r="KQN199" s="697"/>
      <c r="KQO199" s="697"/>
      <c r="KQP199" s="697"/>
      <c r="KQQ199" s="697"/>
      <c r="KQR199" s="697"/>
      <c r="KQS199" s="697"/>
      <c r="KQT199" s="697"/>
      <c r="KQU199" s="697"/>
      <c r="KQV199" s="697"/>
      <c r="KQW199" s="697"/>
      <c r="KQX199" s="697"/>
      <c r="KQY199" s="697"/>
      <c r="KQZ199" s="697"/>
      <c r="KRA199" s="697"/>
      <c r="KRB199" s="697"/>
      <c r="KRC199" s="697"/>
      <c r="KRD199" s="697"/>
      <c r="KRE199" s="697"/>
      <c r="KRF199" s="697"/>
      <c r="KRG199" s="697"/>
      <c r="KRH199" s="697"/>
      <c r="KRI199" s="697"/>
      <c r="KRJ199" s="697"/>
      <c r="KRK199" s="697"/>
      <c r="KRL199" s="697"/>
      <c r="KRM199" s="697"/>
      <c r="KRN199" s="697"/>
      <c r="KRO199" s="697"/>
      <c r="KRP199" s="697"/>
      <c r="KRQ199" s="697"/>
      <c r="KRR199" s="697"/>
      <c r="KRS199" s="697"/>
      <c r="KRT199" s="697"/>
      <c r="KRU199" s="697"/>
      <c r="KRV199" s="697"/>
      <c r="KRW199" s="697"/>
      <c r="KRX199" s="697"/>
      <c r="KRY199" s="697"/>
      <c r="KRZ199" s="697"/>
      <c r="KSA199" s="697"/>
      <c r="KSB199" s="697"/>
      <c r="KSC199" s="697"/>
      <c r="KSD199" s="697"/>
      <c r="KSE199" s="697"/>
      <c r="KSF199" s="697"/>
      <c r="KSG199" s="697"/>
      <c r="KSH199" s="697"/>
      <c r="KSI199" s="697"/>
      <c r="KSJ199" s="697"/>
      <c r="KSK199" s="697"/>
      <c r="KSL199" s="697"/>
      <c r="KSM199" s="697"/>
      <c r="KSN199" s="697"/>
      <c r="KSO199" s="697"/>
      <c r="KSP199" s="697"/>
      <c r="KSQ199" s="697"/>
      <c r="KSR199" s="697"/>
      <c r="KSS199" s="697"/>
      <c r="KST199" s="697"/>
      <c r="KSU199" s="697"/>
      <c r="KSV199" s="697"/>
      <c r="KSW199" s="697"/>
      <c r="KSX199" s="697"/>
      <c r="KSY199" s="697"/>
      <c r="KSZ199" s="697"/>
      <c r="KTA199" s="697"/>
      <c r="KTB199" s="697"/>
      <c r="KTC199" s="697"/>
      <c r="KTD199" s="697"/>
      <c r="KTE199" s="697"/>
      <c r="KTF199" s="697"/>
      <c r="KTG199" s="697"/>
      <c r="KTH199" s="697"/>
      <c r="KTI199" s="697"/>
      <c r="KTJ199" s="697"/>
      <c r="KTK199" s="697"/>
      <c r="KTL199" s="697"/>
      <c r="KTM199" s="697"/>
      <c r="KTN199" s="697"/>
      <c r="KTO199" s="697"/>
      <c r="KTP199" s="697"/>
      <c r="KTQ199" s="697"/>
      <c r="KTR199" s="697"/>
      <c r="KTS199" s="697"/>
      <c r="KTT199" s="697"/>
      <c r="KTU199" s="697"/>
      <c r="KTV199" s="697"/>
      <c r="KTW199" s="697"/>
      <c r="KTX199" s="697"/>
      <c r="KTY199" s="697"/>
      <c r="KTZ199" s="697"/>
      <c r="KUA199" s="697"/>
      <c r="KUB199" s="697"/>
      <c r="KUC199" s="697"/>
      <c r="KUD199" s="697"/>
      <c r="KUE199" s="697"/>
      <c r="KUF199" s="697"/>
      <c r="KUG199" s="697"/>
      <c r="KUH199" s="697"/>
      <c r="KUI199" s="697"/>
      <c r="KUJ199" s="697"/>
      <c r="KUK199" s="697"/>
      <c r="KUL199" s="697"/>
      <c r="KUM199" s="697"/>
      <c r="KUN199" s="697"/>
      <c r="KUO199" s="697"/>
      <c r="KUP199" s="697"/>
      <c r="KUQ199" s="697"/>
      <c r="KUR199" s="697"/>
      <c r="KUS199" s="697"/>
      <c r="KUT199" s="697"/>
      <c r="KUU199" s="697"/>
      <c r="KUV199" s="697"/>
      <c r="KUW199" s="697"/>
      <c r="KUX199" s="697"/>
      <c r="KUY199" s="697"/>
      <c r="KUZ199" s="697"/>
      <c r="KVA199" s="697"/>
      <c r="KVB199" s="697"/>
      <c r="KVC199" s="697"/>
      <c r="KVD199" s="697"/>
      <c r="KVE199" s="697"/>
      <c r="KVF199" s="697"/>
      <c r="KVG199" s="697"/>
      <c r="KVH199" s="697"/>
      <c r="KVI199" s="697"/>
      <c r="KVJ199" s="697"/>
      <c r="KVK199" s="697"/>
      <c r="KVL199" s="697"/>
      <c r="KVM199" s="697"/>
      <c r="KVN199" s="697"/>
      <c r="KVO199" s="697"/>
      <c r="KVP199" s="697"/>
      <c r="KVQ199" s="697"/>
      <c r="KVR199" s="697"/>
      <c r="KVS199" s="697"/>
      <c r="KVT199" s="697"/>
      <c r="KVU199" s="697"/>
      <c r="KVV199" s="697"/>
      <c r="KVW199" s="697"/>
      <c r="KVX199" s="697"/>
      <c r="KVY199" s="697"/>
      <c r="KVZ199" s="697"/>
      <c r="KWA199" s="697"/>
      <c r="KWB199" s="697"/>
      <c r="KWC199" s="697"/>
      <c r="KWD199" s="697"/>
      <c r="KWE199" s="697"/>
      <c r="KWF199" s="697"/>
      <c r="KWG199" s="697"/>
      <c r="KWH199" s="697"/>
      <c r="KWI199" s="697"/>
      <c r="KWJ199" s="697"/>
      <c r="KWK199" s="697"/>
      <c r="KWL199" s="697"/>
      <c r="KWM199" s="697"/>
      <c r="KWN199" s="697"/>
      <c r="KWO199" s="697"/>
      <c r="KWP199" s="697"/>
      <c r="KWQ199" s="697"/>
      <c r="KWR199" s="697"/>
      <c r="KWS199" s="697"/>
      <c r="KWT199" s="697"/>
      <c r="KWU199" s="697"/>
      <c r="KWV199" s="697"/>
      <c r="KWW199" s="697"/>
      <c r="KWX199" s="697"/>
      <c r="KWY199" s="697"/>
      <c r="KWZ199" s="697"/>
      <c r="KXA199" s="697"/>
      <c r="KXB199" s="697"/>
      <c r="KXC199" s="697"/>
      <c r="KXD199" s="697"/>
      <c r="KXE199" s="697"/>
      <c r="KXF199" s="697"/>
      <c r="KXG199" s="697"/>
      <c r="KXH199" s="697"/>
      <c r="KXI199" s="697"/>
      <c r="KXJ199" s="697"/>
      <c r="KXK199" s="697"/>
      <c r="KXL199" s="697"/>
      <c r="KXM199" s="697"/>
      <c r="KXN199" s="697"/>
      <c r="KXO199" s="697"/>
      <c r="KXP199" s="697"/>
      <c r="KXQ199" s="697"/>
      <c r="KXR199" s="697"/>
      <c r="KXS199" s="697"/>
      <c r="KXT199" s="697"/>
      <c r="KXU199" s="697"/>
      <c r="KXV199" s="697"/>
      <c r="KXW199" s="697"/>
      <c r="KXX199" s="697"/>
      <c r="KXY199" s="697"/>
      <c r="KXZ199" s="697"/>
      <c r="KYA199" s="697"/>
      <c r="KYB199" s="697"/>
      <c r="KYC199" s="697"/>
      <c r="KYD199" s="697"/>
      <c r="KYE199" s="697"/>
      <c r="KYF199" s="697"/>
      <c r="KYG199" s="697"/>
      <c r="KYH199" s="697"/>
      <c r="KYI199" s="697"/>
      <c r="KYJ199" s="697"/>
      <c r="KYK199" s="697"/>
      <c r="KYL199" s="697"/>
      <c r="KYM199" s="697"/>
      <c r="KYN199" s="697"/>
      <c r="KYO199" s="697"/>
      <c r="KYP199" s="697"/>
      <c r="KYQ199" s="697"/>
      <c r="KYR199" s="697"/>
      <c r="KYS199" s="697"/>
      <c r="KYT199" s="697"/>
      <c r="KYU199" s="697"/>
      <c r="KYV199" s="697"/>
      <c r="KYW199" s="697"/>
      <c r="KYX199" s="697"/>
      <c r="KYY199" s="697"/>
      <c r="KYZ199" s="697"/>
      <c r="KZA199" s="697"/>
      <c r="KZB199" s="697"/>
      <c r="KZC199" s="697"/>
      <c r="KZD199" s="697"/>
      <c r="KZE199" s="697"/>
      <c r="KZF199" s="697"/>
      <c r="KZG199" s="697"/>
      <c r="KZH199" s="697"/>
      <c r="KZI199" s="697"/>
      <c r="KZJ199" s="697"/>
      <c r="KZK199" s="697"/>
      <c r="KZL199" s="697"/>
      <c r="KZM199" s="697"/>
      <c r="KZN199" s="697"/>
      <c r="KZO199" s="697"/>
      <c r="KZP199" s="697"/>
      <c r="KZQ199" s="697"/>
      <c r="KZR199" s="697"/>
      <c r="KZS199" s="697"/>
      <c r="KZT199" s="697"/>
      <c r="KZU199" s="697"/>
      <c r="KZV199" s="697"/>
      <c r="KZW199" s="697"/>
      <c r="KZX199" s="697"/>
      <c r="KZY199" s="697"/>
      <c r="KZZ199" s="697"/>
      <c r="LAA199" s="697"/>
      <c r="LAB199" s="697"/>
      <c r="LAC199" s="697"/>
      <c r="LAD199" s="697"/>
      <c r="LAE199" s="697"/>
      <c r="LAF199" s="697"/>
      <c r="LAG199" s="697"/>
      <c r="LAH199" s="697"/>
      <c r="LAI199" s="697"/>
      <c r="LAJ199" s="697"/>
      <c r="LAK199" s="697"/>
      <c r="LAL199" s="697"/>
      <c r="LAM199" s="697"/>
      <c r="LAN199" s="697"/>
      <c r="LAO199" s="697"/>
      <c r="LAP199" s="697"/>
      <c r="LAQ199" s="697"/>
      <c r="LAR199" s="697"/>
      <c r="LAS199" s="697"/>
      <c r="LAT199" s="697"/>
      <c r="LAU199" s="697"/>
      <c r="LAV199" s="697"/>
      <c r="LAW199" s="697"/>
      <c r="LAX199" s="697"/>
      <c r="LAY199" s="697"/>
      <c r="LAZ199" s="697"/>
      <c r="LBA199" s="697"/>
      <c r="LBB199" s="697"/>
      <c r="LBC199" s="697"/>
      <c r="LBD199" s="697"/>
      <c r="LBE199" s="697"/>
      <c r="LBF199" s="697"/>
      <c r="LBG199" s="697"/>
      <c r="LBH199" s="697"/>
      <c r="LBI199" s="697"/>
      <c r="LBJ199" s="697"/>
      <c r="LBK199" s="697"/>
      <c r="LBL199" s="697"/>
      <c r="LBM199" s="697"/>
      <c r="LBN199" s="697"/>
      <c r="LBO199" s="697"/>
      <c r="LBP199" s="697"/>
      <c r="LBQ199" s="697"/>
      <c r="LBR199" s="697"/>
      <c r="LBS199" s="697"/>
      <c r="LBT199" s="697"/>
      <c r="LBU199" s="697"/>
      <c r="LBV199" s="697"/>
      <c r="LBW199" s="697"/>
      <c r="LBX199" s="697"/>
      <c r="LBY199" s="697"/>
      <c r="LBZ199" s="697"/>
      <c r="LCA199" s="697"/>
      <c r="LCB199" s="697"/>
      <c r="LCC199" s="697"/>
      <c r="LCD199" s="697"/>
      <c r="LCE199" s="697"/>
      <c r="LCF199" s="697"/>
      <c r="LCG199" s="697"/>
      <c r="LCH199" s="697"/>
      <c r="LCI199" s="697"/>
      <c r="LCJ199" s="697"/>
      <c r="LCK199" s="697"/>
      <c r="LCL199" s="697"/>
      <c r="LCM199" s="697"/>
      <c r="LCN199" s="697"/>
      <c r="LCO199" s="697"/>
      <c r="LCP199" s="697"/>
      <c r="LCQ199" s="697"/>
      <c r="LCR199" s="697"/>
      <c r="LCS199" s="697"/>
      <c r="LCT199" s="697"/>
      <c r="LCU199" s="697"/>
      <c r="LCV199" s="697"/>
      <c r="LCW199" s="697"/>
      <c r="LCX199" s="697"/>
      <c r="LCY199" s="697"/>
      <c r="LCZ199" s="697"/>
      <c r="LDA199" s="697"/>
      <c r="LDB199" s="697"/>
      <c r="LDC199" s="697"/>
      <c r="LDD199" s="697"/>
      <c r="LDE199" s="697"/>
      <c r="LDF199" s="697"/>
      <c r="LDG199" s="697"/>
      <c r="LDH199" s="697"/>
      <c r="LDI199" s="697"/>
      <c r="LDJ199" s="697"/>
      <c r="LDK199" s="697"/>
      <c r="LDL199" s="697"/>
      <c r="LDM199" s="697"/>
      <c r="LDN199" s="697"/>
      <c r="LDO199" s="697"/>
      <c r="LDP199" s="697"/>
      <c r="LDQ199" s="697"/>
      <c r="LDR199" s="697"/>
      <c r="LDS199" s="697"/>
      <c r="LDT199" s="697"/>
      <c r="LDU199" s="697"/>
      <c r="LDV199" s="697"/>
      <c r="LDW199" s="697"/>
      <c r="LDX199" s="697"/>
      <c r="LDY199" s="697"/>
      <c r="LDZ199" s="697"/>
      <c r="LEA199" s="697"/>
      <c r="LEB199" s="697"/>
      <c r="LEC199" s="697"/>
      <c r="LED199" s="697"/>
      <c r="LEE199" s="697"/>
      <c r="LEF199" s="697"/>
      <c r="LEG199" s="697"/>
      <c r="LEH199" s="697"/>
      <c r="LEI199" s="697"/>
      <c r="LEJ199" s="697"/>
      <c r="LEK199" s="697"/>
      <c r="LEL199" s="697"/>
      <c r="LEM199" s="697"/>
      <c r="LEN199" s="697"/>
      <c r="LEO199" s="697"/>
      <c r="LEP199" s="697"/>
      <c r="LEQ199" s="697"/>
      <c r="LER199" s="697"/>
      <c r="LES199" s="697"/>
      <c r="LET199" s="697"/>
      <c r="LEU199" s="697"/>
      <c r="LEV199" s="697"/>
      <c r="LEW199" s="697"/>
      <c r="LEX199" s="697"/>
      <c r="LEY199" s="697"/>
      <c r="LEZ199" s="697"/>
      <c r="LFA199" s="697"/>
      <c r="LFB199" s="697"/>
      <c r="LFC199" s="697"/>
      <c r="LFD199" s="697"/>
      <c r="LFE199" s="697"/>
      <c r="LFF199" s="697"/>
      <c r="LFG199" s="697"/>
      <c r="LFH199" s="697"/>
      <c r="LFI199" s="697"/>
      <c r="LFJ199" s="697"/>
      <c r="LFK199" s="697"/>
      <c r="LFL199" s="697"/>
      <c r="LFM199" s="697"/>
      <c r="LFN199" s="697"/>
      <c r="LFO199" s="697"/>
      <c r="LFP199" s="697"/>
      <c r="LFQ199" s="697"/>
      <c r="LFR199" s="697"/>
      <c r="LFS199" s="697"/>
      <c r="LFT199" s="697"/>
      <c r="LFU199" s="697"/>
      <c r="LFV199" s="697"/>
      <c r="LFW199" s="697"/>
      <c r="LFX199" s="697"/>
      <c r="LFY199" s="697"/>
      <c r="LFZ199" s="697"/>
      <c r="LGA199" s="697"/>
      <c r="LGB199" s="697"/>
      <c r="LGC199" s="697"/>
      <c r="LGD199" s="697"/>
      <c r="LGE199" s="697"/>
      <c r="LGF199" s="697"/>
      <c r="LGG199" s="697"/>
      <c r="LGH199" s="697"/>
      <c r="LGI199" s="697"/>
      <c r="LGJ199" s="697"/>
      <c r="LGK199" s="697"/>
      <c r="LGL199" s="697"/>
      <c r="LGM199" s="697"/>
      <c r="LGN199" s="697"/>
      <c r="LGO199" s="697"/>
      <c r="LGP199" s="697"/>
      <c r="LGQ199" s="697"/>
      <c r="LGR199" s="697"/>
      <c r="LGS199" s="697"/>
      <c r="LGT199" s="697"/>
      <c r="LGU199" s="697"/>
      <c r="LGV199" s="697"/>
      <c r="LGW199" s="697"/>
      <c r="LGX199" s="697"/>
      <c r="LGY199" s="697"/>
      <c r="LGZ199" s="697"/>
      <c r="LHA199" s="697"/>
      <c r="LHB199" s="697"/>
      <c r="LHC199" s="697"/>
      <c r="LHD199" s="697"/>
      <c r="LHE199" s="697"/>
      <c r="LHF199" s="697"/>
      <c r="LHG199" s="697"/>
      <c r="LHH199" s="697"/>
      <c r="LHI199" s="697"/>
      <c r="LHJ199" s="697"/>
      <c r="LHK199" s="697"/>
      <c r="LHL199" s="697"/>
      <c r="LHM199" s="697"/>
      <c r="LHN199" s="697"/>
      <c r="LHO199" s="697"/>
      <c r="LHP199" s="697"/>
      <c r="LHQ199" s="697"/>
      <c r="LHR199" s="697"/>
      <c r="LHS199" s="697"/>
      <c r="LHT199" s="697"/>
      <c r="LHU199" s="697"/>
      <c r="LHV199" s="697"/>
      <c r="LHW199" s="697"/>
      <c r="LHX199" s="697"/>
      <c r="LHY199" s="697"/>
      <c r="LHZ199" s="697"/>
      <c r="LIA199" s="697"/>
      <c r="LIB199" s="697"/>
      <c r="LIC199" s="697"/>
      <c r="LID199" s="697"/>
      <c r="LIE199" s="697"/>
      <c r="LIF199" s="697"/>
      <c r="LIG199" s="697"/>
      <c r="LIH199" s="697"/>
      <c r="LII199" s="697"/>
      <c r="LIJ199" s="697"/>
      <c r="LIK199" s="697"/>
      <c r="LIL199" s="697"/>
      <c r="LIM199" s="697"/>
      <c r="LIN199" s="697"/>
      <c r="LIO199" s="697"/>
      <c r="LIP199" s="697"/>
      <c r="LIQ199" s="697"/>
      <c r="LIR199" s="697"/>
      <c r="LIS199" s="697"/>
      <c r="LIT199" s="697"/>
      <c r="LIU199" s="697"/>
      <c r="LIV199" s="697"/>
      <c r="LIW199" s="697"/>
      <c r="LIX199" s="697"/>
      <c r="LIY199" s="697"/>
      <c r="LIZ199" s="697"/>
      <c r="LJA199" s="697"/>
      <c r="LJB199" s="697"/>
      <c r="LJC199" s="697"/>
      <c r="LJD199" s="697"/>
      <c r="LJE199" s="697"/>
      <c r="LJF199" s="697"/>
      <c r="LJG199" s="697"/>
      <c r="LJH199" s="697"/>
      <c r="LJI199" s="697"/>
      <c r="LJJ199" s="697"/>
      <c r="LJK199" s="697"/>
      <c r="LJL199" s="697"/>
      <c r="LJM199" s="697"/>
      <c r="LJN199" s="697"/>
      <c r="LJO199" s="697"/>
      <c r="LJP199" s="697"/>
      <c r="LJQ199" s="697"/>
      <c r="LJR199" s="697"/>
      <c r="LJS199" s="697"/>
      <c r="LJT199" s="697"/>
      <c r="LJU199" s="697"/>
      <c r="LJV199" s="697"/>
      <c r="LJW199" s="697"/>
      <c r="LJX199" s="697"/>
      <c r="LJY199" s="697"/>
      <c r="LJZ199" s="697"/>
      <c r="LKA199" s="697"/>
      <c r="LKB199" s="697"/>
      <c r="LKC199" s="697"/>
      <c r="LKD199" s="697"/>
      <c r="LKE199" s="697"/>
      <c r="LKF199" s="697"/>
      <c r="LKG199" s="697"/>
      <c r="LKH199" s="697"/>
      <c r="LKI199" s="697"/>
      <c r="LKJ199" s="697"/>
      <c r="LKK199" s="697"/>
      <c r="LKL199" s="697"/>
      <c r="LKM199" s="697"/>
      <c r="LKN199" s="697"/>
      <c r="LKO199" s="697"/>
      <c r="LKP199" s="697"/>
      <c r="LKQ199" s="697"/>
      <c r="LKR199" s="697"/>
      <c r="LKS199" s="697"/>
      <c r="LKT199" s="697"/>
      <c r="LKU199" s="697"/>
      <c r="LKV199" s="697"/>
      <c r="LKW199" s="697"/>
      <c r="LKX199" s="697"/>
      <c r="LKY199" s="697"/>
      <c r="LKZ199" s="697"/>
      <c r="LLA199" s="697"/>
      <c r="LLB199" s="697"/>
      <c r="LLC199" s="697"/>
      <c r="LLD199" s="697"/>
      <c r="LLE199" s="697"/>
      <c r="LLF199" s="697"/>
      <c r="LLG199" s="697"/>
      <c r="LLH199" s="697"/>
      <c r="LLI199" s="697"/>
      <c r="LLJ199" s="697"/>
      <c r="LLK199" s="697"/>
      <c r="LLL199" s="697"/>
      <c r="LLM199" s="697"/>
      <c r="LLN199" s="697"/>
      <c r="LLO199" s="697"/>
      <c r="LLP199" s="697"/>
      <c r="LLQ199" s="697"/>
      <c r="LLR199" s="697"/>
      <c r="LLS199" s="697"/>
      <c r="LLT199" s="697"/>
      <c r="LLU199" s="697"/>
      <c r="LLV199" s="697"/>
      <c r="LLW199" s="697"/>
      <c r="LLX199" s="697"/>
      <c r="LLY199" s="697"/>
      <c r="LLZ199" s="697"/>
      <c r="LMA199" s="697"/>
      <c r="LMB199" s="697"/>
      <c r="LMC199" s="697"/>
      <c r="LMD199" s="697"/>
      <c r="LME199" s="697"/>
      <c r="LMF199" s="697"/>
      <c r="LMG199" s="697"/>
      <c r="LMH199" s="697"/>
      <c r="LMI199" s="697"/>
      <c r="LMJ199" s="697"/>
      <c r="LMK199" s="697"/>
      <c r="LML199" s="697"/>
      <c r="LMM199" s="697"/>
      <c r="LMN199" s="697"/>
      <c r="LMO199" s="697"/>
      <c r="LMP199" s="697"/>
      <c r="LMQ199" s="697"/>
      <c r="LMR199" s="697"/>
      <c r="LMS199" s="697"/>
      <c r="LMT199" s="697"/>
      <c r="LMU199" s="697"/>
      <c r="LMV199" s="697"/>
      <c r="LMW199" s="697"/>
      <c r="LMX199" s="697"/>
      <c r="LMY199" s="697"/>
      <c r="LMZ199" s="697"/>
      <c r="LNA199" s="697"/>
      <c r="LNB199" s="697"/>
      <c r="LNC199" s="697"/>
      <c r="LND199" s="697"/>
      <c r="LNE199" s="697"/>
      <c r="LNF199" s="697"/>
      <c r="LNG199" s="697"/>
      <c r="LNH199" s="697"/>
      <c r="LNI199" s="697"/>
      <c r="LNJ199" s="697"/>
      <c r="LNK199" s="697"/>
      <c r="LNL199" s="697"/>
      <c r="LNM199" s="697"/>
      <c r="LNN199" s="697"/>
      <c r="LNO199" s="697"/>
      <c r="LNP199" s="697"/>
      <c r="LNQ199" s="697"/>
      <c r="LNR199" s="697"/>
      <c r="LNS199" s="697"/>
      <c r="LNT199" s="697"/>
      <c r="LNU199" s="697"/>
      <c r="LNV199" s="697"/>
      <c r="LNW199" s="697"/>
      <c r="LNX199" s="697"/>
      <c r="LNY199" s="697"/>
      <c r="LNZ199" s="697"/>
      <c r="LOA199" s="697"/>
      <c r="LOB199" s="697"/>
      <c r="LOC199" s="697"/>
      <c r="LOD199" s="697"/>
      <c r="LOE199" s="697"/>
      <c r="LOF199" s="697"/>
      <c r="LOG199" s="697"/>
      <c r="LOH199" s="697"/>
      <c r="LOI199" s="697"/>
      <c r="LOJ199" s="697"/>
      <c r="LOK199" s="697"/>
      <c r="LOL199" s="697"/>
      <c r="LOM199" s="697"/>
      <c r="LON199" s="697"/>
      <c r="LOO199" s="697"/>
      <c r="LOP199" s="697"/>
      <c r="LOQ199" s="697"/>
      <c r="LOR199" s="697"/>
      <c r="LOS199" s="697"/>
      <c r="LOT199" s="697"/>
      <c r="LOU199" s="697"/>
      <c r="LOV199" s="697"/>
      <c r="LOW199" s="697"/>
      <c r="LOX199" s="697"/>
      <c r="LOY199" s="697"/>
      <c r="LOZ199" s="697"/>
      <c r="LPA199" s="697"/>
      <c r="LPB199" s="697"/>
      <c r="LPC199" s="697"/>
      <c r="LPD199" s="697"/>
      <c r="LPE199" s="697"/>
      <c r="LPF199" s="697"/>
      <c r="LPG199" s="697"/>
      <c r="LPH199" s="697"/>
      <c r="LPI199" s="697"/>
      <c r="LPJ199" s="697"/>
      <c r="LPK199" s="697"/>
      <c r="LPL199" s="697"/>
      <c r="LPM199" s="697"/>
      <c r="LPN199" s="697"/>
      <c r="LPO199" s="697"/>
      <c r="LPP199" s="697"/>
      <c r="LPQ199" s="697"/>
      <c r="LPR199" s="697"/>
      <c r="LPS199" s="697"/>
      <c r="LPT199" s="697"/>
      <c r="LPU199" s="697"/>
      <c r="LPV199" s="697"/>
      <c r="LPW199" s="697"/>
      <c r="LPX199" s="697"/>
      <c r="LPY199" s="697"/>
      <c r="LPZ199" s="697"/>
      <c r="LQA199" s="697"/>
      <c r="LQB199" s="697"/>
      <c r="LQC199" s="697"/>
      <c r="LQD199" s="697"/>
      <c r="LQE199" s="697"/>
      <c r="LQF199" s="697"/>
      <c r="LQG199" s="697"/>
      <c r="LQH199" s="697"/>
      <c r="LQI199" s="697"/>
      <c r="LQJ199" s="697"/>
      <c r="LQK199" s="697"/>
      <c r="LQL199" s="697"/>
      <c r="LQM199" s="697"/>
      <c r="LQN199" s="697"/>
      <c r="LQO199" s="697"/>
      <c r="LQP199" s="697"/>
      <c r="LQQ199" s="697"/>
      <c r="LQR199" s="697"/>
      <c r="LQS199" s="697"/>
      <c r="LQT199" s="697"/>
      <c r="LQU199" s="697"/>
      <c r="LQV199" s="697"/>
      <c r="LQW199" s="697"/>
      <c r="LQX199" s="697"/>
      <c r="LQY199" s="697"/>
      <c r="LQZ199" s="697"/>
      <c r="LRA199" s="697"/>
      <c r="LRB199" s="697"/>
      <c r="LRC199" s="697"/>
      <c r="LRD199" s="697"/>
      <c r="LRE199" s="697"/>
      <c r="LRF199" s="697"/>
      <c r="LRG199" s="697"/>
      <c r="LRH199" s="697"/>
      <c r="LRI199" s="697"/>
      <c r="LRJ199" s="697"/>
      <c r="LRK199" s="697"/>
      <c r="LRL199" s="697"/>
      <c r="LRM199" s="697"/>
      <c r="LRN199" s="697"/>
      <c r="LRO199" s="697"/>
      <c r="LRP199" s="697"/>
      <c r="LRQ199" s="697"/>
      <c r="LRR199" s="697"/>
      <c r="LRS199" s="697"/>
      <c r="LRT199" s="697"/>
      <c r="LRU199" s="697"/>
      <c r="LRV199" s="697"/>
      <c r="LRW199" s="697"/>
      <c r="LRX199" s="697"/>
      <c r="LRY199" s="697"/>
      <c r="LRZ199" s="697"/>
      <c r="LSA199" s="697"/>
      <c r="LSB199" s="697"/>
      <c r="LSC199" s="697"/>
      <c r="LSD199" s="697"/>
      <c r="LSE199" s="697"/>
      <c r="LSF199" s="697"/>
      <c r="LSG199" s="697"/>
      <c r="LSH199" s="697"/>
      <c r="LSI199" s="697"/>
      <c r="LSJ199" s="697"/>
      <c r="LSK199" s="697"/>
      <c r="LSL199" s="697"/>
      <c r="LSM199" s="697"/>
      <c r="LSN199" s="697"/>
      <c r="LSO199" s="697"/>
      <c r="LSP199" s="697"/>
      <c r="LSQ199" s="697"/>
      <c r="LSR199" s="697"/>
      <c r="LSS199" s="697"/>
      <c r="LST199" s="697"/>
      <c r="LSU199" s="697"/>
      <c r="LSV199" s="697"/>
      <c r="LSW199" s="697"/>
      <c r="LSX199" s="697"/>
      <c r="LSY199" s="697"/>
      <c r="LSZ199" s="697"/>
      <c r="LTA199" s="697"/>
      <c r="LTB199" s="697"/>
      <c r="LTC199" s="697"/>
      <c r="LTD199" s="697"/>
      <c r="LTE199" s="697"/>
      <c r="LTF199" s="697"/>
      <c r="LTG199" s="697"/>
      <c r="LTH199" s="697"/>
      <c r="LTI199" s="697"/>
      <c r="LTJ199" s="697"/>
      <c r="LTK199" s="697"/>
      <c r="LTL199" s="697"/>
      <c r="LTM199" s="697"/>
      <c r="LTN199" s="697"/>
      <c r="LTO199" s="697"/>
      <c r="LTP199" s="697"/>
      <c r="LTQ199" s="697"/>
      <c r="LTR199" s="697"/>
      <c r="LTS199" s="697"/>
      <c r="LTT199" s="697"/>
      <c r="LTU199" s="697"/>
      <c r="LTV199" s="697"/>
      <c r="LTW199" s="697"/>
      <c r="LTX199" s="697"/>
      <c r="LTY199" s="697"/>
      <c r="LTZ199" s="697"/>
      <c r="LUA199" s="697"/>
      <c r="LUB199" s="697"/>
      <c r="LUC199" s="697"/>
      <c r="LUD199" s="697"/>
      <c r="LUE199" s="697"/>
      <c r="LUF199" s="697"/>
      <c r="LUG199" s="697"/>
      <c r="LUH199" s="697"/>
      <c r="LUI199" s="697"/>
      <c r="LUJ199" s="697"/>
      <c r="LUK199" s="697"/>
      <c r="LUL199" s="697"/>
      <c r="LUM199" s="697"/>
      <c r="LUN199" s="697"/>
      <c r="LUO199" s="697"/>
      <c r="LUP199" s="697"/>
      <c r="LUQ199" s="697"/>
      <c r="LUR199" s="697"/>
      <c r="LUS199" s="697"/>
      <c r="LUT199" s="697"/>
      <c r="LUU199" s="697"/>
      <c r="LUV199" s="697"/>
      <c r="LUW199" s="697"/>
      <c r="LUX199" s="697"/>
      <c r="LUY199" s="697"/>
      <c r="LUZ199" s="697"/>
      <c r="LVA199" s="697"/>
      <c r="LVB199" s="697"/>
      <c r="LVC199" s="697"/>
      <c r="LVD199" s="697"/>
      <c r="LVE199" s="697"/>
      <c r="LVF199" s="697"/>
      <c r="LVG199" s="697"/>
      <c r="LVH199" s="697"/>
      <c r="LVI199" s="697"/>
      <c r="LVJ199" s="697"/>
      <c r="LVK199" s="697"/>
      <c r="LVL199" s="697"/>
      <c r="LVM199" s="697"/>
      <c r="LVN199" s="697"/>
      <c r="LVO199" s="697"/>
      <c r="LVP199" s="697"/>
      <c r="LVQ199" s="697"/>
      <c r="LVR199" s="697"/>
      <c r="LVS199" s="697"/>
      <c r="LVT199" s="697"/>
      <c r="LVU199" s="697"/>
      <c r="LVV199" s="697"/>
      <c r="LVW199" s="697"/>
      <c r="LVX199" s="697"/>
      <c r="LVY199" s="697"/>
      <c r="LVZ199" s="697"/>
      <c r="LWA199" s="697"/>
      <c r="LWB199" s="697"/>
      <c r="LWC199" s="697"/>
      <c r="LWD199" s="697"/>
      <c r="LWE199" s="697"/>
      <c r="LWF199" s="697"/>
      <c r="LWG199" s="697"/>
      <c r="LWH199" s="697"/>
      <c r="LWI199" s="697"/>
      <c r="LWJ199" s="697"/>
      <c r="LWK199" s="697"/>
      <c r="LWL199" s="697"/>
      <c r="LWM199" s="697"/>
      <c r="LWN199" s="697"/>
      <c r="LWO199" s="697"/>
      <c r="LWP199" s="697"/>
      <c r="LWQ199" s="697"/>
      <c r="LWR199" s="697"/>
      <c r="LWS199" s="697"/>
      <c r="LWT199" s="697"/>
      <c r="LWU199" s="697"/>
      <c r="LWV199" s="697"/>
      <c r="LWW199" s="697"/>
      <c r="LWX199" s="697"/>
      <c r="LWY199" s="697"/>
      <c r="LWZ199" s="697"/>
      <c r="LXA199" s="697"/>
      <c r="LXB199" s="697"/>
      <c r="LXC199" s="697"/>
      <c r="LXD199" s="697"/>
      <c r="LXE199" s="697"/>
      <c r="LXF199" s="697"/>
      <c r="LXG199" s="697"/>
      <c r="LXH199" s="697"/>
      <c r="LXI199" s="697"/>
      <c r="LXJ199" s="697"/>
      <c r="LXK199" s="697"/>
      <c r="LXL199" s="697"/>
      <c r="LXM199" s="697"/>
      <c r="LXN199" s="697"/>
      <c r="LXO199" s="697"/>
      <c r="LXP199" s="697"/>
      <c r="LXQ199" s="697"/>
      <c r="LXR199" s="697"/>
      <c r="LXS199" s="697"/>
      <c r="LXT199" s="697"/>
      <c r="LXU199" s="697"/>
      <c r="LXV199" s="697"/>
      <c r="LXW199" s="697"/>
      <c r="LXX199" s="697"/>
      <c r="LXY199" s="697"/>
      <c r="LXZ199" s="697"/>
      <c r="LYA199" s="697"/>
      <c r="LYB199" s="697"/>
      <c r="LYC199" s="697"/>
      <c r="LYD199" s="697"/>
      <c r="LYE199" s="697"/>
      <c r="LYF199" s="697"/>
      <c r="LYG199" s="697"/>
      <c r="LYH199" s="697"/>
      <c r="LYI199" s="697"/>
      <c r="LYJ199" s="697"/>
      <c r="LYK199" s="697"/>
      <c r="LYL199" s="697"/>
      <c r="LYM199" s="697"/>
      <c r="LYN199" s="697"/>
      <c r="LYO199" s="697"/>
      <c r="LYP199" s="697"/>
      <c r="LYQ199" s="697"/>
      <c r="LYR199" s="697"/>
      <c r="LYS199" s="697"/>
      <c r="LYT199" s="697"/>
      <c r="LYU199" s="697"/>
      <c r="LYV199" s="697"/>
      <c r="LYW199" s="697"/>
      <c r="LYX199" s="697"/>
      <c r="LYY199" s="697"/>
      <c r="LYZ199" s="697"/>
      <c r="LZA199" s="697"/>
      <c r="LZB199" s="697"/>
      <c r="LZC199" s="697"/>
      <c r="LZD199" s="697"/>
      <c r="LZE199" s="697"/>
      <c r="LZF199" s="697"/>
      <c r="LZG199" s="697"/>
      <c r="LZH199" s="697"/>
      <c r="LZI199" s="697"/>
      <c r="LZJ199" s="697"/>
      <c r="LZK199" s="697"/>
      <c r="LZL199" s="697"/>
      <c r="LZM199" s="697"/>
      <c r="LZN199" s="697"/>
      <c r="LZO199" s="697"/>
      <c r="LZP199" s="697"/>
      <c r="LZQ199" s="697"/>
      <c r="LZR199" s="697"/>
      <c r="LZS199" s="697"/>
      <c r="LZT199" s="697"/>
      <c r="LZU199" s="697"/>
      <c r="LZV199" s="697"/>
      <c r="LZW199" s="697"/>
      <c r="LZX199" s="697"/>
      <c r="LZY199" s="697"/>
      <c r="LZZ199" s="697"/>
      <c r="MAA199" s="697"/>
      <c r="MAB199" s="697"/>
      <c r="MAC199" s="697"/>
      <c r="MAD199" s="697"/>
      <c r="MAE199" s="697"/>
      <c r="MAF199" s="697"/>
      <c r="MAG199" s="697"/>
      <c r="MAH199" s="697"/>
      <c r="MAI199" s="697"/>
      <c r="MAJ199" s="697"/>
      <c r="MAK199" s="697"/>
      <c r="MAL199" s="697"/>
      <c r="MAM199" s="697"/>
      <c r="MAN199" s="697"/>
      <c r="MAO199" s="697"/>
      <c r="MAP199" s="697"/>
      <c r="MAQ199" s="697"/>
      <c r="MAR199" s="697"/>
      <c r="MAS199" s="697"/>
      <c r="MAT199" s="697"/>
      <c r="MAU199" s="697"/>
      <c r="MAV199" s="697"/>
      <c r="MAW199" s="697"/>
      <c r="MAX199" s="697"/>
      <c r="MAY199" s="697"/>
      <c r="MAZ199" s="697"/>
      <c r="MBA199" s="697"/>
      <c r="MBB199" s="697"/>
      <c r="MBC199" s="697"/>
      <c r="MBD199" s="697"/>
      <c r="MBE199" s="697"/>
      <c r="MBF199" s="697"/>
      <c r="MBG199" s="697"/>
      <c r="MBH199" s="697"/>
      <c r="MBI199" s="697"/>
      <c r="MBJ199" s="697"/>
      <c r="MBK199" s="697"/>
      <c r="MBL199" s="697"/>
      <c r="MBM199" s="697"/>
      <c r="MBN199" s="697"/>
      <c r="MBO199" s="697"/>
      <c r="MBP199" s="697"/>
      <c r="MBQ199" s="697"/>
      <c r="MBR199" s="697"/>
      <c r="MBS199" s="697"/>
      <c r="MBT199" s="697"/>
      <c r="MBU199" s="697"/>
      <c r="MBV199" s="697"/>
      <c r="MBW199" s="697"/>
      <c r="MBX199" s="697"/>
      <c r="MBY199" s="697"/>
      <c r="MBZ199" s="697"/>
      <c r="MCA199" s="697"/>
      <c r="MCB199" s="697"/>
      <c r="MCC199" s="697"/>
      <c r="MCD199" s="697"/>
      <c r="MCE199" s="697"/>
      <c r="MCF199" s="697"/>
      <c r="MCG199" s="697"/>
      <c r="MCH199" s="697"/>
      <c r="MCI199" s="697"/>
      <c r="MCJ199" s="697"/>
      <c r="MCK199" s="697"/>
      <c r="MCL199" s="697"/>
      <c r="MCM199" s="697"/>
      <c r="MCN199" s="697"/>
      <c r="MCO199" s="697"/>
      <c r="MCP199" s="697"/>
      <c r="MCQ199" s="697"/>
      <c r="MCR199" s="697"/>
      <c r="MCS199" s="697"/>
      <c r="MCT199" s="697"/>
      <c r="MCU199" s="697"/>
      <c r="MCV199" s="697"/>
      <c r="MCW199" s="697"/>
      <c r="MCX199" s="697"/>
      <c r="MCY199" s="697"/>
      <c r="MCZ199" s="697"/>
      <c r="MDA199" s="697"/>
      <c r="MDB199" s="697"/>
      <c r="MDC199" s="697"/>
      <c r="MDD199" s="697"/>
      <c r="MDE199" s="697"/>
      <c r="MDF199" s="697"/>
      <c r="MDG199" s="697"/>
      <c r="MDH199" s="697"/>
      <c r="MDI199" s="697"/>
      <c r="MDJ199" s="697"/>
      <c r="MDK199" s="697"/>
      <c r="MDL199" s="697"/>
      <c r="MDM199" s="697"/>
      <c r="MDN199" s="697"/>
      <c r="MDO199" s="697"/>
      <c r="MDP199" s="697"/>
      <c r="MDQ199" s="697"/>
      <c r="MDR199" s="697"/>
      <c r="MDS199" s="697"/>
      <c r="MDT199" s="697"/>
      <c r="MDU199" s="697"/>
      <c r="MDV199" s="697"/>
      <c r="MDW199" s="697"/>
      <c r="MDX199" s="697"/>
      <c r="MDY199" s="697"/>
      <c r="MDZ199" s="697"/>
      <c r="MEA199" s="697"/>
      <c r="MEB199" s="697"/>
      <c r="MEC199" s="697"/>
      <c r="MED199" s="697"/>
      <c r="MEE199" s="697"/>
      <c r="MEF199" s="697"/>
      <c r="MEG199" s="697"/>
      <c r="MEH199" s="697"/>
      <c r="MEI199" s="697"/>
      <c r="MEJ199" s="697"/>
      <c r="MEK199" s="697"/>
      <c r="MEL199" s="697"/>
      <c r="MEM199" s="697"/>
      <c r="MEN199" s="697"/>
      <c r="MEO199" s="697"/>
      <c r="MEP199" s="697"/>
      <c r="MEQ199" s="697"/>
      <c r="MER199" s="697"/>
      <c r="MES199" s="697"/>
      <c r="MET199" s="697"/>
      <c r="MEU199" s="697"/>
      <c r="MEV199" s="697"/>
      <c r="MEW199" s="697"/>
      <c r="MEX199" s="697"/>
      <c r="MEY199" s="697"/>
      <c r="MEZ199" s="697"/>
      <c r="MFA199" s="697"/>
      <c r="MFB199" s="697"/>
      <c r="MFC199" s="697"/>
      <c r="MFD199" s="697"/>
      <c r="MFE199" s="697"/>
      <c r="MFF199" s="697"/>
      <c r="MFG199" s="697"/>
      <c r="MFH199" s="697"/>
      <c r="MFI199" s="697"/>
      <c r="MFJ199" s="697"/>
      <c r="MFK199" s="697"/>
      <c r="MFL199" s="697"/>
      <c r="MFM199" s="697"/>
      <c r="MFN199" s="697"/>
      <c r="MFO199" s="697"/>
      <c r="MFP199" s="697"/>
      <c r="MFQ199" s="697"/>
      <c r="MFR199" s="697"/>
      <c r="MFS199" s="697"/>
      <c r="MFT199" s="697"/>
      <c r="MFU199" s="697"/>
      <c r="MFV199" s="697"/>
      <c r="MFW199" s="697"/>
      <c r="MFX199" s="697"/>
      <c r="MFY199" s="697"/>
      <c r="MFZ199" s="697"/>
      <c r="MGA199" s="697"/>
      <c r="MGB199" s="697"/>
      <c r="MGC199" s="697"/>
      <c r="MGD199" s="697"/>
      <c r="MGE199" s="697"/>
      <c r="MGF199" s="697"/>
      <c r="MGG199" s="697"/>
      <c r="MGH199" s="697"/>
      <c r="MGI199" s="697"/>
      <c r="MGJ199" s="697"/>
      <c r="MGK199" s="697"/>
      <c r="MGL199" s="697"/>
      <c r="MGM199" s="697"/>
      <c r="MGN199" s="697"/>
      <c r="MGO199" s="697"/>
      <c r="MGP199" s="697"/>
      <c r="MGQ199" s="697"/>
      <c r="MGR199" s="697"/>
      <c r="MGS199" s="697"/>
      <c r="MGT199" s="697"/>
      <c r="MGU199" s="697"/>
      <c r="MGV199" s="697"/>
      <c r="MGW199" s="697"/>
      <c r="MGX199" s="697"/>
      <c r="MGY199" s="697"/>
      <c r="MGZ199" s="697"/>
      <c r="MHA199" s="697"/>
      <c r="MHB199" s="697"/>
      <c r="MHC199" s="697"/>
      <c r="MHD199" s="697"/>
      <c r="MHE199" s="697"/>
      <c r="MHF199" s="697"/>
      <c r="MHG199" s="697"/>
      <c r="MHH199" s="697"/>
      <c r="MHI199" s="697"/>
      <c r="MHJ199" s="697"/>
      <c r="MHK199" s="697"/>
      <c r="MHL199" s="697"/>
      <c r="MHM199" s="697"/>
      <c r="MHN199" s="697"/>
      <c r="MHO199" s="697"/>
      <c r="MHP199" s="697"/>
      <c r="MHQ199" s="697"/>
      <c r="MHR199" s="697"/>
      <c r="MHS199" s="697"/>
      <c r="MHT199" s="697"/>
      <c r="MHU199" s="697"/>
      <c r="MHV199" s="697"/>
      <c r="MHW199" s="697"/>
      <c r="MHX199" s="697"/>
      <c r="MHY199" s="697"/>
      <c r="MHZ199" s="697"/>
      <c r="MIA199" s="697"/>
      <c r="MIB199" s="697"/>
      <c r="MIC199" s="697"/>
      <c r="MID199" s="697"/>
      <c r="MIE199" s="697"/>
      <c r="MIF199" s="697"/>
      <c r="MIG199" s="697"/>
      <c r="MIH199" s="697"/>
      <c r="MII199" s="697"/>
      <c r="MIJ199" s="697"/>
      <c r="MIK199" s="697"/>
      <c r="MIL199" s="697"/>
      <c r="MIM199" s="697"/>
      <c r="MIN199" s="697"/>
      <c r="MIO199" s="697"/>
      <c r="MIP199" s="697"/>
      <c r="MIQ199" s="697"/>
      <c r="MIR199" s="697"/>
      <c r="MIS199" s="697"/>
      <c r="MIT199" s="697"/>
      <c r="MIU199" s="697"/>
      <c r="MIV199" s="697"/>
      <c r="MIW199" s="697"/>
      <c r="MIX199" s="697"/>
      <c r="MIY199" s="697"/>
      <c r="MIZ199" s="697"/>
      <c r="MJA199" s="697"/>
      <c r="MJB199" s="697"/>
      <c r="MJC199" s="697"/>
      <c r="MJD199" s="697"/>
      <c r="MJE199" s="697"/>
      <c r="MJF199" s="697"/>
      <c r="MJG199" s="697"/>
      <c r="MJH199" s="697"/>
      <c r="MJI199" s="697"/>
      <c r="MJJ199" s="697"/>
      <c r="MJK199" s="697"/>
      <c r="MJL199" s="697"/>
      <c r="MJM199" s="697"/>
      <c r="MJN199" s="697"/>
      <c r="MJO199" s="697"/>
      <c r="MJP199" s="697"/>
      <c r="MJQ199" s="697"/>
      <c r="MJR199" s="697"/>
      <c r="MJS199" s="697"/>
      <c r="MJT199" s="697"/>
      <c r="MJU199" s="697"/>
      <c r="MJV199" s="697"/>
      <c r="MJW199" s="697"/>
      <c r="MJX199" s="697"/>
      <c r="MJY199" s="697"/>
      <c r="MJZ199" s="697"/>
      <c r="MKA199" s="697"/>
      <c r="MKB199" s="697"/>
      <c r="MKC199" s="697"/>
      <c r="MKD199" s="697"/>
      <c r="MKE199" s="697"/>
      <c r="MKF199" s="697"/>
      <c r="MKG199" s="697"/>
      <c r="MKH199" s="697"/>
      <c r="MKI199" s="697"/>
      <c r="MKJ199" s="697"/>
      <c r="MKK199" s="697"/>
      <c r="MKL199" s="697"/>
      <c r="MKM199" s="697"/>
      <c r="MKN199" s="697"/>
      <c r="MKO199" s="697"/>
      <c r="MKP199" s="697"/>
      <c r="MKQ199" s="697"/>
      <c r="MKR199" s="697"/>
      <c r="MKS199" s="697"/>
      <c r="MKT199" s="697"/>
      <c r="MKU199" s="697"/>
      <c r="MKV199" s="697"/>
      <c r="MKW199" s="697"/>
      <c r="MKX199" s="697"/>
      <c r="MKY199" s="697"/>
      <c r="MKZ199" s="697"/>
      <c r="MLA199" s="697"/>
      <c r="MLB199" s="697"/>
      <c r="MLC199" s="697"/>
      <c r="MLD199" s="697"/>
      <c r="MLE199" s="697"/>
      <c r="MLF199" s="697"/>
      <c r="MLG199" s="697"/>
      <c r="MLH199" s="697"/>
      <c r="MLI199" s="697"/>
      <c r="MLJ199" s="697"/>
      <c r="MLK199" s="697"/>
      <c r="MLL199" s="697"/>
      <c r="MLM199" s="697"/>
      <c r="MLN199" s="697"/>
      <c r="MLO199" s="697"/>
      <c r="MLP199" s="697"/>
      <c r="MLQ199" s="697"/>
      <c r="MLR199" s="697"/>
      <c r="MLS199" s="697"/>
      <c r="MLT199" s="697"/>
      <c r="MLU199" s="697"/>
      <c r="MLV199" s="697"/>
      <c r="MLW199" s="697"/>
      <c r="MLX199" s="697"/>
      <c r="MLY199" s="697"/>
      <c r="MLZ199" s="697"/>
      <c r="MMA199" s="697"/>
      <c r="MMB199" s="697"/>
      <c r="MMC199" s="697"/>
      <c r="MMD199" s="697"/>
      <c r="MME199" s="697"/>
      <c r="MMF199" s="697"/>
      <c r="MMG199" s="697"/>
      <c r="MMH199" s="697"/>
      <c r="MMI199" s="697"/>
      <c r="MMJ199" s="697"/>
      <c r="MMK199" s="697"/>
      <c r="MML199" s="697"/>
      <c r="MMM199" s="697"/>
      <c r="MMN199" s="697"/>
      <c r="MMO199" s="697"/>
      <c r="MMP199" s="697"/>
      <c r="MMQ199" s="697"/>
      <c r="MMR199" s="697"/>
      <c r="MMS199" s="697"/>
      <c r="MMT199" s="697"/>
      <c r="MMU199" s="697"/>
      <c r="MMV199" s="697"/>
      <c r="MMW199" s="697"/>
      <c r="MMX199" s="697"/>
      <c r="MMY199" s="697"/>
      <c r="MMZ199" s="697"/>
      <c r="MNA199" s="697"/>
      <c r="MNB199" s="697"/>
      <c r="MNC199" s="697"/>
      <c r="MND199" s="697"/>
      <c r="MNE199" s="697"/>
      <c r="MNF199" s="697"/>
      <c r="MNG199" s="697"/>
      <c r="MNH199" s="697"/>
      <c r="MNI199" s="697"/>
      <c r="MNJ199" s="697"/>
      <c r="MNK199" s="697"/>
      <c r="MNL199" s="697"/>
      <c r="MNM199" s="697"/>
      <c r="MNN199" s="697"/>
      <c r="MNO199" s="697"/>
      <c r="MNP199" s="697"/>
      <c r="MNQ199" s="697"/>
      <c r="MNR199" s="697"/>
      <c r="MNS199" s="697"/>
      <c r="MNT199" s="697"/>
      <c r="MNU199" s="697"/>
      <c r="MNV199" s="697"/>
      <c r="MNW199" s="697"/>
      <c r="MNX199" s="697"/>
      <c r="MNY199" s="697"/>
      <c r="MNZ199" s="697"/>
      <c r="MOA199" s="697"/>
      <c r="MOB199" s="697"/>
      <c r="MOC199" s="697"/>
      <c r="MOD199" s="697"/>
      <c r="MOE199" s="697"/>
      <c r="MOF199" s="697"/>
      <c r="MOG199" s="697"/>
      <c r="MOH199" s="697"/>
      <c r="MOI199" s="697"/>
      <c r="MOJ199" s="697"/>
      <c r="MOK199" s="697"/>
      <c r="MOL199" s="697"/>
      <c r="MOM199" s="697"/>
      <c r="MON199" s="697"/>
      <c r="MOO199" s="697"/>
      <c r="MOP199" s="697"/>
      <c r="MOQ199" s="697"/>
      <c r="MOR199" s="697"/>
      <c r="MOS199" s="697"/>
      <c r="MOT199" s="697"/>
      <c r="MOU199" s="697"/>
      <c r="MOV199" s="697"/>
      <c r="MOW199" s="697"/>
      <c r="MOX199" s="697"/>
      <c r="MOY199" s="697"/>
      <c r="MOZ199" s="697"/>
      <c r="MPA199" s="697"/>
      <c r="MPB199" s="697"/>
      <c r="MPC199" s="697"/>
      <c r="MPD199" s="697"/>
      <c r="MPE199" s="697"/>
      <c r="MPF199" s="697"/>
      <c r="MPG199" s="697"/>
      <c r="MPH199" s="697"/>
      <c r="MPI199" s="697"/>
      <c r="MPJ199" s="697"/>
      <c r="MPK199" s="697"/>
      <c r="MPL199" s="697"/>
      <c r="MPM199" s="697"/>
      <c r="MPN199" s="697"/>
      <c r="MPO199" s="697"/>
      <c r="MPP199" s="697"/>
      <c r="MPQ199" s="697"/>
      <c r="MPR199" s="697"/>
      <c r="MPS199" s="697"/>
      <c r="MPT199" s="697"/>
      <c r="MPU199" s="697"/>
      <c r="MPV199" s="697"/>
      <c r="MPW199" s="697"/>
      <c r="MPX199" s="697"/>
      <c r="MPY199" s="697"/>
      <c r="MPZ199" s="697"/>
      <c r="MQA199" s="697"/>
      <c r="MQB199" s="697"/>
      <c r="MQC199" s="697"/>
      <c r="MQD199" s="697"/>
      <c r="MQE199" s="697"/>
      <c r="MQF199" s="697"/>
      <c r="MQG199" s="697"/>
      <c r="MQH199" s="697"/>
      <c r="MQI199" s="697"/>
      <c r="MQJ199" s="697"/>
      <c r="MQK199" s="697"/>
      <c r="MQL199" s="697"/>
      <c r="MQM199" s="697"/>
      <c r="MQN199" s="697"/>
      <c r="MQO199" s="697"/>
      <c r="MQP199" s="697"/>
      <c r="MQQ199" s="697"/>
      <c r="MQR199" s="697"/>
      <c r="MQS199" s="697"/>
      <c r="MQT199" s="697"/>
      <c r="MQU199" s="697"/>
      <c r="MQV199" s="697"/>
      <c r="MQW199" s="697"/>
      <c r="MQX199" s="697"/>
      <c r="MQY199" s="697"/>
      <c r="MQZ199" s="697"/>
      <c r="MRA199" s="697"/>
      <c r="MRB199" s="697"/>
      <c r="MRC199" s="697"/>
      <c r="MRD199" s="697"/>
      <c r="MRE199" s="697"/>
      <c r="MRF199" s="697"/>
      <c r="MRG199" s="697"/>
      <c r="MRH199" s="697"/>
      <c r="MRI199" s="697"/>
      <c r="MRJ199" s="697"/>
      <c r="MRK199" s="697"/>
      <c r="MRL199" s="697"/>
      <c r="MRM199" s="697"/>
      <c r="MRN199" s="697"/>
      <c r="MRO199" s="697"/>
      <c r="MRP199" s="697"/>
      <c r="MRQ199" s="697"/>
      <c r="MRR199" s="697"/>
      <c r="MRS199" s="697"/>
      <c r="MRT199" s="697"/>
      <c r="MRU199" s="697"/>
      <c r="MRV199" s="697"/>
      <c r="MRW199" s="697"/>
      <c r="MRX199" s="697"/>
      <c r="MRY199" s="697"/>
      <c r="MRZ199" s="697"/>
      <c r="MSA199" s="697"/>
      <c r="MSB199" s="697"/>
      <c r="MSC199" s="697"/>
      <c r="MSD199" s="697"/>
      <c r="MSE199" s="697"/>
      <c r="MSF199" s="697"/>
      <c r="MSG199" s="697"/>
      <c r="MSH199" s="697"/>
      <c r="MSI199" s="697"/>
      <c r="MSJ199" s="697"/>
      <c r="MSK199" s="697"/>
      <c r="MSL199" s="697"/>
      <c r="MSM199" s="697"/>
      <c r="MSN199" s="697"/>
      <c r="MSO199" s="697"/>
      <c r="MSP199" s="697"/>
      <c r="MSQ199" s="697"/>
      <c r="MSR199" s="697"/>
      <c r="MSS199" s="697"/>
      <c r="MST199" s="697"/>
      <c r="MSU199" s="697"/>
      <c r="MSV199" s="697"/>
      <c r="MSW199" s="697"/>
      <c r="MSX199" s="697"/>
      <c r="MSY199" s="697"/>
      <c r="MSZ199" s="697"/>
      <c r="MTA199" s="697"/>
      <c r="MTB199" s="697"/>
      <c r="MTC199" s="697"/>
      <c r="MTD199" s="697"/>
      <c r="MTE199" s="697"/>
      <c r="MTF199" s="697"/>
      <c r="MTG199" s="697"/>
      <c r="MTH199" s="697"/>
      <c r="MTI199" s="697"/>
      <c r="MTJ199" s="697"/>
      <c r="MTK199" s="697"/>
      <c r="MTL199" s="697"/>
      <c r="MTM199" s="697"/>
      <c r="MTN199" s="697"/>
      <c r="MTO199" s="697"/>
      <c r="MTP199" s="697"/>
      <c r="MTQ199" s="697"/>
      <c r="MTR199" s="697"/>
      <c r="MTS199" s="697"/>
      <c r="MTT199" s="697"/>
      <c r="MTU199" s="697"/>
      <c r="MTV199" s="697"/>
      <c r="MTW199" s="697"/>
      <c r="MTX199" s="697"/>
      <c r="MTY199" s="697"/>
      <c r="MTZ199" s="697"/>
      <c r="MUA199" s="697"/>
      <c r="MUB199" s="697"/>
      <c r="MUC199" s="697"/>
      <c r="MUD199" s="697"/>
      <c r="MUE199" s="697"/>
      <c r="MUF199" s="697"/>
      <c r="MUG199" s="697"/>
      <c r="MUH199" s="697"/>
      <c r="MUI199" s="697"/>
      <c r="MUJ199" s="697"/>
      <c r="MUK199" s="697"/>
      <c r="MUL199" s="697"/>
      <c r="MUM199" s="697"/>
      <c r="MUN199" s="697"/>
      <c r="MUO199" s="697"/>
      <c r="MUP199" s="697"/>
      <c r="MUQ199" s="697"/>
      <c r="MUR199" s="697"/>
      <c r="MUS199" s="697"/>
      <c r="MUT199" s="697"/>
      <c r="MUU199" s="697"/>
      <c r="MUV199" s="697"/>
      <c r="MUW199" s="697"/>
      <c r="MUX199" s="697"/>
      <c r="MUY199" s="697"/>
      <c r="MUZ199" s="697"/>
      <c r="MVA199" s="697"/>
      <c r="MVB199" s="697"/>
      <c r="MVC199" s="697"/>
      <c r="MVD199" s="697"/>
      <c r="MVE199" s="697"/>
      <c r="MVF199" s="697"/>
      <c r="MVG199" s="697"/>
      <c r="MVH199" s="697"/>
      <c r="MVI199" s="697"/>
      <c r="MVJ199" s="697"/>
      <c r="MVK199" s="697"/>
      <c r="MVL199" s="697"/>
      <c r="MVM199" s="697"/>
      <c r="MVN199" s="697"/>
      <c r="MVO199" s="697"/>
      <c r="MVP199" s="697"/>
      <c r="MVQ199" s="697"/>
      <c r="MVR199" s="697"/>
      <c r="MVS199" s="697"/>
      <c r="MVT199" s="697"/>
      <c r="MVU199" s="697"/>
      <c r="MVV199" s="697"/>
      <c r="MVW199" s="697"/>
      <c r="MVX199" s="697"/>
      <c r="MVY199" s="697"/>
      <c r="MVZ199" s="697"/>
      <c r="MWA199" s="697"/>
      <c r="MWB199" s="697"/>
      <c r="MWC199" s="697"/>
      <c r="MWD199" s="697"/>
      <c r="MWE199" s="697"/>
      <c r="MWF199" s="697"/>
      <c r="MWG199" s="697"/>
      <c r="MWH199" s="697"/>
      <c r="MWI199" s="697"/>
      <c r="MWJ199" s="697"/>
      <c r="MWK199" s="697"/>
      <c r="MWL199" s="697"/>
      <c r="MWM199" s="697"/>
      <c r="MWN199" s="697"/>
      <c r="MWO199" s="697"/>
      <c r="MWP199" s="697"/>
      <c r="MWQ199" s="697"/>
      <c r="MWR199" s="697"/>
      <c r="MWS199" s="697"/>
      <c r="MWT199" s="697"/>
      <c r="MWU199" s="697"/>
      <c r="MWV199" s="697"/>
      <c r="MWW199" s="697"/>
      <c r="MWX199" s="697"/>
      <c r="MWY199" s="697"/>
      <c r="MWZ199" s="697"/>
      <c r="MXA199" s="697"/>
      <c r="MXB199" s="697"/>
      <c r="MXC199" s="697"/>
      <c r="MXD199" s="697"/>
      <c r="MXE199" s="697"/>
      <c r="MXF199" s="697"/>
      <c r="MXG199" s="697"/>
      <c r="MXH199" s="697"/>
      <c r="MXI199" s="697"/>
      <c r="MXJ199" s="697"/>
      <c r="MXK199" s="697"/>
      <c r="MXL199" s="697"/>
      <c r="MXM199" s="697"/>
      <c r="MXN199" s="697"/>
      <c r="MXO199" s="697"/>
      <c r="MXP199" s="697"/>
      <c r="MXQ199" s="697"/>
      <c r="MXR199" s="697"/>
      <c r="MXS199" s="697"/>
      <c r="MXT199" s="697"/>
      <c r="MXU199" s="697"/>
      <c r="MXV199" s="697"/>
      <c r="MXW199" s="697"/>
      <c r="MXX199" s="697"/>
      <c r="MXY199" s="697"/>
      <c r="MXZ199" s="697"/>
      <c r="MYA199" s="697"/>
      <c r="MYB199" s="697"/>
      <c r="MYC199" s="697"/>
      <c r="MYD199" s="697"/>
      <c r="MYE199" s="697"/>
      <c r="MYF199" s="697"/>
      <c r="MYG199" s="697"/>
      <c r="MYH199" s="697"/>
      <c r="MYI199" s="697"/>
      <c r="MYJ199" s="697"/>
      <c r="MYK199" s="697"/>
      <c r="MYL199" s="697"/>
      <c r="MYM199" s="697"/>
      <c r="MYN199" s="697"/>
      <c r="MYO199" s="697"/>
      <c r="MYP199" s="697"/>
      <c r="MYQ199" s="697"/>
      <c r="MYR199" s="697"/>
      <c r="MYS199" s="697"/>
      <c r="MYT199" s="697"/>
      <c r="MYU199" s="697"/>
      <c r="MYV199" s="697"/>
      <c r="MYW199" s="697"/>
      <c r="MYX199" s="697"/>
      <c r="MYY199" s="697"/>
      <c r="MYZ199" s="697"/>
      <c r="MZA199" s="697"/>
      <c r="MZB199" s="697"/>
      <c r="MZC199" s="697"/>
      <c r="MZD199" s="697"/>
      <c r="MZE199" s="697"/>
      <c r="MZF199" s="697"/>
      <c r="MZG199" s="697"/>
      <c r="MZH199" s="697"/>
      <c r="MZI199" s="697"/>
      <c r="MZJ199" s="697"/>
      <c r="MZK199" s="697"/>
      <c r="MZL199" s="697"/>
      <c r="MZM199" s="697"/>
      <c r="MZN199" s="697"/>
      <c r="MZO199" s="697"/>
      <c r="MZP199" s="697"/>
      <c r="MZQ199" s="697"/>
      <c r="MZR199" s="697"/>
      <c r="MZS199" s="697"/>
      <c r="MZT199" s="697"/>
      <c r="MZU199" s="697"/>
      <c r="MZV199" s="697"/>
      <c r="MZW199" s="697"/>
      <c r="MZX199" s="697"/>
      <c r="MZY199" s="697"/>
      <c r="MZZ199" s="697"/>
      <c r="NAA199" s="697"/>
      <c r="NAB199" s="697"/>
      <c r="NAC199" s="697"/>
      <c r="NAD199" s="697"/>
      <c r="NAE199" s="697"/>
      <c r="NAF199" s="697"/>
      <c r="NAG199" s="697"/>
      <c r="NAH199" s="697"/>
      <c r="NAI199" s="697"/>
      <c r="NAJ199" s="697"/>
      <c r="NAK199" s="697"/>
      <c r="NAL199" s="697"/>
      <c r="NAM199" s="697"/>
      <c r="NAN199" s="697"/>
      <c r="NAO199" s="697"/>
      <c r="NAP199" s="697"/>
      <c r="NAQ199" s="697"/>
      <c r="NAR199" s="697"/>
      <c r="NAS199" s="697"/>
      <c r="NAT199" s="697"/>
      <c r="NAU199" s="697"/>
      <c r="NAV199" s="697"/>
      <c r="NAW199" s="697"/>
      <c r="NAX199" s="697"/>
      <c r="NAY199" s="697"/>
      <c r="NAZ199" s="697"/>
      <c r="NBA199" s="697"/>
      <c r="NBB199" s="697"/>
      <c r="NBC199" s="697"/>
      <c r="NBD199" s="697"/>
      <c r="NBE199" s="697"/>
      <c r="NBF199" s="697"/>
      <c r="NBG199" s="697"/>
      <c r="NBH199" s="697"/>
      <c r="NBI199" s="697"/>
      <c r="NBJ199" s="697"/>
      <c r="NBK199" s="697"/>
      <c r="NBL199" s="697"/>
      <c r="NBM199" s="697"/>
      <c r="NBN199" s="697"/>
      <c r="NBO199" s="697"/>
      <c r="NBP199" s="697"/>
      <c r="NBQ199" s="697"/>
      <c r="NBR199" s="697"/>
      <c r="NBS199" s="697"/>
      <c r="NBT199" s="697"/>
      <c r="NBU199" s="697"/>
      <c r="NBV199" s="697"/>
      <c r="NBW199" s="697"/>
      <c r="NBX199" s="697"/>
      <c r="NBY199" s="697"/>
      <c r="NBZ199" s="697"/>
      <c r="NCA199" s="697"/>
      <c r="NCB199" s="697"/>
      <c r="NCC199" s="697"/>
      <c r="NCD199" s="697"/>
      <c r="NCE199" s="697"/>
      <c r="NCF199" s="697"/>
      <c r="NCG199" s="697"/>
      <c r="NCH199" s="697"/>
      <c r="NCI199" s="697"/>
      <c r="NCJ199" s="697"/>
      <c r="NCK199" s="697"/>
      <c r="NCL199" s="697"/>
      <c r="NCM199" s="697"/>
      <c r="NCN199" s="697"/>
      <c r="NCO199" s="697"/>
      <c r="NCP199" s="697"/>
      <c r="NCQ199" s="697"/>
      <c r="NCR199" s="697"/>
      <c r="NCS199" s="697"/>
      <c r="NCT199" s="697"/>
      <c r="NCU199" s="697"/>
      <c r="NCV199" s="697"/>
      <c r="NCW199" s="697"/>
      <c r="NCX199" s="697"/>
      <c r="NCY199" s="697"/>
      <c r="NCZ199" s="697"/>
      <c r="NDA199" s="697"/>
      <c r="NDB199" s="697"/>
      <c r="NDC199" s="697"/>
      <c r="NDD199" s="697"/>
      <c r="NDE199" s="697"/>
      <c r="NDF199" s="697"/>
      <c r="NDG199" s="697"/>
      <c r="NDH199" s="697"/>
      <c r="NDI199" s="697"/>
      <c r="NDJ199" s="697"/>
      <c r="NDK199" s="697"/>
      <c r="NDL199" s="697"/>
      <c r="NDM199" s="697"/>
      <c r="NDN199" s="697"/>
      <c r="NDO199" s="697"/>
      <c r="NDP199" s="697"/>
      <c r="NDQ199" s="697"/>
      <c r="NDR199" s="697"/>
      <c r="NDS199" s="697"/>
      <c r="NDT199" s="697"/>
      <c r="NDU199" s="697"/>
      <c r="NDV199" s="697"/>
      <c r="NDW199" s="697"/>
      <c r="NDX199" s="697"/>
      <c r="NDY199" s="697"/>
      <c r="NDZ199" s="697"/>
      <c r="NEA199" s="697"/>
      <c r="NEB199" s="697"/>
      <c r="NEC199" s="697"/>
      <c r="NED199" s="697"/>
      <c r="NEE199" s="697"/>
      <c r="NEF199" s="697"/>
      <c r="NEG199" s="697"/>
      <c r="NEH199" s="697"/>
      <c r="NEI199" s="697"/>
      <c r="NEJ199" s="697"/>
      <c r="NEK199" s="697"/>
      <c r="NEL199" s="697"/>
      <c r="NEM199" s="697"/>
      <c r="NEN199" s="697"/>
      <c r="NEO199" s="697"/>
      <c r="NEP199" s="697"/>
      <c r="NEQ199" s="697"/>
      <c r="NER199" s="697"/>
      <c r="NES199" s="697"/>
      <c r="NET199" s="697"/>
      <c r="NEU199" s="697"/>
      <c r="NEV199" s="697"/>
      <c r="NEW199" s="697"/>
      <c r="NEX199" s="697"/>
      <c r="NEY199" s="697"/>
      <c r="NEZ199" s="697"/>
      <c r="NFA199" s="697"/>
      <c r="NFB199" s="697"/>
      <c r="NFC199" s="697"/>
      <c r="NFD199" s="697"/>
      <c r="NFE199" s="697"/>
      <c r="NFF199" s="697"/>
      <c r="NFG199" s="697"/>
      <c r="NFH199" s="697"/>
      <c r="NFI199" s="697"/>
      <c r="NFJ199" s="697"/>
      <c r="NFK199" s="697"/>
      <c r="NFL199" s="697"/>
      <c r="NFM199" s="697"/>
      <c r="NFN199" s="697"/>
      <c r="NFO199" s="697"/>
      <c r="NFP199" s="697"/>
      <c r="NFQ199" s="697"/>
      <c r="NFR199" s="697"/>
      <c r="NFS199" s="697"/>
      <c r="NFT199" s="697"/>
      <c r="NFU199" s="697"/>
      <c r="NFV199" s="697"/>
      <c r="NFW199" s="697"/>
      <c r="NFX199" s="697"/>
      <c r="NFY199" s="697"/>
      <c r="NFZ199" s="697"/>
      <c r="NGA199" s="697"/>
      <c r="NGB199" s="697"/>
      <c r="NGC199" s="697"/>
      <c r="NGD199" s="697"/>
      <c r="NGE199" s="697"/>
      <c r="NGF199" s="697"/>
      <c r="NGG199" s="697"/>
      <c r="NGH199" s="697"/>
      <c r="NGI199" s="697"/>
      <c r="NGJ199" s="697"/>
      <c r="NGK199" s="697"/>
      <c r="NGL199" s="697"/>
      <c r="NGM199" s="697"/>
      <c r="NGN199" s="697"/>
      <c r="NGO199" s="697"/>
      <c r="NGP199" s="697"/>
      <c r="NGQ199" s="697"/>
      <c r="NGR199" s="697"/>
      <c r="NGS199" s="697"/>
      <c r="NGT199" s="697"/>
      <c r="NGU199" s="697"/>
      <c r="NGV199" s="697"/>
      <c r="NGW199" s="697"/>
      <c r="NGX199" s="697"/>
      <c r="NGY199" s="697"/>
      <c r="NGZ199" s="697"/>
      <c r="NHA199" s="697"/>
      <c r="NHB199" s="697"/>
      <c r="NHC199" s="697"/>
      <c r="NHD199" s="697"/>
      <c r="NHE199" s="697"/>
      <c r="NHF199" s="697"/>
      <c r="NHG199" s="697"/>
      <c r="NHH199" s="697"/>
      <c r="NHI199" s="697"/>
      <c r="NHJ199" s="697"/>
      <c r="NHK199" s="697"/>
      <c r="NHL199" s="697"/>
      <c r="NHM199" s="697"/>
      <c r="NHN199" s="697"/>
      <c r="NHO199" s="697"/>
      <c r="NHP199" s="697"/>
      <c r="NHQ199" s="697"/>
      <c r="NHR199" s="697"/>
      <c r="NHS199" s="697"/>
      <c r="NHT199" s="697"/>
      <c r="NHU199" s="697"/>
      <c r="NHV199" s="697"/>
      <c r="NHW199" s="697"/>
      <c r="NHX199" s="697"/>
      <c r="NHY199" s="697"/>
      <c r="NHZ199" s="697"/>
      <c r="NIA199" s="697"/>
      <c r="NIB199" s="697"/>
      <c r="NIC199" s="697"/>
      <c r="NID199" s="697"/>
      <c r="NIE199" s="697"/>
      <c r="NIF199" s="697"/>
      <c r="NIG199" s="697"/>
      <c r="NIH199" s="697"/>
      <c r="NII199" s="697"/>
      <c r="NIJ199" s="697"/>
      <c r="NIK199" s="697"/>
      <c r="NIL199" s="697"/>
      <c r="NIM199" s="697"/>
      <c r="NIN199" s="697"/>
      <c r="NIO199" s="697"/>
      <c r="NIP199" s="697"/>
      <c r="NIQ199" s="697"/>
      <c r="NIR199" s="697"/>
      <c r="NIS199" s="697"/>
      <c r="NIT199" s="697"/>
      <c r="NIU199" s="697"/>
      <c r="NIV199" s="697"/>
      <c r="NIW199" s="697"/>
      <c r="NIX199" s="697"/>
      <c r="NIY199" s="697"/>
      <c r="NIZ199" s="697"/>
      <c r="NJA199" s="697"/>
      <c r="NJB199" s="697"/>
      <c r="NJC199" s="697"/>
      <c r="NJD199" s="697"/>
      <c r="NJE199" s="697"/>
      <c r="NJF199" s="697"/>
      <c r="NJG199" s="697"/>
      <c r="NJH199" s="697"/>
      <c r="NJI199" s="697"/>
      <c r="NJJ199" s="697"/>
      <c r="NJK199" s="697"/>
      <c r="NJL199" s="697"/>
      <c r="NJM199" s="697"/>
      <c r="NJN199" s="697"/>
      <c r="NJO199" s="697"/>
      <c r="NJP199" s="697"/>
      <c r="NJQ199" s="697"/>
      <c r="NJR199" s="697"/>
      <c r="NJS199" s="697"/>
      <c r="NJT199" s="697"/>
      <c r="NJU199" s="697"/>
      <c r="NJV199" s="697"/>
      <c r="NJW199" s="697"/>
      <c r="NJX199" s="697"/>
      <c r="NJY199" s="697"/>
      <c r="NJZ199" s="697"/>
      <c r="NKA199" s="697"/>
      <c r="NKB199" s="697"/>
      <c r="NKC199" s="697"/>
      <c r="NKD199" s="697"/>
      <c r="NKE199" s="697"/>
      <c r="NKF199" s="697"/>
      <c r="NKG199" s="697"/>
      <c r="NKH199" s="697"/>
      <c r="NKI199" s="697"/>
      <c r="NKJ199" s="697"/>
      <c r="NKK199" s="697"/>
      <c r="NKL199" s="697"/>
      <c r="NKM199" s="697"/>
      <c r="NKN199" s="697"/>
      <c r="NKO199" s="697"/>
      <c r="NKP199" s="697"/>
      <c r="NKQ199" s="697"/>
      <c r="NKR199" s="697"/>
      <c r="NKS199" s="697"/>
      <c r="NKT199" s="697"/>
      <c r="NKU199" s="697"/>
      <c r="NKV199" s="697"/>
      <c r="NKW199" s="697"/>
      <c r="NKX199" s="697"/>
      <c r="NKY199" s="697"/>
      <c r="NKZ199" s="697"/>
      <c r="NLA199" s="697"/>
      <c r="NLB199" s="697"/>
      <c r="NLC199" s="697"/>
      <c r="NLD199" s="697"/>
      <c r="NLE199" s="697"/>
      <c r="NLF199" s="697"/>
      <c r="NLG199" s="697"/>
      <c r="NLH199" s="697"/>
      <c r="NLI199" s="697"/>
      <c r="NLJ199" s="697"/>
      <c r="NLK199" s="697"/>
      <c r="NLL199" s="697"/>
      <c r="NLM199" s="697"/>
      <c r="NLN199" s="697"/>
      <c r="NLO199" s="697"/>
      <c r="NLP199" s="697"/>
      <c r="NLQ199" s="697"/>
      <c r="NLR199" s="697"/>
      <c r="NLS199" s="697"/>
      <c r="NLT199" s="697"/>
      <c r="NLU199" s="697"/>
      <c r="NLV199" s="697"/>
      <c r="NLW199" s="697"/>
      <c r="NLX199" s="697"/>
      <c r="NLY199" s="697"/>
      <c r="NLZ199" s="697"/>
      <c r="NMA199" s="697"/>
      <c r="NMB199" s="697"/>
      <c r="NMC199" s="697"/>
      <c r="NMD199" s="697"/>
      <c r="NME199" s="697"/>
      <c r="NMF199" s="697"/>
      <c r="NMG199" s="697"/>
      <c r="NMH199" s="697"/>
      <c r="NMI199" s="697"/>
      <c r="NMJ199" s="697"/>
      <c r="NMK199" s="697"/>
      <c r="NML199" s="697"/>
      <c r="NMM199" s="697"/>
      <c r="NMN199" s="697"/>
      <c r="NMO199" s="697"/>
      <c r="NMP199" s="697"/>
      <c r="NMQ199" s="697"/>
      <c r="NMR199" s="697"/>
      <c r="NMS199" s="697"/>
      <c r="NMT199" s="697"/>
      <c r="NMU199" s="697"/>
      <c r="NMV199" s="697"/>
      <c r="NMW199" s="697"/>
      <c r="NMX199" s="697"/>
      <c r="NMY199" s="697"/>
      <c r="NMZ199" s="697"/>
      <c r="NNA199" s="697"/>
      <c r="NNB199" s="697"/>
      <c r="NNC199" s="697"/>
      <c r="NND199" s="697"/>
      <c r="NNE199" s="697"/>
      <c r="NNF199" s="697"/>
      <c r="NNG199" s="697"/>
      <c r="NNH199" s="697"/>
      <c r="NNI199" s="697"/>
      <c r="NNJ199" s="697"/>
      <c r="NNK199" s="697"/>
      <c r="NNL199" s="697"/>
      <c r="NNM199" s="697"/>
      <c r="NNN199" s="697"/>
      <c r="NNO199" s="697"/>
      <c r="NNP199" s="697"/>
      <c r="NNQ199" s="697"/>
      <c r="NNR199" s="697"/>
      <c r="NNS199" s="697"/>
      <c r="NNT199" s="697"/>
      <c r="NNU199" s="697"/>
      <c r="NNV199" s="697"/>
      <c r="NNW199" s="697"/>
      <c r="NNX199" s="697"/>
      <c r="NNY199" s="697"/>
      <c r="NNZ199" s="697"/>
      <c r="NOA199" s="697"/>
      <c r="NOB199" s="697"/>
      <c r="NOC199" s="697"/>
      <c r="NOD199" s="697"/>
      <c r="NOE199" s="697"/>
      <c r="NOF199" s="697"/>
      <c r="NOG199" s="697"/>
      <c r="NOH199" s="697"/>
      <c r="NOI199" s="697"/>
      <c r="NOJ199" s="697"/>
      <c r="NOK199" s="697"/>
      <c r="NOL199" s="697"/>
      <c r="NOM199" s="697"/>
      <c r="NON199" s="697"/>
      <c r="NOO199" s="697"/>
      <c r="NOP199" s="697"/>
      <c r="NOQ199" s="697"/>
      <c r="NOR199" s="697"/>
      <c r="NOS199" s="697"/>
      <c r="NOT199" s="697"/>
      <c r="NOU199" s="697"/>
      <c r="NOV199" s="697"/>
      <c r="NOW199" s="697"/>
      <c r="NOX199" s="697"/>
      <c r="NOY199" s="697"/>
      <c r="NOZ199" s="697"/>
      <c r="NPA199" s="697"/>
      <c r="NPB199" s="697"/>
      <c r="NPC199" s="697"/>
      <c r="NPD199" s="697"/>
      <c r="NPE199" s="697"/>
      <c r="NPF199" s="697"/>
      <c r="NPG199" s="697"/>
      <c r="NPH199" s="697"/>
      <c r="NPI199" s="697"/>
      <c r="NPJ199" s="697"/>
      <c r="NPK199" s="697"/>
      <c r="NPL199" s="697"/>
      <c r="NPM199" s="697"/>
      <c r="NPN199" s="697"/>
      <c r="NPO199" s="697"/>
      <c r="NPP199" s="697"/>
      <c r="NPQ199" s="697"/>
      <c r="NPR199" s="697"/>
      <c r="NPS199" s="697"/>
      <c r="NPT199" s="697"/>
      <c r="NPU199" s="697"/>
      <c r="NPV199" s="697"/>
      <c r="NPW199" s="697"/>
      <c r="NPX199" s="697"/>
      <c r="NPY199" s="697"/>
      <c r="NPZ199" s="697"/>
      <c r="NQA199" s="697"/>
      <c r="NQB199" s="697"/>
      <c r="NQC199" s="697"/>
      <c r="NQD199" s="697"/>
      <c r="NQE199" s="697"/>
      <c r="NQF199" s="697"/>
      <c r="NQG199" s="697"/>
      <c r="NQH199" s="697"/>
      <c r="NQI199" s="697"/>
      <c r="NQJ199" s="697"/>
      <c r="NQK199" s="697"/>
      <c r="NQL199" s="697"/>
      <c r="NQM199" s="697"/>
      <c r="NQN199" s="697"/>
      <c r="NQO199" s="697"/>
      <c r="NQP199" s="697"/>
      <c r="NQQ199" s="697"/>
      <c r="NQR199" s="697"/>
      <c r="NQS199" s="697"/>
      <c r="NQT199" s="697"/>
      <c r="NQU199" s="697"/>
      <c r="NQV199" s="697"/>
      <c r="NQW199" s="697"/>
      <c r="NQX199" s="697"/>
      <c r="NQY199" s="697"/>
      <c r="NQZ199" s="697"/>
      <c r="NRA199" s="697"/>
      <c r="NRB199" s="697"/>
      <c r="NRC199" s="697"/>
      <c r="NRD199" s="697"/>
      <c r="NRE199" s="697"/>
      <c r="NRF199" s="697"/>
      <c r="NRG199" s="697"/>
      <c r="NRH199" s="697"/>
      <c r="NRI199" s="697"/>
      <c r="NRJ199" s="697"/>
      <c r="NRK199" s="697"/>
      <c r="NRL199" s="697"/>
      <c r="NRM199" s="697"/>
      <c r="NRN199" s="697"/>
      <c r="NRO199" s="697"/>
      <c r="NRP199" s="697"/>
      <c r="NRQ199" s="697"/>
      <c r="NRR199" s="697"/>
      <c r="NRS199" s="697"/>
      <c r="NRT199" s="697"/>
      <c r="NRU199" s="697"/>
      <c r="NRV199" s="697"/>
      <c r="NRW199" s="697"/>
      <c r="NRX199" s="697"/>
      <c r="NRY199" s="697"/>
      <c r="NRZ199" s="697"/>
      <c r="NSA199" s="697"/>
      <c r="NSB199" s="697"/>
      <c r="NSC199" s="697"/>
      <c r="NSD199" s="697"/>
      <c r="NSE199" s="697"/>
      <c r="NSF199" s="697"/>
      <c r="NSG199" s="697"/>
      <c r="NSH199" s="697"/>
      <c r="NSI199" s="697"/>
      <c r="NSJ199" s="697"/>
      <c r="NSK199" s="697"/>
      <c r="NSL199" s="697"/>
      <c r="NSM199" s="697"/>
      <c r="NSN199" s="697"/>
      <c r="NSO199" s="697"/>
      <c r="NSP199" s="697"/>
      <c r="NSQ199" s="697"/>
      <c r="NSR199" s="697"/>
      <c r="NSS199" s="697"/>
      <c r="NST199" s="697"/>
      <c r="NSU199" s="697"/>
      <c r="NSV199" s="697"/>
      <c r="NSW199" s="697"/>
      <c r="NSX199" s="697"/>
      <c r="NSY199" s="697"/>
      <c r="NSZ199" s="697"/>
      <c r="NTA199" s="697"/>
      <c r="NTB199" s="697"/>
      <c r="NTC199" s="697"/>
      <c r="NTD199" s="697"/>
      <c r="NTE199" s="697"/>
      <c r="NTF199" s="697"/>
      <c r="NTG199" s="697"/>
      <c r="NTH199" s="697"/>
      <c r="NTI199" s="697"/>
      <c r="NTJ199" s="697"/>
      <c r="NTK199" s="697"/>
      <c r="NTL199" s="697"/>
      <c r="NTM199" s="697"/>
      <c r="NTN199" s="697"/>
      <c r="NTO199" s="697"/>
      <c r="NTP199" s="697"/>
      <c r="NTQ199" s="697"/>
      <c r="NTR199" s="697"/>
      <c r="NTS199" s="697"/>
      <c r="NTT199" s="697"/>
      <c r="NTU199" s="697"/>
      <c r="NTV199" s="697"/>
      <c r="NTW199" s="697"/>
      <c r="NTX199" s="697"/>
      <c r="NTY199" s="697"/>
      <c r="NTZ199" s="697"/>
      <c r="NUA199" s="697"/>
      <c r="NUB199" s="697"/>
      <c r="NUC199" s="697"/>
      <c r="NUD199" s="697"/>
      <c r="NUE199" s="697"/>
      <c r="NUF199" s="697"/>
      <c r="NUG199" s="697"/>
      <c r="NUH199" s="697"/>
      <c r="NUI199" s="697"/>
      <c r="NUJ199" s="697"/>
      <c r="NUK199" s="697"/>
      <c r="NUL199" s="697"/>
      <c r="NUM199" s="697"/>
      <c r="NUN199" s="697"/>
      <c r="NUO199" s="697"/>
      <c r="NUP199" s="697"/>
      <c r="NUQ199" s="697"/>
      <c r="NUR199" s="697"/>
      <c r="NUS199" s="697"/>
      <c r="NUT199" s="697"/>
      <c r="NUU199" s="697"/>
      <c r="NUV199" s="697"/>
      <c r="NUW199" s="697"/>
      <c r="NUX199" s="697"/>
      <c r="NUY199" s="697"/>
      <c r="NUZ199" s="697"/>
      <c r="NVA199" s="697"/>
      <c r="NVB199" s="697"/>
      <c r="NVC199" s="697"/>
      <c r="NVD199" s="697"/>
      <c r="NVE199" s="697"/>
      <c r="NVF199" s="697"/>
      <c r="NVG199" s="697"/>
      <c r="NVH199" s="697"/>
      <c r="NVI199" s="697"/>
      <c r="NVJ199" s="697"/>
      <c r="NVK199" s="697"/>
      <c r="NVL199" s="697"/>
      <c r="NVM199" s="697"/>
      <c r="NVN199" s="697"/>
      <c r="NVO199" s="697"/>
      <c r="NVP199" s="697"/>
      <c r="NVQ199" s="697"/>
      <c r="NVR199" s="697"/>
      <c r="NVS199" s="697"/>
      <c r="NVT199" s="697"/>
      <c r="NVU199" s="697"/>
      <c r="NVV199" s="697"/>
      <c r="NVW199" s="697"/>
      <c r="NVX199" s="697"/>
      <c r="NVY199" s="697"/>
      <c r="NVZ199" s="697"/>
      <c r="NWA199" s="697"/>
      <c r="NWB199" s="697"/>
      <c r="NWC199" s="697"/>
      <c r="NWD199" s="697"/>
      <c r="NWE199" s="697"/>
      <c r="NWF199" s="697"/>
      <c r="NWG199" s="697"/>
      <c r="NWH199" s="697"/>
      <c r="NWI199" s="697"/>
      <c r="NWJ199" s="697"/>
      <c r="NWK199" s="697"/>
      <c r="NWL199" s="697"/>
      <c r="NWM199" s="697"/>
      <c r="NWN199" s="697"/>
      <c r="NWO199" s="697"/>
      <c r="NWP199" s="697"/>
      <c r="NWQ199" s="697"/>
      <c r="NWR199" s="697"/>
      <c r="NWS199" s="697"/>
      <c r="NWT199" s="697"/>
      <c r="NWU199" s="697"/>
      <c r="NWV199" s="697"/>
      <c r="NWW199" s="697"/>
      <c r="NWX199" s="697"/>
      <c r="NWY199" s="697"/>
      <c r="NWZ199" s="697"/>
      <c r="NXA199" s="697"/>
      <c r="NXB199" s="697"/>
      <c r="NXC199" s="697"/>
      <c r="NXD199" s="697"/>
      <c r="NXE199" s="697"/>
      <c r="NXF199" s="697"/>
      <c r="NXG199" s="697"/>
      <c r="NXH199" s="697"/>
      <c r="NXI199" s="697"/>
      <c r="NXJ199" s="697"/>
      <c r="NXK199" s="697"/>
      <c r="NXL199" s="697"/>
      <c r="NXM199" s="697"/>
      <c r="NXN199" s="697"/>
      <c r="NXO199" s="697"/>
      <c r="NXP199" s="697"/>
      <c r="NXQ199" s="697"/>
      <c r="NXR199" s="697"/>
      <c r="NXS199" s="697"/>
      <c r="NXT199" s="697"/>
      <c r="NXU199" s="697"/>
      <c r="NXV199" s="697"/>
      <c r="NXW199" s="697"/>
      <c r="NXX199" s="697"/>
      <c r="NXY199" s="697"/>
      <c r="NXZ199" s="697"/>
      <c r="NYA199" s="697"/>
      <c r="NYB199" s="697"/>
      <c r="NYC199" s="697"/>
      <c r="NYD199" s="697"/>
      <c r="NYE199" s="697"/>
      <c r="NYF199" s="697"/>
      <c r="NYG199" s="697"/>
      <c r="NYH199" s="697"/>
      <c r="NYI199" s="697"/>
      <c r="NYJ199" s="697"/>
      <c r="NYK199" s="697"/>
      <c r="NYL199" s="697"/>
      <c r="NYM199" s="697"/>
      <c r="NYN199" s="697"/>
      <c r="NYO199" s="697"/>
      <c r="NYP199" s="697"/>
      <c r="NYQ199" s="697"/>
      <c r="NYR199" s="697"/>
      <c r="NYS199" s="697"/>
      <c r="NYT199" s="697"/>
      <c r="NYU199" s="697"/>
      <c r="NYV199" s="697"/>
      <c r="NYW199" s="697"/>
      <c r="NYX199" s="697"/>
      <c r="NYY199" s="697"/>
      <c r="NYZ199" s="697"/>
      <c r="NZA199" s="697"/>
      <c r="NZB199" s="697"/>
      <c r="NZC199" s="697"/>
      <c r="NZD199" s="697"/>
      <c r="NZE199" s="697"/>
      <c r="NZF199" s="697"/>
      <c r="NZG199" s="697"/>
      <c r="NZH199" s="697"/>
      <c r="NZI199" s="697"/>
      <c r="NZJ199" s="697"/>
      <c r="NZK199" s="697"/>
      <c r="NZL199" s="697"/>
      <c r="NZM199" s="697"/>
      <c r="NZN199" s="697"/>
      <c r="NZO199" s="697"/>
      <c r="NZP199" s="697"/>
      <c r="NZQ199" s="697"/>
      <c r="NZR199" s="697"/>
      <c r="NZS199" s="697"/>
      <c r="NZT199" s="697"/>
      <c r="NZU199" s="697"/>
      <c r="NZV199" s="697"/>
      <c r="NZW199" s="697"/>
      <c r="NZX199" s="697"/>
      <c r="NZY199" s="697"/>
      <c r="NZZ199" s="697"/>
      <c r="OAA199" s="697"/>
      <c r="OAB199" s="697"/>
      <c r="OAC199" s="697"/>
      <c r="OAD199" s="697"/>
      <c r="OAE199" s="697"/>
      <c r="OAF199" s="697"/>
      <c r="OAG199" s="697"/>
      <c r="OAH199" s="697"/>
      <c r="OAI199" s="697"/>
      <c r="OAJ199" s="697"/>
      <c r="OAK199" s="697"/>
      <c r="OAL199" s="697"/>
      <c r="OAM199" s="697"/>
      <c r="OAN199" s="697"/>
      <c r="OAO199" s="697"/>
      <c r="OAP199" s="697"/>
      <c r="OAQ199" s="697"/>
      <c r="OAR199" s="697"/>
      <c r="OAS199" s="697"/>
      <c r="OAT199" s="697"/>
      <c r="OAU199" s="697"/>
      <c r="OAV199" s="697"/>
      <c r="OAW199" s="697"/>
      <c r="OAX199" s="697"/>
      <c r="OAY199" s="697"/>
      <c r="OAZ199" s="697"/>
      <c r="OBA199" s="697"/>
      <c r="OBB199" s="697"/>
      <c r="OBC199" s="697"/>
      <c r="OBD199" s="697"/>
      <c r="OBE199" s="697"/>
      <c r="OBF199" s="697"/>
      <c r="OBG199" s="697"/>
      <c r="OBH199" s="697"/>
      <c r="OBI199" s="697"/>
      <c r="OBJ199" s="697"/>
      <c r="OBK199" s="697"/>
      <c r="OBL199" s="697"/>
      <c r="OBM199" s="697"/>
      <c r="OBN199" s="697"/>
      <c r="OBO199" s="697"/>
      <c r="OBP199" s="697"/>
      <c r="OBQ199" s="697"/>
      <c r="OBR199" s="697"/>
      <c r="OBS199" s="697"/>
      <c r="OBT199" s="697"/>
      <c r="OBU199" s="697"/>
      <c r="OBV199" s="697"/>
      <c r="OBW199" s="697"/>
      <c r="OBX199" s="697"/>
      <c r="OBY199" s="697"/>
      <c r="OBZ199" s="697"/>
      <c r="OCA199" s="697"/>
      <c r="OCB199" s="697"/>
      <c r="OCC199" s="697"/>
      <c r="OCD199" s="697"/>
      <c r="OCE199" s="697"/>
      <c r="OCF199" s="697"/>
      <c r="OCG199" s="697"/>
      <c r="OCH199" s="697"/>
      <c r="OCI199" s="697"/>
      <c r="OCJ199" s="697"/>
      <c r="OCK199" s="697"/>
      <c r="OCL199" s="697"/>
      <c r="OCM199" s="697"/>
      <c r="OCN199" s="697"/>
      <c r="OCO199" s="697"/>
      <c r="OCP199" s="697"/>
      <c r="OCQ199" s="697"/>
      <c r="OCR199" s="697"/>
      <c r="OCS199" s="697"/>
      <c r="OCT199" s="697"/>
      <c r="OCU199" s="697"/>
      <c r="OCV199" s="697"/>
      <c r="OCW199" s="697"/>
      <c r="OCX199" s="697"/>
      <c r="OCY199" s="697"/>
      <c r="OCZ199" s="697"/>
      <c r="ODA199" s="697"/>
      <c r="ODB199" s="697"/>
      <c r="ODC199" s="697"/>
      <c r="ODD199" s="697"/>
      <c r="ODE199" s="697"/>
      <c r="ODF199" s="697"/>
      <c r="ODG199" s="697"/>
      <c r="ODH199" s="697"/>
      <c r="ODI199" s="697"/>
      <c r="ODJ199" s="697"/>
      <c r="ODK199" s="697"/>
      <c r="ODL199" s="697"/>
      <c r="ODM199" s="697"/>
      <c r="ODN199" s="697"/>
      <c r="ODO199" s="697"/>
      <c r="ODP199" s="697"/>
      <c r="ODQ199" s="697"/>
      <c r="ODR199" s="697"/>
      <c r="ODS199" s="697"/>
      <c r="ODT199" s="697"/>
      <c r="ODU199" s="697"/>
      <c r="ODV199" s="697"/>
      <c r="ODW199" s="697"/>
      <c r="ODX199" s="697"/>
      <c r="ODY199" s="697"/>
      <c r="ODZ199" s="697"/>
      <c r="OEA199" s="697"/>
      <c r="OEB199" s="697"/>
      <c r="OEC199" s="697"/>
      <c r="OED199" s="697"/>
      <c r="OEE199" s="697"/>
      <c r="OEF199" s="697"/>
      <c r="OEG199" s="697"/>
      <c r="OEH199" s="697"/>
      <c r="OEI199" s="697"/>
      <c r="OEJ199" s="697"/>
      <c r="OEK199" s="697"/>
      <c r="OEL199" s="697"/>
      <c r="OEM199" s="697"/>
      <c r="OEN199" s="697"/>
      <c r="OEO199" s="697"/>
      <c r="OEP199" s="697"/>
      <c r="OEQ199" s="697"/>
      <c r="OER199" s="697"/>
      <c r="OES199" s="697"/>
      <c r="OET199" s="697"/>
      <c r="OEU199" s="697"/>
      <c r="OEV199" s="697"/>
      <c r="OEW199" s="697"/>
      <c r="OEX199" s="697"/>
      <c r="OEY199" s="697"/>
      <c r="OEZ199" s="697"/>
      <c r="OFA199" s="697"/>
      <c r="OFB199" s="697"/>
      <c r="OFC199" s="697"/>
      <c r="OFD199" s="697"/>
      <c r="OFE199" s="697"/>
      <c r="OFF199" s="697"/>
      <c r="OFG199" s="697"/>
      <c r="OFH199" s="697"/>
      <c r="OFI199" s="697"/>
      <c r="OFJ199" s="697"/>
      <c r="OFK199" s="697"/>
      <c r="OFL199" s="697"/>
      <c r="OFM199" s="697"/>
      <c r="OFN199" s="697"/>
      <c r="OFO199" s="697"/>
      <c r="OFP199" s="697"/>
      <c r="OFQ199" s="697"/>
      <c r="OFR199" s="697"/>
      <c r="OFS199" s="697"/>
      <c r="OFT199" s="697"/>
      <c r="OFU199" s="697"/>
      <c r="OFV199" s="697"/>
      <c r="OFW199" s="697"/>
      <c r="OFX199" s="697"/>
      <c r="OFY199" s="697"/>
      <c r="OFZ199" s="697"/>
      <c r="OGA199" s="697"/>
      <c r="OGB199" s="697"/>
      <c r="OGC199" s="697"/>
      <c r="OGD199" s="697"/>
      <c r="OGE199" s="697"/>
      <c r="OGF199" s="697"/>
      <c r="OGG199" s="697"/>
      <c r="OGH199" s="697"/>
      <c r="OGI199" s="697"/>
      <c r="OGJ199" s="697"/>
      <c r="OGK199" s="697"/>
      <c r="OGL199" s="697"/>
      <c r="OGM199" s="697"/>
      <c r="OGN199" s="697"/>
      <c r="OGO199" s="697"/>
      <c r="OGP199" s="697"/>
      <c r="OGQ199" s="697"/>
      <c r="OGR199" s="697"/>
      <c r="OGS199" s="697"/>
      <c r="OGT199" s="697"/>
      <c r="OGU199" s="697"/>
      <c r="OGV199" s="697"/>
      <c r="OGW199" s="697"/>
      <c r="OGX199" s="697"/>
      <c r="OGY199" s="697"/>
      <c r="OGZ199" s="697"/>
      <c r="OHA199" s="697"/>
      <c r="OHB199" s="697"/>
      <c r="OHC199" s="697"/>
      <c r="OHD199" s="697"/>
      <c r="OHE199" s="697"/>
      <c r="OHF199" s="697"/>
      <c r="OHG199" s="697"/>
      <c r="OHH199" s="697"/>
      <c r="OHI199" s="697"/>
      <c r="OHJ199" s="697"/>
      <c r="OHK199" s="697"/>
      <c r="OHL199" s="697"/>
      <c r="OHM199" s="697"/>
      <c r="OHN199" s="697"/>
      <c r="OHO199" s="697"/>
      <c r="OHP199" s="697"/>
      <c r="OHQ199" s="697"/>
      <c r="OHR199" s="697"/>
      <c r="OHS199" s="697"/>
      <c r="OHT199" s="697"/>
      <c r="OHU199" s="697"/>
      <c r="OHV199" s="697"/>
      <c r="OHW199" s="697"/>
      <c r="OHX199" s="697"/>
      <c r="OHY199" s="697"/>
      <c r="OHZ199" s="697"/>
      <c r="OIA199" s="697"/>
      <c r="OIB199" s="697"/>
      <c r="OIC199" s="697"/>
      <c r="OID199" s="697"/>
      <c r="OIE199" s="697"/>
      <c r="OIF199" s="697"/>
      <c r="OIG199" s="697"/>
      <c r="OIH199" s="697"/>
      <c r="OII199" s="697"/>
      <c r="OIJ199" s="697"/>
      <c r="OIK199" s="697"/>
      <c r="OIL199" s="697"/>
      <c r="OIM199" s="697"/>
      <c r="OIN199" s="697"/>
      <c r="OIO199" s="697"/>
      <c r="OIP199" s="697"/>
      <c r="OIQ199" s="697"/>
      <c r="OIR199" s="697"/>
      <c r="OIS199" s="697"/>
      <c r="OIT199" s="697"/>
      <c r="OIU199" s="697"/>
      <c r="OIV199" s="697"/>
      <c r="OIW199" s="697"/>
      <c r="OIX199" s="697"/>
      <c r="OIY199" s="697"/>
      <c r="OIZ199" s="697"/>
      <c r="OJA199" s="697"/>
      <c r="OJB199" s="697"/>
      <c r="OJC199" s="697"/>
      <c r="OJD199" s="697"/>
      <c r="OJE199" s="697"/>
      <c r="OJF199" s="697"/>
      <c r="OJG199" s="697"/>
      <c r="OJH199" s="697"/>
      <c r="OJI199" s="697"/>
      <c r="OJJ199" s="697"/>
      <c r="OJK199" s="697"/>
      <c r="OJL199" s="697"/>
      <c r="OJM199" s="697"/>
      <c r="OJN199" s="697"/>
      <c r="OJO199" s="697"/>
      <c r="OJP199" s="697"/>
      <c r="OJQ199" s="697"/>
      <c r="OJR199" s="697"/>
      <c r="OJS199" s="697"/>
      <c r="OJT199" s="697"/>
      <c r="OJU199" s="697"/>
      <c r="OJV199" s="697"/>
      <c r="OJW199" s="697"/>
      <c r="OJX199" s="697"/>
      <c r="OJY199" s="697"/>
      <c r="OJZ199" s="697"/>
      <c r="OKA199" s="697"/>
      <c r="OKB199" s="697"/>
      <c r="OKC199" s="697"/>
      <c r="OKD199" s="697"/>
      <c r="OKE199" s="697"/>
      <c r="OKF199" s="697"/>
      <c r="OKG199" s="697"/>
      <c r="OKH199" s="697"/>
      <c r="OKI199" s="697"/>
      <c r="OKJ199" s="697"/>
      <c r="OKK199" s="697"/>
      <c r="OKL199" s="697"/>
      <c r="OKM199" s="697"/>
      <c r="OKN199" s="697"/>
      <c r="OKO199" s="697"/>
      <c r="OKP199" s="697"/>
      <c r="OKQ199" s="697"/>
      <c r="OKR199" s="697"/>
      <c r="OKS199" s="697"/>
      <c r="OKT199" s="697"/>
      <c r="OKU199" s="697"/>
      <c r="OKV199" s="697"/>
      <c r="OKW199" s="697"/>
      <c r="OKX199" s="697"/>
      <c r="OKY199" s="697"/>
      <c r="OKZ199" s="697"/>
      <c r="OLA199" s="697"/>
      <c r="OLB199" s="697"/>
      <c r="OLC199" s="697"/>
      <c r="OLD199" s="697"/>
      <c r="OLE199" s="697"/>
      <c r="OLF199" s="697"/>
      <c r="OLG199" s="697"/>
      <c r="OLH199" s="697"/>
      <c r="OLI199" s="697"/>
      <c r="OLJ199" s="697"/>
      <c r="OLK199" s="697"/>
      <c r="OLL199" s="697"/>
      <c r="OLM199" s="697"/>
      <c r="OLN199" s="697"/>
      <c r="OLO199" s="697"/>
      <c r="OLP199" s="697"/>
      <c r="OLQ199" s="697"/>
      <c r="OLR199" s="697"/>
      <c r="OLS199" s="697"/>
      <c r="OLT199" s="697"/>
      <c r="OLU199" s="697"/>
      <c r="OLV199" s="697"/>
      <c r="OLW199" s="697"/>
      <c r="OLX199" s="697"/>
      <c r="OLY199" s="697"/>
      <c r="OLZ199" s="697"/>
      <c r="OMA199" s="697"/>
      <c r="OMB199" s="697"/>
      <c r="OMC199" s="697"/>
      <c r="OMD199" s="697"/>
      <c r="OME199" s="697"/>
      <c r="OMF199" s="697"/>
      <c r="OMG199" s="697"/>
      <c r="OMH199" s="697"/>
      <c r="OMI199" s="697"/>
      <c r="OMJ199" s="697"/>
      <c r="OMK199" s="697"/>
      <c r="OML199" s="697"/>
      <c r="OMM199" s="697"/>
      <c r="OMN199" s="697"/>
      <c r="OMO199" s="697"/>
      <c r="OMP199" s="697"/>
      <c r="OMQ199" s="697"/>
      <c r="OMR199" s="697"/>
      <c r="OMS199" s="697"/>
      <c r="OMT199" s="697"/>
      <c r="OMU199" s="697"/>
      <c r="OMV199" s="697"/>
      <c r="OMW199" s="697"/>
      <c r="OMX199" s="697"/>
      <c r="OMY199" s="697"/>
      <c r="OMZ199" s="697"/>
      <c r="ONA199" s="697"/>
      <c r="ONB199" s="697"/>
      <c r="ONC199" s="697"/>
      <c r="OND199" s="697"/>
      <c r="ONE199" s="697"/>
      <c r="ONF199" s="697"/>
      <c r="ONG199" s="697"/>
      <c r="ONH199" s="697"/>
      <c r="ONI199" s="697"/>
      <c r="ONJ199" s="697"/>
      <c r="ONK199" s="697"/>
      <c r="ONL199" s="697"/>
      <c r="ONM199" s="697"/>
      <c r="ONN199" s="697"/>
      <c r="ONO199" s="697"/>
      <c r="ONP199" s="697"/>
      <c r="ONQ199" s="697"/>
      <c r="ONR199" s="697"/>
      <c r="ONS199" s="697"/>
      <c r="ONT199" s="697"/>
      <c r="ONU199" s="697"/>
      <c r="ONV199" s="697"/>
      <c r="ONW199" s="697"/>
      <c r="ONX199" s="697"/>
      <c r="ONY199" s="697"/>
      <c r="ONZ199" s="697"/>
      <c r="OOA199" s="697"/>
      <c r="OOB199" s="697"/>
      <c r="OOC199" s="697"/>
      <c r="OOD199" s="697"/>
      <c r="OOE199" s="697"/>
      <c r="OOF199" s="697"/>
      <c r="OOG199" s="697"/>
      <c r="OOH199" s="697"/>
      <c r="OOI199" s="697"/>
      <c r="OOJ199" s="697"/>
      <c r="OOK199" s="697"/>
      <c r="OOL199" s="697"/>
      <c r="OOM199" s="697"/>
      <c r="OON199" s="697"/>
      <c r="OOO199" s="697"/>
      <c r="OOP199" s="697"/>
      <c r="OOQ199" s="697"/>
      <c r="OOR199" s="697"/>
      <c r="OOS199" s="697"/>
      <c r="OOT199" s="697"/>
      <c r="OOU199" s="697"/>
      <c r="OOV199" s="697"/>
      <c r="OOW199" s="697"/>
      <c r="OOX199" s="697"/>
      <c r="OOY199" s="697"/>
      <c r="OOZ199" s="697"/>
      <c r="OPA199" s="697"/>
      <c r="OPB199" s="697"/>
      <c r="OPC199" s="697"/>
      <c r="OPD199" s="697"/>
      <c r="OPE199" s="697"/>
      <c r="OPF199" s="697"/>
      <c r="OPG199" s="697"/>
      <c r="OPH199" s="697"/>
      <c r="OPI199" s="697"/>
      <c r="OPJ199" s="697"/>
      <c r="OPK199" s="697"/>
      <c r="OPL199" s="697"/>
      <c r="OPM199" s="697"/>
      <c r="OPN199" s="697"/>
      <c r="OPO199" s="697"/>
      <c r="OPP199" s="697"/>
      <c r="OPQ199" s="697"/>
      <c r="OPR199" s="697"/>
      <c r="OPS199" s="697"/>
      <c r="OPT199" s="697"/>
      <c r="OPU199" s="697"/>
      <c r="OPV199" s="697"/>
      <c r="OPW199" s="697"/>
      <c r="OPX199" s="697"/>
      <c r="OPY199" s="697"/>
      <c r="OPZ199" s="697"/>
      <c r="OQA199" s="697"/>
      <c r="OQB199" s="697"/>
      <c r="OQC199" s="697"/>
      <c r="OQD199" s="697"/>
      <c r="OQE199" s="697"/>
      <c r="OQF199" s="697"/>
      <c r="OQG199" s="697"/>
      <c r="OQH199" s="697"/>
      <c r="OQI199" s="697"/>
      <c r="OQJ199" s="697"/>
      <c r="OQK199" s="697"/>
      <c r="OQL199" s="697"/>
      <c r="OQM199" s="697"/>
      <c r="OQN199" s="697"/>
      <c r="OQO199" s="697"/>
      <c r="OQP199" s="697"/>
      <c r="OQQ199" s="697"/>
      <c r="OQR199" s="697"/>
      <c r="OQS199" s="697"/>
      <c r="OQT199" s="697"/>
      <c r="OQU199" s="697"/>
      <c r="OQV199" s="697"/>
      <c r="OQW199" s="697"/>
      <c r="OQX199" s="697"/>
      <c r="OQY199" s="697"/>
      <c r="OQZ199" s="697"/>
      <c r="ORA199" s="697"/>
      <c r="ORB199" s="697"/>
      <c r="ORC199" s="697"/>
      <c r="ORD199" s="697"/>
      <c r="ORE199" s="697"/>
      <c r="ORF199" s="697"/>
      <c r="ORG199" s="697"/>
      <c r="ORH199" s="697"/>
      <c r="ORI199" s="697"/>
      <c r="ORJ199" s="697"/>
      <c r="ORK199" s="697"/>
      <c r="ORL199" s="697"/>
      <c r="ORM199" s="697"/>
      <c r="ORN199" s="697"/>
      <c r="ORO199" s="697"/>
      <c r="ORP199" s="697"/>
      <c r="ORQ199" s="697"/>
      <c r="ORR199" s="697"/>
      <c r="ORS199" s="697"/>
      <c r="ORT199" s="697"/>
      <c r="ORU199" s="697"/>
      <c r="ORV199" s="697"/>
      <c r="ORW199" s="697"/>
      <c r="ORX199" s="697"/>
      <c r="ORY199" s="697"/>
      <c r="ORZ199" s="697"/>
      <c r="OSA199" s="697"/>
      <c r="OSB199" s="697"/>
      <c r="OSC199" s="697"/>
      <c r="OSD199" s="697"/>
      <c r="OSE199" s="697"/>
      <c r="OSF199" s="697"/>
      <c r="OSG199" s="697"/>
      <c r="OSH199" s="697"/>
      <c r="OSI199" s="697"/>
      <c r="OSJ199" s="697"/>
      <c r="OSK199" s="697"/>
      <c r="OSL199" s="697"/>
      <c r="OSM199" s="697"/>
      <c r="OSN199" s="697"/>
      <c r="OSO199" s="697"/>
      <c r="OSP199" s="697"/>
      <c r="OSQ199" s="697"/>
      <c r="OSR199" s="697"/>
      <c r="OSS199" s="697"/>
      <c r="OST199" s="697"/>
      <c r="OSU199" s="697"/>
      <c r="OSV199" s="697"/>
      <c r="OSW199" s="697"/>
      <c r="OSX199" s="697"/>
      <c r="OSY199" s="697"/>
      <c r="OSZ199" s="697"/>
      <c r="OTA199" s="697"/>
      <c r="OTB199" s="697"/>
      <c r="OTC199" s="697"/>
      <c r="OTD199" s="697"/>
      <c r="OTE199" s="697"/>
      <c r="OTF199" s="697"/>
      <c r="OTG199" s="697"/>
      <c r="OTH199" s="697"/>
      <c r="OTI199" s="697"/>
      <c r="OTJ199" s="697"/>
      <c r="OTK199" s="697"/>
      <c r="OTL199" s="697"/>
      <c r="OTM199" s="697"/>
      <c r="OTN199" s="697"/>
      <c r="OTO199" s="697"/>
      <c r="OTP199" s="697"/>
      <c r="OTQ199" s="697"/>
      <c r="OTR199" s="697"/>
      <c r="OTS199" s="697"/>
      <c r="OTT199" s="697"/>
      <c r="OTU199" s="697"/>
      <c r="OTV199" s="697"/>
      <c r="OTW199" s="697"/>
      <c r="OTX199" s="697"/>
      <c r="OTY199" s="697"/>
      <c r="OTZ199" s="697"/>
      <c r="OUA199" s="697"/>
      <c r="OUB199" s="697"/>
      <c r="OUC199" s="697"/>
      <c r="OUD199" s="697"/>
      <c r="OUE199" s="697"/>
      <c r="OUF199" s="697"/>
      <c r="OUG199" s="697"/>
      <c r="OUH199" s="697"/>
      <c r="OUI199" s="697"/>
      <c r="OUJ199" s="697"/>
      <c r="OUK199" s="697"/>
      <c r="OUL199" s="697"/>
      <c r="OUM199" s="697"/>
      <c r="OUN199" s="697"/>
      <c r="OUO199" s="697"/>
      <c r="OUP199" s="697"/>
      <c r="OUQ199" s="697"/>
      <c r="OUR199" s="697"/>
      <c r="OUS199" s="697"/>
      <c r="OUT199" s="697"/>
      <c r="OUU199" s="697"/>
      <c r="OUV199" s="697"/>
      <c r="OUW199" s="697"/>
      <c r="OUX199" s="697"/>
      <c r="OUY199" s="697"/>
      <c r="OUZ199" s="697"/>
      <c r="OVA199" s="697"/>
      <c r="OVB199" s="697"/>
      <c r="OVC199" s="697"/>
      <c r="OVD199" s="697"/>
      <c r="OVE199" s="697"/>
      <c r="OVF199" s="697"/>
      <c r="OVG199" s="697"/>
      <c r="OVH199" s="697"/>
      <c r="OVI199" s="697"/>
      <c r="OVJ199" s="697"/>
      <c r="OVK199" s="697"/>
      <c r="OVL199" s="697"/>
      <c r="OVM199" s="697"/>
      <c r="OVN199" s="697"/>
      <c r="OVO199" s="697"/>
      <c r="OVP199" s="697"/>
      <c r="OVQ199" s="697"/>
      <c r="OVR199" s="697"/>
      <c r="OVS199" s="697"/>
      <c r="OVT199" s="697"/>
      <c r="OVU199" s="697"/>
      <c r="OVV199" s="697"/>
      <c r="OVW199" s="697"/>
      <c r="OVX199" s="697"/>
      <c r="OVY199" s="697"/>
      <c r="OVZ199" s="697"/>
      <c r="OWA199" s="697"/>
      <c r="OWB199" s="697"/>
      <c r="OWC199" s="697"/>
      <c r="OWD199" s="697"/>
      <c r="OWE199" s="697"/>
      <c r="OWF199" s="697"/>
      <c r="OWG199" s="697"/>
      <c r="OWH199" s="697"/>
      <c r="OWI199" s="697"/>
      <c r="OWJ199" s="697"/>
      <c r="OWK199" s="697"/>
      <c r="OWL199" s="697"/>
      <c r="OWM199" s="697"/>
      <c r="OWN199" s="697"/>
      <c r="OWO199" s="697"/>
      <c r="OWP199" s="697"/>
      <c r="OWQ199" s="697"/>
      <c r="OWR199" s="697"/>
      <c r="OWS199" s="697"/>
      <c r="OWT199" s="697"/>
      <c r="OWU199" s="697"/>
      <c r="OWV199" s="697"/>
      <c r="OWW199" s="697"/>
      <c r="OWX199" s="697"/>
      <c r="OWY199" s="697"/>
      <c r="OWZ199" s="697"/>
      <c r="OXA199" s="697"/>
      <c r="OXB199" s="697"/>
      <c r="OXC199" s="697"/>
      <c r="OXD199" s="697"/>
      <c r="OXE199" s="697"/>
      <c r="OXF199" s="697"/>
      <c r="OXG199" s="697"/>
      <c r="OXH199" s="697"/>
      <c r="OXI199" s="697"/>
      <c r="OXJ199" s="697"/>
      <c r="OXK199" s="697"/>
      <c r="OXL199" s="697"/>
      <c r="OXM199" s="697"/>
      <c r="OXN199" s="697"/>
      <c r="OXO199" s="697"/>
      <c r="OXP199" s="697"/>
      <c r="OXQ199" s="697"/>
      <c r="OXR199" s="697"/>
      <c r="OXS199" s="697"/>
      <c r="OXT199" s="697"/>
      <c r="OXU199" s="697"/>
      <c r="OXV199" s="697"/>
      <c r="OXW199" s="697"/>
      <c r="OXX199" s="697"/>
      <c r="OXY199" s="697"/>
      <c r="OXZ199" s="697"/>
      <c r="OYA199" s="697"/>
      <c r="OYB199" s="697"/>
      <c r="OYC199" s="697"/>
      <c r="OYD199" s="697"/>
      <c r="OYE199" s="697"/>
      <c r="OYF199" s="697"/>
      <c r="OYG199" s="697"/>
      <c r="OYH199" s="697"/>
      <c r="OYI199" s="697"/>
      <c r="OYJ199" s="697"/>
      <c r="OYK199" s="697"/>
      <c r="OYL199" s="697"/>
      <c r="OYM199" s="697"/>
      <c r="OYN199" s="697"/>
      <c r="OYO199" s="697"/>
      <c r="OYP199" s="697"/>
      <c r="OYQ199" s="697"/>
      <c r="OYR199" s="697"/>
      <c r="OYS199" s="697"/>
      <c r="OYT199" s="697"/>
      <c r="OYU199" s="697"/>
      <c r="OYV199" s="697"/>
      <c r="OYW199" s="697"/>
      <c r="OYX199" s="697"/>
      <c r="OYY199" s="697"/>
      <c r="OYZ199" s="697"/>
      <c r="OZA199" s="697"/>
      <c r="OZB199" s="697"/>
      <c r="OZC199" s="697"/>
      <c r="OZD199" s="697"/>
      <c r="OZE199" s="697"/>
      <c r="OZF199" s="697"/>
      <c r="OZG199" s="697"/>
      <c r="OZH199" s="697"/>
      <c r="OZI199" s="697"/>
      <c r="OZJ199" s="697"/>
      <c r="OZK199" s="697"/>
      <c r="OZL199" s="697"/>
      <c r="OZM199" s="697"/>
      <c r="OZN199" s="697"/>
      <c r="OZO199" s="697"/>
      <c r="OZP199" s="697"/>
      <c r="OZQ199" s="697"/>
      <c r="OZR199" s="697"/>
      <c r="OZS199" s="697"/>
      <c r="OZT199" s="697"/>
      <c r="OZU199" s="697"/>
      <c r="OZV199" s="697"/>
      <c r="OZW199" s="697"/>
      <c r="OZX199" s="697"/>
      <c r="OZY199" s="697"/>
      <c r="OZZ199" s="697"/>
      <c r="PAA199" s="697"/>
      <c r="PAB199" s="697"/>
      <c r="PAC199" s="697"/>
      <c r="PAD199" s="697"/>
      <c r="PAE199" s="697"/>
      <c r="PAF199" s="697"/>
      <c r="PAG199" s="697"/>
      <c r="PAH199" s="697"/>
      <c r="PAI199" s="697"/>
      <c r="PAJ199" s="697"/>
      <c r="PAK199" s="697"/>
      <c r="PAL199" s="697"/>
      <c r="PAM199" s="697"/>
      <c r="PAN199" s="697"/>
      <c r="PAO199" s="697"/>
      <c r="PAP199" s="697"/>
      <c r="PAQ199" s="697"/>
      <c r="PAR199" s="697"/>
      <c r="PAS199" s="697"/>
      <c r="PAT199" s="697"/>
      <c r="PAU199" s="697"/>
      <c r="PAV199" s="697"/>
      <c r="PAW199" s="697"/>
      <c r="PAX199" s="697"/>
      <c r="PAY199" s="697"/>
      <c r="PAZ199" s="697"/>
      <c r="PBA199" s="697"/>
      <c r="PBB199" s="697"/>
      <c r="PBC199" s="697"/>
      <c r="PBD199" s="697"/>
      <c r="PBE199" s="697"/>
      <c r="PBF199" s="697"/>
      <c r="PBG199" s="697"/>
      <c r="PBH199" s="697"/>
      <c r="PBI199" s="697"/>
      <c r="PBJ199" s="697"/>
      <c r="PBK199" s="697"/>
      <c r="PBL199" s="697"/>
      <c r="PBM199" s="697"/>
      <c r="PBN199" s="697"/>
      <c r="PBO199" s="697"/>
      <c r="PBP199" s="697"/>
      <c r="PBQ199" s="697"/>
      <c r="PBR199" s="697"/>
      <c r="PBS199" s="697"/>
      <c r="PBT199" s="697"/>
      <c r="PBU199" s="697"/>
      <c r="PBV199" s="697"/>
      <c r="PBW199" s="697"/>
      <c r="PBX199" s="697"/>
      <c r="PBY199" s="697"/>
      <c r="PBZ199" s="697"/>
      <c r="PCA199" s="697"/>
      <c r="PCB199" s="697"/>
      <c r="PCC199" s="697"/>
      <c r="PCD199" s="697"/>
      <c r="PCE199" s="697"/>
      <c r="PCF199" s="697"/>
      <c r="PCG199" s="697"/>
      <c r="PCH199" s="697"/>
      <c r="PCI199" s="697"/>
      <c r="PCJ199" s="697"/>
      <c r="PCK199" s="697"/>
      <c r="PCL199" s="697"/>
      <c r="PCM199" s="697"/>
      <c r="PCN199" s="697"/>
      <c r="PCO199" s="697"/>
      <c r="PCP199" s="697"/>
      <c r="PCQ199" s="697"/>
      <c r="PCR199" s="697"/>
      <c r="PCS199" s="697"/>
      <c r="PCT199" s="697"/>
      <c r="PCU199" s="697"/>
      <c r="PCV199" s="697"/>
      <c r="PCW199" s="697"/>
      <c r="PCX199" s="697"/>
      <c r="PCY199" s="697"/>
      <c r="PCZ199" s="697"/>
      <c r="PDA199" s="697"/>
      <c r="PDB199" s="697"/>
      <c r="PDC199" s="697"/>
      <c r="PDD199" s="697"/>
      <c r="PDE199" s="697"/>
      <c r="PDF199" s="697"/>
      <c r="PDG199" s="697"/>
      <c r="PDH199" s="697"/>
      <c r="PDI199" s="697"/>
      <c r="PDJ199" s="697"/>
      <c r="PDK199" s="697"/>
      <c r="PDL199" s="697"/>
      <c r="PDM199" s="697"/>
      <c r="PDN199" s="697"/>
      <c r="PDO199" s="697"/>
      <c r="PDP199" s="697"/>
      <c r="PDQ199" s="697"/>
      <c r="PDR199" s="697"/>
      <c r="PDS199" s="697"/>
      <c r="PDT199" s="697"/>
      <c r="PDU199" s="697"/>
      <c r="PDV199" s="697"/>
      <c r="PDW199" s="697"/>
      <c r="PDX199" s="697"/>
      <c r="PDY199" s="697"/>
      <c r="PDZ199" s="697"/>
      <c r="PEA199" s="697"/>
      <c r="PEB199" s="697"/>
      <c r="PEC199" s="697"/>
      <c r="PED199" s="697"/>
      <c r="PEE199" s="697"/>
      <c r="PEF199" s="697"/>
      <c r="PEG199" s="697"/>
      <c r="PEH199" s="697"/>
      <c r="PEI199" s="697"/>
      <c r="PEJ199" s="697"/>
      <c r="PEK199" s="697"/>
      <c r="PEL199" s="697"/>
      <c r="PEM199" s="697"/>
      <c r="PEN199" s="697"/>
      <c r="PEO199" s="697"/>
      <c r="PEP199" s="697"/>
      <c r="PEQ199" s="697"/>
      <c r="PER199" s="697"/>
      <c r="PES199" s="697"/>
      <c r="PET199" s="697"/>
      <c r="PEU199" s="697"/>
      <c r="PEV199" s="697"/>
      <c r="PEW199" s="697"/>
      <c r="PEX199" s="697"/>
      <c r="PEY199" s="697"/>
      <c r="PEZ199" s="697"/>
      <c r="PFA199" s="697"/>
      <c r="PFB199" s="697"/>
      <c r="PFC199" s="697"/>
      <c r="PFD199" s="697"/>
      <c r="PFE199" s="697"/>
      <c r="PFF199" s="697"/>
      <c r="PFG199" s="697"/>
      <c r="PFH199" s="697"/>
      <c r="PFI199" s="697"/>
      <c r="PFJ199" s="697"/>
      <c r="PFK199" s="697"/>
      <c r="PFL199" s="697"/>
      <c r="PFM199" s="697"/>
      <c r="PFN199" s="697"/>
      <c r="PFO199" s="697"/>
      <c r="PFP199" s="697"/>
      <c r="PFQ199" s="697"/>
      <c r="PFR199" s="697"/>
      <c r="PFS199" s="697"/>
      <c r="PFT199" s="697"/>
      <c r="PFU199" s="697"/>
      <c r="PFV199" s="697"/>
      <c r="PFW199" s="697"/>
      <c r="PFX199" s="697"/>
      <c r="PFY199" s="697"/>
      <c r="PFZ199" s="697"/>
      <c r="PGA199" s="697"/>
      <c r="PGB199" s="697"/>
      <c r="PGC199" s="697"/>
      <c r="PGD199" s="697"/>
      <c r="PGE199" s="697"/>
      <c r="PGF199" s="697"/>
      <c r="PGG199" s="697"/>
      <c r="PGH199" s="697"/>
      <c r="PGI199" s="697"/>
      <c r="PGJ199" s="697"/>
      <c r="PGK199" s="697"/>
      <c r="PGL199" s="697"/>
      <c r="PGM199" s="697"/>
      <c r="PGN199" s="697"/>
      <c r="PGO199" s="697"/>
      <c r="PGP199" s="697"/>
      <c r="PGQ199" s="697"/>
      <c r="PGR199" s="697"/>
      <c r="PGS199" s="697"/>
      <c r="PGT199" s="697"/>
      <c r="PGU199" s="697"/>
      <c r="PGV199" s="697"/>
      <c r="PGW199" s="697"/>
      <c r="PGX199" s="697"/>
      <c r="PGY199" s="697"/>
      <c r="PGZ199" s="697"/>
      <c r="PHA199" s="697"/>
      <c r="PHB199" s="697"/>
      <c r="PHC199" s="697"/>
      <c r="PHD199" s="697"/>
      <c r="PHE199" s="697"/>
      <c r="PHF199" s="697"/>
      <c r="PHG199" s="697"/>
      <c r="PHH199" s="697"/>
      <c r="PHI199" s="697"/>
      <c r="PHJ199" s="697"/>
      <c r="PHK199" s="697"/>
      <c r="PHL199" s="697"/>
      <c r="PHM199" s="697"/>
      <c r="PHN199" s="697"/>
      <c r="PHO199" s="697"/>
      <c r="PHP199" s="697"/>
      <c r="PHQ199" s="697"/>
      <c r="PHR199" s="697"/>
      <c r="PHS199" s="697"/>
      <c r="PHT199" s="697"/>
      <c r="PHU199" s="697"/>
      <c r="PHV199" s="697"/>
      <c r="PHW199" s="697"/>
      <c r="PHX199" s="697"/>
      <c r="PHY199" s="697"/>
      <c r="PHZ199" s="697"/>
      <c r="PIA199" s="697"/>
      <c r="PIB199" s="697"/>
      <c r="PIC199" s="697"/>
      <c r="PID199" s="697"/>
      <c r="PIE199" s="697"/>
      <c r="PIF199" s="697"/>
      <c r="PIG199" s="697"/>
      <c r="PIH199" s="697"/>
      <c r="PII199" s="697"/>
      <c r="PIJ199" s="697"/>
      <c r="PIK199" s="697"/>
      <c r="PIL199" s="697"/>
      <c r="PIM199" s="697"/>
      <c r="PIN199" s="697"/>
      <c r="PIO199" s="697"/>
      <c r="PIP199" s="697"/>
      <c r="PIQ199" s="697"/>
      <c r="PIR199" s="697"/>
      <c r="PIS199" s="697"/>
      <c r="PIT199" s="697"/>
      <c r="PIU199" s="697"/>
      <c r="PIV199" s="697"/>
      <c r="PIW199" s="697"/>
      <c r="PIX199" s="697"/>
      <c r="PIY199" s="697"/>
      <c r="PIZ199" s="697"/>
      <c r="PJA199" s="697"/>
      <c r="PJB199" s="697"/>
      <c r="PJC199" s="697"/>
      <c r="PJD199" s="697"/>
      <c r="PJE199" s="697"/>
      <c r="PJF199" s="697"/>
      <c r="PJG199" s="697"/>
      <c r="PJH199" s="697"/>
      <c r="PJI199" s="697"/>
      <c r="PJJ199" s="697"/>
      <c r="PJK199" s="697"/>
      <c r="PJL199" s="697"/>
      <c r="PJM199" s="697"/>
      <c r="PJN199" s="697"/>
      <c r="PJO199" s="697"/>
      <c r="PJP199" s="697"/>
      <c r="PJQ199" s="697"/>
      <c r="PJR199" s="697"/>
      <c r="PJS199" s="697"/>
      <c r="PJT199" s="697"/>
      <c r="PJU199" s="697"/>
      <c r="PJV199" s="697"/>
      <c r="PJW199" s="697"/>
      <c r="PJX199" s="697"/>
      <c r="PJY199" s="697"/>
      <c r="PJZ199" s="697"/>
      <c r="PKA199" s="697"/>
      <c r="PKB199" s="697"/>
      <c r="PKC199" s="697"/>
      <c r="PKD199" s="697"/>
      <c r="PKE199" s="697"/>
      <c r="PKF199" s="697"/>
      <c r="PKG199" s="697"/>
      <c r="PKH199" s="697"/>
      <c r="PKI199" s="697"/>
      <c r="PKJ199" s="697"/>
      <c r="PKK199" s="697"/>
      <c r="PKL199" s="697"/>
      <c r="PKM199" s="697"/>
      <c r="PKN199" s="697"/>
      <c r="PKO199" s="697"/>
      <c r="PKP199" s="697"/>
      <c r="PKQ199" s="697"/>
      <c r="PKR199" s="697"/>
      <c r="PKS199" s="697"/>
      <c r="PKT199" s="697"/>
      <c r="PKU199" s="697"/>
      <c r="PKV199" s="697"/>
      <c r="PKW199" s="697"/>
      <c r="PKX199" s="697"/>
      <c r="PKY199" s="697"/>
      <c r="PKZ199" s="697"/>
      <c r="PLA199" s="697"/>
      <c r="PLB199" s="697"/>
      <c r="PLC199" s="697"/>
      <c r="PLD199" s="697"/>
      <c r="PLE199" s="697"/>
      <c r="PLF199" s="697"/>
      <c r="PLG199" s="697"/>
      <c r="PLH199" s="697"/>
      <c r="PLI199" s="697"/>
      <c r="PLJ199" s="697"/>
      <c r="PLK199" s="697"/>
      <c r="PLL199" s="697"/>
      <c r="PLM199" s="697"/>
      <c r="PLN199" s="697"/>
      <c r="PLO199" s="697"/>
      <c r="PLP199" s="697"/>
      <c r="PLQ199" s="697"/>
      <c r="PLR199" s="697"/>
      <c r="PLS199" s="697"/>
      <c r="PLT199" s="697"/>
      <c r="PLU199" s="697"/>
      <c r="PLV199" s="697"/>
      <c r="PLW199" s="697"/>
      <c r="PLX199" s="697"/>
      <c r="PLY199" s="697"/>
      <c r="PLZ199" s="697"/>
      <c r="PMA199" s="697"/>
      <c r="PMB199" s="697"/>
      <c r="PMC199" s="697"/>
      <c r="PMD199" s="697"/>
      <c r="PME199" s="697"/>
      <c r="PMF199" s="697"/>
      <c r="PMG199" s="697"/>
      <c r="PMH199" s="697"/>
      <c r="PMI199" s="697"/>
      <c r="PMJ199" s="697"/>
      <c r="PMK199" s="697"/>
      <c r="PML199" s="697"/>
      <c r="PMM199" s="697"/>
      <c r="PMN199" s="697"/>
      <c r="PMO199" s="697"/>
      <c r="PMP199" s="697"/>
      <c r="PMQ199" s="697"/>
      <c r="PMR199" s="697"/>
      <c r="PMS199" s="697"/>
      <c r="PMT199" s="697"/>
      <c r="PMU199" s="697"/>
      <c r="PMV199" s="697"/>
      <c r="PMW199" s="697"/>
      <c r="PMX199" s="697"/>
      <c r="PMY199" s="697"/>
      <c r="PMZ199" s="697"/>
      <c r="PNA199" s="697"/>
      <c r="PNB199" s="697"/>
      <c r="PNC199" s="697"/>
      <c r="PND199" s="697"/>
      <c r="PNE199" s="697"/>
      <c r="PNF199" s="697"/>
      <c r="PNG199" s="697"/>
      <c r="PNH199" s="697"/>
      <c r="PNI199" s="697"/>
      <c r="PNJ199" s="697"/>
      <c r="PNK199" s="697"/>
      <c r="PNL199" s="697"/>
      <c r="PNM199" s="697"/>
      <c r="PNN199" s="697"/>
      <c r="PNO199" s="697"/>
      <c r="PNP199" s="697"/>
      <c r="PNQ199" s="697"/>
      <c r="PNR199" s="697"/>
      <c r="PNS199" s="697"/>
      <c r="PNT199" s="697"/>
      <c r="PNU199" s="697"/>
      <c r="PNV199" s="697"/>
      <c r="PNW199" s="697"/>
      <c r="PNX199" s="697"/>
      <c r="PNY199" s="697"/>
      <c r="PNZ199" s="697"/>
      <c r="POA199" s="697"/>
      <c r="POB199" s="697"/>
      <c r="POC199" s="697"/>
      <c r="POD199" s="697"/>
      <c r="POE199" s="697"/>
      <c r="POF199" s="697"/>
      <c r="POG199" s="697"/>
      <c r="POH199" s="697"/>
      <c r="POI199" s="697"/>
      <c r="POJ199" s="697"/>
      <c r="POK199" s="697"/>
      <c r="POL199" s="697"/>
      <c r="POM199" s="697"/>
      <c r="PON199" s="697"/>
      <c r="POO199" s="697"/>
      <c r="POP199" s="697"/>
      <c r="POQ199" s="697"/>
      <c r="POR199" s="697"/>
      <c r="POS199" s="697"/>
      <c r="POT199" s="697"/>
      <c r="POU199" s="697"/>
      <c r="POV199" s="697"/>
      <c r="POW199" s="697"/>
      <c r="POX199" s="697"/>
      <c r="POY199" s="697"/>
      <c r="POZ199" s="697"/>
      <c r="PPA199" s="697"/>
      <c r="PPB199" s="697"/>
      <c r="PPC199" s="697"/>
      <c r="PPD199" s="697"/>
      <c r="PPE199" s="697"/>
      <c r="PPF199" s="697"/>
      <c r="PPG199" s="697"/>
      <c r="PPH199" s="697"/>
      <c r="PPI199" s="697"/>
      <c r="PPJ199" s="697"/>
      <c r="PPK199" s="697"/>
      <c r="PPL199" s="697"/>
      <c r="PPM199" s="697"/>
      <c r="PPN199" s="697"/>
      <c r="PPO199" s="697"/>
      <c r="PPP199" s="697"/>
      <c r="PPQ199" s="697"/>
      <c r="PPR199" s="697"/>
      <c r="PPS199" s="697"/>
      <c r="PPT199" s="697"/>
      <c r="PPU199" s="697"/>
      <c r="PPV199" s="697"/>
      <c r="PPW199" s="697"/>
      <c r="PPX199" s="697"/>
      <c r="PPY199" s="697"/>
      <c r="PPZ199" s="697"/>
      <c r="PQA199" s="697"/>
      <c r="PQB199" s="697"/>
      <c r="PQC199" s="697"/>
      <c r="PQD199" s="697"/>
      <c r="PQE199" s="697"/>
      <c r="PQF199" s="697"/>
      <c r="PQG199" s="697"/>
      <c r="PQH199" s="697"/>
      <c r="PQI199" s="697"/>
      <c r="PQJ199" s="697"/>
      <c r="PQK199" s="697"/>
      <c r="PQL199" s="697"/>
      <c r="PQM199" s="697"/>
      <c r="PQN199" s="697"/>
      <c r="PQO199" s="697"/>
      <c r="PQP199" s="697"/>
      <c r="PQQ199" s="697"/>
      <c r="PQR199" s="697"/>
      <c r="PQS199" s="697"/>
      <c r="PQT199" s="697"/>
      <c r="PQU199" s="697"/>
      <c r="PQV199" s="697"/>
      <c r="PQW199" s="697"/>
      <c r="PQX199" s="697"/>
      <c r="PQY199" s="697"/>
      <c r="PQZ199" s="697"/>
      <c r="PRA199" s="697"/>
      <c r="PRB199" s="697"/>
      <c r="PRC199" s="697"/>
      <c r="PRD199" s="697"/>
      <c r="PRE199" s="697"/>
      <c r="PRF199" s="697"/>
      <c r="PRG199" s="697"/>
      <c r="PRH199" s="697"/>
      <c r="PRI199" s="697"/>
      <c r="PRJ199" s="697"/>
      <c r="PRK199" s="697"/>
      <c r="PRL199" s="697"/>
      <c r="PRM199" s="697"/>
      <c r="PRN199" s="697"/>
      <c r="PRO199" s="697"/>
      <c r="PRP199" s="697"/>
      <c r="PRQ199" s="697"/>
      <c r="PRR199" s="697"/>
      <c r="PRS199" s="697"/>
      <c r="PRT199" s="697"/>
      <c r="PRU199" s="697"/>
      <c r="PRV199" s="697"/>
      <c r="PRW199" s="697"/>
      <c r="PRX199" s="697"/>
      <c r="PRY199" s="697"/>
      <c r="PRZ199" s="697"/>
      <c r="PSA199" s="697"/>
      <c r="PSB199" s="697"/>
      <c r="PSC199" s="697"/>
      <c r="PSD199" s="697"/>
      <c r="PSE199" s="697"/>
      <c r="PSF199" s="697"/>
      <c r="PSG199" s="697"/>
      <c r="PSH199" s="697"/>
      <c r="PSI199" s="697"/>
      <c r="PSJ199" s="697"/>
      <c r="PSK199" s="697"/>
      <c r="PSL199" s="697"/>
      <c r="PSM199" s="697"/>
      <c r="PSN199" s="697"/>
      <c r="PSO199" s="697"/>
      <c r="PSP199" s="697"/>
      <c r="PSQ199" s="697"/>
      <c r="PSR199" s="697"/>
      <c r="PSS199" s="697"/>
      <c r="PST199" s="697"/>
      <c r="PSU199" s="697"/>
      <c r="PSV199" s="697"/>
      <c r="PSW199" s="697"/>
      <c r="PSX199" s="697"/>
      <c r="PSY199" s="697"/>
      <c r="PSZ199" s="697"/>
      <c r="PTA199" s="697"/>
      <c r="PTB199" s="697"/>
      <c r="PTC199" s="697"/>
      <c r="PTD199" s="697"/>
      <c r="PTE199" s="697"/>
      <c r="PTF199" s="697"/>
      <c r="PTG199" s="697"/>
      <c r="PTH199" s="697"/>
      <c r="PTI199" s="697"/>
      <c r="PTJ199" s="697"/>
      <c r="PTK199" s="697"/>
      <c r="PTL199" s="697"/>
      <c r="PTM199" s="697"/>
      <c r="PTN199" s="697"/>
      <c r="PTO199" s="697"/>
      <c r="PTP199" s="697"/>
      <c r="PTQ199" s="697"/>
      <c r="PTR199" s="697"/>
      <c r="PTS199" s="697"/>
      <c r="PTT199" s="697"/>
      <c r="PTU199" s="697"/>
      <c r="PTV199" s="697"/>
      <c r="PTW199" s="697"/>
      <c r="PTX199" s="697"/>
      <c r="PTY199" s="697"/>
      <c r="PTZ199" s="697"/>
      <c r="PUA199" s="697"/>
      <c r="PUB199" s="697"/>
      <c r="PUC199" s="697"/>
      <c r="PUD199" s="697"/>
      <c r="PUE199" s="697"/>
      <c r="PUF199" s="697"/>
      <c r="PUG199" s="697"/>
      <c r="PUH199" s="697"/>
      <c r="PUI199" s="697"/>
      <c r="PUJ199" s="697"/>
      <c r="PUK199" s="697"/>
      <c r="PUL199" s="697"/>
      <c r="PUM199" s="697"/>
      <c r="PUN199" s="697"/>
      <c r="PUO199" s="697"/>
      <c r="PUP199" s="697"/>
      <c r="PUQ199" s="697"/>
      <c r="PUR199" s="697"/>
      <c r="PUS199" s="697"/>
      <c r="PUT199" s="697"/>
      <c r="PUU199" s="697"/>
      <c r="PUV199" s="697"/>
      <c r="PUW199" s="697"/>
      <c r="PUX199" s="697"/>
      <c r="PUY199" s="697"/>
      <c r="PUZ199" s="697"/>
      <c r="PVA199" s="697"/>
      <c r="PVB199" s="697"/>
      <c r="PVC199" s="697"/>
      <c r="PVD199" s="697"/>
      <c r="PVE199" s="697"/>
      <c r="PVF199" s="697"/>
      <c r="PVG199" s="697"/>
      <c r="PVH199" s="697"/>
      <c r="PVI199" s="697"/>
      <c r="PVJ199" s="697"/>
      <c r="PVK199" s="697"/>
      <c r="PVL199" s="697"/>
      <c r="PVM199" s="697"/>
      <c r="PVN199" s="697"/>
      <c r="PVO199" s="697"/>
      <c r="PVP199" s="697"/>
      <c r="PVQ199" s="697"/>
      <c r="PVR199" s="697"/>
      <c r="PVS199" s="697"/>
      <c r="PVT199" s="697"/>
      <c r="PVU199" s="697"/>
      <c r="PVV199" s="697"/>
      <c r="PVW199" s="697"/>
      <c r="PVX199" s="697"/>
      <c r="PVY199" s="697"/>
      <c r="PVZ199" s="697"/>
      <c r="PWA199" s="697"/>
      <c r="PWB199" s="697"/>
      <c r="PWC199" s="697"/>
      <c r="PWD199" s="697"/>
      <c r="PWE199" s="697"/>
      <c r="PWF199" s="697"/>
      <c r="PWG199" s="697"/>
      <c r="PWH199" s="697"/>
      <c r="PWI199" s="697"/>
      <c r="PWJ199" s="697"/>
      <c r="PWK199" s="697"/>
      <c r="PWL199" s="697"/>
      <c r="PWM199" s="697"/>
      <c r="PWN199" s="697"/>
      <c r="PWO199" s="697"/>
      <c r="PWP199" s="697"/>
      <c r="PWQ199" s="697"/>
      <c r="PWR199" s="697"/>
      <c r="PWS199" s="697"/>
      <c r="PWT199" s="697"/>
      <c r="PWU199" s="697"/>
      <c r="PWV199" s="697"/>
      <c r="PWW199" s="697"/>
      <c r="PWX199" s="697"/>
      <c r="PWY199" s="697"/>
      <c r="PWZ199" s="697"/>
      <c r="PXA199" s="697"/>
      <c r="PXB199" s="697"/>
      <c r="PXC199" s="697"/>
      <c r="PXD199" s="697"/>
      <c r="PXE199" s="697"/>
      <c r="PXF199" s="697"/>
      <c r="PXG199" s="697"/>
      <c r="PXH199" s="697"/>
      <c r="PXI199" s="697"/>
      <c r="PXJ199" s="697"/>
      <c r="PXK199" s="697"/>
      <c r="PXL199" s="697"/>
      <c r="PXM199" s="697"/>
      <c r="PXN199" s="697"/>
      <c r="PXO199" s="697"/>
      <c r="PXP199" s="697"/>
      <c r="PXQ199" s="697"/>
      <c r="PXR199" s="697"/>
      <c r="PXS199" s="697"/>
      <c r="PXT199" s="697"/>
      <c r="PXU199" s="697"/>
      <c r="PXV199" s="697"/>
      <c r="PXW199" s="697"/>
      <c r="PXX199" s="697"/>
      <c r="PXY199" s="697"/>
      <c r="PXZ199" s="697"/>
      <c r="PYA199" s="697"/>
      <c r="PYB199" s="697"/>
      <c r="PYC199" s="697"/>
      <c r="PYD199" s="697"/>
      <c r="PYE199" s="697"/>
      <c r="PYF199" s="697"/>
      <c r="PYG199" s="697"/>
      <c r="PYH199" s="697"/>
      <c r="PYI199" s="697"/>
      <c r="PYJ199" s="697"/>
      <c r="PYK199" s="697"/>
      <c r="PYL199" s="697"/>
      <c r="PYM199" s="697"/>
      <c r="PYN199" s="697"/>
      <c r="PYO199" s="697"/>
      <c r="PYP199" s="697"/>
      <c r="PYQ199" s="697"/>
      <c r="PYR199" s="697"/>
      <c r="PYS199" s="697"/>
      <c r="PYT199" s="697"/>
      <c r="PYU199" s="697"/>
      <c r="PYV199" s="697"/>
      <c r="PYW199" s="697"/>
      <c r="PYX199" s="697"/>
      <c r="PYY199" s="697"/>
      <c r="PYZ199" s="697"/>
      <c r="PZA199" s="697"/>
      <c r="PZB199" s="697"/>
      <c r="PZC199" s="697"/>
      <c r="PZD199" s="697"/>
      <c r="PZE199" s="697"/>
      <c r="PZF199" s="697"/>
      <c r="PZG199" s="697"/>
      <c r="PZH199" s="697"/>
      <c r="PZI199" s="697"/>
      <c r="PZJ199" s="697"/>
      <c r="PZK199" s="697"/>
      <c r="PZL199" s="697"/>
      <c r="PZM199" s="697"/>
      <c r="PZN199" s="697"/>
      <c r="PZO199" s="697"/>
      <c r="PZP199" s="697"/>
      <c r="PZQ199" s="697"/>
      <c r="PZR199" s="697"/>
      <c r="PZS199" s="697"/>
      <c r="PZT199" s="697"/>
      <c r="PZU199" s="697"/>
      <c r="PZV199" s="697"/>
      <c r="PZW199" s="697"/>
      <c r="PZX199" s="697"/>
      <c r="PZY199" s="697"/>
      <c r="PZZ199" s="697"/>
      <c r="QAA199" s="697"/>
      <c r="QAB199" s="697"/>
      <c r="QAC199" s="697"/>
      <c r="QAD199" s="697"/>
      <c r="QAE199" s="697"/>
      <c r="QAF199" s="697"/>
      <c r="QAG199" s="697"/>
      <c r="QAH199" s="697"/>
      <c r="QAI199" s="697"/>
      <c r="QAJ199" s="697"/>
      <c r="QAK199" s="697"/>
      <c r="QAL199" s="697"/>
      <c r="QAM199" s="697"/>
      <c r="QAN199" s="697"/>
      <c r="QAO199" s="697"/>
      <c r="QAP199" s="697"/>
      <c r="QAQ199" s="697"/>
      <c r="QAR199" s="697"/>
      <c r="QAS199" s="697"/>
      <c r="QAT199" s="697"/>
      <c r="QAU199" s="697"/>
      <c r="QAV199" s="697"/>
      <c r="QAW199" s="697"/>
      <c r="QAX199" s="697"/>
      <c r="QAY199" s="697"/>
      <c r="QAZ199" s="697"/>
      <c r="QBA199" s="697"/>
      <c r="QBB199" s="697"/>
      <c r="QBC199" s="697"/>
      <c r="QBD199" s="697"/>
      <c r="QBE199" s="697"/>
      <c r="QBF199" s="697"/>
      <c r="QBG199" s="697"/>
      <c r="QBH199" s="697"/>
      <c r="QBI199" s="697"/>
      <c r="QBJ199" s="697"/>
      <c r="QBK199" s="697"/>
      <c r="QBL199" s="697"/>
      <c r="QBM199" s="697"/>
      <c r="QBN199" s="697"/>
      <c r="QBO199" s="697"/>
      <c r="QBP199" s="697"/>
      <c r="QBQ199" s="697"/>
      <c r="QBR199" s="697"/>
      <c r="QBS199" s="697"/>
      <c r="QBT199" s="697"/>
      <c r="QBU199" s="697"/>
      <c r="QBV199" s="697"/>
      <c r="QBW199" s="697"/>
      <c r="QBX199" s="697"/>
      <c r="QBY199" s="697"/>
      <c r="QBZ199" s="697"/>
      <c r="QCA199" s="697"/>
      <c r="QCB199" s="697"/>
      <c r="QCC199" s="697"/>
      <c r="QCD199" s="697"/>
      <c r="QCE199" s="697"/>
      <c r="QCF199" s="697"/>
      <c r="QCG199" s="697"/>
      <c r="QCH199" s="697"/>
      <c r="QCI199" s="697"/>
      <c r="QCJ199" s="697"/>
      <c r="QCK199" s="697"/>
      <c r="QCL199" s="697"/>
      <c r="QCM199" s="697"/>
      <c r="QCN199" s="697"/>
      <c r="QCO199" s="697"/>
      <c r="QCP199" s="697"/>
      <c r="QCQ199" s="697"/>
      <c r="QCR199" s="697"/>
      <c r="QCS199" s="697"/>
      <c r="QCT199" s="697"/>
      <c r="QCU199" s="697"/>
      <c r="QCV199" s="697"/>
      <c r="QCW199" s="697"/>
      <c r="QCX199" s="697"/>
      <c r="QCY199" s="697"/>
      <c r="QCZ199" s="697"/>
      <c r="QDA199" s="697"/>
      <c r="QDB199" s="697"/>
      <c r="QDC199" s="697"/>
      <c r="QDD199" s="697"/>
      <c r="QDE199" s="697"/>
      <c r="QDF199" s="697"/>
      <c r="QDG199" s="697"/>
      <c r="QDH199" s="697"/>
      <c r="QDI199" s="697"/>
      <c r="QDJ199" s="697"/>
      <c r="QDK199" s="697"/>
      <c r="QDL199" s="697"/>
      <c r="QDM199" s="697"/>
      <c r="QDN199" s="697"/>
      <c r="QDO199" s="697"/>
      <c r="QDP199" s="697"/>
      <c r="QDQ199" s="697"/>
      <c r="QDR199" s="697"/>
      <c r="QDS199" s="697"/>
      <c r="QDT199" s="697"/>
      <c r="QDU199" s="697"/>
      <c r="QDV199" s="697"/>
      <c r="QDW199" s="697"/>
      <c r="QDX199" s="697"/>
      <c r="QDY199" s="697"/>
      <c r="QDZ199" s="697"/>
      <c r="QEA199" s="697"/>
      <c r="QEB199" s="697"/>
      <c r="QEC199" s="697"/>
      <c r="QED199" s="697"/>
      <c r="QEE199" s="697"/>
      <c r="QEF199" s="697"/>
      <c r="QEG199" s="697"/>
      <c r="QEH199" s="697"/>
      <c r="QEI199" s="697"/>
      <c r="QEJ199" s="697"/>
      <c r="QEK199" s="697"/>
      <c r="QEL199" s="697"/>
      <c r="QEM199" s="697"/>
      <c r="QEN199" s="697"/>
      <c r="QEO199" s="697"/>
      <c r="QEP199" s="697"/>
      <c r="QEQ199" s="697"/>
      <c r="QER199" s="697"/>
      <c r="QES199" s="697"/>
      <c r="QET199" s="697"/>
      <c r="QEU199" s="697"/>
      <c r="QEV199" s="697"/>
      <c r="QEW199" s="697"/>
      <c r="QEX199" s="697"/>
      <c r="QEY199" s="697"/>
      <c r="QEZ199" s="697"/>
      <c r="QFA199" s="697"/>
      <c r="QFB199" s="697"/>
      <c r="QFC199" s="697"/>
      <c r="QFD199" s="697"/>
      <c r="QFE199" s="697"/>
      <c r="QFF199" s="697"/>
      <c r="QFG199" s="697"/>
      <c r="QFH199" s="697"/>
      <c r="QFI199" s="697"/>
      <c r="QFJ199" s="697"/>
      <c r="QFK199" s="697"/>
      <c r="QFL199" s="697"/>
      <c r="QFM199" s="697"/>
      <c r="QFN199" s="697"/>
      <c r="QFO199" s="697"/>
      <c r="QFP199" s="697"/>
      <c r="QFQ199" s="697"/>
      <c r="QFR199" s="697"/>
      <c r="QFS199" s="697"/>
      <c r="QFT199" s="697"/>
      <c r="QFU199" s="697"/>
      <c r="QFV199" s="697"/>
      <c r="QFW199" s="697"/>
      <c r="QFX199" s="697"/>
      <c r="QFY199" s="697"/>
      <c r="QFZ199" s="697"/>
      <c r="QGA199" s="697"/>
      <c r="QGB199" s="697"/>
      <c r="QGC199" s="697"/>
      <c r="QGD199" s="697"/>
      <c r="QGE199" s="697"/>
      <c r="QGF199" s="697"/>
      <c r="QGG199" s="697"/>
      <c r="QGH199" s="697"/>
      <c r="QGI199" s="697"/>
      <c r="QGJ199" s="697"/>
      <c r="QGK199" s="697"/>
      <c r="QGL199" s="697"/>
      <c r="QGM199" s="697"/>
      <c r="QGN199" s="697"/>
      <c r="QGO199" s="697"/>
      <c r="QGP199" s="697"/>
      <c r="QGQ199" s="697"/>
      <c r="QGR199" s="697"/>
      <c r="QGS199" s="697"/>
      <c r="QGT199" s="697"/>
      <c r="QGU199" s="697"/>
      <c r="QGV199" s="697"/>
      <c r="QGW199" s="697"/>
      <c r="QGX199" s="697"/>
      <c r="QGY199" s="697"/>
      <c r="QGZ199" s="697"/>
      <c r="QHA199" s="697"/>
      <c r="QHB199" s="697"/>
      <c r="QHC199" s="697"/>
      <c r="QHD199" s="697"/>
      <c r="QHE199" s="697"/>
      <c r="QHF199" s="697"/>
      <c r="QHG199" s="697"/>
      <c r="QHH199" s="697"/>
      <c r="QHI199" s="697"/>
      <c r="QHJ199" s="697"/>
      <c r="QHK199" s="697"/>
      <c r="QHL199" s="697"/>
      <c r="QHM199" s="697"/>
      <c r="QHN199" s="697"/>
      <c r="QHO199" s="697"/>
      <c r="QHP199" s="697"/>
      <c r="QHQ199" s="697"/>
      <c r="QHR199" s="697"/>
      <c r="QHS199" s="697"/>
      <c r="QHT199" s="697"/>
      <c r="QHU199" s="697"/>
      <c r="QHV199" s="697"/>
      <c r="QHW199" s="697"/>
      <c r="QHX199" s="697"/>
      <c r="QHY199" s="697"/>
      <c r="QHZ199" s="697"/>
      <c r="QIA199" s="697"/>
      <c r="QIB199" s="697"/>
      <c r="QIC199" s="697"/>
      <c r="QID199" s="697"/>
      <c r="QIE199" s="697"/>
      <c r="QIF199" s="697"/>
      <c r="QIG199" s="697"/>
      <c r="QIH199" s="697"/>
      <c r="QII199" s="697"/>
      <c r="QIJ199" s="697"/>
      <c r="QIK199" s="697"/>
      <c r="QIL199" s="697"/>
      <c r="QIM199" s="697"/>
      <c r="QIN199" s="697"/>
      <c r="QIO199" s="697"/>
      <c r="QIP199" s="697"/>
      <c r="QIQ199" s="697"/>
      <c r="QIR199" s="697"/>
      <c r="QIS199" s="697"/>
      <c r="QIT199" s="697"/>
      <c r="QIU199" s="697"/>
      <c r="QIV199" s="697"/>
      <c r="QIW199" s="697"/>
      <c r="QIX199" s="697"/>
      <c r="QIY199" s="697"/>
      <c r="QIZ199" s="697"/>
      <c r="QJA199" s="697"/>
      <c r="QJB199" s="697"/>
      <c r="QJC199" s="697"/>
      <c r="QJD199" s="697"/>
      <c r="QJE199" s="697"/>
      <c r="QJF199" s="697"/>
      <c r="QJG199" s="697"/>
      <c r="QJH199" s="697"/>
      <c r="QJI199" s="697"/>
      <c r="QJJ199" s="697"/>
      <c r="QJK199" s="697"/>
      <c r="QJL199" s="697"/>
      <c r="QJM199" s="697"/>
      <c r="QJN199" s="697"/>
      <c r="QJO199" s="697"/>
      <c r="QJP199" s="697"/>
      <c r="QJQ199" s="697"/>
      <c r="QJR199" s="697"/>
      <c r="QJS199" s="697"/>
      <c r="QJT199" s="697"/>
      <c r="QJU199" s="697"/>
      <c r="QJV199" s="697"/>
      <c r="QJW199" s="697"/>
      <c r="QJX199" s="697"/>
      <c r="QJY199" s="697"/>
      <c r="QJZ199" s="697"/>
      <c r="QKA199" s="697"/>
      <c r="QKB199" s="697"/>
      <c r="QKC199" s="697"/>
      <c r="QKD199" s="697"/>
      <c r="QKE199" s="697"/>
      <c r="QKF199" s="697"/>
      <c r="QKG199" s="697"/>
      <c r="QKH199" s="697"/>
      <c r="QKI199" s="697"/>
      <c r="QKJ199" s="697"/>
      <c r="QKK199" s="697"/>
      <c r="QKL199" s="697"/>
      <c r="QKM199" s="697"/>
      <c r="QKN199" s="697"/>
      <c r="QKO199" s="697"/>
      <c r="QKP199" s="697"/>
      <c r="QKQ199" s="697"/>
      <c r="QKR199" s="697"/>
      <c r="QKS199" s="697"/>
      <c r="QKT199" s="697"/>
      <c r="QKU199" s="697"/>
      <c r="QKV199" s="697"/>
      <c r="QKW199" s="697"/>
      <c r="QKX199" s="697"/>
      <c r="QKY199" s="697"/>
      <c r="QKZ199" s="697"/>
      <c r="QLA199" s="697"/>
      <c r="QLB199" s="697"/>
      <c r="QLC199" s="697"/>
      <c r="QLD199" s="697"/>
      <c r="QLE199" s="697"/>
      <c r="QLF199" s="697"/>
      <c r="QLG199" s="697"/>
      <c r="QLH199" s="697"/>
      <c r="QLI199" s="697"/>
      <c r="QLJ199" s="697"/>
      <c r="QLK199" s="697"/>
      <c r="QLL199" s="697"/>
      <c r="QLM199" s="697"/>
      <c r="QLN199" s="697"/>
      <c r="QLO199" s="697"/>
      <c r="QLP199" s="697"/>
      <c r="QLQ199" s="697"/>
      <c r="QLR199" s="697"/>
      <c r="QLS199" s="697"/>
      <c r="QLT199" s="697"/>
      <c r="QLU199" s="697"/>
      <c r="QLV199" s="697"/>
      <c r="QLW199" s="697"/>
      <c r="QLX199" s="697"/>
      <c r="QLY199" s="697"/>
      <c r="QLZ199" s="697"/>
      <c r="QMA199" s="697"/>
      <c r="QMB199" s="697"/>
      <c r="QMC199" s="697"/>
      <c r="QMD199" s="697"/>
      <c r="QME199" s="697"/>
      <c r="QMF199" s="697"/>
      <c r="QMG199" s="697"/>
      <c r="QMH199" s="697"/>
      <c r="QMI199" s="697"/>
      <c r="QMJ199" s="697"/>
      <c r="QMK199" s="697"/>
      <c r="QML199" s="697"/>
      <c r="QMM199" s="697"/>
      <c r="QMN199" s="697"/>
      <c r="QMO199" s="697"/>
      <c r="QMP199" s="697"/>
      <c r="QMQ199" s="697"/>
      <c r="QMR199" s="697"/>
      <c r="QMS199" s="697"/>
      <c r="QMT199" s="697"/>
      <c r="QMU199" s="697"/>
      <c r="QMV199" s="697"/>
      <c r="QMW199" s="697"/>
      <c r="QMX199" s="697"/>
      <c r="QMY199" s="697"/>
      <c r="QMZ199" s="697"/>
      <c r="QNA199" s="697"/>
      <c r="QNB199" s="697"/>
      <c r="QNC199" s="697"/>
      <c r="QND199" s="697"/>
      <c r="QNE199" s="697"/>
      <c r="QNF199" s="697"/>
      <c r="QNG199" s="697"/>
      <c r="QNH199" s="697"/>
      <c r="QNI199" s="697"/>
      <c r="QNJ199" s="697"/>
      <c r="QNK199" s="697"/>
      <c r="QNL199" s="697"/>
      <c r="QNM199" s="697"/>
      <c r="QNN199" s="697"/>
      <c r="QNO199" s="697"/>
      <c r="QNP199" s="697"/>
      <c r="QNQ199" s="697"/>
      <c r="QNR199" s="697"/>
      <c r="QNS199" s="697"/>
      <c r="QNT199" s="697"/>
      <c r="QNU199" s="697"/>
      <c r="QNV199" s="697"/>
      <c r="QNW199" s="697"/>
      <c r="QNX199" s="697"/>
      <c r="QNY199" s="697"/>
      <c r="QNZ199" s="697"/>
      <c r="QOA199" s="697"/>
      <c r="QOB199" s="697"/>
      <c r="QOC199" s="697"/>
      <c r="QOD199" s="697"/>
      <c r="QOE199" s="697"/>
      <c r="QOF199" s="697"/>
      <c r="QOG199" s="697"/>
      <c r="QOH199" s="697"/>
      <c r="QOI199" s="697"/>
      <c r="QOJ199" s="697"/>
      <c r="QOK199" s="697"/>
      <c r="QOL199" s="697"/>
      <c r="QOM199" s="697"/>
      <c r="QON199" s="697"/>
      <c r="QOO199" s="697"/>
      <c r="QOP199" s="697"/>
      <c r="QOQ199" s="697"/>
      <c r="QOR199" s="697"/>
      <c r="QOS199" s="697"/>
      <c r="QOT199" s="697"/>
      <c r="QOU199" s="697"/>
      <c r="QOV199" s="697"/>
      <c r="QOW199" s="697"/>
      <c r="QOX199" s="697"/>
      <c r="QOY199" s="697"/>
      <c r="QOZ199" s="697"/>
      <c r="QPA199" s="697"/>
      <c r="QPB199" s="697"/>
      <c r="QPC199" s="697"/>
      <c r="QPD199" s="697"/>
      <c r="QPE199" s="697"/>
      <c r="QPF199" s="697"/>
      <c r="QPG199" s="697"/>
      <c r="QPH199" s="697"/>
      <c r="QPI199" s="697"/>
      <c r="QPJ199" s="697"/>
      <c r="QPK199" s="697"/>
      <c r="QPL199" s="697"/>
      <c r="QPM199" s="697"/>
      <c r="QPN199" s="697"/>
      <c r="QPO199" s="697"/>
      <c r="QPP199" s="697"/>
      <c r="QPQ199" s="697"/>
      <c r="QPR199" s="697"/>
      <c r="QPS199" s="697"/>
      <c r="QPT199" s="697"/>
      <c r="QPU199" s="697"/>
      <c r="QPV199" s="697"/>
      <c r="QPW199" s="697"/>
      <c r="QPX199" s="697"/>
      <c r="QPY199" s="697"/>
      <c r="QPZ199" s="697"/>
      <c r="QQA199" s="697"/>
      <c r="QQB199" s="697"/>
      <c r="QQC199" s="697"/>
      <c r="QQD199" s="697"/>
      <c r="QQE199" s="697"/>
      <c r="QQF199" s="697"/>
      <c r="QQG199" s="697"/>
      <c r="QQH199" s="697"/>
      <c r="QQI199" s="697"/>
      <c r="QQJ199" s="697"/>
      <c r="QQK199" s="697"/>
      <c r="QQL199" s="697"/>
      <c r="QQM199" s="697"/>
      <c r="QQN199" s="697"/>
      <c r="QQO199" s="697"/>
      <c r="QQP199" s="697"/>
      <c r="QQQ199" s="697"/>
      <c r="QQR199" s="697"/>
      <c r="QQS199" s="697"/>
      <c r="QQT199" s="697"/>
      <c r="QQU199" s="697"/>
      <c r="QQV199" s="697"/>
      <c r="QQW199" s="697"/>
      <c r="QQX199" s="697"/>
      <c r="QQY199" s="697"/>
      <c r="QQZ199" s="697"/>
      <c r="QRA199" s="697"/>
      <c r="QRB199" s="697"/>
      <c r="QRC199" s="697"/>
      <c r="QRD199" s="697"/>
      <c r="QRE199" s="697"/>
      <c r="QRF199" s="697"/>
      <c r="QRG199" s="697"/>
      <c r="QRH199" s="697"/>
      <c r="QRI199" s="697"/>
      <c r="QRJ199" s="697"/>
      <c r="QRK199" s="697"/>
      <c r="QRL199" s="697"/>
      <c r="QRM199" s="697"/>
      <c r="QRN199" s="697"/>
      <c r="QRO199" s="697"/>
      <c r="QRP199" s="697"/>
      <c r="QRQ199" s="697"/>
      <c r="QRR199" s="697"/>
      <c r="QRS199" s="697"/>
      <c r="QRT199" s="697"/>
      <c r="QRU199" s="697"/>
      <c r="QRV199" s="697"/>
      <c r="QRW199" s="697"/>
      <c r="QRX199" s="697"/>
      <c r="QRY199" s="697"/>
      <c r="QRZ199" s="697"/>
      <c r="QSA199" s="697"/>
      <c r="QSB199" s="697"/>
      <c r="QSC199" s="697"/>
      <c r="QSD199" s="697"/>
      <c r="QSE199" s="697"/>
      <c r="QSF199" s="697"/>
      <c r="QSG199" s="697"/>
      <c r="QSH199" s="697"/>
      <c r="QSI199" s="697"/>
      <c r="QSJ199" s="697"/>
      <c r="QSK199" s="697"/>
      <c r="QSL199" s="697"/>
      <c r="QSM199" s="697"/>
      <c r="QSN199" s="697"/>
      <c r="QSO199" s="697"/>
      <c r="QSP199" s="697"/>
      <c r="QSQ199" s="697"/>
      <c r="QSR199" s="697"/>
      <c r="QSS199" s="697"/>
      <c r="QST199" s="697"/>
      <c r="QSU199" s="697"/>
      <c r="QSV199" s="697"/>
      <c r="QSW199" s="697"/>
      <c r="QSX199" s="697"/>
      <c r="QSY199" s="697"/>
      <c r="QSZ199" s="697"/>
      <c r="QTA199" s="697"/>
      <c r="QTB199" s="697"/>
      <c r="QTC199" s="697"/>
      <c r="QTD199" s="697"/>
      <c r="QTE199" s="697"/>
      <c r="QTF199" s="697"/>
      <c r="QTG199" s="697"/>
      <c r="QTH199" s="697"/>
      <c r="QTI199" s="697"/>
      <c r="QTJ199" s="697"/>
      <c r="QTK199" s="697"/>
      <c r="QTL199" s="697"/>
      <c r="QTM199" s="697"/>
      <c r="QTN199" s="697"/>
      <c r="QTO199" s="697"/>
      <c r="QTP199" s="697"/>
      <c r="QTQ199" s="697"/>
      <c r="QTR199" s="697"/>
      <c r="QTS199" s="697"/>
      <c r="QTT199" s="697"/>
      <c r="QTU199" s="697"/>
      <c r="QTV199" s="697"/>
      <c r="QTW199" s="697"/>
      <c r="QTX199" s="697"/>
      <c r="QTY199" s="697"/>
      <c r="QTZ199" s="697"/>
      <c r="QUA199" s="697"/>
      <c r="QUB199" s="697"/>
      <c r="QUC199" s="697"/>
      <c r="QUD199" s="697"/>
      <c r="QUE199" s="697"/>
      <c r="QUF199" s="697"/>
      <c r="QUG199" s="697"/>
      <c r="QUH199" s="697"/>
      <c r="QUI199" s="697"/>
      <c r="QUJ199" s="697"/>
      <c r="QUK199" s="697"/>
      <c r="QUL199" s="697"/>
      <c r="QUM199" s="697"/>
      <c r="QUN199" s="697"/>
      <c r="QUO199" s="697"/>
      <c r="QUP199" s="697"/>
      <c r="QUQ199" s="697"/>
      <c r="QUR199" s="697"/>
      <c r="QUS199" s="697"/>
      <c r="QUT199" s="697"/>
      <c r="QUU199" s="697"/>
      <c r="QUV199" s="697"/>
      <c r="QUW199" s="697"/>
      <c r="QUX199" s="697"/>
      <c r="QUY199" s="697"/>
      <c r="QUZ199" s="697"/>
      <c r="QVA199" s="697"/>
      <c r="QVB199" s="697"/>
      <c r="QVC199" s="697"/>
      <c r="QVD199" s="697"/>
      <c r="QVE199" s="697"/>
      <c r="QVF199" s="697"/>
      <c r="QVG199" s="697"/>
      <c r="QVH199" s="697"/>
      <c r="QVI199" s="697"/>
      <c r="QVJ199" s="697"/>
      <c r="QVK199" s="697"/>
      <c r="QVL199" s="697"/>
      <c r="QVM199" s="697"/>
      <c r="QVN199" s="697"/>
      <c r="QVO199" s="697"/>
      <c r="QVP199" s="697"/>
      <c r="QVQ199" s="697"/>
      <c r="QVR199" s="697"/>
      <c r="QVS199" s="697"/>
      <c r="QVT199" s="697"/>
      <c r="QVU199" s="697"/>
      <c r="QVV199" s="697"/>
      <c r="QVW199" s="697"/>
      <c r="QVX199" s="697"/>
      <c r="QVY199" s="697"/>
      <c r="QVZ199" s="697"/>
      <c r="QWA199" s="697"/>
      <c r="QWB199" s="697"/>
      <c r="QWC199" s="697"/>
      <c r="QWD199" s="697"/>
      <c r="QWE199" s="697"/>
      <c r="QWF199" s="697"/>
      <c r="QWG199" s="697"/>
      <c r="QWH199" s="697"/>
      <c r="QWI199" s="697"/>
      <c r="QWJ199" s="697"/>
      <c r="QWK199" s="697"/>
      <c r="QWL199" s="697"/>
      <c r="QWM199" s="697"/>
      <c r="QWN199" s="697"/>
      <c r="QWO199" s="697"/>
      <c r="QWP199" s="697"/>
      <c r="QWQ199" s="697"/>
      <c r="QWR199" s="697"/>
      <c r="QWS199" s="697"/>
      <c r="QWT199" s="697"/>
      <c r="QWU199" s="697"/>
      <c r="QWV199" s="697"/>
      <c r="QWW199" s="697"/>
      <c r="QWX199" s="697"/>
      <c r="QWY199" s="697"/>
      <c r="QWZ199" s="697"/>
      <c r="QXA199" s="697"/>
      <c r="QXB199" s="697"/>
      <c r="QXC199" s="697"/>
      <c r="QXD199" s="697"/>
      <c r="QXE199" s="697"/>
      <c r="QXF199" s="697"/>
      <c r="QXG199" s="697"/>
      <c r="QXH199" s="697"/>
      <c r="QXI199" s="697"/>
      <c r="QXJ199" s="697"/>
      <c r="QXK199" s="697"/>
      <c r="QXL199" s="697"/>
      <c r="QXM199" s="697"/>
      <c r="QXN199" s="697"/>
      <c r="QXO199" s="697"/>
      <c r="QXP199" s="697"/>
      <c r="QXQ199" s="697"/>
      <c r="QXR199" s="697"/>
      <c r="QXS199" s="697"/>
      <c r="QXT199" s="697"/>
      <c r="QXU199" s="697"/>
      <c r="QXV199" s="697"/>
      <c r="QXW199" s="697"/>
      <c r="QXX199" s="697"/>
      <c r="QXY199" s="697"/>
      <c r="QXZ199" s="697"/>
      <c r="QYA199" s="697"/>
      <c r="QYB199" s="697"/>
      <c r="QYC199" s="697"/>
      <c r="QYD199" s="697"/>
      <c r="QYE199" s="697"/>
      <c r="QYF199" s="697"/>
      <c r="QYG199" s="697"/>
      <c r="QYH199" s="697"/>
      <c r="QYI199" s="697"/>
      <c r="QYJ199" s="697"/>
      <c r="QYK199" s="697"/>
      <c r="QYL199" s="697"/>
      <c r="QYM199" s="697"/>
      <c r="QYN199" s="697"/>
      <c r="QYO199" s="697"/>
      <c r="QYP199" s="697"/>
      <c r="QYQ199" s="697"/>
      <c r="QYR199" s="697"/>
      <c r="QYS199" s="697"/>
      <c r="QYT199" s="697"/>
      <c r="QYU199" s="697"/>
      <c r="QYV199" s="697"/>
      <c r="QYW199" s="697"/>
      <c r="QYX199" s="697"/>
      <c r="QYY199" s="697"/>
      <c r="QYZ199" s="697"/>
      <c r="QZA199" s="697"/>
      <c r="QZB199" s="697"/>
      <c r="QZC199" s="697"/>
      <c r="QZD199" s="697"/>
      <c r="QZE199" s="697"/>
      <c r="QZF199" s="697"/>
      <c r="QZG199" s="697"/>
      <c r="QZH199" s="697"/>
      <c r="QZI199" s="697"/>
      <c r="QZJ199" s="697"/>
      <c r="QZK199" s="697"/>
      <c r="QZL199" s="697"/>
      <c r="QZM199" s="697"/>
      <c r="QZN199" s="697"/>
      <c r="QZO199" s="697"/>
      <c r="QZP199" s="697"/>
      <c r="QZQ199" s="697"/>
      <c r="QZR199" s="697"/>
      <c r="QZS199" s="697"/>
      <c r="QZT199" s="697"/>
      <c r="QZU199" s="697"/>
      <c r="QZV199" s="697"/>
      <c r="QZW199" s="697"/>
      <c r="QZX199" s="697"/>
      <c r="QZY199" s="697"/>
      <c r="QZZ199" s="697"/>
      <c r="RAA199" s="697"/>
      <c r="RAB199" s="697"/>
      <c r="RAC199" s="697"/>
      <c r="RAD199" s="697"/>
      <c r="RAE199" s="697"/>
      <c r="RAF199" s="697"/>
      <c r="RAG199" s="697"/>
      <c r="RAH199" s="697"/>
      <c r="RAI199" s="697"/>
      <c r="RAJ199" s="697"/>
      <c r="RAK199" s="697"/>
      <c r="RAL199" s="697"/>
      <c r="RAM199" s="697"/>
      <c r="RAN199" s="697"/>
      <c r="RAO199" s="697"/>
      <c r="RAP199" s="697"/>
      <c r="RAQ199" s="697"/>
      <c r="RAR199" s="697"/>
      <c r="RAS199" s="697"/>
      <c r="RAT199" s="697"/>
      <c r="RAU199" s="697"/>
      <c r="RAV199" s="697"/>
      <c r="RAW199" s="697"/>
      <c r="RAX199" s="697"/>
      <c r="RAY199" s="697"/>
      <c r="RAZ199" s="697"/>
      <c r="RBA199" s="697"/>
      <c r="RBB199" s="697"/>
      <c r="RBC199" s="697"/>
      <c r="RBD199" s="697"/>
      <c r="RBE199" s="697"/>
      <c r="RBF199" s="697"/>
      <c r="RBG199" s="697"/>
      <c r="RBH199" s="697"/>
      <c r="RBI199" s="697"/>
      <c r="RBJ199" s="697"/>
      <c r="RBK199" s="697"/>
      <c r="RBL199" s="697"/>
      <c r="RBM199" s="697"/>
      <c r="RBN199" s="697"/>
      <c r="RBO199" s="697"/>
      <c r="RBP199" s="697"/>
      <c r="RBQ199" s="697"/>
      <c r="RBR199" s="697"/>
      <c r="RBS199" s="697"/>
      <c r="RBT199" s="697"/>
      <c r="RBU199" s="697"/>
      <c r="RBV199" s="697"/>
      <c r="RBW199" s="697"/>
      <c r="RBX199" s="697"/>
      <c r="RBY199" s="697"/>
      <c r="RBZ199" s="697"/>
      <c r="RCA199" s="697"/>
      <c r="RCB199" s="697"/>
      <c r="RCC199" s="697"/>
      <c r="RCD199" s="697"/>
      <c r="RCE199" s="697"/>
      <c r="RCF199" s="697"/>
      <c r="RCG199" s="697"/>
      <c r="RCH199" s="697"/>
      <c r="RCI199" s="697"/>
      <c r="RCJ199" s="697"/>
      <c r="RCK199" s="697"/>
      <c r="RCL199" s="697"/>
      <c r="RCM199" s="697"/>
      <c r="RCN199" s="697"/>
      <c r="RCO199" s="697"/>
      <c r="RCP199" s="697"/>
      <c r="RCQ199" s="697"/>
      <c r="RCR199" s="697"/>
      <c r="RCS199" s="697"/>
      <c r="RCT199" s="697"/>
      <c r="RCU199" s="697"/>
      <c r="RCV199" s="697"/>
      <c r="RCW199" s="697"/>
      <c r="RCX199" s="697"/>
      <c r="RCY199" s="697"/>
      <c r="RCZ199" s="697"/>
      <c r="RDA199" s="697"/>
      <c r="RDB199" s="697"/>
      <c r="RDC199" s="697"/>
      <c r="RDD199" s="697"/>
      <c r="RDE199" s="697"/>
      <c r="RDF199" s="697"/>
      <c r="RDG199" s="697"/>
      <c r="RDH199" s="697"/>
      <c r="RDI199" s="697"/>
      <c r="RDJ199" s="697"/>
      <c r="RDK199" s="697"/>
      <c r="RDL199" s="697"/>
      <c r="RDM199" s="697"/>
      <c r="RDN199" s="697"/>
      <c r="RDO199" s="697"/>
      <c r="RDP199" s="697"/>
      <c r="RDQ199" s="697"/>
      <c r="RDR199" s="697"/>
      <c r="RDS199" s="697"/>
      <c r="RDT199" s="697"/>
      <c r="RDU199" s="697"/>
      <c r="RDV199" s="697"/>
      <c r="RDW199" s="697"/>
      <c r="RDX199" s="697"/>
      <c r="RDY199" s="697"/>
      <c r="RDZ199" s="697"/>
      <c r="REA199" s="697"/>
      <c r="REB199" s="697"/>
      <c r="REC199" s="697"/>
      <c r="RED199" s="697"/>
      <c r="REE199" s="697"/>
      <c r="REF199" s="697"/>
      <c r="REG199" s="697"/>
      <c r="REH199" s="697"/>
      <c r="REI199" s="697"/>
      <c r="REJ199" s="697"/>
      <c r="REK199" s="697"/>
      <c r="REL199" s="697"/>
      <c r="REM199" s="697"/>
      <c r="REN199" s="697"/>
      <c r="REO199" s="697"/>
      <c r="REP199" s="697"/>
      <c r="REQ199" s="697"/>
      <c r="RER199" s="697"/>
      <c r="RES199" s="697"/>
      <c r="RET199" s="697"/>
      <c r="REU199" s="697"/>
      <c r="REV199" s="697"/>
      <c r="REW199" s="697"/>
      <c r="REX199" s="697"/>
      <c r="REY199" s="697"/>
      <c r="REZ199" s="697"/>
      <c r="RFA199" s="697"/>
      <c r="RFB199" s="697"/>
      <c r="RFC199" s="697"/>
      <c r="RFD199" s="697"/>
      <c r="RFE199" s="697"/>
      <c r="RFF199" s="697"/>
      <c r="RFG199" s="697"/>
      <c r="RFH199" s="697"/>
      <c r="RFI199" s="697"/>
      <c r="RFJ199" s="697"/>
      <c r="RFK199" s="697"/>
      <c r="RFL199" s="697"/>
      <c r="RFM199" s="697"/>
      <c r="RFN199" s="697"/>
      <c r="RFO199" s="697"/>
      <c r="RFP199" s="697"/>
      <c r="RFQ199" s="697"/>
      <c r="RFR199" s="697"/>
      <c r="RFS199" s="697"/>
      <c r="RFT199" s="697"/>
      <c r="RFU199" s="697"/>
      <c r="RFV199" s="697"/>
      <c r="RFW199" s="697"/>
      <c r="RFX199" s="697"/>
      <c r="RFY199" s="697"/>
      <c r="RFZ199" s="697"/>
      <c r="RGA199" s="697"/>
      <c r="RGB199" s="697"/>
      <c r="RGC199" s="697"/>
      <c r="RGD199" s="697"/>
      <c r="RGE199" s="697"/>
      <c r="RGF199" s="697"/>
      <c r="RGG199" s="697"/>
      <c r="RGH199" s="697"/>
      <c r="RGI199" s="697"/>
      <c r="RGJ199" s="697"/>
      <c r="RGK199" s="697"/>
      <c r="RGL199" s="697"/>
      <c r="RGM199" s="697"/>
      <c r="RGN199" s="697"/>
      <c r="RGO199" s="697"/>
      <c r="RGP199" s="697"/>
      <c r="RGQ199" s="697"/>
      <c r="RGR199" s="697"/>
      <c r="RGS199" s="697"/>
      <c r="RGT199" s="697"/>
      <c r="RGU199" s="697"/>
      <c r="RGV199" s="697"/>
      <c r="RGW199" s="697"/>
      <c r="RGX199" s="697"/>
      <c r="RGY199" s="697"/>
      <c r="RGZ199" s="697"/>
      <c r="RHA199" s="697"/>
      <c r="RHB199" s="697"/>
      <c r="RHC199" s="697"/>
      <c r="RHD199" s="697"/>
      <c r="RHE199" s="697"/>
      <c r="RHF199" s="697"/>
      <c r="RHG199" s="697"/>
      <c r="RHH199" s="697"/>
      <c r="RHI199" s="697"/>
      <c r="RHJ199" s="697"/>
      <c r="RHK199" s="697"/>
      <c r="RHL199" s="697"/>
      <c r="RHM199" s="697"/>
      <c r="RHN199" s="697"/>
      <c r="RHO199" s="697"/>
      <c r="RHP199" s="697"/>
      <c r="RHQ199" s="697"/>
      <c r="RHR199" s="697"/>
      <c r="RHS199" s="697"/>
      <c r="RHT199" s="697"/>
      <c r="RHU199" s="697"/>
      <c r="RHV199" s="697"/>
      <c r="RHW199" s="697"/>
      <c r="RHX199" s="697"/>
      <c r="RHY199" s="697"/>
      <c r="RHZ199" s="697"/>
      <c r="RIA199" s="697"/>
      <c r="RIB199" s="697"/>
      <c r="RIC199" s="697"/>
      <c r="RID199" s="697"/>
      <c r="RIE199" s="697"/>
      <c r="RIF199" s="697"/>
      <c r="RIG199" s="697"/>
      <c r="RIH199" s="697"/>
      <c r="RII199" s="697"/>
      <c r="RIJ199" s="697"/>
      <c r="RIK199" s="697"/>
      <c r="RIL199" s="697"/>
      <c r="RIM199" s="697"/>
      <c r="RIN199" s="697"/>
      <c r="RIO199" s="697"/>
      <c r="RIP199" s="697"/>
      <c r="RIQ199" s="697"/>
      <c r="RIR199" s="697"/>
      <c r="RIS199" s="697"/>
      <c r="RIT199" s="697"/>
      <c r="RIU199" s="697"/>
      <c r="RIV199" s="697"/>
      <c r="RIW199" s="697"/>
      <c r="RIX199" s="697"/>
      <c r="RIY199" s="697"/>
      <c r="RIZ199" s="697"/>
      <c r="RJA199" s="697"/>
      <c r="RJB199" s="697"/>
      <c r="RJC199" s="697"/>
      <c r="RJD199" s="697"/>
      <c r="RJE199" s="697"/>
      <c r="RJF199" s="697"/>
      <c r="RJG199" s="697"/>
      <c r="RJH199" s="697"/>
      <c r="RJI199" s="697"/>
      <c r="RJJ199" s="697"/>
      <c r="RJK199" s="697"/>
      <c r="RJL199" s="697"/>
      <c r="RJM199" s="697"/>
      <c r="RJN199" s="697"/>
      <c r="RJO199" s="697"/>
      <c r="RJP199" s="697"/>
      <c r="RJQ199" s="697"/>
      <c r="RJR199" s="697"/>
      <c r="RJS199" s="697"/>
      <c r="RJT199" s="697"/>
      <c r="RJU199" s="697"/>
      <c r="RJV199" s="697"/>
      <c r="RJW199" s="697"/>
      <c r="RJX199" s="697"/>
      <c r="RJY199" s="697"/>
      <c r="RJZ199" s="697"/>
      <c r="RKA199" s="697"/>
      <c r="RKB199" s="697"/>
      <c r="RKC199" s="697"/>
      <c r="RKD199" s="697"/>
      <c r="RKE199" s="697"/>
      <c r="RKF199" s="697"/>
      <c r="RKG199" s="697"/>
      <c r="RKH199" s="697"/>
      <c r="RKI199" s="697"/>
      <c r="RKJ199" s="697"/>
      <c r="RKK199" s="697"/>
      <c r="RKL199" s="697"/>
      <c r="RKM199" s="697"/>
      <c r="RKN199" s="697"/>
      <c r="RKO199" s="697"/>
      <c r="RKP199" s="697"/>
      <c r="RKQ199" s="697"/>
      <c r="RKR199" s="697"/>
      <c r="RKS199" s="697"/>
      <c r="RKT199" s="697"/>
      <c r="RKU199" s="697"/>
      <c r="RKV199" s="697"/>
      <c r="RKW199" s="697"/>
      <c r="RKX199" s="697"/>
      <c r="RKY199" s="697"/>
      <c r="RKZ199" s="697"/>
      <c r="RLA199" s="697"/>
      <c r="RLB199" s="697"/>
      <c r="RLC199" s="697"/>
      <c r="RLD199" s="697"/>
      <c r="RLE199" s="697"/>
      <c r="RLF199" s="697"/>
      <c r="RLG199" s="697"/>
      <c r="RLH199" s="697"/>
      <c r="RLI199" s="697"/>
      <c r="RLJ199" s="697"/>
      <c r="RLK199" s="697"/>
      <c r="RLL199" s="697"/>
      <c r="RLM199" s="697"/>
      <c r="RLN199" s="697"/>
      <c r="RLO199" s="697"/>
      <c r="RLP199" s="697"/>
      <c r="RLQ199" s="697"/>
      <c r="RLR199" s="697"/>
      <c r="RLS199" s="697"/>
      <c r="RLT199" s="697"/>
      <c r="RLU199" s="697"/>
      <c r="RLV199" s="697"/>
      <c r="RLW199" s="697"/>
      <c r="RLX199" s="697"/>
      <c r="RLY199" s="697"/>
      <c r="RLZ199" s="697"/>
      <c r="RMA199" s="697"/>
      <c r="RMB199" s="697"/>
      <c r="RMC199" s="697"/>
      <c r="RMD199" s="697"/>
      <c r="RME199" s="697"/>
      <c r="RMF199" s="697"/>
      <c r="RMG199" s="697"/>
      <c r="RMH199" s="697"/>
      <c r="RMI199" s="697"/>
      <c r="RMJ199" s="697"/>
      <c r="RMK199" s="697"/>
      <c r="RML199" s="697"/>
      <c r="RMM199" s="697"/>
      <c r="RMN199" s="697"/>
      <c r="RMO199" s="697"/>
      <c r="RMP199" s="697"/>
      <c r="RMQ199" s="697"/>
      <c r="RMR199" s="697"/>
      <c r="RMS199" s="697"/>
      <c r="RMT199" s="697"/>
      <c r="RMU199" s="697"/>
      <c r="RMV199" s="697"/>
      <c r="RMW199" s="697"/>
      <c r="RMX199" s="697"/>
      <c r="RMY199" s="697"/>
      <c r="RMZ199" s="697"/>
      <c r="RNA199" s="697"/>
      <c r="RNB199" s="697"/>
      <c r="RNC199" s="697"/>
      <c r="RND199" s="697"/>
      <c r="RNE199" s="697"/>
      <c r="RNF199" s="697"/>
      <c r="RNG199" s="697"/>
      <c r="RNH199" s="697"/>
      <c r="RNI199" s="697"/>
      <c r="RNJ199" s="697"/>
      <c r="RNK199" s="697"/>
      <c r="RNL199" s="697"/>
      <c r="RNM199" s="697"/>
      <c r="RNN199" s="697"/>
      <c r="RNO199" s="697"/>
      <c r="RNP199" s="697"/>
      <c r="RNQ199" s="697"/>
      <c r="RNR199" s="697"/>
      <c r="RNS199" s="697"/>
      <c r="RNT199" s="697"/>
      <c r="RNU199" s="697"/>
      <c r="RNV199" s="697"/>
      <c r="RNW199" s="697"/>
      <c r="RNX199" s="697"/>
      <c r="RNY199" s="697"/>
      <c r="RNZ199" s="697"/>
      <c r="ROA199" s="697"/>
      <c r="ROB199" s="697"/>
      <c r="ROC199" s="697"/>
      <c r="ROD199" s="697"/>
      <c r="ROE199" s="697"/>
      <c r="ROF199" s="697"/>
      <c r="ROG199" s="697"/>
      <c r="ROH199" s="697"/>
      <c r="ROI199" s="697"/>
      <c r="ROJ199" s="697"/>
      <c r="ROK199" s="697"/>
      <c r="ROL199" s="697"/>
      <c r="ROM199" s="697"/>
      <c r="RON199" s="697"/>
      <c r="ROO199" s="697"/>
      <c r="ROP199" s="697"/>
      <c r="ROQ199" s="697"/>
      <c r="ROR199" s="697"/>
      <c r="ROS199" s="697"/>
      <c r="ROT199" s="697"/>
      <c r="ROU199" s="697"/>
      <c r="ROV199" s="697"/>
      <c r="ROW199" s="697"/>
      <c r="ROX199" s="697"/>
      <c r="ROY199" s="697"/>
      <c r="ROZ199" s="697"/>
      <c r="RPA199" s="697"/>
      <c r="RPB199" s="697"/>
      <c r="RPC199" s="697"/>
      <c r="RPD199" s="697"/>
      <c r="RPE199" s="697"/>
      <c r="RPF199" s="697"/>
      <c r="RPG199" s="697"/>
      <c r="RPH199" s="697"/>
      <c r="RPI199" s="697"/>
      <c r="RPJ199" s="697"/>
      <c r="RPK199" s="697"/>
      <c r="RPL199" s="697"/>
      <c r="RPM199" s="697"/>
      <c r="RPN199" s="697"/>
      <c r="RPO199" s="697"/>
      <c r="RPP199" s="697"/>
      <c r="RPQ199" s="697"/>
      <c r="RPR199" s="697"/>
      <c r="RPS199" s="697"/>
      <c r="RPT199" s="697"/>
      <c r="RPU199" s="697"/>
      <c r="RPV199" s="697"/>
      <c r="RPW199" s="697"/>
      <c r="RPX199" s="697"/>
      <c r="RPY199" s="697"/>
      <c r="RPZ199" s="697"/>
      <c r="RQA199" s="697"/>
      <c r="RQB199" s="697"/>
      <c r="RQC199" s="697"/>
      <c r="RQD199" s="697"/>
      <c r="RQE199" s="697"/>
      <c r="RQF199" s="697"/>
      <c r="RQG199" s="697"/>
      <c r="RQH199" s="697"/>
      <c r="RQI199" s="697"/>
      <c r="RQJ199" s="697"/>
      <c r="RQK199" s="697"/>
      <c r="RQL199" s="697"/>
      <c r="RQM199" s="697"/>
      <c r="RQN199" s="697"/>
      <c r="RQO199" s="697"/>
      <c r="RQP199" s="697"/>
      <c r="RQQ199" s="697"/>
      <c r="RQR199" s="697"/>
      <c r="RQS199" s="697"/>
      <c r="RQT199" s="697"/>
      <c r="RQU199" s="697"/>
      <c r="RQV199" s="697"/>
      <c r="RQW199" s="697"/>
      <c r="RQX199" s="697"/>
      <c r="RQY199" s="697"/>
      <c r="RQZ199" s="697"/>
      <c r="RRA199" s="697"/>
      <c r="RRB199" s="697"/>
      <c r="RRC199" s="697"/>
      <c r="RRD199" s="697"/>
      <c r="RRE199" s="697"/>
      <c r="RRF199" s="697"/>
      <c r="RRG199" s="697"/>
      <c r="RRH199" s="697"/>
      <c r="RRI199" s="697"/>
      <c r="RRJ199" s="697"/>
      <c r="RRK199" s="697"/>
      <c r="RRL199" s="697"/>
      <c r="RRM199" s="697"/>
      <c r="RRN199" s="697"/>
      <c r="RRO199" s="697"/>
      <c r="RRP199" s="697"/>
      <c r="RRQ199" s="697"/>
      <c r="RRR199" s="697"/>
      <c r="RRS199" s="697"/>
      <c r="RRT199" s="697"/>
      <c r="RRU199" s="697"/>
      <c r="RRV199" s="697"/>
      <c r="RRW199" s="697"/>
      <c r="RRX199" s="697"/>
      <c r="RRY199" s="697"/>
      <c r="RRZ199" s="697"/>
      <c r="RSA199" s="697"/>
      <c r="RSB199" s="697"/>
      <c r="RSC199" s="697"/>
      <c r="RSD199" s="697"/>
      <c r="RSE199" s="697"/>
      <c r="RSF199" s="697"/>
      <c r="RSG199" s="697"/>
      <c r="RSH199" s="697"/>
      <c r="RSI199" s="697"/>
      <c r="RSJ199" s="697"/>
      <c r="RSK199" s="697"/>
      <c r="RSL199" s="697"/>
      <c r="RSM199" s="697"/>
      <c r="RSN199" s="697"/>
      <c r="RSO199" s="697"/>
      <c r="RSP199" s="697"/>
      <c r="RSQ199" s="697"/>
      <c r="RSR199" s="697"/>
      <c r="RSS199" s="697"/>
      <c r="RST199" s="697"/>
      <c r="RSU199" s="697"/>
      <c r="RSV199" s="697"/>
      <c r="RSW199" s="697"/>
      <c r="RSX199" s="697"/>
      <c r="RSY199" s="697"/>
      <c r="RSZ199" s="697"/>
      <c r="RTA199" s="697"/>
      <c r="RTB199" s="697"/>
      <c r="RTC199" s="697"/>
      <c r="RTD199" s="697"/>
      <c r="RTE199" s="697"/>
      <c r="RTF199" s="697"/>
      <c r="RTG199" s="697"/>
      <c r="RTH199" s="697"/>
      <c r="RTI199" s="697"/>
      <c r="RTJ199" s="697"/>
      <c r="RTK199" s="697"/>
      <c r="RTL199" s="697"/>
      <c r="RTM199" s="697"/>
      <c r="RTN199" s="697"/>
      <c r="RTO199" s="697"/>
      <c r="RTP199" s="697"/>
      <c r="RTQ199" s="697"/>
      <c r="RTR199" s="697"/>
      <c r="RTS199" s="697"/>
      <c r="RTT199" s="697"/>
      <c r="RTU199" s="697"/>
      <c r="RTV199" s="697"/>
      <c r="RTW199" s="697"/>
      <c r="RTX199" s="697"/>
      <c r="RTY199" s="697"/>
      <c r="RTZ199" s="697"/>
      <c r="RUA199" s="697"/>
      <c r="RUB199" s="697"/>
      <c r="RUC199" s="697"/>
      <c r="RUD199" s="697"/>
      <c r="RUE199" s="697"/>
      <c r="RUF199" s="697"/>
      <c r="RUG199" s="697"/>
      <c r="RUH199" s="697"/>
      <c r="RUI199" s="697"/>
      <c r="RUJ199" s="697"/>
      <c r="RUK199" s="697"/>
      <c r="RUL199" s="697"/>
      <c r="RUM199" s="697"/>
      <c r="RUN199" s="697"/>
      <c r="RUO199" s="697"/>
      <c r="RUP199" s="697"/>
      <c r="RUQ199" s="697"/>
      <c r="RUR199" s="697"/>
      <c r="RUS199" s="697"/>
      <c r="RUT199" s="697"/>
      <c r="RUU199" s="697"/>
      <c r="RUV199" s="697"/>
      <c r="RUW199" s="697"/>
      <c r="RUX199" s="697"/>
      <c r="RUY199" s="697"/>
      <c r="RUZ199" s="697"/>
      <c r="RVA199" s="697"/>
      <c r="RVB199" s="697"/>
      <c r="RVC199" s="697"/>
      <c r="RVD199" s="697"/>
      <c r="RVE199" s="697"/>
      <c r="RVF199" s="697"/>
      <c r="RVG199" s="697"/>
      <c r="RVH199" s="697"/>
      <c r="RVI199" s="697"/>
      <c r="RVJ199" s="697"/>
      <c r="RVK199" s="697"/>
      <c r="RVL199" s="697"/>
      <c r="RVM199" s="697"/>
      <c r="RVN199" s="697"/>
      <c r="RVO199" s="697"/>
      <c r="RVP199" s="697"/>
      <c r="RVQ199" s="697"/>
      <c r="RVR199" s="697"/>
      <c r="RVS199" s="697"/>
      <c r="RVT199" s="697"/>
      <c r="RVU199" s="697"/>
      <c r="RVV199" s="697"/>
      <c r="RVW199" s="697"/>
      <c r="RVX199" s="697"/>
      <c r="RVY199" s="697"/>
      <c r="RVZ199" s="697"/>
      <c r="RWA199" s="697"/>
      <c r="RWB199" s="697"/>
      <c r="RWC199" s="697"/>
      <c r="RWD199" s="697"/>
      <c r="RWE199" s="697"/>
      <c r="RWF199" s="697"/>
      <c r="RWG199" s="697"/>
      <c r="RWH199" s="697"/>
      <c r="RWI199" s="697"/>
      <c r="RWJ199" s="697"/>
      <c r="RWK199" s="697"/>
      <c r="RWL199" s="697"/>
      <c r="RWM199" s="697"/>
      <c r="RWN199" s="697"/>
      <c r="RWO199" s="697"/>
      <c r="RWP199" s="697"/>
      <c r="RWQ199" s="697"/>
      <c r="RWR199" s="697"/>
      <c r="RWS199" s="697"/>
      <c r="RWT199" s="697"/>
      <c r="RWU199" s="697"/>
      <c r="RWV199" s="697"/>
      <c r="RWW199" s="697"/>
      <c r="RWX199" s="697"/>
      <c r="RWY199" s="697"/>
      <c r="RWZ199" s="697"/>
      <c r="RXA199" s="697"/>
      <c r="RXB199" s="697"/>
      <c r="RXC199" s="697"/>
      <c r="RXD199" s="697"/>
      <c r="RXE199" s="697"/>
      <c r="RXF199" s="697"/>
      <c r="RXG199" s="697"/>
      <c r="RXH199" s="697"/>
      <c r="RXI199" s="697"/>
      <c r="RXJ199" s="697"/>
      <c r="RXK199" s="697"/>
      <c r="RXL199" s="697"/>
      <c r="RXM199" s="697"/>
      <c r="RXN199" s="697"/>
      <c r="RXO199" s="697"/>
      <c r="RXP199" s="697"/>
      <c r="RXQ199" s="697"/>
      <c r="RXR199" s="697"/>
      <c r="RXS199" s="697"/>
      <c r="RXT199" s="697"/>
      <c r="RXU199" s="697"/>
      <c r="RXV199" s="697"/>
      <c r="RXW199" s="697"/>
      <c r="RXX199" s="697"/>
      <c r="RXY199" s="697"/>
      <c r="RXZ199" s="697"/>
      <c r="RYA199" s="697"/>
      <c r="RYB199" s="697"/>
      <c r="RYC199" s="697"/>
      <c r="RYD199" s="697"/>
      <c r="RYE199" s="697"/>
      <c r="RYF199" s="697"/>
      <c r="RYG199" s="697"/>
      <c r="RYH199" s="697"/>
      <c r="RYI199" s="697"/>
      <c r="RYJ199" s="697"/>
      <c r="RYK199" s="697"/>
      <c r="RYL199" s="697"/>
      <c r="RYM199" s="697"/>
      <c r="RYN199" s="697"/>
      <c r="RYO199" s="697"/>
      <c r="RYP199" s="697"/>
      <c r="RYQ199" s="697"/>
      <c r="RYR199" s="697"/>
      <c r="RYS199" s="697"/>
      <c r="RYT199" s="697"/>
      <c r="RYU199" s="697"/>
      <c r="RYV199" s="697"/>
      <c r="RYW199" s="697"/>
      <c r="RYX199" s="697"/>
      <c r="RYY199" s="697"/>
      <c r="RYZ199" s="697"/>
      <c r="RZA199" s="697"/>
      <c r="RZB199" s="697"/>
      <c r="RZC199" s="697"/>
      <c r="RZD199" s="697"/>
      <c r="RZE199" s="697"/>
      <c r="RZF199" s="697"/>
      <c r="RZG199" s="697"/>
      <c r="RZH199" s="697"/>
      <c r="RZI199" s="697"/>
      <c r="RZJ199" s="697"/>
      <c r="RZK199" s="697"/>
      <c r="RZL199" s="697"/>
      <c r="RZM199" s="697"/>
      <c r="RZN199" s="697"/>
      <c r="RZO199" s="697"/>
      <c r="RZP199" s="697"/>
      <c r="RZQ199" s="697"/>
      <c r="RZR199" s="697"/>
      <c r="RZS199" s="697"/>
      <c r="RZT199" s="697"/>
      <c r="RZU199" s="697"/>
      <c r="RZV199" s="697"/>
      <c r="RZW199" s="697"/>
      <c r="RZX199" s="697"/>
      <c r="RZY199" s="697"/>
      <c r="RZZ199" s="697"/>
      <c r="SAA199" s="697"/>
      <c r="SAB199" s="697"/>
      <c r="SAC199" s="697"/>
      <c r="SAD199" s="697"/>
      <c r="SAE199" s="697"/>
      <c r="SAF199" s="697"/>
      <c r="SAG199" s="697"/>
      <c r="SAH199" s="697"/>
      <c r="SAI199" s="697"/>
      <c r="SAJ199" s="697"/>
      <c r="SAK199" s="697"/>
      <c r="SAL199" s="697"/>
      <c r="SAM199" s="697"/>
      <c r="SAN199" s="697"/>
      <c r="SAO199" s="697"/>
      <c r="SAP199" s="697"/>
      <c r="SAQ199" s="697"/>
      <c r="SAR199" s="697"/>
      <c r="SAS199" s="697"/>
      <c r="SAT199" s="697"/>
      <c r="SAU199" s="697"/>
      <c r="SAV199" s="697"/>
      <c r="SAW199" s="697"/>
      <c r="SAX199" s="697"/>
      <c r="SAY199" s="697"/>
      <c r="SAZ199" s="697"/>
      <c r="SBA199" s="697"/>
      <c r="SBB199" s="697"/>
      <c r="SBC199" s="697"/>
      <c r="SBD199" s="697"/>
      <c r="SBE199" s="697"/>
      <c r="SBF199" s="697"/>
      <c r="SBG199" s="697"/>
      <c r="SBH199" s="697"/>
      <c r="SBI199" s="697"/>
      <c r="SBJ199" s="697"/>
      <c r="SBK199" s="697"/>
      <c r="SBL199" s="697"/>
      <c r="SBM199" s="697"/>
      <c r="SBN199" s="697"/>
      <c r="SBO199" s="697"/>
      <c r="SBP199" s="697"/>
      <c r="SBQ199" s="697"/>
      <c r="SBR199" s="697"/>
      <c r="SBS199" s="697"/>
      <c r="SBT199" s="697"/>
      <c r="SBU199" s="697"/>
      <c r="SBV199" s="697"/>
      <c r="SBW199" s="697"/>
      <c r="SBX199" s="697"/>
      <c r="SBY199" s="697"/>
      <c r="SBZ199" s="697"/>
      <c r="SCA199" s="697"/>
      <c r="SCB199" s="697"/>
      <c r="SCC199" s="697"/>
      <c r="SCD199" s="697"/>
      <c r="SCE199" s="697"/>
      <c r="SCF199" s="697"/>
      <c r="SCG199" s="697"/>
      <c r="SCH199" s="697"/>
      <c r="SCI199" s="697"/>
      <c r="SCJ199" s="697"/>
      <c r="SCK199" s="697"/>
      <c r="SCL199" s="697"/>
      <c r="SCM199" s="697"/>
      <c r="SCN199" s="697"/>
      <c r="SCO199" s="697"/>
      <c r="SCP199" s="697"/>
      <c r="SCQ199" s="697"/>
      <c r="SCR199" s="697"/>
      <c r="SCS199" s="697"/>
      <c r="SCT199" s="697"/>
      <c r="SCU199" s="697"/>
      <c r="SCV199" s="697"/>
      <c r="SCW199" s="697"/>
      <c r="SCX199" s="697"/>
      <c r="SCY199" s="697"/>
      <c r="SCZ199" s="697"/>
      <c r="SDA199" s="697"/>
      <c r="SDB199" s="697"/>
      <c r="SDC199" s="697"/>
      <c r="SDD199" s="697"/>
      <c r="SDE199" s="697"/>
      <c r="SDF199" s="697"/>
      <c r="SDG199" s="697"/>
      <c r="SDH199" s="697"/>
      <c r="SDI199" s="697"/>
      <c r="SDJ199" s="697"/>
      <c r="SDK199" s="697"/>
      <c r="SDL199" s="697"/>
      <c r="SDM199" s="697"/>
      <c r="SDN199" s="697"/>
      <c r="SDO199" s="697"/>
      <c r="SDP199" s="697"/>
      <c r="SDQ199" s="697"/>
      <c r="SDR199" s="697"/>
      <c r="SDS199" s="697"/>
      <c r="SDT199" s="697"/>
      <c r="SDU199" s="697"/>
      <c r="SDV199" s="697"/>
      <c r="SDW199" s="697"/>
      <c r="SDX199" s="697"/>
      <c r="SDY199" s="697"/>
      <c r="SDZ199" s="697"/>
      <c r="SEA199" s="697"/>
      <c r="SEB199" s="697"/>
      <c r="SEC199" s="697"/>
      <c r="SED199" s="697"/>
      <c r="SEE199" s="697"/>
      <c r="SEF199" s="697"/>
      <c r="SEG199" s="697"/>
      <c r="SEH199" s="697"/>
      <c r="SEI199" s="697"/>
      <c r="SEJ199" s="697"/>
      <c r="SEK199" s="697"/>
      <c r="SEL199" s="697"/>
      <c r="SEM199" s="697"/>
      <c r="SEN199" s="697"/>
      <c r="SEO199" s="697"/>
      <c r="SEP199" s="697"/>
      <c r="SEQ199" s="697"/>
      <c r="SER199" s="697"/>
      <c r="SES199" s="697"/>
      <c r="SET199" s="697"/>
      <c r="SEU199" s="697"/>
      <c r="SEV199" s="697"/>
      <c r="SEW199" s="697"/>
      <c r="SEX199" s="697"/>
      <c r="SEY199" s="697"/>
      <c r="SEZ199" s="697"/>
      <c r="SFA199" s="697"/>
      <c r="SFB199" s="697"/>
      <c r="SFC199" s="697"/>
      <c r="SFD199" s="697"/>
      <c r="SFE199" s="697"/>
      <c r="SFF199" s="697"/>
      <c r="SFG199" s="697"/>
      <c r="SFH199" s="697"/>
      <c r="SFI199" s="697"/>
      <c r="SFJ199" s="697"/>
      <c r="SFK199" s="697"/>
      <c r="SFL199" s="697"/>
      <c r="SFM199" s="697"/>
      <c r="SFN199" s="697"/>
      <c r="SFO199" s="697"/>
      <c r="SFP199" s="697"/>
      <c r="SFQ199" s="697"/>
      <c r="SFR199" s="697"/>
      <c r="SFS199" s="697"/>
      <c r="SFT199" s="697"/>
      <c r="SFU199" s="697"/>
      <c r="SFV199" s="697"/>
      <c r="SFW199" s="697"/>
      <c r="SFX199" s="697"/>
      <c r="SFY199" s="697"/>
      <c r="SFZ199" s="697"/>
      <c r="SGA199" s="697"/>
      <c r="SGB199" s="697"/>
      <c r="SGC199" s="697"/>
      <c r="SGD199" s="697"/>
      <c r="SGE199" s="697"/>
      <c r="SGF199" s="697"/>
      <c r="SGG199" s="697"/>
      <c r="SGH199" s="697"/>
      <c r="SGI199" s="697"/>
      <c r="SGJ199" s="697"/>
      <c r="SGK199" s="697"/>
      <c r="SGL199" s="697"/>
      <c r="SGM199" s="697"/>
      <c r="SGN199" s="697"/>
      <c r="SGO199" s="697"/>
      <c r="SGP199" s="697"/>
      <c r="SGQ199" s="697"/>
      <c r="SGR199" s="697"/>
      <c r="SGS199" s="697"/>
      <c r="SGT199" s="697"/>
      <c r="SGU199" s="697"/>
      <c r="SGV199" s="697"/>
      <c r="SGW199" s="697"/>
      <c r="SGX199" s="697"/>
      <c r="SGY199" s="697"/>
      <c r="SGZ199" s="697"/>
      <c r="SHA199" s="697"/>
      <c r="SHB199" s="697"/>
      <c r="SHC199" s="697"/>
      <c r="SHD199" s="697"/>
      <c r="SHE199" s="697"/>
      <c r="SHF199" s="697"/>
      <c r="SHG199" s="697"/>
      <c r="SHH199" s="697"/>
      <c r="SHI199" s="697"/>
      <c r="SHJ199" s="697"/>
      <c r="SHK199" s="697"/>
      <c r="SHL199" s="697"/>
      <c r="SHM199" s="697"/>
      <c r="SHN199" s="697"/>
      <c r="SHO199" s="697"/>
      <c r="SHP199" s="697"/>
      <c r="SHQ199" s="697"/>
      <c r="SHR199" s="697"/>
      <c r="SHS199" s="697"/>
      <c r="SHT199" s="697"/>
      <c r="SHU199" s="697"/>
      <c r="SHV199" s="697"/>
      <c r="SHW199" s="697"/>
      <c r="SHX199" s="697"/>
      <c r="SHY199" s="697"/>
      <c r="SHZ199" s="697"/>
      <c r="SIA199" s="697"/>
      <c r="SIB199" s="697"/>
      <c r="SIC199" s="697"/>
      <c r="SID199" s="697"/>
      <c r="SIE199" s="697"/>
      <c r="SIF199" s="697"/>
      <c r="SIG199" s="697"/>
      <c r="SIH199" s="697"/>
      <c r="SII199" s="697"/>
      <c r="SIJ199" s="697"/>
      <c r="SIK199" s="697"/>
      <c r="SIL199" s="697"/>
      <c r="SIM199" s="697"/>
      <c r="SIN199" s="697"/>
      <c r="SIO199" s="697"/>
      <c r="SIP199" s="697"/>
      <c r="SIQ199" s="697"/>
      <c r="SIR199" s="697"/>
      <c r="SIS199" s="697"/>
      <c r="SIT199" s="697"/>
      <c r="SIU199" s="697"/>
      <c r="SIV199" s="697"/>
      <c r="SIW199" s="697"/>
      <c r="SIX199" s="697"/>
      <c r="SIY199" s="697"/>
      <c r="SIZ199" s="697"/>
      <c r="SJA199" s="697"/>
      <c r="SJB199" s="697"/>
      <c r="SJC199" s="697"/>
      <c r="SJD199" s="697"/>
      <c r="SJE199" s="697"/>
      <c r="SJF199" s="697"/>
      <c r="SJG199" s="697"/>
      <c r="SJH199" s="697"/>
      <c r="SJI199" s="697"/>
      <c r="SJJ199" s="697"/>
      <c r="SJK199" s="697"/>
      <c r="SJL199" s="697"/>
      <c r="SJM199" s="697"/>
      <c r="SJN199" s="697"/>
      <c r="SJO199" s="697"/>
      <c r="SJP199" s="697"/>
      <c r="SJQ199" s="697"/>
      <c r="SJR199" s="697"/>
      <c r="SJS199" s="697"/>
      <c r="SJT199" s="697"/>
      <c r="SJU199" s="697"/>
      <c r="SJV199" s="697"/>
      <c r="SJW199" s="697"/>
      <c r="SJX199" s="697"/>
      <c r="SJY199" s="697"/>
      <c r="SJZ199" s="697"/>
      <c r="SKA199" s="697"/>
      <c r="SKB199" s="697"/>
      <c r="SKC199" s="697"/>
      <c r="SKD199" s="697"/>
      <c r="SKE199" s="697"/>
      <c r="SKF199" s="697"/>
      <c r="SKG199" s="697"/>
      <c r="SKH199" s="697"/>
      <c r="SKI199" s="697"/>
      <c r="SKJ199" s="697"/>
      <c r="SKK199" s="697"/>
      <c r="SKL199" s="697"/>
      <c r="SKM199" s="697"/>
      <c r="SKN199" s="697"/>
      <c r="SKO199" s="697"/>
      <c r="SKP199" s="697"/>
      <c r="SKQ199" s="697"/>
      <c r="SKR199" s="697"/>
      <c r="SKS199" s="697"/>
      <c r="SKT199" s="697"/>
      <c r="SKU199" s="697"/>
      <c r="SKV199" s="697"/>
      <c r="SKW199" s="697"/>
      <c r="SKX199" s="697"/>
      <c r="SKY199" s="697"/>
      <c r="SKZ199" s="697"/>
      <c r="SLA199" s="697"/>
      <c r="SLB199" s="697"/>
      <c r="SLC199" s="697"/>
      <c r="SLD199" s="697"/>
      <c r="SLE199" s="697"/>
      <c r="SLF199" s="697"/>
      <c r="SLG199" s="697"/>
      <c r="SLH199" s="697"/>
      <c r="SLI199" s="697"/>
      <c r="SLJ199" s="697"/>
      <c r="SLK199" s="697"/>
      <c r="SLL199" s="697"/>
      <c r="SLM199" s="697"/>
      <c r="SLN199" s="697"/>
      <c r="SLO199" s="697"/>
      <c r="SLP199" s="697"/>
      <c r="SLQ199" s="697"/>
      <c r="SLR199" s="697"/>
      <c r="SLS199" s="697"/>
      <c r="SLT199" s="697"/>
      <c r="SLU199" s="697"/>
      <c r="SLV199" s="697"/>
      <c r="SLW199" s="697"/>
      <c r="SLX199" s="697"/>
      <c r="SLY199" s="697"/>
      <c r="SLZ199" s="697"/>
      <c r="SMA199" s="697"/>
      <c r="SMB199" s="697"/>
      <c r="SMC199" s="697"/>
      <c r="SMD199" s="697"/>
      <c r="SME199" s="697"/>
      <c r="SMF199" s="697"/>
      <c r="SMG199" s="697"/>
      <c r="SMH199" s="697"/>
      <c r="SMI199" s="697"/>
      <c r="SMJ199" s="697"/>
      <c r="SMK199" s="697"/>
      <c r="SML199" s="697"/>
      <c r="SMM199" s="697"/>
      <c r="SMN199" s="697"/>
      <c r="SMO199" s="697"/>
      <c r="SMP199" s="697"/>
      <c r="SMQ199" s="697"/>
      <c r="SMR199" s="697"/>
      <c r="SMS199" s="697"/>
      <c r="SMT199" s="697"/>
      <c r="SMU199" s="697"/>
      <c r="SMV199" s="697"/>
      <c r="SMW199" s="697"/>
      <c r="SMX199" s="697"/>
      <c r="SMY199" s="697"/>
      <c r="SMZ199" s="697"/>
      <c r="SNA199" s="697"/>
      <c r="SNB199" s="697"/>
      <c r="SNC199" s="697"/>
      <c r="SND199" s="697"/>
      <c r="SNE199" s="697"/>
      <c r="SNF199" s="697"/>
      <c r="SNG199" s="697"/>
      <c r="SNH199" s="697"/>
      <c r="SNI199" s="697"/>
      <c r="SNJ199" s="697"/>
      <c r="SNK199" s="697"/>
      <c r="SNL199" s="697"/>
      <c r="SNM199" s="697"/>
      <c r="SNN199" s="697"/>
      <c r="SNO199" s="697"/>
      <c r="SNP199" s="697"/>
      <c r="SNQ199" s="697"/>
      <c r="SNR199" s="697"/>
      <c r="SNS199" s="697"/>
      <c r="SNT199" s="697"/>
      <c r="SNU199" s="697"/>
      <c r="SNV199" s="697"/>
      <c r="SNW199" s="697"/>
      <c r="SNX199" s="697"/>
      <c r="SNY199" s="697"/>
      <c r="SNZ199" s="697"/>
      <c r="SOA199" s="697"/>
      <c r="SOB199" s="697"/>
      <c r="SOC199" s="697"/>
      <c r="SOD199" s="697"/>
      <c r="SOE199" s="697"/>
      <c r="SOF199" s="697"/>
      <c r="SOG199" s="697"/>
      <c r="SOH199" s="697"/>
      <c r="SOI199" s="697"/>
      <c r="SOJ199" s="697"/>
      <c r="SOK199" s="697"/>
      <c r="SOL199" s="697"/>
      <c r="SOM199" s="697"/>
      <c r="SON199" s="697"/>
      <c r="SOO199" s="697"/>
      <c r="SOP199" s="697"/>
      <c r="SOQ199" s="697"/>
      <c r="SOR199" s="697"/>
      <c r="SOS199" s="697"/>
      <c r="SOT199" s="697"/>
      <c r="SOU199" s="697"/>
      <c r="SOV199" s="697"/>
      <c r="SOW199" s="697"/>
      <c r="SOX199" s="697"/>
      <c r="SOY199" s="697"/>
      <c r="SOZ199" s="697"/>
      <c r="SPA199" s="697"/>
      <c r="SPB199" s="697"/>
      <c r="SPC199" s="697"/>
      <c r="SPD199" s="697"/>
      <c r="SPE199" s="697"/>
      <c r="SPF199" s="697"/>
      <c r="SPG199" s="697"/>
      <c r="SPH199" s="697"/>
      <c r="SPI199" s="697"/>
      <c r="SPJ199" s="697"/>
      <c r="SPK199" s="697"/>
      <c r="SPL199" s="697"/>
      <c r="SPM199" s="697"/>
      <c r="SPN199" s="697"/>
      <c r="SPO199" s="697"/>
      <c r="SPP199" s="697"/>
      <c r="SPQ199" s="697"/>
      <c r="SPR199" s="697"/>
      <c r="SPS199" s="697"/>
      <c r="SPT199" s="697"/>
      <c r="SPU199" s="697"/>
      <c r="SPV199" s="697"/>
      <c r="SPW199" s="697"/>
      <c r="SPX199" s="697"/>
      <c r="SPY199" s="697"/>
      <c r="SPZ199" s="697"/>
      <c r="SQA199" s="697"/>
      <c r="SQB199" s="697"/>
      <c r="SQC199" s="697"/>
      <c r="SQD199" s="697"/>
      <c r="SQE199" s="697"/>
      <c r="SQF199" s="697"/>
      <c r="SQG199" s="697"/>
      <c r="SQH199" s="697"/>
      <c r="SQI199" s="697"/>
      <c r="SQJ199" s="697"/>
      <c r="SQK199" s="697"/>
      <c r="SQL199" s="697"/>
      <c r="SQM199" s="697"/>
      <c r="SQN199" s="697"/>
      <c r="SQO199" s="697"/>
      <c r="SQP199" s="697"/>
      <c r="SQQ199" s="697"/>
      <c r="SQR199" s="697"/>
      <c r="SQS199" s="697"/>
      <c r="SQT199" s="697"/>
      <c r="SQU199" s="697"/>
      <c r="SQV199" s="697"/>
      <c r="SQW199" s="697"/>
      <c r="SQX199" s="697"/>
      <c r="SQY199" s="697"/>
      <c r="SQZ199" s="697"/>
      <c r="SRA199" s="697"/>
      <c r="SRB199" s="697"/>
      <c r="SRC199" s="697"/>
      <c r="SRD199" s="697"/>
      <c r="SRE199" s="697"/>
      <c r="SRF199" s="697"/>
      <c r="SRG199" s="697"/>
      <c r="SRH199" s="697"/>
      <c r="SRI199" s="697"/>
      <c r="SRJ199" s="697"/>
      <c r="SRK199" s="697"/>
      <c r="SRL199" s="697"/>
      <c r="SRM199" s="697"/>
      <c r="SRN199" s="697"/>
      <c r="SRO199" s="697"/>
      <c r="SRP199" s="697"/>
      <c r="SRQ199" s="697"/>
      <c r="SRR199" s="697"/>
      <c r="SRS199" s="697"/>
      <c r="SRT199" s="697"/>
      <c r="SRU199" s="697"/>
      <c r="SRV199" s="697"/>
      <c r="SRW199" s="697"/>
      <c r="SRX199" s="697"/>
      <c r="SRY199" s="697"/>
      <c r="SRZ199" s="697"/>
      <c r="SSA199" s="697"/>
      <c r="SSB199" s="697"/>
      <c r="SSC199" s="697"/>
      <c r="SSD199" s="697"/>
      <c r="SSE199" s="697"/>
      <c r="SSF199" s="697"/>
      <c r="SSG199" s="697"/>
      <c r="SSH199" s="697"/>
      <c r="SSI199" s="697"/>
      <c r="SSJ199" s="697"/>
      <c r="SSK199" s="697"/>
      <c r="SSL199" s="697"/>
      <c r="SSM199" s="697"/>
      <c r="SSN199" s="697"/>
      <c r="SSO199" s="697"/>
      <c r="SSP199" s="697"/>
      <c r="SSQ199" s="697"/>
      <c r="SSR199" s="697"/>
      <c r="SSS199" s="697"/>
      <c r="SST199" s="697"/>
      <c r="SSU199" s="697"/>
      <c r="SSV199" s="697"/>
      <c r="SSW199" s="697"/>
      <c r="SSX199" s="697"/>
      <c r="SSY199" s="697"/>
      <c r="SSZ199" s="697"/>
      <c r="STA199" s="697"/>
      <c r="STB199" s="697"/>
      <c r="STC199" s="697"/>
      <c r="STD199" s="697"/>
      <c r="STE199" s="697"/>
      <c r="STF199" s="697"/>
      <c r="STG199" s="697"/>
      <c r="STH199" s="697"/>
      <c r="STI199" s="697"/>
      <c r="STJ199" s="697"/>
      <c r="STK199" s="697"/>
      <c r="STL199" s="697"/>
      <c r="STM199" s="697"/>
      <c r="STN199" s="697"/>
      <c r="STO199" s="697"/>
      <c r="STP199" s="697"/>
      <c r="STQ199" s="697"/>
      <c r="STR199" s="697"/>
      <c r="STS199" s="697"/>
      <c r="STT199" s="697"/>
      <c r="STU199" s="697"/>
      <c r="STV199" s="697"/>
      <c r="STW199" s="697"/>
      <c r="STX199" s="697"/>
      <c r="STY199" s="697"/>
      <c r="STZ199" s="697"/>
      <c r="SUA199" s="697"/>
      <c r="SUB199" s="697"/>
      <c r="SUC199" s="697"/>
      <c r="SUD199" s="697"/>
      <c r="SUE199" s="697"/>
      <c r="SUF199" s="697"/>
      <c r="SUG199" s="697"/>
      <c r="SUH199" s="697"/>
      <c r="SUI199" s="697"/>
      <c r="SUJ199" s="697"/>
      <c r="SUK199" s="697"/>
      <c r="SUL199" s="697"/>
      <c r="SUM199" s="697"/>
      <c r="SUN199" s="697"/>
      <c r="SUO199" s="697"/>
      <c r="SUP199" s="697"/>
      <c r="SUQ199" s="697"/>
      <c r="SUR199" s="697"/>
      <c r="SUS199" s="697"/>
      <c r="SUT199" s="697"/>
      <c r="SUU199" s="697"/>
      <c r="SUV199" s="697"/>
      <c r="SUW199" s="697"/>
      <c r="SUX199" s="697"/>
      <c r="SUY199" s="697"/>
      <c r="SUZ199" s="697"/>
      <c r="SVA199" s="697"/>
      <c r="SVB199" s="697"/>
      <c r="SVC199" s="697"/>
      <c r="SVD199" s="697"/>
      <c r="SVE199" s="697"/>
      <c r="SVF199" s="697"/>
      <c r="SVG199" s="697"/>
      <c r="SVH199" s="697"/>
      <c r="SVI199" s="697"/>
      <c r="SVJ199" s="697"/>
      <c r="SVK199" s="697"/>
      <c r="SVL199" s="697"/>
      <c r="SVM199" s="697"/>
      <c r="SVN199" s="697"/>
      <c r="SVO199" s="697"/>
      <c r="SVP199" s="697"/>
      <c r="SVQ199" s="697"/>
      <c r="SVR199" s="697"/>
      <c r="SVS199" s="697"/>
      <c r="SVT199" s="697"/>
      <c r="SVU199" s="697"/>
      <c r="SVV199" s="697"/>
      <c r="SVW199" s="697"/>
      <c r="SVX199" s="697"/>
      <c r="SVY199" s="697"/>
      <c r="SVZ199" s="697"/>
      <c r="SWA199" s="697"/>
      <c r="SWB199" s="697"/>
      <c r="SWC199" s="697"/>
      <c r="SWD199" s="697"/>
      <c r="SWE199" s="697"/>
      <c r="SWF199" s="697"/>
      <c r="SWG199" s="697"/>
      <c r="SWH199" s="697"/>
      <c r="SWI199" s="697"/>
      <c r="SWJ199" s="697"/>
      <c r="SWK199" s="697"/>
      <c r="SWL199" s="697"/>
      <c r="SWM199" s="697"/>
      <c r="SWN199" s="697"/>
      <c r="SWO199" s="697"/>
      <c r="SWP199" s="697"/>
      <c r="SWQ199" s="697"/>
      <c r="SWR199" s="697"/>
      <c r="SWS199" s="697"/>
      <c r="SWT199" s="697"/>
      <c r="SWU199" s="697"/>
      <c r="SWV199" s="697"/>
      <c r="SWW199" s="697"/>
      <c r="SWX199" s="697"/>
      <c r="SWY199" s="697"/>
      <c r="SWZ199" s="697"/>
      <c r="SXA199" s="697"/>
      <c r="SXB199" s="697"/>
      <c r="SXC199" s="697"/>
      <c r="SXD199" s="697"/>
      <c r="SXE199" s="697"/>
      <c r="SXF199" s="697"/>
      <c r="SXG199" s="697"/>
      <c r="SXH199" s="697"/>
      <c r="SXI199" s="697"/>
      <c r="SXJ199" s="697"/>
      <c r="SXK199" s="697"/>
      <c r="SXL199" s="697"/>
      <c r="SXM199" s="697"/>
      <c r="SXN199" s="697"/>
      <c r="SXO199" s="697"/>
      <c r="SXP199" s="697"/>
      <c r="SXQ199" s="697"/>
      <c r="SXR199" s="697"/>
      <c r="SXS199" s="697"/>
      <c r="SXT199" s="697"/>
      <c r="SXU199" s="697"/>
      <c r="SXV199" s="697"/>
      <c r="SXW199" s="697"/>
      <c r="SXX199" s="697"/>
      <c r="SXY199" s="697"/>
      <c r="SXZ199" s="697"/>
      <c r="SYA199" s="697"/>
      <c r="SYB199" s="697"/>
      <c r="SYC199" s="697"/>
      <c r="SYD199" s="697"/>
      <c r="SYE199" s="697"/>
      <c r="SYF199" s="697"/>
      <c r="SYG199" s="697"/>
      <c r="SYH199" s="697"/>
      <c r="SYI199" s="697"/>
      <c r="SYJ199" s="697"/>
      <c r="SYK199" s="697"/>
      <c r="SYL199" s="697"/>
      <c r="SYM199" s="697"/>
      <c r="SYN199" s="697"/>
      <c r="SYO199" s="697"/>
      <c r="SYP199" s="697"/>
      <c r="SYQ199" s="697"/>
      <c r="SYR199" s="697"/>
      <c r="SYS199" s="697"/>
      <c r="SYT199" s="697"/>
      <c r="SYU199" s="697"/>
      <c r="SYV199" s="697"/>
      <c r="SYW199" s="697"/>
      <c r="SYX199" s="697"/>
      <c r="SYY199" s="697"/>
      <c r="SYZ199" s="697"/>
      <c r="SZA199" s="697"/>
      <c r="SZB199" s="697"/>
      <c r="SZC199" s="697"/>
      <c r="SZD199" s="697"/>
      <c r="SZE199" s="697"/>
      <c r="SZF199" s="697"/>
      <c r="SZG199" s="697"/>
      <c r="SZH199" s="697"/>
      <c r="SZI199" s="697"/>
      <c r="SZJ199" s="697"/>
      <c r="SZK199" s="697"/>
      <c r="SZL199" s="697"/>
      <c r="SZM199" s="697"/>
      <c r="SZN199" s="697"/>
      <c r="SZO199" s="697"/>
      <c r="SZP199" s="697"/>
      <c r="SZQ199" s="697"/>
      <c r="SZR199" s="697"/>
      <c r="SZS199" s="697"/>
      <c r="SZT199" s="697"/>
      <c r="SZU199" s="697"/>
      <c r="SZV199" s="697"/>
      <c r="SZW199" s="697"/>
      <c r="SZX199" s="697"/>
      <c r="SZY199" s="697"/>
      <c r="SZZ199" s="697"/>
      <c r="TAA199" s="697"/>
      <c r="TAB199" s="697"/>
      <c r="TAC199" s="697"/>
      <c r="TAD199" s="697"/>
      <c r="TAE199" s="697"/>
      <c r="TAF199" s="697"/>
      <c r="TAG199" s="697"/>
      <c r="TAH199" s="697"/>
      <c r="TAI199" s="697"/>
      <c r="TAJ199" s="697"/>
      <c r="TAK199" s="697"/>
      <c r="TAL199" s="697"/>
      <c r="TAM199" s="697"/>
      <c r="TAN199" s="697"/>
      <c r="TAO199" s="697"/>
      <c r="TAP199" s="697"/>
      <c r="TAQ199" s="697"/>
      <c r="TAR199" s="697"/>
      <c r="TAS199" s="697"/>
      <c r="TAT199" s="697"/>
      <c r="TAU199" s="697"/>
      <c r="TAV199" s="697"/>
      <c r="TAW199" s="697"/>
      <c r="TAX199" s="697"/>
      <c r="TAY199" s="697"/>
      <c r="TAZ199" s="697"/>
      <c r="TBA199" s="697"/>
      <c r="TBB199" s="697"/>
      <c r="TBC199" s="697"/>
      <c r="TBD199" s="697"/>
      <c r="TBE199" s="697"/>
      <c r="TBF199" s="697"/>
      <c r="TBG199" s="697"/>
      <c r="TBH199" s="697"/>
      <c r="TBI199" s="697"/>
      <c r="TBJ199" s="697"/>
      <c r="TBK199" s="697"/>
      <c r="TBL199" s="697"/>
      <c r="TBM199" s="697"/>
      <c r="TBN199" s="697"/>
      <c r="TBO199" s="697"/>
      <c r="TBP199" s="697"/>
      <c r="TBQ199" s="697"/>
      <c r="TBR199" s="697"/>
      <c r="TBS199" s="697"/>
      <c r="TBT199" s="697"/>
      <c r="TBU199" s="697"/>
      <c r="TBV199" s="697"/>
      <c r="TBW199" s="697"/>
      <c r="TBX199" s="697"/>
      <c r="TBY199" s="697"/>
      <c r="TBZ199" s="697"/>
      <c r="TCA199" s="697"/>
      <c r="TCB199" s="697"/>
      <c r="TCC199" s="697"/>
      <c r="TCD199" s="697"/>
      <c r="TCE199" s="697"/>
      <c r="TCF199" s="697"/>
      <c r="TCG199" s="697"/>
      <c r="TCH199" s="697"/>
      <c r="TCI199" s="697"/>
      <c r="TCJ199" s="697"/>
      <c r="TCK199" s="697"/>
      <c r="TCL199" s="697"/>
      <c r="TCM199" s="697"/>
      <c r="TCN199" s="697"/>
      <c r="TCO199" s="697"/>
      <c r="TCP199" s="697"/>
      <c r="TCQ199" s="697"/>
      <c r="TCR199" s="697"/>
      <c r="TCS199" s="697"/>
      <c r="TCT199" s="697"/>
      <c r="TCU199" s="697"/>
      <c r="TCV199" s="697"/>
      <c r="TCW199" s="697"/>
      <c r="TCX199" s="697"/>
      <c r="TCY199" s="697"/>
      <c r="TCZ199" s="697"/>
      <c r="TDA199" s="697"/>
      <c r="TDB199" s="697"/>
      <c r="TDC199" s="697"/>
      <c r="TDD199" s="697"/>
      <c r="TDE199" s="697"/>
      <c r="TDF199" s="697"/>
      <c r="TDG199" s="697"/>
      <c r="TDH199" s="697"/>
      <c r="TDI199" s="697"/>
      <c r="TDJ199" s="697"/>
      <c r="TDK199" s="697"/>
      <c r="TDL199" s="697"/>
      <c r="TDM199" s="697"/>
      <c r="TDN199" s="697"/>
      <c r="TDO199" s="697"/>
      <c r="TDP199" s="697"/>
      <c r="TDQ199" s="697"/>
      <c r="TDR199" s="697"/>
      <c r="TDS199" s="697"/>
      <c r="TDT199" s="697"/>
      <c r="TDU199" s="697"/>
      <c r="TDV199" s="697"/>
      <c r="TDW199" s="697"/>
      <c r="TDX199" s="697"/>
      <c r="TDY199" s="697"/>
      <c r="TDZ199" s="697"/>
      <c r="TEA199" s="697"/>
      <c r="TEB199" s="697"/>
      <c r="TEC199" s="697"/>
      <c r="TED199" s="697"/>
      <c r="TEE199" s="697"/>
      <c r="TEF199" s="697"/>
      <c r="TEG199" s="697"/>
      <c r="TEH199" s="697"/>
      <c r="TEI199" s="697"/>
      <c r="TEJ199" s="697"/>
      <c r="TEK199" s="697"/>
      <c r="TEL199" s="697"/>
      <c r="TEM199" s="697"/>
      <c r="TEN199" s="697"/>
      <c r="TEO199" s="697"/>
      <c r="TEP199" s="697"/>
      <c r="TEQ199" s="697"/>
      <c r="TER199" s="697"/>
      <c r="TES199" s="697"/>
      <c r="TET199" s="697"/>
      <c r="TEU199" s="697"/>
      <c r="TEV199" s="697"/>
      <c r="TEW199" s="697"/>
      <c r="TEX199" s="697"/>
      <c r="TEY199" s="697"/>
      <c r="TEZ199" s="697"/>
      <c r="TFA199" s="697"/>
      <c r="TFB199" s="697"/>
      <c r="TFC199" s="697"/>
      <c r="TFD199" s="697"/>
      <c r="TFE199" s="697"/>
      <c r="TFF199" s="697"/>
      <c r="TFG199" s="697"/>
      <c r="TFH199" s="697"/>
      <c r="TFI199" s="697"/>
      <c r="TFJ199" s="697"/>
      <c r="TFK199" s="697"/>
      <c r="TFL199" s="697"/>
      <c r="TFM199" s="697"/>
      <c r="TFN199" s="697"/>
      <c r="TFO199" s="697"/>
      <c r="TFP199" s="697"/>
      <c r="TFQ199" s="697"/>
      <c r="TFR199" s="697"/>
      <c r="TFS199" s="697"/>
      <c r="TFT199" s="697"/>
      <c r="TFU199" s="697"/>
      <c r="TFV199" s="697"/>
      <c r="TFW199" s="697"/>
      <c r="TFX199" s="697"/>
      <c r="TFY199" s="697"/>
      <c r="TFZ199" s="697"/>
      <c r="TGA199" s="697"/>
      <c r="TGB199" s="697"/>
      <c r="TGC199" s="697"/>
      <c r="TGD199" s="697"/>
      <c r="TGE199" s="697"/>
      <c r="TGF199" s="697"/>
      <c r="TGG199" s="697"/>
      <c r="TGH199" s="697"/>
      <c r="TGI199" s="697"/>
      <c r="TGJ199" s="697"/>
      <c r="TGK199" s="697"/>
      <c r="TGL199" s="697"/>
      <c r="TGM199" s="697"/>
      <c r="TGN199" s="697"/>
      <c r="TGO199" s="697"/>
      <c r="TGP199" s="697"/>
      <c r="TGQ199" s="697"/>
      <c r="TGR199" s="697"/>
      <c r="TGS199" s="697"/>
      <c r="TGT199" s="697"/>
      <c r="TGU199" s="697"/>
      <c r="TGV199" s="697"/>
      <c r="TGW199" s="697"/>
      <c r="TGX199" s="697"/>
      <c r="TGY199" s="697"/>
      <c r="TGZ199" s="697"/>
      <c r="THA199" s="697"/>
      <c r="THB199" s="697"/>
      <c r="THC199" s="697"/>
      <c r="THD199" s="697"/>
      <c r="THE199" s="697"/>
      <c r="THF199" s="697"/>
      <c r="THG199" s="697"/>
      <c r="THH199" s="697"/>
      <c r="THI199" s="697"/>
      <c r="THJ199" s="697"/>
      <c r="THK199" s="697"/>
      <c r="THL199" s="697"/>
      <c r="THM199" s="697"/>
      <c r="THN199" s="697"/>
      <c r="THO199" s="697"/>
      <c r="THP199" s="697"/>
      <c r="THQ199" s="697"/>
      <c r="THR199" s="697"/>
      <c r="THS199" s="697"/>
      <c r="THT199" s="697"/>
      <c r="THU199" s="697"/>
      <c r="THV199" s="697"/>
      <c r="THW199" s="697"/>
      <c r="THX199" s="697"/>
      <c r="THY199" s="697"/>
      <c r="THZ199" s="697"/>
      <c r="TIA199" s="697"/>
      <c r="TIB199" s="697"/>
      <c r="TIC199" s="697"/>
      <c r="TID199" s="697"/>
      <c r="TIE199" s="697"/>
      <c r="TIF199" s="697"/>
      <c r="TIG199" s="697"/>
      <c r="TIH199" s="697"/>
      <c r="TII199" s="697"/>
      <c r="TIJ199" s="697"/>
      <c r="TIK199" s="697"/>
      <c r="TIL199" s="697"/>
      <c r="TIM199" s="697"/>
      <c r="TIN199" s="697"/>
      <c r="TIO199" s="697"/>
      <c r="TIP199" s="697"/>
      <c r="TIQ199" s="697"/>
      <c r="TIR199" s="697"/>
      <c r="TIS199" s="697"/>
      <c r="TIT199" s="697"/>
      <c r="TIU199" s="697"/>
      <c r="TIV199" s="697"/>
      <c r="TIW199" s="697"/>
      <c r="TIX199" s="697"/>
      <c r="TIY199" s="697"/>
      <c r="TIZ199" s="697"/>
      <c r="TJA199" s="697"/>
      <c r="TJB199" s="697"/>
      <c r="TJC199" s="697"/>
      <c r="TJD199" s="697"/>
      <c r="TJE199" s="697"/>
      <c r="TJF199" s="697"/>
      <c r="TJG199" s="697"/>
      <c r="TJH199" s="697"/>
      <c r="TJI199" s="697"/>
      <c r="TJJ199" s="697"/>
      <c r="TJK199" s="697"/>
      <c r="TJL199" s="697"/>
      <c r="TJM199" s="697"/>
      <c r="TJN199" s="697"/>
      <c r="TJO199" s="697"/>
      <c r="TJP199" s="697"/>
      <c r="TJQ199" s="697"/>
      <c r="TJR199" s="697"/>
      <c r="TJS199" s="697"/>
      <c r="TJT199" s="697"/>
      <c r="TJU199" s="697"/>
      <c r="TJV199" s="697"/>
      <c r="TJW199" s="697"/>
      <c r="TJX199" s="697"/>
      <c r="TJY199" s="697"/>
      <c r="TJZ199" s="697"/>
      <c r="TKA199" s="697"/>
      <c r="TKB199" s="697"/>
      <c r="TKC199" s="697"/>
      <c r="TKD199" s="697"/>
      <c r="TKE199" s="697"/>
      <c r="TKF199" s="697"/>
      <c r="TKG199" s="697"/>
      <c r="TKH199" s="697"/>
      <c r="TKI199" s="697"/>
      <c r="TKJ199" s="697"/>
      <c r="TKK199" s="697"/>
      <c r="TKL199" s="697"/>
      <c r="TKM199" s="697"/>
      <c r="TKN199" s="697"/>
      <c r="TKO199" s="697"/>
      <c r="TKP199" s="697"/>
      <c r="TKQ199" s="697"/>
      <c r="TKR199" s="697"/>
      <c r="TKS199" s="697"/>
      <c r="TKT199" s="697"/>
      <c r="TKU199" s="697"/>
      <c r="TKV199" s="697"/>
      <c r="TKW199" s="697"/>
      <c r="TKX199" s="697"/>
      <c r="TKY199" s="697"/>
      <c r="TKZ199" s="697"/>
      <c r="TLA199" s="697"/>
      <c r="TLB199" s="697"/>
      <c r="TLC199" s="697"/>
      <c r="TLD199" s="697"/>
      <c r="TLE199" s="697"/>
      <c r="TLF199" s="697"/>
      <c r="TLG199" s="697"/>
      <c r="TLH199" s="697"/>
      <c r="TLI199" s="697"/>
      <c r="TLJ199" s="697"/>
      <c r="TLK199" s="697"/>
      <c r="TLL199" s="697"/>
      <c r="TLM199" s="697"/>
      <c r="TLN199" s="697"/>
      <c r="TLO199" s="697"/>
      <c r="TLP199" s="697"/>
      <c r="TLQ199" s="697"/>
      <c r="TLR199" s="697"/>
      <c r="TLS199" s="697"/>
      <c r="TLT199" s="697"/>
      <c r="TLU199" s="697"/>
      <c r="TLV199" s="697"/>
      <c r="TLW199" s="697"/>
      <c r="TLX199" s="697"/>
      <c r="TLY199" s="697"/>
      <c r="TLZ199" s="697"/>
      <c r="TMA199" s="697"/>
      <c r="TMB199" s="697"/>
      <c r="TMC199" s="697"/>
      <c r="TMD199" s="697"/>
      <c r="TME199" s="697"/>
      <c r="TMF199" s="697"/>
      <c r="TMG199" s="697"/>
      <c r="TMH199" s="697"/>
      <c r="TMI199" s="697"/>
      <c r="TMJ199" s="697"/>
      <c r="TMK199" s="697"/>
      <c r="TML199" s="697"/>
      <c r="TMM199" s="697"/>
      <c r="TMN199" s="697"/>
      <c r="TMO199" s="697"/>
      <c r="TMP199" s="697"/>
      <c r="TMQ199" s="697"/>
      <c r="TMR199" s="697"/>
      <c r="TMS199" s="697"/>
      <c r="TMT199" s="697"/>
      <c r="TMU199" s="697"/>
      <c r="TMV199" s="697"/>
      <c r="TMW199" s="697"/>
      <c r="TMX199" s="697"/>
      <c r="TMY199" s="697"/>
      <c r="TMZ199" s="697"/>
      <c r="TNA199" s="697"/>
      <c r="TNB199" s="697"/>
      <c r="TNC199" s="697"/>
      <c r="TND199" s="697"/>
      <c r="TNE199" s="697"/>
      <c r="TNF199" s="697"/>
      <c r="TNG199" s="697"/>
      <c r="TNH199" s="697"/>
      <c r="TNI199" s="697"/>
      <c r="TNJ199" s="697"/>
      <c r="TNK199" s="697"/>
      <c r="TNL199" s="697"/>
      <c r="TNM199" s="697"/>
      <c r="TNN199" s="697"/>
      <c r="TNO199" s="697"/>
      <c r="TNP199" s="697"/>
      <c r="TNQ199" s="697"/>
      <c r="TNR199" s="697"/>
      <c r="TNS199" s="697"/>
      <c r="TNT199" s="697"/>
      <c r="TNU199" s="697"/>
      <c r="TNV199" s="697"/>
      <c r="TNW199" s="697"/>
      <c r="TNX199" s="697"/>
      <c r="TNY199" s="697"/>
      <c r="TNZ199" s="697"/>
      <c r="TOA199" s="697"/>
      <c r="TOB199" s="697"/>
      <c r="TOC199" s="697"/>
      <c r="TOD199" s="697"/>
      <c r="TOE199" s="697"/>
      <c r="TOF199" s="697"/>
      <c r="TOG199" s="697"/>
      <c r="TOH199" s="697"/>
      <c r="TOI199" s="697"/>
      <c r="TOJ199" s="697"/>
      <c r="TOK199" s="697"/>
      <c r="TOL199" s="697"/>
      <c r="TOM199" s="697"/>
      <c r="TON199" s="697"/>
      <c r="TOO199" s="697"/>
      <c r="TOP199" s="697"/>
      <c r="TOQ199" s="697"/>
      <c r="TOR199" s="697"/>
      <c r="TOS199" s="697"/>
      <c r="TOT199" s="697"/>
      <c r="TOU199" s="697"/>
      <c r="TOV199" s="697"/>
      <c r="TOW199" s="697"/>
      <c r="TOX199" s="697"/>
      <c r="TOY199" s="697"/>
      <c r="TOZ199" s="697"/>
      <c r="TPA199" s="697"/>
      <c r="TPB199" s="697"/>
      <c r="TPC199" s="697"/>
      <c r="TPD199" s="697"/>
      <c r="TPE199" s="697"/>
      <c r="TPF199" s="697"/>
      <c r="TPG199" s="697"/>
      <c r="TPH199" s="697"/>
      <c r="TPI199" s="697"/>
      <c r="TPJ199" s="697"/>
      <c r="TPK199" s="697"/>
      <c r="TPL199" s="697"/>
      <c r="TPM199" s="697"/>
      <c r="TPN199" s="697"/>
      <c r="TPO199" s="697"/>
      <c r="TPP199" s="697"/>
      <c r="TPQ199" s="697"/>
      <c r="TPR199" s="697"/>
      <c r="TPS199" s="697"/>
      <c r="TPT199" s="697"/>
      <c r="TPU199" s="697"/>
      <c r="TPV199" s="697"/>
      <c r="TPW199" s="697"/>
      <c r="TPX199" s="697"/>
      <c r="TPY199" s="697"/>
      <c r="TPZ199" s="697"/>
      <c r="TQA199" s="697"/>
      <c r="TQB199" s="697"/>
      <c r="TQC199" s="697"/>
      <c r="TQD199" s="697"/>
      <c r="TQE199" s="697"/>
      <c r="TQF199" s="697"/>
      <c r="TQG199" s="697"/>
      <c r="TQH199" s="697"/>
      <c r="TQI199" s="697"/>
      <c r="TQJ199" s="697"/>
      <c r="TQK199" s="697"/>
      <c r="TQL199" s="697"/>
      <c r="TQM199" s="697"/>
      <c r="TQN199" s="697"/>
      <c r="TQO199" s="697"/>
      <c r="TQP199" s="697"/>
      <c r="TQQ199" s="697"/>
      <c r="TQR199" s="697"/>
      <c r="TQS199" s="697"/>
      <c r="TQT199" s="697"/>
      <c r="TQU199" s="697"/>
      <c r="TQV199" s="697"/>
      <c r="TQW199" s="697"/>
      <c r="TQX199" s="697"/>
      <c r="TQY199" s="697"/>
      <c r="TQZ199" s="697"/>
      <c r="TRA199" s="697"/>
      <c r="TRB199" s="697"/>
      <c r="TRC199" s="697"/>
      <c r="TRD199" s="697"/>
      <c r="TRE199" s="697"/>
      <c r="TRF199" s="697"/>
      <c r="TRG199" s="697"/>
      <c r="TRH199" s="697"/>
      <c r="TRI199" s="697"/>
      <c r="TRJ199" s="697"/>
      <c r="TRK199" s="697"/>
      <c r="TRL199" s="697"/>
      <c r="TRM199" s="697"/>
      <c r="TRN199" s="697"/>
      <c r="TRO199" s="697"/>
      <c r="TRP199" s="697"/>
      <c r="TRQ199" s="697"/>
      <c r="TRR199" s="697"/>
      <c r="TRS199" s="697"/>
      <c r="TRT199" s="697"/>
      <c r="TRU199" s="697"/>
      <c r="TRV199" s="697"/>
      <c r="TRW199" s="697"/>
      <c r="TRX199" s="697"/>
      <c r="TRY199" s="697"/>
      <c r="TRZ199" s="697"/>
      <c r="TSA199" s="697"/>
      <c r="TSB199" s="697"/>
      <c r="TSC199" s="697"/>
      <c r="TSD199" s="697"/>
      <c r="TSE199" s="697"/>
      <c r="TSF199" s="697"/>
      <c r="TSG199" s="697"/>
      <c r="TSH199" s="697"/>
      <c r="TSI199" s="697"/>
      <c r="TSJ199" s="697"/>
      <c r="TSK199" s="697"/>
      <c r="TSL199" s="697"/>
      <c r="TSM199" s="697"/>
      <c r="TSN199" s="697"/>
      <c r="TSO199" s="697"/>
      <c r="TSP199" s="697"/>
      <c r="TSQ199" s="697"/>
      <c r="TSR199" s="697"/>
      <c r="TSS199" s="697"/>
      <c r="TST199" s="697"/>
      <c r="TSU199" s="697"/>
      <c r="TSV199" s="697"/>
      <c r="TSW199" s="697"/>
      <c r="TSX199" s="697"/>
      <c r="TSY199" s="697"/>
      <c r="TSZ199" s="697"/>
      <c r="TTA199" s="697"/>
      <c r="TTB199" s="697"/>
      <c r="TTC199" s="697"/>
      <c r="TTD199" s="697"/>
      <c r="TTE199" s="697"/>
      <c r="TTF199" s="697"/>
      <c r="TTG199" s="697"/>
      <c r="TTH199" s="697"/>
      <c r="TTI199" s="697"/>
      <c r="TTJ199" s="697"/>
      <c r="TTK199" s="697"/>
      <c r="TTL199" s="697"/>
      <c r="TTM199" s="697"/>
      <c r="TTN199" s="697"/>
      <c r="TTO199" s="697"/>
      <c r="TTP199" s="697"/>
      <c r="TTQ199" s="697"/>
      <c r="TTR199" s="697"/>
      <c r="TTS199" s="697"/>
      <c r="TTT199" s="697"/>
      <c r="TTU199" s="697"/>
      <c r="TTV199" s="697"/>
      <c r="TTW199" s="697"/>
      <c r="TTX199" s="697"/>
      <c r="TTY199" s="697"/>
      <c r="TTZ199" s="697"/>
      <c r="TUA199" s="697"/>
      <c r="TUB199" s="697"/>
      <c r="TUC199" s="697"/>
      <c r="TUD199" s="697"/>
      <c r="TUE199" s="697"/>
      <c r="TUF199" s="697"/>
      <c r="TUG199" s="697"/>
      <c r="TUH199" s="697"/>
      <c r="TUI199" s="697"/>
      <c r="TUJ199" s="697"/>
      <c r="TUK199" s="697"/>
      <c r="TUL199" s="697"/>
      <c r="TUM199" s="697"/>
      <c r="TUN199" s="697"/>
      <c r="TUO199" s="697"/>
      <c r="TUP199" s="697"/>
      <c r="TUQ199" s="697"/>
      <c r="TUR199" s="697"/>
      <c r="TUS199" s="697"/>
      <c r="TUT199" s="697"/>
      <c r="TUU199" s="697"/>
      <c r="TUV199" s="697"/>
      <c r="TUW199" s="697"/>
      <c r="TUX199" s="697"/>
      <c r="TUY199" s="697"/>
      <c r="TUZ199" s="697"/>
      <c r="TVA199" s="697"/>
      <c r="TVB199" s="697"/>
      <c r="TVC199" s="697"/>
      <c r="TVD199" s="697"/>
      <c r="TVE199" s="697"/>
      <c r="TVF199" s="697"/>
      <c r="TVG199" s="697"/>
      <c r="TVH199" s="697"/>
      <c r="TVI199" s="697"/>
      <c r="TVJ199" s="697"/>
      <c r="TVK199" s="697"/>
      <c r="TVL199" s="697"/>
      <c r="TVM199" s="697"/>
      <c r="TVN199" s="697"/>
      <c r="TVO199" s="697"/>
      <c r="TVP199" s="697"/>
      <c r="TVQ199" s="697"/>
      <c r="TVR199" s="697"/>
      <c r="TVS199" s="697"/>
      <c r="TVT199" s="697"/>
      <c r="TVU199" s="697"/>
      <c r="TVV199" s="697"/>
      <c r="TVW199" s="697"/>
      <c r="TVX199" s="697"/>
      <c r="TVY199" s="697"/>
      <c r="TVZ199" s="697"/>
      <c r="TWA199" s="697"/>
      <c r="TWB199" s="697"/>
      <c r="TWC199" s="697"/>
      <c r="TWD199" s="697"/>
      <c r="TWE199" s="697"/>
      <c r="TWF199" s="697"/>
      <c r="TWG199" s="697"/>
      <c r="TWH199" s="697"/>
      <c r="TWI199" s="697"/>
      <c r="TWJ199" s="697"/>
      <c r="TWK199" s="697"/>
      <c r="TWL199" s="697"/>
      <c r="TWM199" s="697"/>
      <c r="TWN199" s="697"/>
      <c r="TWO199" s="697"/>
      <c r="TWP199" s="697"/>
      <c r="TWQ199" s="697"/>
      <c r="TWR199" s="697"/>
      <c r="TWS199" s="697"/>
      <c r="TWT199" s="697"/>
      <c r="TWU199" s="697"/>
      <c r="TWV199" s="697"/>
      <c r="TWW199" s="697"/>
      <c r="TWX199" s="697"/>
      <c r="TWY199" s="697"/>
      <c r="TWZ199" s="697"/>
      <c r="TXA199" s="697"/>
      <c r="TXB199" s="697"/>
      <c r="TXC199" s="697"/>
      <c r="TXD199" s="697"/>
      <c r="TXE199" s="697"/>
      <c r="TXF199" s="697"/>
      <c r="TXG199" s="697"/>
      <c r="TXH199" s="697"/>
      <c r="TXI199" s="697"/>
      <c r="TXJ199" s="697"/>
      <c r="TXK199" s="697"/>
      <c r="TXL199" s="697"/>
      <c r="TXM199" s="697"/>
      <c r="TXN199" s="697"/>
      <c r="TXO199" s="697"/>
      <c r="TXP199" s="697"/>
      <c r="TXQ199" s="697"/>
      <c r="TXR199" s="697"/>
      <c r="TXS199" s="697"/>
      <c r="TXT199" s="697"/>
      <c r="TXU199" s="697"/>
      <c r="TXV199" s="697"/>
      <c r="TXW199" s="697"/>
      <c r="TXX199" s="697"/>
      <c r="TXY199" s="697"/>
      <c r="TXZ199" s="697"/>
      <c r="TYA199" s="697"/>
      <c r="TYB199" s="697"/>
      <c r="TYC199" s="697"/>
      <c r="TYD199" s="697"/>
      <c r="TYE199" s="697"/>
      <c r="TYF199" s="697"/>
      <c r="TYG199" s="697"/>
      <c r="TYH199" s="697"/>
      <c r="TYI199" s="697"/>
      <c r="TYJ199" s="697"/>
      <c r="TYK199" s="697"/>
      <c r="TYL199" s="697"/>
      <c r="TYM199" s="697"/>
      <c r="TYN199" s="697"/>
      <c r="TYO199" s="697"/>
      <c r="TYP199" s="697"/>
      <c r="TYQ199" s="697"/>
      <c r="TYR199" s="697"/>
      <c r="TYS199" s="697"/>
      <c r="TYT199" s="697"/>
      <c r="TYU199" s="697"/>
      <c r="TYV199" s="697"/>
      <c r="TYW199" s="697"/>
      <c r="TYX199" s="697"/>
      <c r="TYY199" s="697"/>
      <c r="TYZ199" s="697"/>
      <c r="TZA199" s="697"/>
      <c r="TZB199" s="697"/>
      <c r="TZC199" s="697"/>
      <c r="TZD199" s="697"/>
      <c r="TZE199" s="697"/>
      <c r="TZF199" s="697"/>
      <c r="TZG199" s="697"/>
      <c r="TZH199" s="697"/>
      <c r="TZI199" s="697"/>
      <c r="TZJ199" s="697"/>
      <c r="TZK199" s="697"/>
      <c r="TZL199" s="697"/>
      <c r="TZM199" s="697"/>
      <c r="TZN199" s="697"/>
      <c r="TZO199" s="697"/>
      <c r="TZP199" s="697"/>
      <c r="TZQ199" s="697"/>
      <c r="TZR199" s="697"/>
      <c r="TZS199" s="697"/>
      <c r="TZT199" s="697"/>
      <c r="TZU199" s="697"/>
      <c r="TZV199" s="697"/>
      <c r="TZW199" s="697"/>
      <c r="TZX199" s="697"/>
      <c r="TZY199" s="697"/>
      <c r="TZZ199" s="697"/>
      <c r="UAA199" s="697"/>
      <c r="UAB199" s="697"/>
      <c r="UAC199" s="697"/>
      <c r="UAD199" s="697"/>
      <c r="UAE199" s="697"/>
      <c r="UAF199" s="697"/>
      <c r="UAG199" s="697"/>
      <c r="UAH199" s="697"/>
      <c r="UAI199" s="697"/>
      <c r="UAJ199" s="697"/>
      <c r="UAK199" s="697"/>
      <c r="UAL199" s="697"/>
      <c r="UAM199" s="697"/>
      <c r="UAN199" s="697"/>
      <c r="UAO199" s="697"/>
      <c r="UAP199" s="697"/>
      <c r="UAQ199" s="697"/>
      <c r="UAR199" s="697"/>
      <c r="UAS199" s="697"/>
      <c r="UAT199" s="697"/>
      <c r="UAU199" s="697"/>
      <c r="UAV199" s="697"/>
      <c r="UAW199" s="697"/>
      <c r="UAX199" s="697"/>
      <c r="UAY199" s="697"/>
      <c r="UAZ199" s="697"/>
      <c r="UBA199" s="697"/>
      <c r="UBB199" s="697"/>
      <c r="UBC199" s="697"/>
      <c r="UBD199" s="697"/>
      <c r="UBE199" s="697"/>
      <c r="UBF199" s="697"/>
      <c r="UBG199" s="697"/>
      <c r="UBH199" s="697"/>
      <c r="UBI199" s="697"/>
      <c r="UBJ199" s="697"/>
      <c r="UBK199" s="697"/>
      <c r="UBL199" s="697"/>
      <c r="UBM199" s="697"/>
      <c r="UBN199" s="697"/>
      <c r="UBO199" s="697"/>
      <c r="UBP199" s="697"/>
      <c r="UBQ199" s="697"/>
      <c r="UBR199" s="697"/>
      <c r="UBS199" s="697"/>
      <c r="UBT199" s="697"/>
      <c r="UBU199" s="697"/>
      <c r="UBV199" s="697"/>
      <c r="UBW199" s="697"/>
      <c r="UBX199" s="697"/>
      <c r="UBY199" s="697"/>
      <c r="UBZ199" s="697"/>
      <c r="UCA199" s="697"/>
      <c r="UCB199" s="697"/>
      <c r="UCC199" s="697"/>
      <c r="UCD199" s="697"/>
      <c r="UCE199" s="697"/>
      <c r="UCF199" s="697"/>
      <c r="UCG199" s="697"/>
      <c r="UCH199" s="697"/>
      <c r="UCI199" s="697"/>
      <c r="UCJ199" s="697"/>
      <c r="UCK199" s="697"/>
      <c r="UCL199" s="697"/>
      <c r="UCM199" s="697"/>
      <c r="UCN199" s="697"/>
      <c r="UCO199" s="697"/>
      <c r="UCP199" s="697"/>
      <c r="UCQ199" s="697"/>
      <c r="UCR199" s="697"/>
      <c r="UCS199" s="697"/>
      <c r="UCT199" s="697"/>
      <c r="UCU199" s="697"/>
      <c r="UCV199" s="697"/>
      <c r="UCW199" s="697"/>
      <c r="UCX199" s="697"/>
      <c r="UCY199" s="697"/>
      <c r="UCZ199" s="697"/>
      <c r="UDA199" s="697"/>
      <c r="UDB199" s="697"/>
      <c r="UDC199" s="697"/>
      <c r="UDD199" s="697"/>
      <c r="UDE199" s="697"/>
      <c r="UDF199" s="697"/>
      <c r="UDG199" s="697"/>
      <c r="UDH199" s="697"/>
      <c r="UDI199" s="697"/>
      <c r="UDJ199" s="697"/>
      <c r="UDK199" s="697"/>
      <c r="UDL199" s="697"/>
      <c r="UDM199" s="697"/>
      <c r="UDN199" s="697"/>
      <c r="UDO199" s="697"/>
      <c r="UDP199" s="697"/>
      <c r="UDQ199" s="697"/>
      <c r="UDR199" s="697"/>
      <c r="UDS199" s="697"/>
      <c r="UDT199" s="697"/>
      <c r="UDU199" s="697"/>
      <c r="UDV199" s="697"/>
      <c r="UDW199" s="697"/>
      <c r="UDX199" s="697"/>
      <c r="UDY199" s="697"/>
      <c r="UDZ199" s="697"/>
      <c r="UEA199" s="697"/>
      <c r="UEB199" s="697"/>
      <c r="UEC199" s="697"/>
      <c r="UED199" s="697"/>
      <c r="UEE199" s="697"/>
      <c r="UEF199" s="697"/>
      <c r="UEG199" s="697"/>
      <c r="UEH199" s="697"/>
      <c r="UEI199" s="697"/>
      <c r="UEJ199" s="697"/>
      <c r="UEK199" s="697"/>
      <c r="UEL199" s="697"/>
      <c r="UEM199" s="697"/>
      <c r="UEN199" s="697"/>
      <c r="UEO199" s="697"/>
      <c r="UEP199" s="697"/>
      <c r="UEQ199" s="697"/>
      <c r="UER199" s="697"/>
      <c r="UES199" s="697"/>
      <c r="UET199" s="697"/>
      <c r="UEU199" s="697"/>
      <c r="UEV199" s="697"/>
      <c r="UEW199" s="697"/>
      <c r="UEX199" s="697"/>
      <c r="UEY199" s="697"/>
      <c r="UEZ199" s="697"/>
      <c r="UFA199" s="697"/>
      <c r="UFB199" s="697"/>
      <c r="UFC199" s="697"/>
      <c r="UFD199" s="697"/>
      <c r="UFE199" s="697"/>
      <c r="UFF199" s="697"/>
      <c r="UFG199" s="697"/>
      <c r="UFH199" s="697"/>
      <c r="UFI199" s="697"/>
      <c r="UFJ199" s="697"/>
      <c r="UFK199" s="697"/>
      <c r="UFL199" s="697"/>
      <c r="UFM199" s="697"/>
      <c r="UFN199" s="697"/>
      <c r="UFO199" s="697"/>
      <c r="UFP199" s="697"/>
      <c r="UFQ199" s="697"/>
      <c r="UFR199" s="697"/>
      <c r="UFS199" s="697"/>
      <c r="UFT199" s="697"/>
      <c r="UFU199" s="697"/>
      <c r="UFV199" s="697"/>
      <c r="UFW199" s="697"/>
      <c r="UFX199" s="697"/>
      <c r="UFY199" s="697"/>
      <c r="UFZ199" s="697"/>
      <c r="UGA199" s="697"/>
      <c r="UGB199" s="697"/>
      <c r="UGC199" s="697"/>
      <c r="UGD199" s="697"/>
      <c r="UGE199" s="697"/>
      <c r="UGF199" s="697"/>
      <c r="UGG199" s="697"/>
      <c r="UGH199" s="697"/>
      <c r="UGI199" s="697"/>
      <c r="UGJ199" s="697"/>
      <c r="UGK199" s="697"/>
      <c r="UGL199" s="697"/>
      <c r="UGM199" s="697"/>
      <c r="UGN199" s="697"/>
      <c r="UGO199" s="697"/>
      <c r="UGP199" s="697"/>
      <c r="UGQ199" s="697"/>
      <c r="UGR199" s="697"/>
      <c r="UGS199" s="697"/>
      <c r="UGT199" s="697"/>
      <c r="UGU199" s="697"/>
      <c r="UGV199" s="697"/>
      <c r="UGW199" s="697"/>
      <c r="UGX199" s="697"/>
      <c r="UGY199" s="697"/>
      <c r="UGZ199" s="697"/>
      <c r="UHA199" s="697"/>
      <c r="UHB199" s="697"/>
      <c r="UHC199" s="697"/>
      <c r="UHD199" s="697"/>
      <c r="UHE199" s="697"/>
      <c r="UHF199" s="697"/>
      <c r="UHG199" s="697"/>
      <c r="UHH199" s="697"/>
      <c r="UHI199" s="697"/>
      <c r="UHJ199" s="697"/>
      <c r="UHK199" s="697"/>
      <c r="UHL199" s="697"/>
      <c r="UHM199" s="697"/>
      <c r="UHN199" s="697"/>
      <c r="UHO199" s="697"/>
      <c r="UHP199" s="697"/>
      <c r="UHQ199" s="697"/>
      <c r="UHR199" s="697"/>
      <c r="UHS199" s="697"/>
      <c r="UHT199" s="697"/>
      <c r="UHU199" s="697"/>
      <c r="UHV199" s="697"/>
      <c r="UHW199" s="697"/>
      <c r="UHX199" s="697"/>
      <c r="UHY199" s="697"/>
      <c r="UHZ199" s="697"/>
      <c r="UIA199" s="697"/>
      <c r="UIB199" s="697"/>
      <c r="UIC199" s="697"/>
      <c r="UID199" s="697"/>
      <c r="UIE199" s="697"/>
      <c r="UIF199" s="697"/>
      <c r="UIG199" s="697"/>
      <c r="UIH199" s="697"/>
      <c r="UII199" s="697"/>
      <c r="UIJ199" s="697"/>
      <c r="UIK199" s="697"/>
      <c r="UIL199" s="697"/>
      <c r="UIM199" s="697"/>
      <c r="UIN199" s="697"/>
      <c r="UIO199" s="697"/>
      <c r="UIP199" s="697"/>
      <c r="UIQ199" s="697"/>
      <c r="UIR199" s="697"/>
      <c r="UIS199" s="697"/>
      <c r="UIT199" s="697"/>
      <c r="UIU199" s="697"/>
      <c r="UIV199" s="697"/>
      <c r="UIW199" s="697"/>
      <c r="UIX199" s="697"/>
      <c r="UIY199" s="697"/>
      <c r="UIZ199" s="697"/>
      <c r="UJA199" s="697"/>
      <c r="UJB199" s="697"/>
      <c r="UJC199" s="697"/>
      <c r="UJD199" s="697"/>
      <c r="UJE199" s="697"/>
      <c r="UJF199" s="697"/>
      <c r="UJG199" s="697"/>
      <c r="UJH199" s="697"/>
      <c r="UJI199" s="697"/>
      <c r="UJJ199" s="697"/>
      <c r="UJK199" s="697"/>
      <c r="UJL199" s="697"/>
      <c r="UJM199" s="697"/>
      <c r="UJN199" s="697"/>
      <c r="UJO199" s="697"/>
      <c r="UJP199" s="697"/>
      <c r="UJQ199" s="697"/>
      <c r="UJR199" s="697"/>
      <c r="UJS199" s="697"/>
      <c r="UJT199" s="697"/>
      <c r="UJU199" s="697"/>
      <c r="UJV199" s="697"/>
      <c r="UJW199" s="697"/>
      <c r="UJX199" s="697"/>
      <c r="UJY199" s="697"/>
      <c r="UJZ199" s="697"/>
      <c r="UKA199" s="697"/>
      <c r="UKB199" s="697"/>
      <c r="UKC199" s="697"/>
      <c r="UKD199" s="697"/>
      <c r="UKE199" s="697"/>
      <c r="UKF199" s="697"/>
      <c r="UKG199" s="697"/>
      <c r="UKH199" s="697"/>
      <c r="UKI199" s="697"/>
      <c r="UKJ199" s="697"/>
      <c r="UKK199" s="697"/>
      <c r="UKL199" s="697"/>
      <c r="UKM199" s="697"/>
      <c r="UKN199" s="697"/>
      <c r="UKO199" s="697"/>
      <c r="UKP199" s="697"/>
      <c r="UKQ199" s="697"/>
      <c r="UKR199" s="697"/>
      <c r="UKS199" s="697"/>
      <c r="UKT199" s="697"/>
      <c r="UKU199" s="697"/>
      <c r="UKV199" s="697"/>
      <c r="UKW199" s="697"/>
      <c r="UKX199" s="697"/>
      <c r="UKY199" s="697"/>
      <c r="UKZ199" s="697"/>
      <c r="ULA199" s="697"/>
      <c r="ULB199" s="697"/>
      <c r="ULC199" s="697"/>
      <c r="ULD199" s="697"/>
      <c r="ULE199" s="697"/>
      <c r="ULF199" s="697"/>
      <c r="ULG199" s="697"/>
      <c r="ULH199" s="697"/>
      <c r="ULI199" s="697"/>
      <c r="ULJ199" s="697"/>
      <c r="ULK199" s="697"/>
      <c r="ULL199" s="697"/>
      <c r="ULM199" s="697"/>
      <c r="ULN199" s="697"/>
      <c r="ULO199" s="697"/>
      <c r="ULP199" s="697"/>
      <c r="ULQ199" s="697"/>
      <c r="ULR199" s="697"/>
      <c r="ULS199" s="697"/>
      <c r="ULT199" s="697"/>
      <c r="ULU199" s="697"/>
      <c r="ULV199" s="697"/>
      <c r="ULW199" s="697"/>
      <c r="ULX199" s="697"/>
      <c r="ULY199" s="697"/>
      <c r="ULZ199" s="697"/>
      <c r="UMA199" s="697"/>
      <c r="UMB199" s="697"/>
      <c r="UMC199" s="697"/>
      <c r="UMD199" s="697"/>
      <c r="UME199" s="697"/>
      <c r="UMF199" s="697"/>
      <c r="UMG199" s="697"/>
      <c r="UMH199" s="697"/>
      <c r="UMI199" s="697"/>
      <c r="UMJ199" s="697"/>
      <c r="UMK199" s="697"/>
      <c r="UML199" s="697"/>
      <c r="UMM199" s="697"/>
      <c r="UMN199" s="697"/>
      <c r="UMO199" s="697"/>
      <c r="UMP199" s="697"/>
      <c r="UMQ199" s="697"/>
      <c r="UMR199" s="697"/>
      <c r="UMS199" s="697"/>
      <c r="UMT199" s="697"/>
      <c r="UMU199" s="697"/>
      <c r="UMV199" s="697"/>
      <c r="UMW199" s="697"/>
      <c r="UMX199" s="697"/>
      <c r="UMY199" s="697"/>
      <c r="UMZ199" s="697"/>
      <c r="UNA199" s="697"/>
      <c r="UNB199" s="697"/>
      <c r="UNC199" s="697"/>
      <c r="UND199" s="697"/>
      <c r="UNE199" s="697"/>
      <c r="UNF199" s="697"/>
      <c r="UNG199" s="697"/>
      <c r="UNH199" s="697"/>
      <c r="UNI199" s="697"/>
      <c r="UNJ199" s="697"/>
      <c r="UNK199" s="697"/>
      <c r="UNL199" s="697"/>
      <c r="UNM199" s="697"/>
      <c r="UNN199" s="697"/>
      <c r="UNO199" s="697"/>
      <c r="UNP199" s="697"/>
      <c r="UNQ199" s="697"/>
      <c r="UNR199" s="697"/>
      <c r="UNS199" s="697"/>
      <c r="UNT199" s="697"/>
      <c r="UNU199" s="697"/>
      <c r="UNV199" s="697"/>
      <c r="UNW199" s="697"/>
      <c r="UNX199" s="697"/>
      <c r="UNY199" s="697"/>
      <c r="UNZ199" s="697"/>
      <c r="UOA199" s="697"/>
      <c r="UOB199" s="697"/>
      <c r="UOC199" s="697"/>
      <c r="UOD199" s="697"/>
      <c r="UOE199" s="697"/>
      <c r="UOF199" s="697"/>
      <c r="UOG199" s="697"/>
      <c r="UOH199" s="697"/>
      <c r="UOI199" s="697"/>
      <c r="UOJ199" s="697"/>
      <c r="UOK199" s="697"/>
      <c r="UOL199" s="697"/>
      <c r="UOM199" s="697"/>
      <c r="UON199" s="697"/>
      <c r="UOO199" s="697"/>
      <c r="UOP199" s="697"/>
      <c r="UOQ199" s="697"/>
      <c r="UOR199" s="697"/>
      <c r="UOS199" s="697"/>
      <c r="UOT199" s="697"/>
      <c r="UOU199" s="697"/>
      <c r="UOV199" s="697"/>
      <c r="UOW199" s="697"/>
      <c r="UOX199" s="697"/>
      <c r="UOY199" s="697"/>
      <c r="UOZ199" s="697"/>
      <c r="UPA199" s="697"/>
      <c r="UPB199" s="697"/>
      <c r="UPC199" s="697"/>
      <c r="UPD199" s="697"/>
      <c r="UPE199" s="697"/>
      <c r="UPF199" s="697"/>
      <c r="UPG199" s="697"/>
      <c r="UPH199" s="697"/>
      <c r="UPI199" s="697"/>
      <c r="UPJ199" s="697"/>
      <c r="UPK199" s="697"/>
      <c r="UPL199" s="697"/>
      <c r="UPM199" s="697"/>
      <c r="UPN199" s="697"/>
      <c r="UPO199" s="697"/>
      <c r="UPP199" s="697"/>
      <c r="UPQ199" s="697"/>
      <c r="UPR199" s="697"/>
      <c r="UPS199" s="697"/>
      <c r="UPT199" s="697"/>
      <c r="UPU199" s="697"/>
      <c r="UPV199" s="697"/>
      <c r="UPW199" s="697"/>
      <c r="UPX199" s="697"/>
      <c r="UPY199" s="697"/>
      <c r="UPZ199" s="697"/>
      <c r="UQA199" s="697"/>
      <c r="UQB199" s="697"/>
      <c r="UQC199" s="697"/>
      <c r="UQD199" s="697"/>
      <c r="UQE199" s="697"/>
      <c r="UQF199" s="697"/>
      <c r="UQG199" s="697"/>
      <c r="UQH199" s="697"/>
      <c r="UQI199" s="697"/>
      <c r="UQJ199" s="697"/>
      <c r="UQK199" s="697"/>
      <c r="UQL199" s="697"/>
      <c r="UQM199" s="697"/>
      <c r="UQN199" s="697"/>
      <c r="UQO199" s="697"/>
      <c r="UQP199" s="697"/>
      <c r="UQQ199" s="697"/>
      <c r="UQR199" s="697"/>
      <c r="UQS199" s="697"/>
      <c r="UQT199" s="697"/>
      <c r="UQU199" s="697"/>
      <c r="UQV199" s="697"/>
      <c r="UQW199" s="697"/>
      <c r="UQX199" s="697"/>
      <c r="UQY199" s="697"/>
      <c r="UQZ199" s="697"/>
      <c r="URA199" s="697"/>
      <c r="URB199" s="697"/>
      <c r="URC199" s="697"/>
      <c r="URD199" s="697"/>
      <c r="URE199" s="697"/>
      <c r="URF199" s="697"/>
      <c r="URG199" s="697"/>
      <c r="URH199" s="697"/>
      <c r="URI199" s="697"/>
      <c r="URJ199" s="697"/>
      <c r="URK199" s="697"/>
      <c r="URL199" s="697"/>
      <c r="URM199" s="697"/>
      <c r="URN199" s="697"/>
      <c r="URO199" s="697"/>
      <c r="URP199" s="697"/>
      <c r="URQ199" s="697"/>
      <c r="URR199" s="697"/>
      <c r="URS199" s="697"/>
      <c r="URT199" s="697"/>
      <c r="URU199" s="697"/>
      <c r="URV199" s="697"/>
      <c r="URW199" s="697"/>
      <c r="URX199" s="697"/>
      <c r="URY199" s="697"/>
      <c r="URZ199" s="697"/>
      <c r="USA199" s="697"/>
      <c r="USB199" s="697"/>
      <c r="USC199" s="697"/>
      <c r="USD199" s="697"/>
      <c r="USE199" s="697"/>
      <c r="USF199" s="697"/>
      <c r="USG199" s="697"/>
      <c r="USH199" s="697"/>
      <c r="USI199" s="697"/>
      <c r="USJ199" s="697"/>
      <c r="USK199" s="697"/>
      <c r="USL199" s="697"/>
      <c r="USM199" s="697"/>
      <c r="USN199" s="697"/>
      <c r="USO199" s="697"/>
      <c r="USP199" s="697"/>
      <c r="USQ199" s="697"/>
      <c r="USR199" s="697"/>
      <c r="USS199" s="697"/>
      <c r="UST199" s="697"/>
      <c r="USU199" s="697"/>
      <c r="USV199" s="697"/>
      <c r="USW199" s="697"/>
      <c r="USX199" s="697"/>
      <c r="USY199" s="697"/>
      <c r="USZ199" s="697"/>
      <c r="UTA199" s="697"/>
      <c r="UTB199" s="697"/>
      <c r="UTC199" s="697"/>
      <c r="UTD199" s="697"/>
      <c r="UTE199" s="697"/>
      <c r="UTF199" s="697"/>
      <c r="UTG199" s="697"/>
      <c r="UTH199" s="697"/>
      <c r="UTI199" s="697"/>
      <c r="UTJ199" s="697"/>
      <c r="UTK199" s="697"/>
      <c r="UTL199" s="697"/>
      <c r="UTM199" s="697"/>
      <c r="UTN199" s="697"/>
      <c r="UTO199" s="697"/>
      <c r="UTP199" s="697"/>
      <c r="UTQ199" s="697"/>
      <c r="UTR199" s="697"/>
      <c r="UTS199" s="697"/>
      <c r="UTT199" s="697"/>
      <c r="UTU199" s="697"/>
      <c r="UTV199" s="697"/>
      <c r="UTW199" s="697"/>
      <c r="UTX199" s="697"/>
      <c r="UTY199" s="697"/>
      <c r="UTZ199" s="697"/>
      <c r="UUA199" s="697"/>
      <c r="UUB199" s="697"/>
      <c r="UUC199" s="697"/>
      <c r="UUD199" s="697"/>
      <c r="UUE199" s="697"/>
      <c r="UUF199" s="697"/>
      <c r="UUG199" s="697"/>
      <c r="UUH199" s="697"/>
      <c r="UUI199" s="697"/>
      <c r="UUJ199" s="697"/>
      <c r="UUK199" s="697"/>
      <c r="UUL199" s="697"/>
      <c r="UUM199" s="697"/>
      <c r="UUN199" s="697"/>
      <c r="UUO199" s="697"/>
      <c r="UUP199" s="697"/>
      <c r="UUQ199" s="697"/>
      <c r="UUR199" s="697"/>
      <c r="UUS199" s="697"/>
      <c r="UUT199" s="697"/>
      <c r="UUU199" s="697"/>
      <c r="UUV199" s="697"/>
      <c r="UUW199" s="697"/>
      <c r="UUX199" s="697"/>
      <c r="UUY199" s="697"/>
      <c r="UUZ199" s="697"/>
      <c r="UVA199" s="697"/>
      <c r="UVB199" s="697"/>
      <c r="UVC199" s="697"/>
      <c r="UVD199" s="697"/>
      <c r="UVE199" s="697"/>
      <c r="UVF199" s="697"/>
      <c r="UVG199" s="697"/>
      <c r="UVH199" s="697"/>
      <c r="UVI199" s="697"/>
      <c r="UVJ199" s="697"/>
      <c r="UVK199" s="697"/>
      <c r="UVL199" s="697"/>
      <c r="UVM199" s="697"/>
      <c r="UVN199" s="697"/>
      <c r="UVO199" s="697"/>
      <c r="UVP199" s="697"/>
      <c r="UVQ199" s="697"/>
      <c r="UVR199" s="697"/>
      <c r="UVS199" s="697"/>
      <c r="UVT199" s="697"/>
      <c r="UVU199" s="697"/>
      <c r="UVV199" s="697"/>
      <c r="UVW199" s="697"/>
      <c r="UVX199" s="697"/>
      <c r="UVY199" s="697"/>
      <c r="UVZ199" s="697"/>
      <c r="UWA199" s="697"/>
      <c r="UWB199" s="697"/>
      <c r="UWC199" s="697"/>
      <c r="UWD199" s="697"/>
      <c r="UWE199" s="697"/>
      <c r="UWF199" s="697"/>
      <c r="UWG199" s="697"/>
      <c r="UWH199" s="697"/>
      <c r="UWI199" s="697"/>
      <c r="UWJ199" s="697"/>
      <c r="UWK199" s="697"/>
      <c r="UWL199" s="697"/>
      <c r="UWM199" s="697"/>
      <c r="UWN199" s="697"/>
      <c r="UWO199" s="697"/>
      <c r="UWP199" s="697"/>
      <c r="UWQ199" s="697"/>
      <c r="UWR199" s="697"/>
      <c r="UWS199" s="697"/>
      <c r="UWT199" s="697"/>
      <c r="UWU199" s="697"/>
      <c r="UWV199" s="697"/>
      <c r="UWW199" s="697"/>
      <c r="UWX199" s="697"/>
      <c r="UWY199" s="697"/>
      <c r="UWZ199" s="697"/>
      <c r="UXA199" s="697"/>
      <c r="UXB199" s="697"/>
      <c r="UXC199" s="697"/>
      <c r="UXD199" s="697"/>
      <c r="UXE199" s="697"/>
      <c r="UXF199" s="697"/>
      <c r="UXG199" s="697"/>
      <c r="UXH199" s="697"/>
      <c r="UXI199" s="697"/>
      <c r="UXJ199" s="697"/>
      <c r="UXK199" s="697"/>
      <c r="UXL199" s="697"/>
      <c r="UXM199" s="697"/>
      <c r="UXN199" s="697"/>
      <c r="UXO199" s="697"/>
      <c r="UXP199" s="697"/>
      <c r="UXQ199" s="697"/>
      <c r="UXR199" s="697"/>
      <c r="UXS199" s="697"/>
      <c r="UXT199" s="697"/>
      <c r="UXU199" s="697"/>
      <c r="UXV199" s="697"/>
      <c r="UXW199" s="697"/>
      <c r="UXX199" s="697"/>
      <c r="UXY199" s="697"/>
      <c r="UXZ199" s="697"/>
      <c r="UYA199" s="697"/>
      <c r="UYB199" s="697"/>
      <c r="UYC199" s="697"/>
      <c r="UYD199" s="697"/>
      <c r="UYE199" s="697"/>
      <c r="UYF199" s="697"/>
      <c r="UYG199" s="697"/>
      <c r="UYH199" s="697"/>
      <c r="UYI199" s="697"/>
      <c r="UYJ199" s="697"/>
      <c r="UYK199" s="697"/>
      <c r="UYL199" s="697"/>
      <c r="UYM199" s="697"/>
      <c r="UYN199" s="697"/>
      <c r="UYO199" s="697"/>
      <c r="UYP199" s="697"/>
      <c r="UYQ199" s="697"/>
      <c r="UYR199" s="697"/>
      <c r="UYS199" s="697"/>
      <c r="UYT199" s="697"/>
      <c r="UYU199" s="697"/>
      <c r="UYV199" s="697"/>
      <c r="UYW199" s="697"/>
      <c r="UYX199" s="697"/>
      <c r="UYY199" s="697"/>
      <c r="UYZ199" s="697"/>
      <c r="UZA199" s="697"/>
      <c r="UZB199" s="697"/>
      <c r="UZC199" s="697"/>
      <c r="UZD199" s="697"/>
      <c r="UZE199" s="697"/>
      <c r="UZF199" s="697"/>
      <c r="UZG199" s="697"/>
      <c r="UZH199" s="697"/>
      <c r="UZI199" s="697"/>
      <c r="UZJ199" s="697"/>
      <c r="UZK199" s="697"/>
      <c r="UZL199" s="697"/>
      <c r="UZM199" s="697"/>
      <c r="UZN199" s="697"/>
      <c r="UZO199" s="697"/>
      <c r="UZP199" s="697"/>
      <c r="UZQ199" s="697"/>
      <c r="UZR199" s="697"/>
      <c r="UZS199" s="697"/>
      <c r="UZT199" s="697"/>
      <c r="UZU199" s="697"/>
      <c r="UZV199" s="697"/>
      <c r="UZW199" s="697"/>
      <c r="UZX199" s="697"/>
      <c r="UZY199" s="697"/>
      <c r="UZZ199" s="697"/>
      <c r="VAA199" s="697"/>
      <c r="VAB199" s="697"/>
      <c r="VAC199" s="697"/>
      <c r="VAD199" s="697"/>
      <c r="VAE199" s="697"/>
      <c r="VAF199" s="697"/>
      <c r="VAG199" s="697"/>
      <c r="VAH199" s="697"/>
      <c r="VAI199" s="697"/>
      <c r="VAJ199" s="697"/>
      <c r="VAK199" s="697"/>
      <c r="VAL199" s="697"/>
      <c r="VAM199" s="697"/>
      <c r="VAN199" s="697"/>
      <c r="VAO199" s="697"/>
      <c r="VAP199" s="697"/>
      <c r="VAQ199" s="697"/>
      <c r="VAR199" s="697"/>
      <c r="VAS199" s="697"/>
      <c r="VAT199" s="697"/>
      <c r="VAU199" s="697"/>
      <c r="VAV199" s="697"/>
      <c r="VAW199" s="697"/>
      <c r="VAX199" s="697"/>
      <c r="VAY199" s="697"/>
      <c r="VAZ199" s="697"/>
      <c r="VBA199" s="697"/>
      <c r="VBB199" s="697"/>
      <c r="VBC199" s="697"/>
      <c r="VBD199" s="697"/>
      <c r="VBE199" s="697"/>
      <c r="VBF199" s="697"/>
      <c r="VBG199" s="697"/>
      <c r="VBH199" s="697"/>
      <c r="VBI199" s="697"/>
      <c r="VBJ199" s="697"/>
      <c r="VBK199" s="697"/>
      <c r="VBL199" s="697"/>
      <c r="VBM199" s="697"/>
      <c r="VBN199" s="697"/>
      <c r="VBO199" s="697"/>
      <c r="VBP199" s="697"/>
      <c r="VBQ199" s="697"/>
      <c r="VBR199" s="697"/>
      <c r="VBS199" s="697"/>
      <c r="VBT199" s="697"/>
      <c r="VBU199" s="697"/>
      <c r="VBV199" s="697"/>
      <c r="VBW199" s="697"/>
      <c r="VBX199" s="697"/>
      <c r="VBY199" s="697"/>
      <c r="VBZ199" s="697"/>
      <c r="VCA199" s="697"/>
      <c r="VCB199" s="697"/>
      <c r="VCC199" s="697"/>
      <c r="VCD199" s="697"/>
      <c r="VCE199" s="697"/>
      <c r="VCF199" s="697"/>
      <c r="VCG199" s="697"/>
      <c r="VCH199" s="697"/>
      <c r="VCI199" s="697"/>
      <c r="VCJ199" s="697"/>
      <c r="VCK199" s="697"/>
      <c r="VCL199" s="697"/>
      <c r="VCM199" s="697"/>
      <c r="VCN199" s="697"/>
      <c r="VCO199" s="697"/>
      <c r="VCP199" s="697"/>
      <c r="VCQ199" s="697"/>
      <c r="VCR199" s="697"/>
      <c r="VCS199" s="697"/>
      <c r="VCT199" s="697"/>
      <c r="VCU199" s="697"/>
      <c r="VCV199" s="697"/>
      <c r="VCW199" s="697"/>
      <c r="VCX199" s="697"/>
      <c r="VCY199" s="697"/>
      <c r="VCZ199" s="697"/>
      <c r="VDA199" s="697"/>
      <c r="VDB199" s="697"/>
      <c r="VDC199" s="697"/>
      <c r="VDD199" s="697"/>
      <c r="VDE199" s="697"/>
      <c r="VDF199" s="697"/>
      <c r="VDG199" s="697"/>
      <c r="VDH199" s="697"/>
      <c r="VDI199" s="697"/>
      <c r="VDJ199" s="697"/>
      <c r="VDK199" s="697"/>
      <c r="VDL199" s="697"/>
      <c r="VDM199" s="697"/>
      <c r="VDN199" s="697"/>
      <c r="VDO199" s="697"/>
      <c r="VDP199" s="697"/>
      <c r="VDQ199" s="697"/>
      <c r="VDR199" s="697"/>
      <c r="VDS199" s="697"/>
      <c r="VDT199" s="697"/>
      <c r="VDU199" s="697"/>
      <c r="VDV199" s="697"/>
      <c r="VDW199" s="697"/>
      <c r="VDX199" s="697"/>
      <c r="VDY199" s="697"/>
      <c r="VDZ199" s="697"/>
      <c r="VEA199" s="697"/>
      <c r="VEB199" s="697"/>
      <c r="VEC199" s="697"/>
      <c r="VED199" s="697"/>
      <c r="VEE199" s="697"/>
      <c r="VEF199" s="697"/>
      <c r="VEG199" s="697"/>
      <c r="VEH199" s="697"/>
      <c r="VEI199" s="697"/>
      <c r="VEJ199" s="697"/>
      <c r="VEK199" s="697"/>
      <c r="VEL199" s="697"/>
      <c r="VEM199" s="697"/>
      <c r="VEN199" s="697"/>
      <c r="VEO199" s="697"/>
      <c r="VEP199" s="697"/>
      <c r="VEQ199" s="697"/>
      <c r="VER199" s="697"/>
      <c r="VES199" s="697"/>
      <c r="VET199" s="697"/>
      <c r="VEU199" s="697"/>
      <c r="VEV199" s="697"/>
      <c r="VEW199" s="697"/>
      <c r="VEX199" s="697"/>
      <c r="VEY199" s="697"/>
      <c r="VEZ199" s="697"/>
      <c r="VFA199" s="697"/>
      <c r="VFB199" s="697"/>
      <c r="VFC199" s="697"/>
      <c r="VFD199" s="697"/>
      <c r="VFE199" s="697"/>
      <c r="VFF199" s="697"/>
      <c r="VFG199" s="697"/>
      <c r="VFH199" s="697"/>
      <c r="VFI199" s="697"/>
      <c r="VFJ199" s="697"/>
      <c r="VFK199" s="697"/>
      <c r="VFL199" s="697"/>
      <c r="VFM199" s="697"/>
      <c r="VFN199" s="697"/>
      <c r="VFO199" s="697"/>
      <c r="VFP199" s="697"/>
      <c r="VFQ199" s="697"/>
      <c r="VFR199" s="697"/>
      <c r="VFS199" s="697"/>
      <c r="VFT199" s="697"/>
      <c r="VFU199" s="697"/>
      <c r="VFV199" s="697"/>
      <c r="VFW199" s="697"/>
      <c r="VFX199" s="697"/>
      <c r="VFY199" s="697"/>
      <c r="VFZ199" s="697"/>
      <c r="VGA199" s="697"/>
      <c r="VGB199" s="697"/>
      <c r="VGC199" s="697"/>
      <c r="VGD199" s="697"/>
      <c r="VGE199" s="697"/>
      <c r="VGF199" s="697"/>
      <c r="VGG199" s="697"/>
      <c r="VGH199" s="697"/>
      <c r="VGI199" s="697"/>
      <c r="VGJ199" s="697"/>
      <c r="VGK199" s="697"/>
      <c r="VGL199" s="697"/>
      <c r="VGM199" s="697"/>
      <c r="VGN199" s="697"/>
      <c r="VGO199" s="697"/>
      <c r="VGP199" s="697"/>
      <c r="VGQ199" s="697"/>
      <c r="VGR199" s="697"/>
      <c r="VGS199" s="697"/>
      <c r="VGT199" s="697"/>
      <c r="VGU199" s="697"/>
      <c r="VGV199" s="697"/>
      <c r="VGW199" s="697"/>
      <c r="VGX199" s="697"/>
      <c r="VGY199" s="697"/>
      <c r="VGZ199" s="697"/>
      <c r="VHA199" s="697"/>
      <c r="VHB199" s="697"/>
      <c r="VHC199" s="697"/>
      <c r="VHD199" s="697"/>
      <c r="VHE199" s="697"/>
      <c r="VHF199" s="697"/>
      <c r="VHG199" s="697"/>
      <c r="VHH199" s="697"/>
      <c r="VHI199" s="697"/>
      <c r="VHJ199" s="697"/>
      <c r="VHK199" s="697"/>
      <c r="VHL199" s="697"/>
      <c r="VHM199" s="697"/>
      <c r="VHN199" s="697"/>
      <c r="VHO199" s="697"/>
      <c r="VHP199" s="697"/>
      <c r="VHQ199" s="697"/>
      <c r="VHR199" s="697"/>
      <c r="VHS199" s="697"/>
      <c r="VHT199" s="697"/>
      <c r="VHU199" s="697"/>
      <c r="VHV199" s="697"/>
      <c r="VHW199" s="697"/>
      <c r="VHX199" s="697"/>
      <c r="VHY199" s="697"/>
      <c r="VHZ199" s="697"/>
      <c r="VIA199" s="697"/>
      <c r="VIB199" s="697"/>
      <c r="VIC199" s="697"/>
      <c r="VID199" s="697"/>
      <c r="VIE199" s="697"/>
      <c r="VIF199" s="697"/>
      <c r="VIG199" s="697"/>
      <c r="VIH199" s="697"/>
      <c r="VII199" s="697"/>
      <c r="VIJ199" s="697"/>
      <c r="VIK199" s="697"/>
      <c r="VIL199" s="697"/>
      <c r="VIM199" s="697"/>
      <c r="VIN199" s="697"/>
      <c r="VIO199" s="697"/>
      <c r="VIP199" s="697"/>
      <c r="VIQ199" s="697"/>
      <c r="VIR199" s="697"/>
      <c r="VIS199" s="697"/>
      <c r="VIT199" s="697"/>
      <c r="VIU199" s="697"/>
      <c r="VIV199" s="697"/>
      <c r="VIW199" s="697"/>
      <c r="VIX199" s="697"/>
      <c r="VIY199" s="697"/>
      <c r="VIZ199" s="697"/>
      <c r="VJA199" s="697"/>
      <c r="VJB199" s="697"/>
      <c r="VJC199" s="697"/>
      <c r="VJD199" s="697"/>
      <c r="VJE199" s="697"/>
      <c r="VJF199" s="697"/>
      <c r="VJG199" s="697"/>
      <c r="VJH199" s="697"/>
      <c r="VJI199" s="697"/>
      <c r="VJJ199" s="697"/>
      <c r="VJK199" s="697"/>
      <c r="VJL199" s="697"/>
      <c r="VJM199" s="697"/>
      <c r="VJN199" s="697"/>
      <c r="VJO199" s="697"/>
      <c r="VJP199" s="697"/>
      <c r="VJQ199" s="697"/>
      <c r="VJR199" s="697"/>
      <c r="VJS199" s="697"/>
      <c r="VJT199" s="697"/>
      <c r="VJU199" s="697"/>
      <c r="VJV199" s="697"/>
      <c r="VJW199" s="697"/>
      <c r="VJX199" s="697"/>
      <c r="VJY199" s="697"/>
      <c r="VJZ199" s="697"/>
      <c r="VKA199" s="697"/>
      <c r="VKB199" s="697"/>
      <c r="VKC199" s="697"/>
      <c r="VKD199" s="697"/>
      <c r="VKE199" s="697"/>
      <c r="VKF199" s="697"/>
      <c r="VKG199" s="697"/>
      <c r="VKH199" s="697"/>
      <c r="VKI199" s="697"/>
      <c r="VKJ199" s="697"/>
      <c r="VKK199" s="697"/>
      <c r="VKL199" s="697"/>
      <c r="VKM199" s="697"/>
      <c r="VKN199" s="697"/>
      <c r="VKO199" s="697"/>
      <c r="VKP199" s="697"/>
      <c r="VKQ199" s="697"/>
      <c r="VKR199" s="697"/>
      <c r="VKS199" s="697"/>
      <c r="VKT199" s="697"/>
      <c r="VKU199" s="697"/>
      <c r="VKV199" s="697"/>
      <c r="VKW199" s="697"/>
      <c r="VKX199" s="697"/>
      <c r="VKY199" s="697"/>
      <c r="VKZ199" s="697"/>
      <c r="VLA199" s="697"/>
      <c r="VLB199" s="697"/>
      <c r="VLC199" s="697"/>
      <c r="VLD199" s="697"/>
      <c r="VLE199" s="697"/>
      <c r="VLF199" s="697"/>
      <c r="VLG199" s="697"/>
      <c r="VLH199" s="697"/>
      <c r="VLI199" s="697"/>
      <c r="VLJ199" s="697"/>
      <c r="VLK199" s="697"/>
      <c r="VLL199" s="697"/>
      <c r="VLM199" s="697"/>
      <c r="VLN199" s="697"/>
      <c r="VLO199" s="697"/>
      <c r="VLP199" s="697"/>
      <c r="VLQ199" s="697"/>
      <c r="VLR199" s="697"/>
      <c r="VLS199" s="697"/>
      <c r="VLT199" s="697"/>
      <c r="VLU199" s="697"/>
      <c r="VLV199" s="697"/>
      <c r="VLW199" s="697"/>
      <c r="VLX199" s="697"/>
      <c r="VLY199" s="697"/>
      <c r="VLZ199" s="697"/>
      <c r="VMA199" s="697"/>
      <c r="VMB199" s="697"/>
      <c r="VMC199" s="697"/>
      <c r="VMD199" s="697"/>
      <c r="VME199" s="697"/>
      <c r="VMF199" s="697"/>
      <c r="VMG199" s="697"/>
      <c r="VMH199" s="697"/>
      <c r="VMI199" s="697"/>
      <c r="VMJ199" s="697"/>
      <c r="VMK199" s="697"/>
      <c r="VML199" s="697"/>
      <c r="VMM199" s="697"/>
      <c r="VMN199" s="697"/>
      <c r="VMO199" s="697"/>
      <c r="VMP199" s="697"/>
      <c r="VMQ199" s="697"/>
      <c r="VMR199" s="697"/>
      <c r="VMS199" s="697"/>
      <c r="VMT199" s="697"/>
      <c r="VMU199" s="697"/>
      <c r="VMV199" s="697"/>
      <c r="VMW199" s="697"/>
      <c r="VMX199" s="697"/>
      <c r="VMY199" s="697"/>
      <c r="VMZ199" s="697"/>
      <c r="VNA199" s="697"/>
      <c r="VNB199" s="697"/>
      <c r="VNC199" s="697"/>
      <c r="VND199" s="697"/>
      <c r="VNE199" s="697"/>
      <c r="VNF199" s="697"/>
      <c r="VNG199" s="697"/>
      <c r="VNH199" s="697"/>
      <c r="VNI199" s="697"/>
      <c r="VNJ199" s="697"/>
      <c r="VNK199" s="697"/>
      <c r="VNL199" s="697"/>
      <c r="VNM199" s="697"/>
      <c r="VNN199" s="697"/>
      <c r="VNO199" s="697"/>
      <c r="VNP199" s="697"/>
      <c r="VNQ199" s="697"/>
      <c r="VNR199" s="697"/>
      <c r="VNS199" s="697"/>
      <c r="VNT199" s="697"/>
      <c r="VNU199" s="697"/>
      <c r="VNV199" s="697"/>
      <c r="VNW199" s="697"/>
      <c r="VNX199" s="697"/>
      <c r="VNY199" s="697"/>
      <c r="VNZ199" s="697"/>
      <c r="VOA199" s="697"/>
      <c r="VOB199" s="697"/>
      <c r="VOC199" s="697"/>
      <c r="VOD199" s="697"/>
      <c r="VOE199" s="697"/>
      <c r="VOF199" s="697"/>
      <c r="VOG199" s="697"/>
      <c r="VOH199" s="697"/>
      <c r="VOI199" s="697"/>
      <c r="VOJ199" s="697"/>
      <c r="VOK199" s="697"/>
      <c r="VOL199" s="697"/>
      <c r="VOM199" s="697"/>
      <c r="VON199" s="697"/>
      <c r="VOO199" s="697"/>
      <c r="VOP199" s="697"/>
      <c r="VOQ199" s="697"/>
      <c r="VOR199" s="697"/>
      <c r="VOS199" s="697"/>
      <c r="VOT199" s="697"/>
      <c r="VOU199" s="697"/>
      <c r="VOV199" s="697"/>
      <c r="VOW199" s="697"/>
      <c r="VOX199" s="697"/>
      <c r="VOY199" s="697"/>
      <c r="VOZ199" s="697"/>
      <c r="VPA199" s="697"/>
      <c r="VPB199" s="697"/>
      <c r="VPC199" s="697"/>
      <c r="VPD199" s="697"/>
      <c r="VPE199" s="697"/>
      <c r="VPF199" s="697"/>
      <c r="VPG199" s="697"/>
      <c r="VPH199" s="697"/>
      <c r="VPI199" s="697"/>
      <c r="VPJ199" s="697"/>
      <c r="VPK199" s="697"/>
      <c r="VPL199" s="697"/>
      <c r="VPM199" s="697"/>
      <c r="VPN199" s="697"/>
      <c r="VPO199" s="697"/>
      <c r="VPP199" s="697"/>
      <c r="VPQ199" s="697"/>
      <c r="VPR199" s="697"/>
      <c r="VPS199" s="697"/>
      <c r="VPT199" s="697"/>
      <c r="VPU199" s="697"/>
      <c r="VPV199" s="697"/>
      <c r="VPW199" s="697"/>
      <c r="VPX199" s="697"/>
      <c r="VPY199" s="697"/>
      <c r="VPZ199" s="697"/>
      <c r="VQA199" s="697"/>
      <c r="VQB199" s="697"/>
      <c r="VQC199" s="697"/>
      <c r="VQD199" s="697"/>
      <c r="VQE199" s="697"/>
      <c r="VQF199" s="697"/>
      <c r="VQG199" s="697"/>
      <c r="VQH199" s="697"/>
      <c r="VQI199" s="697"/>
      <c r="VQJ199" s="697"/>
      <c r="VQK199" s="697"/>
      <c r="VQL199" s="697"/>
      <c r="VQM199" s="697"/>
      <c r="VQN199" s="697"/>
      <c r="VQO199" s="697"/>
      <c r="VQP199" s="697"/>
      <c r="VQQ199" s="697"/>
      <c r="VQR199" s="697"/>
      <c r="VQS199" s="697"/>
      <c r="VQT199" s="697"/>
      <c r="VQU199" s="697"/>
      <c r="VQV199" s="697"/>
      <c r="VQW199" s="697"/>
      <c r="VQX199" s="697"/>
      <c r="VQY199" s="697"/>
      <c r="VQZ199" s="697"/>
      <c r="VRA199" s="697"/>
      <c r="VRB199" s="697"/>
      <c r="VRC199" s="697"/>
      <c r="VRD199" s="697"/>
      <c r="VRE199" s="697"/>
      <c r="VRF199" s="697"/>
      <c r="VRG199" s="697"/>
      <c r="VRH199" s="697"/>
      <c r="VRI199" s="697"/>
      <c r="VRJ199" s="697"/>
      <c r="VRK199" s="697"/>
      <c r="VRL199" s="697"/>
      <c r="VRM199" s="697"/>
      <c r="VRN199" s="697"/>
      <c r="VRO199" s="697"/>
      <c r="VRP199" s="697"/>
      <c r="VRQ199" s="697"/>
      <c r="VRR199" s="697"/>
      <c r="VRS199" s="697"/>
      <c r="VRT199" s="697"/>
      <c r="VRU199" s="697"/>
      <c r="VRV199" s="697"/>
      <c r="VRW199" s="697"/>
      <c r="VRX199" s="697"/>
      <c r="VRY199" s="697"/>
      <c r="VRZ199" s="697"/>
      <c r="VSA199" s="697"/>
      <c r="VSB199" s="697"/>
      <c r="VSC199" s="697"/>
      <c r="VSD199" s="697"/>
      <c r="VSE199" s="697"/>
      <c r="VSF199" s="697"/>
      <c r="VSG199" s="697"/>
      <c r="VSH199" s="697"/>
      <c r="VSI199" s="697"/>
      <c r="VSJ199" s="697"/>
      <c r="VSK199" s="697"/>
      <c r="VSL199" s="697"/>
      <c r="VSM199" s="697"/>
      <c r="VSN199" s="697"/>
      <c r="VSO199" s="697"/>
      <c r="VSP199" s="697"/>
      <c r="VSQ199" s="697"/>
      <c r="VSR199" s="697"/>
      <c r="VSS199" s="697"/>
      <c r="VST199" s="697"/>
      <c r="VSU199" s="697"/>
      <c r="VSV199" s="697"/>
      <c r="VSW199" s="697"/>
      <c r="VSX199" s="697"/>
      <c r="VSY199" s="697"/>
      <c r="VSZ199" s="697"/>
      <c r="VTA199" s="697"/>
      <c r="VTB199" s="697"/>
      <c r="VTC199" s="697"/>
      <c r="VTD199" s="697"/>
      <c r="VTE199" s="697"/>
      <c r="VTF199" s="697"/>
      <c r="VTG199" s="697"/>
      <c r="VTH199" s="697"/>
      <c r="VTI199" s="697"/>
      <c r="VTJ199" s="697"/>
      <c r="VTK199" s="697"/>
      <c r="VTL199" s="697"/>
      <c r="VTM199" s="697"/>
      <c r="VTN199" s="697"/>
      <c r="VTO199" s="697"/>
      <c r="VTP199" s="697"/>
      <c r="VTQ199" s="697"/>
      <c r="VTR199" s="697"/>
      <c r="VTS199" s="697"/>
      <c r="VTT199" s="697"/>
      <c r="VTU199" s="697"/>
      <c r="VTV199" s="697"/>
      <c r="VTW199" s="697"/>
      <c r="VTX199" s="697"/>
      <c r="VTY199" s="697"/>
      <c r="VTZ199" s="697"/>
      <c r="VUA199" s="697"/>
      <c r="VUB199" s="697"/>
      <c r="VUC199" s="697"/>
      <c r="VUD199" s="697"/>
      <c r="VUE199" s="697"/>
      <c r="VUF199" s="697"/>
      <c r="VUG199" s="697"/>
      <c r="VUH199" s="697"/>
      <c r="VUI199" s="697"/>
      <c r="VUJ199" s="697"/>
      <c r="VUK199" s="697"/>
      <c r="VUL199" s="697"/>
      <c r="VUM199" s="697"/>
      <c r="VUN199" s="697"/>
      <c r="VUO199" s="697"/>
      <c r="VUP199" s="697"/>
      <c r="VUQ199" s="697"/>
      <c r="VUR199" s="697"/>
      <c r="VUS199" s="697"/>
      <c r="VUT199" s="697"/>
      <c r="VUU199" s="697"/>
      <c r="VUV199" s="697"/>
      <c r="VUW199" s="697"/>
      <c r="VUX199" s="697"/>
      <c r="VUY199" s="697"/>
      <c r="VUZ199" s="697"/>
      <c r="VVA199" s="697"/>
      <c r="VVB199" s="697"/>
      <c r="VVC199" s="697"/>
      <c r="VVD199" s="697"/>
      <c r="VVE199" s="697"/>
      <c r="VVF199" s="697"/>
      <c r="VVG199" s="697"/>
      <c r="VVH199" s="697"/>
      <c r="VVI199" s="697"/>
      <c r="VVJ199" s="697"/>
      <c r="VVK199" s="697"/>
      <c r="VVL199" s="697"/>
      <c r="VVM199" s="697"/>
      <c r="VVN199" s="697"/>
      <c r="VVO199" s="697"/>
      <c r="VVP199" s="697"/>
      <c r="VVQ199" s="697"/>
      <c r="VVR199" s="697"/>
      <c r="VVS199" s="697"/>
      <c r="VVT199" s="697"/>
      <c r="VVU199" s="697"/>
      <c r="VVV199" s="697"/>
      <c r="VVW199" s="697"/>
      <c r="VVX199" s="697"/>
      <c r="VVY199" s="697"/>
      <c r="VVZ199" s="697"/>
      <c r="VWA199" s="697"/>
      <c r="VWB199" s="697"/>
      <c r="VWC199" s="697"/>
      <c r="VWD199" s="697"/>
      <c r="VWE199" s="697"/>
      <c r="VWF199" s="697"/>
      <c r="VWG199" s="697"/>
      <c r="VWH199" s="697"/>
      <c r="VWI199" s="697"/>
      <c r="VWJ199" s="697"/>
      <c r="VWK199" s="697"/>
      <c r="VWL199" s="697"/>
      <c r="VWM199" s="697"/>
      <c r="VWN199" s="697"/>
      <c r="VWO199" s="697"/>
      <c r="VWP199" s="697"/>
      <c r="VWQ199" s="697"/>
      <c r="VWR199" s="697"/>
      <c r="VWS199" s="697"/>
      <c r="VWT199" s="697"/>
      <c r="VWU199" s="697"/>
      <c r="VWV199" s="697"/>
      <c r="VWW199" s="697"/>
      <c r="VWX199" s="697"/>
      <c r="VWY199" s="697"/>
      <c r="VWZ199" s="697"/>
      <c r="VXA199" s="697"/>
      <c r="VXB199" s="697"/>
      <c r="VXC199" s="697"/>
      <c r="VXD199" s="697"/>
      <c r="VXE199" s="697"/>
      <c r="VXF199" s="697"/>
      <c r="VXG199" s="697"/>
      <c r="VXH199" s="697"/>
      <c r="VXI199" s="697"/>
      <c r="VXJ199" s="697"/>
      <c r="VXK199" s="697"/>
      <c r="VXL199" s="697"/>
      <c r="VXM199" s="697"/>
      <c r="VXN199" s="697"/>
      <c r="VXO199" s="697"/>
      <c r="VXP199" s="697"/>
      <c r="VXQ199" s="697"/>
      <c r="VXR199" s="697"/>
      <c r="VXS199" s="697"/>
      <c r="VXT199" s="697"/>
      <c r="VXU199" s="697"/>
      <c r="VXV199" s="697"/>
      <c r="VXW199" s="697"/>
      <c r="VXX199" s="697"/>
      <c r="VXY199" s="697"/>
      <c r="VXZ199" s="697"/>
      <c r="VYA199" s="697"/>
      <c r="VYB199" s="697"/>
      <c r="VYC199" s="697"/>
      <c r="VYD199" s="697"/>
      <c r="VYE199" s="697"/>
      <c r="VYF199" s="697"/>
      <c r="VYG199" s="697"/>
      <c r="VYH199" s="697"/>
      <c r="VYI199" s="697"/>
      <c r="VYJ199" s="697"/>
      <c r="VYK199" s="697"/>
      <c r="VYL199" s="697"/>
      <c r="VYM199" s="697"/>
      <c r="VYN199" s="697"/>
      <c r="VYO199" s="697"/>
      <c r="VYP199" s="697"/>
      <c r="VYQ199" s="697"/>
      <c r="VYR199" s="697"/>
      <c r="VYS199" s="697"/>
      <c r="VYT199" s="697"/>
      <c r="VYU199" s="697"/>
      <c r="VYV199" s="697"/>
      <c r="VYW199" s="697"/>
      <c r="VYX199" s="697"/>
      <c r="VYY199" s="697"/>
      <c r="VYZ199" s="697"/>
      <c r="VZA199" s="697"/>
      <c r="VZB199" s="697"/>
      <c r="VZC199" s="697"/>
      <c r="VZD199" s="697"/>
      <c r="VZE199" s="697"/>
      <c r="VZF199" s="697"/>
      <c r="VZG199" s="697"/>
      <c r="VZH199" s="697"/>
      <c r="VZI199" s="697"/>
      <c r="VZJ199" s="697"/>
      <c r="VZK199" s="697"/>
      <c r="VZL199" s="697"/>
      <c r="VZM199" s="697"/>
      <c r="VZN199" s="697"/>
      <c r="VZO199" s="697"/>
      <c r="VZP199" s="697"/>
      <c r="VZQ199" s="697"/>
      <c r="VZR199" s="697"/>
      <c r="VZS199" s="697"/>
      <c r="VZT199" s="697"/>
      <c r="VZU199" s="697"/>
      <c r="VZV199" s="697"/>
      <c r="VZW199" s="697"/>
      <c r="VZX199" s="697"/>
      <c r="VZY199" s="697"/>
      <c r="VZZ199" s="697"/>
      <c r="WAA199" s="697"/>
      <c r="WAB199" s="697"/>
      <c r="WAC199" s="697"/>
      <c r="WAD199" s="697"/>
      <c r="WAE199" s="697"/>
      <c r="WAF199" s="697"/>
      <c r="WAG199" s="697"/>
      <c r="WAH199" s="697"/>
      <c r="WAI199" s="697"/>
      <c r="WAJ199" s="697"/>
      <c r="WAK199" s="697"/>
      <c r="WAL199" s="697"/>
      <c r="WAM199" s="697"/>
      <c r="WAN199" s="697"/>
      <c r="WAO199" s="697"/>
      <c r="WAP199" s="697"/>
      <c r="WAQ199" s="697"/>
      <c r="WAR199" s="697"/>
      <c r="WAS199" s="697"/>
      <c r="WAT199" s="697"/>
      <c r="WAU199" s="697"/>
      <c r="WAV199" s="697"/>
      <c r="WAW199" s="697"/>
      <c r="WAX199" s="697"/>
      <c r="WAY199" s="697"/>
      <c r="WAZ199" s="697"/>
      <c r="WBA199" s="697"/>
      <c r="WBB199" s="697"/>
      <c r="WBC199" s="697"/>
      <c r="WBD199" s="697"/>
      <c r="WBE199" s="697"/>
      <c r="WBF199" s="697"/>
      <c r="WBG199" s="697"/>
      <c r="WBH199" s="697"/>
      <c r="WBI199" s="697"/>
      <c r="WBJ199" s="697"/>
      <c r="WBK199" s="697"/>
      <c r="WBL199" s="697"/>
      <c r="WBM199" s="697"/>
      <c r="WBN199" s="697"/>
      <c r="WBO199" s="697"/>
      <c r="WBP199" s="697"/>
      <c r="WBQ199" s="697"/>
      <c r="WBR199" s="697"/>
      <c r="WBS199" s="697"/>
      <c r="WBT199" s="697"/>
      <c r="WBU199" s="697"/>
      <c r="WBV199" s="697"/>
      <c r="WBW199" s="697"/>
      <c r="WBX199" s="697"/>
      <c r="WBY199" s="697"/>
      <c r="WBZ199" s="697"/>
      <c r="WCA199" s="697"/>
      <c r="WCB199" s="697"/>
      <c r="WCC199" s="697"/>
      <c r="WCD199" s="697"/>
      <c r="WCE199" s="697"/>
      <c r="WCF199" s="697"/>
      <c r="WCG199" s="697"/>
      <c r="WCH199" s="697"/>
      <c r="WCI199" s="697"/>
      <c r="WCJ199" s="697"/>
      <c r="WCK199" s="697"/>
      <c r="WCL199" s="697"/>
      <c r="WCM199" s="697"/>
      <c r="WCN199" s="697"/>
      <c r="WCO199" s="697"/>
      <c r="WCP199" s="697"/>
      <c r="WCQ199" s="697"/>
      <c r="WCR199" s="697"/>
      <c r="WCS199" s="697"/>
      <c r="WCT199" s="697"/>
      <c r="WCU199" s="697"/>
      <c r="WCV199" s="697"/>
      <c r="WCW199" s="697"/>
      <c r="WCX199" s="697"/>
      <c r="WCY199" s="697"/>
      <c r="WCZ199" s="697"/>
      <c r="WDA199" s="697"/>
      <c r="WDB199" s="697"/>
      <c r="WDC199" s="697"/>
      <c r="WDD199" s="697"/>
      <c r="WDE199" s="697"/>
      <c r="WDF199" s="697"/>
      <c r="WDG199" s="697"/>
      <c r="WDH199" s="697"/>
      <c r="WDI199" s="697"/>
      <c r="WDJ199" s="697"/>
      <c r="WDK199" s="697"/>
      <c r="WDL199" s="697"/>
      <c r="WDM199" s="697"/>
      <c r="WDN199" s="697"/>
      <c r="WDO199" s="697"/>
      <c r="WDP199" s="697"/>
      <c r="WDQ199" s="697"/>
      <c r="WDR199" s="697"/>
      <c r="WDS199" s="697"/>
      <c r="WDT199" s="697"/>
      <c r="WDU199" s="697"/>
      <c r="WDV199" s="697"/>
      <c r="WDW199" s="697"/>
      <c r="WDX199" s="697"/>
      <c r="WDY199" s="697"/>
      <c r="WDZ199" s="697"/>
      <c r="WEA199" s="697"/>
      <c r="WEB199" s="697"/>
      <c r="WEC199" s="697"/>
      <c r="WED199" s="697"/>
      <c r="WEE199" s="697"/>
      <c r="WEF199" s="697"/>
      <c r="WEG199" s="697"/>
      <c r="WEH199" s="697"/>
      <c r="WEI199" s="697"/>
      <c r="WEJ199" s="697"/>
      <c r="WEK199" s="697"/>
      <c r="WEL199" s="697"/>
      <c r="WEM199" s="697"/>
      <c r="WEN199" s="697"/>
      <c r="WEO199" s="697"/>
      <c r="WEP199" s="697"/>
      <c r="WEQ199" s="697"/>
      <c r="WER199" s="697"/>
      <c r="WES199" s="697"/>
      <c r="WET199" s="697"/>
      <c r="WEU199" s="697"/>
      <c r="WEV199" s="697"/>
      <c r="WEW199" s="697"/>
      <c r="WEX199" s="697"/>
      <c r="WEY199" s="697"/>
      <c r="WEZ199" s="697"/>
      <c r="WFA199" s="697"/>
      <c r="WFB199" s="697"/>
      <c r="WFC199" s="697"/>
      <c r="WFD199" s="697"/>
      <c r="WFE199" s="697"/>
      <c r="WFF199" s="697"/>
      <c r="WFG199" s="697"/>
      <c r="WFH199" s="697"/>
      <c r="WFI199" s="697"/>
      <c r="WFJ199" s="697"/>
      <c r="WFK199" s="697"/>
      <c r="WFL199" s="697"/>
      <c r="WFM199" s="697"/>
      <c r="WFN199" s="697"/>
      <c r="WFO199" s="697"/>
      <c r="WFP199" s="697"/>
      <c r="WFQ199" s="697"/>
      <c r="WFR199" s="697"/>
      <c r="WFS199" s="697"/>
      <c r="WFT199" s="697"/>
      <c r="WFU199" s="697"/>
      <c r="WFV199" s="697"/>
      <c r="WFW199" s="697"/>
      <c r="WFX199" s="697"/>
      <c r="WFY199" s="697"/>
      <c r="WFZ199" s="697"/>
      <c r="WGA199" s="697"/>
      <c r="WGB199" s="697"/>
      <c r="WGC199" s="697"/>
      <c r="WGD199" s="697"/>
      <c r="WGE199" s="697"/>
      <c r="WGF199" s="697"/>
      <c r="WGG199" s="697"/>
      <c r="WGH199" s="697"/>
      <c r="WGI199" s="697"/>
      <c r="WGJ199" s="697"/>
      <c r="WGK199" s="697"/>
      <c r="WGL199" s="697"/>
      <c r="WGM199" s="697"/>
      <c r="WGN199" s="697"/>
      <c r="WGO199" s="697"/>
      <c r="WGP199" s="697"/>
      <c r="WGQ199" s="697"/>
      <c r="WGR199" s="697"/>
      <c r="WGS199" s="697"/>
      <c r="WGT199" s="697"/>
      <c r="WGU199" s="697"/>
      <c r="WGV199" s="697"/>
      <c r="WGW199" s="697"/>
      <c r="WGX199" s="697"/>
      <c r="WGY199" s="697"/>
      <c r="WGZ199" s="697"/>
      <c r="WHA199" s="697"/>
      <c r="WHB199" s="697"/>
      <c r="WHC199" s="697"/>
      <c r="WHD199" s="697"/>
      <c r="WHE199" s="697"/>
      <c r="WHF199" s="697"/>
      <c r="WHG199" s="697"/>
      <c r="WHH199" s="697"/>
      <c r="WHI199" s="697"/>
      <c r="WHJ199" s="697"/>
      <c r="WHK199" s="697"/>
      <c r="WHL199" s="697"/>
      <c r="WHM199" s="697"/>
      <c r="WHN199" s="697"/>
      <c r="WHO199" s="697"/>
      <c r="WHP199" s="697"/>
      <c r="WHQ199" s="697"/>
      <c r="WHR199" s="697"/>
      <c r="WHS199" s="697"/>
      <c r="WHT199" s="697"/>
      <c r="WHU199" s="697"/>
      <c r="WHV199" s="697"/>
      <c r="WHW199" s="697"/>
      <c r="WHX199" s="697"/>
      <c r="WHY199" s="697"/>
      <c r="WHZ199" s="697"/>
      <c r="WIA199" s="697"/>
      <c r="WIB199" s="697"/>
      <c r="WIC199" s="697"/>
      <c r="WID199" s="697"/>
      <c r="WIE199" s="697"/>
      <c r="WIF199" s="697"/>
      <c r="WIG199" s="697"/>
      <c r="WIH199" s="697"/>
      <c r="WII199" s="697"/>
      <c r="WIJ199" s="697"/>
      <c r="WIK199" s="697"/>
      <c r="WIL199" s="697"/>
      <c r="WIM199" s="697"/>
      <c r="WIN199" s="697"/>
      <c r="WIO199" s="697"/>
      <c r="WIP199" s="697"/>
      <c r="WIQ199" s="697"/>
      <c r="WIR199" s="697"/>
      <c r="WIS199" s="697"/>
      <c r="WIT199" s="697"/>
      <c r="WIU199" s="697"/>
      <c r="WIV199" s="697"/>
      <c r="WIW199" s="697"/>
      <c r="WIX199" s="697"/>
      <c r="WIY199" s="697"/>
      <c r="WIZ199" s="697"/>
      <c r="WJA199" s="697"/>
      <c r="WJB199" s="697"/>
      <c r="WJC199" s="697"/>
      <c r="WJD199" s="697"/>
      <c r="WJE199" s="697"/>
      <c r="WJF199" s="697"/>
      <c r="WJG199" s="697"/>
      <c r="WJH199" s="697"/>
      <c r="WJI199" s="697"/>
      <c r="WJJ199" s="697"/>
      <c r="WJK199" s="697"/>
      <c r="WJL199" s="697"/>
      <c r="WJM199" s="697"/>
      <c r="WJN199" s="697"/>
      <c r="WJO199" s="697"/>
      <c r="WJP199" s="697"/>
      <c r="WJQ199" s="697"/>
      <c r="WJR199" s="697"/>
      <c r="WJS199" s="697"/>
      <c r="WJT199" s="697"/>
      <c r="WJU199" s="697"/>
      <c r="WJV199" s="697"/>
      <c r="WJW199" s="697"/>
      <c r="WJX199" s="697"/>
      <c r="WJY199" s="697"/>
      <c r="WJZ199" s="697"/>
      <c r="WKA199" s="697"/>
      <c r="WKB199" s="697"/>
      <c r="WKC199" s="697"/>
      <c r="WKD199" s="697"/>
      <c r="WKE199" s="697"/>
      <c r="WKF199" s="697"/>
      <c r="WKG199" s="697"/>
      <c r="WKH199" s="697"/>
      <c r="WKI199" s="697"/>
      <c r="WKJ199" s="697"/>
      <c r="WKK199" s="697"/>
      <c r="WKL199" s="697"/>
      <c r="WKM199" s="697"/>
      <c r="WKN199" s="697"/>
      <c r="WKO199" s="697"/>
      <c r="WKP199" s="697"/>
      <c r="WKQ199" s="697"/>
      <c r="WKR199" s="697"/>
      <c r="WKS199" s="697"/>
      <c r="WKT199" s="697"/>
      <c r="WKU199" s="697"/>
      <c r="WKV199" s="697"/>
      <c r="WKW199" s="697"/>
      <c r="WKX199" s="697"/>
      <c r="WKY199" s="697"/>
      <c r="WKZ199" s="697"/>
      <c r="WLA199" s="697"/>
      <c r="WLB199" s="697"/>
      <c r="WLC199" s="697"/>
      <c r="WLD199" s="697"/>
      <c r="WLE199" s="697"/>
      <c r="WLF199" s="697"/>
      <c r="WLG199" s="697"/>
      <c r="WLH199" s="697"/>
      <c r="WLI199" s="697"/>
      <c r="WLJ199" s="697"/>
      <c r="WLK199" s="697"/>
      <c r="WLL199" s="697"/>
      <c r="WLM199" s="697"/>
      <c r="WLN199" s="697"/>
      <c r="WLO199" s="697"/>
      <c r="WLP199" s="697"/>
      <c r="WLQ199" s="697"/>
      <c r="WLR199" s="697"/>
      <c r="WLS199" s="697"/>
      <c r="WLT199" s="697"/>
      <c r="WLU199" s="697"/>
      <c r="WLV199" s="697"/>
      <c r="WLW199" s="697"/>
      <c r="WLX199" s="697"/>
      <c r="WLY199" s="697"/>
      <c r="WLZ199" s="697"/>
      <c r="WMA199" s="697"/>
      <c r="WMB199" s="697"/>
      <c r="WMC199" s="697"/>
      <c r="WMD199" s="697"/>
      <c r="WME199" s="697"/>
      <c r="WMF199" s="697"/>
      <c r="WMG199" s="697"/>
      <c r="WMH199" s="697"/>
      <c r="WMI199" s="697"/>
      <c r="WMJ199" s="697"/>
      <c r="WMK199" s="697"/>
      <c r="WML199" s="697"/>
      <c r="WMM199" s="697"/>
      <c r="WMN199" s="697"/>
      <c r="WMO199" s="697"/>
      <c r="WMP199" s="697"/>
      <c r="WMQ199" s="697"/>
      <c r="WMR199" s="697"/>
      <c r="WMS199" s="697"/>
      <c r="WMT199" s="697"/>
      <c r="WMU199" s="697"/>
      <c r="WMV199" s="697"/>
      <c r="WMW199" s="697"/>
      <c r="WMX199" s="697"/>
      <c r="WMY199" s="697"/>
      <c r="WMZ199" s="697"/>
      <c r="WNA199" s="697"/>
      <c r="WNB199" s="697"/>
      <c r="WNC199" s="697"/>
      <c r="WND199" s="697"/>
      <c r="WNE199" s="697"/>
      <c r="WNF199" s="697"/>
      <c r="WNG199" s="697"/>
      <c r="WNH199" s="697"/>
      <c r="WNI199" s="697"/>
      <c r="WNJ199" s="697"/>
      <c r="WNK199" s="697"/>
      <c r="WNL199" s="697"/>
      <c r="WNM199" s="697"/>
      <c r="WNN199" s="697"/>
      <c r="WNO199" s="697"/>
      <c r="WNP199" s="697"/>
      <c r="WNQ199" s="697"/>
      <c r="WNR199" s="697"/>
      <c r="WNS199" s="697"/>
      <c r="WNT199" s="697"/>
      <c r="WNU199" s="697"/>
      <c r="WNV199" s="697"/>
      <c r="WNW199" s="697"/>
      <c r="WNX199" s="697"/>
      <c r="WNY199" s="697"/>
      <c r="WNZ199" s="697"/>
      <c r="WOA199" s="697"/>
      <c r="WOB199" s="697"/>
      <c r="WOC199" s="697"/>
      <c r="WOD199" s="697"/>
      <c r="WOE199" s="697"/>
      <c r="WOF199" s="697"/>
      <c r="WOG199" s="697"/>
      <c r="WOH199" s="697"/>
      <c r="WOI199" s="697"/>
      <c r="WOJ199" s="697"/>
      <c r="WOK199" s="697"/>
      <c r="WOL199" s="697"/>
      <c r="WOM199" s="697"/>
      <c r="WON199" s="697"/>
      <c r="WOO199" s="697"/>
      <c r="WOP199" s="697"/>
      <c r="WOQ199" s="697"/>
      <c r="WOR199" s="697"/>
      <c r="WOS199" s="697"/>
      <c r="WOT199" s="697"/>
      <c r="WOU199" s="697"/>
      <c r="WOV199" s="697"/>
      <c r="WOW199" s="697"/>
      <c r="WOX199" s="697"/>
      <c r="WOY199" s="697"/>
      <c r="WOZ199" s="697"/>
      <c r="WPA199" s="697"/>
      <c r="WPB199" s="697"/>
      <c r="WPC199" s="697"/>
      <c r="WPD199" s="697"/>
      <c r="WPE199" s="697"/>
      <c r="WPF199" s="697"/>
      <c r="WPG199" s="697"/>
      <c r="WPH199" s="697"/>
      <c r="WPI199" s="697"/>
      <c r="WPJ199" s="697"/>
      <c r="WPK199" s="697"/>
      <c r="WPL199" s="697"/>
      <c r="WPM199" s="697"/>
      <c r="WPN199" s="697"/>
      <c r="WPO199" s="697"/>
      <c r="WPP199" s="697"/>
      <c r="WPQ199" s="697"/>
      <c r="WPR199" s="697"/>
      <c r="WPS199" s="697"/>
      <c r="WPT199" s="697"/>
      <c r="WPU199" s="697"/>
      <c r="WPV199" s="697"/>
      <c r="WPW199" s="697"/>
      <c r="WPX199" s="697"/>
      <c r="WPY199" s="697"/>
      <c r="WPZ199" s="697"/>
      <c r="WQA199" s="697"/>
      <c r="WQB199" s="697"/>
      <c r="WQC199" s="697"/>
      <c r="WQD199" s="697"/>
      <c r="WQE199" s="697"/>
      <c r="WQF199" s="697"/>
      <c r="WQG199" s="697"/>
      <c r="WQH199" s="697"/>
      <c r="WQI199" s="697"/>
      <c r="WQJ199" s="697"/>
      <c r="WQK199" s="697"/>
      <c r="WQL199" s="697"/>
      <c r="WQM199" s="697"/>
      <c r="WQN199" s="697"/>
      <c r="WQO199" s="697"/>
      <c r="WQP199" s="697"/>
      <c r="WQQ199" s="697"/>
      <c r="WQR199" s="697"/>
      <c r="WQS199" s="697"/>
      <c r="WQT199" s="697"/>
      <c r="WQU199" s="697"/>
      <c r="WQV199" s="697"/>
      <c r="WQW199" s="697"/>
      <c r="WQX199" s="697"/>
      <c r="WQY199" s="697"/>
      <c r="WQZ199" s="697"/>
      <c r="WRA199" s="697"/>
      <c r="WRB199" s="697"/>
      <c r="WRC199" s="697"/>
      <c r="WRD199" s="697"/>
      <c r="WRE199" s="697"/>
      <c r="WRF199" s="697"/>
      <c r="WRG199" s="697"/>
      <c r="WRH199" s="697"/>
      <c r="WRI199" s="697"/>
      <c r="WRJ199" s="697"/>
      <c r="WRK199" s="697"/>
      <c r="WRL199" s="697"/>
      <c r="WRM199" s="697"/>
      <c r="WRN199" s="697"/>
      <c r="WRO199" s="697"/>
      <c r="WRP199" s="697"/>
      <c r="WRQ199" s="697"/>
      <c r="WRR199" s="697"/>
      <c r="WRS199" s="697"/>
      <c r="WRT199" s="697"/>
      <c r="WRU199" s="697"/>
      <c r="WRV199" s="697"/>
      <c r="WRW199" s="697"/>
      <c r="WRX199" s="697"/>
      <c r="WRY199" s="697"/>
      <c r="WRZ199" s="697"/>
      <c r="WSA199" s="697"/>
      <c r="WSB199" s="697"/>
      <c r="WSC199" s="697"/>
      <c r="WSD199" s="697"/>
      <c r="WSE199" s="697"/>
      <c r="WSF199" s="697"/>
      <c r="WSG199" s="697"/>
      <c r="WSH199" s="697"/>
      <c r="WSI199" s="697"/>
      <c r="WSJ199" s="697"/>
      <c r="WSK199" s="697"/>
      <c r="WSL199" s="697"/>
      <c r="WSM199" s="697"/>
      <c r="WSN199" s="697"/>
      <c r="WSO199" s="697"/>
      <c r="WSP199" s="697"/>
      <c r="WSQ199" s="697"/>
      <c r="WSR199" s="697"/>
      <c r="WSS199" s="697"/>
      <c r="WST199" s="697"/>
      <c r="WSU199" s="697"/>
      <c r="WSV199" s="697"/>
      <c r="WSW199" s="697"/>
      <c r="WSX199" s="697"/>
      <c r="WSY199" s="697"/>
      <c r="WSZ199" s="697"/>
      <c r="WTA199" s="697"/>
      <c r="WTB199" s="697"/>
      <c r="WTC199" s="697"/>
      <c r="WTD199" s="697"/>
      <c r="WTE199" s="697"/>
      <c r="WTF199" s="697"/>
      <c r="WTG199" s="697"/>
      <c r="WTH199" s="697"/>
      <c r="WTI199" s="697"/>
      <c r="WTJ199" s="697"/>
      <c r="WTK199" s="697"/>
      <c r="WTL199" s="697"/>
      <c r="WTM199" s="697"/>
      <c r="WTN199" s="697"/>
      <c r="WTO199" s="697"/>
      <c r="WTP199" s="697"/>
      <c r="WTQ199" s="697"/>
      <c r="WTR199" s="697"/>
      <c r="WTS199" s="697"/>
      <c r="WTT199" s="697"/>
      <c r="WTU199" s="697"/>
      <c r="WTV199" s="697"/>
      <c r="WTW199" s="697"/>
      <c r="WTX199" s="697"/>
      <c r="WTY199" s="697"/>
      <c r="WTZ199" s="697"/>
      <c r="WUA199" s="697"/>
      <c r="WUB199" s="697"/>
      <c r="WUC199" s="697"/>
      <c r="WUD199" s="697"/>
      <c r="WUE199" s="697"/>
      <c r="WUF199" s="697"/>
      <c r="WUG199" s="697"/>
      <c r="WUH199" s="697"/>
      <c r="WUI199" s="697"/>
      <c r="WUJ199" s="697"/>
      <c r="WUK199" s="697"/>
      <c r="WUL199" s="697"/>
      <c r="WUM199" s="697"/>
      <c r="WUN199" s="697"/>
      <c r="WUO199" s="697"/>
      <c r="WUP199" s="697"/>
      <c r="WUQ199" s="697"/>
      <c r="WUR199" s="697"/>
      <c r="WUS199" s="697"/>
      <c r="WUT199" s="697"/>
      <c r="WUU199" s="697"/>
      <c r="WUV199" s="697"/>
      <c r="WUW199" s="697"/>
      <c r="WUX199" s="697"/>
      <c r="WUY199" s="697"/>
      <c r="WUZ199" s="697"/>
      <c r="WVA199" s="697"/>
      <c r="WVB199" s="697"/>
      <c r="WVC199" s="697"/>
      <c r="WVD199" s="697"/>
      <c r="WVE199" s="697"/>
      <c r="WVF199" s="697"/>
      <c r="WVG199" s="697"/>
      <c r="WVH199" s="697"/>
      <c r="WVI199" s="697"/>
      <c r="WVJ199" s="697"/>
      <c r="WVK199" s="697"/>
      <c r="WVL199" s="697"/>
      <c r="WVM199" s="697"/>
      <c r="WVN199" s="697"/>
      <c r="WVO199" s="697"/>
    </row>
    <row r="200" spans="1:16135" s="624" customFormat="1">
      <c r="A200" s="697"/>
      <c r="B200" s="697"/>
      <c r="C200" s="697"/>
      <c r="D200" s="697"/>
      <c r="E200" s="697"/>
      <c r="G200" s="21"/>
      <c r="I200" s="237"/>
      <c r="BY200" s="697"/>
      <c r="BZ200" s="697"/>
      <c r="CA200" s="697"/>
      <c r="CB200" s="697"/>
      <c r="CC200" s="697"/>
      <c r="CD200" s="697"/>
      <c r="CE200" s="697"/>
      <c r="CF200" s="697"/>
      <c r="CG200" s="697"/>
      <c r="CH200" s="697"/>
      <c r="CI200" s="697"/>
      <c r="CJ200" s="697"/>
      <c r="CK200" s="697"/>
      <c r="CL200" s="697"/>
      <c r="CM200" s="697"/>
      <c r="CN200" s="697"/>
      <c r="CO200" s="697"/>
      <c r="CP200" s="697"/>
      <c r="CQ200" s="697"/>
      <c r="CR200" s="697"/>
      <c r="CS200" s="697"/>
      <c r="CT200" s="697"/>
      <c r="CU200" s="697"/>
      <c r="CV200" s="697"/>
      <c r="CW200" s="697"/>
      <c r="CX200" s="697"/>
      <c r="CY200" s="697"/>
      <c r="CZ200" s="697"/>
      <c r="DA200" s="697"/>
      <c r="DB200" s="697"/>
      <c r="DC200" s="697"/>
      <c r="DD200" s="697"/>
      <c r="DE200" s="697"/>
      <c r="DF200" s="697"/>
      <c r="DG200" s="697"/>
      <c r="DH200" s="697"/>
      <c r="DI200" s="697"/>
      <c r="DJ200" s="697"/>
      <c r="DK200" s="697"/>
      <c r="DL200" s="697"/>
      <c r="DM200" s="697"/>
      <c r="DN200" s="697"/>
      <c r="DO200" s="697"/>
      <c r="DP200" s="697"/>
      <c r="DQ200" s="697"/>
      <c r="DR200" s="697"/>
      <c r="DS200" s="697"/>
      <c r="DT200" s="697"/>
      <c r="DU200" s="697"/>
      <c r="DV200" s="697"/>
      <c r="DW200" s="697"/>
      <c r="DX200" s="697"/>
      <c r="DY200" s="697"/>
      <c r="DZ200" s="697"/>
      <c r="EA200" s="697"/>
      <c r="EB200" s="697"/>
      <c r="EC200" s="697"/>
      <c r="ED200" s="697"/>
      <c r="EE200" s="697"/>
      <c r="EF200" s="697"/>
      <c r="EG200" s="697"/>
      <c r="EH200" s="697"/>
      <c r="EI200" s="697"/>
      <c r="EJ200" s="697"/>
      <c r="EK200" s="697"/>
      <c r="EL200" s="697"/>
      <c r="EM200" s="697"/>
      <c r="EN200" s="697"/>
      <c r="EO200" s="697"/>
      <c r="EP200" s="697"/>
      <c r="EQ200" s="697"/>
      <c r="ER200" s="697"/>
      <c r="ES200" s="697"/>
      <c r="ET200" s="697"/>
      <c r="EU200" s="697"/>
      <c r="EV200" s="697"/>
      <c r="EW200" s="697"/>
      <c r="EX200" s="697"/>
      <c r="EY200" s="697"/>
      <c r="EZ200" s="697"/>
      <c r="FA200" s="697"/>
      <c r="FB200" s="697"/>
      <c r="FC200" s="697"/>
      <c r="FD200" s="697"/>
      <c r="FE200" s="697"/>
      <c r="FF200" s="697"/>
      <c r="FG200" s="697"/>
      <c r="FH200" s="697"/>
      <c r="FI200" s="697"/>
      <c r="FJ200" s="697"/>
      <c r="FK200" s="697"/>
      <c r="FL200" s="697"/>
      <c r="FM200" s="697"/>
      <c r="FN200" s="697"/>
      <c r="FO200" s="697"/>
      <c r="FP200" s="697"/>
      <c r="FQ200" s="697"/>
      <c r="FR200" s="697"/>
      <c r="FS200" s="697"/>
      <c r="FT200" s="697"/>
      <c r="FU200" s="697"/>
      <c r="FV200" s="697"/>
      <c r="FW200" s="697"/>
      <c r="FX200" s="697"/>
      <c r="FY200" s="697"/>
      <c r="FZ200" s="697"/>
      <c r="GA200" s="697"/>
      <c r="GB200" s="697"/>
      <c r="GC200" s="697"/>
      <c r="GD200" s="697"/>
      <c r="GE200" s="697"/>
      <c r="GF200" s="697"/>
      <c r="GG200" s="697"/>
      <c r="GH200" s="697"/>
      <c r="GI200" s="697"/>
      <c r="GJ200" s="697"/>
      <c r="GK200" s="697"/>
      <c r="GL200" s="697"/>
      <c r="GM200" s="697"/>
      <c r="GN200" s="697"/>
      <c r="GO200" s="697"/>
      <c r="GP200" s="697"/>
      <c r="GQ200" s="697"/>
      <c r="GR200" s="697"/>
      <c r="GS200" s="697"/>
      <c r="GT200" s="697"/>
      <c r="GU200" s="697"/>
      <c r="GV200" s="697"/>
      <c r="GW200" s="697"/>
      <c r="GX200" s="697"/>
      <c r="GY200" s="697"/>
      <c r="GZ200" s="697"/>
      <c r="HA200" s="697"/>
      <c r="HB200" s="697"/>
      <c r="HC200" s="697"/>
      <c r="HD200" s="697"/>
      <c r="HE200" s="697"/>
      <c r="HF200" s="697"/>
      <c r="HG200" s="697"/>
      <c r="HH200" s="697"/>
      <c r="HI200" s="697"/>
      <c r="HJ200" s="697"/>
      <c r="HK200" s="697"/>
      <c r="HL200" s="697"/>
      <c r="HM200" s="697"/>
      <c r="HN200" s="697"/>
      <c r="HO200" s="697"/>
      <c r="HP200" s="697"/>
      <c r="HQ200" s="697"/>
      <c r="HR200" s="697"/>
      <c r="HS200" s="697"/>
      <c r="HT200" s="697"/>
      <c r="HU200" s="697"/>
      <c r="HV200" s="697"/>
      <c r="HW200" s="697"/>
      <c r="HX200" s="697"/>
      <c r="HY200" s="697"/>
      <c r="HZ200" s="697"/>
      <c r="IA200" s="697"/>
      <c r="IB200" s="697"/>
      <c r="IC200" s="697"/>
      <c r="ID200" s="697"/>
      <c r="IE200" s="697"/>
      <c r="IF200" s="697"/>
      <c r="IG200" s="697"/>
      <c r="IH200" s="697"/>
      <c r="II200" s="697"/>
      <c r="IJ200" s="697"/>
      <c r="IK200" s="697"/>
      <c r="IL200" s="697"/>
      <c r="IM200" s="697"/>
      <c r="IN200" s="697"/>
      <c r="IO200" s="697"/>
      <c r="IP200" s="697"/>
      <c r="IQ200" s="697"/>
      <c r="IR200" s="697"/>
      <c r="IS200" s="697"/>
      <c r="IT200" s="697"/>
      <c r="IU200" s="697"/>
      <c r="IV200" s="697"/>
      <c r="IW200" s="697"/>
      <c r="IX200" s="697"/>
      <c r="IY200" s="697"/>
      <c r="IZ200" s="697"/>
      <c r="JA200" s="697"/>
      <c r="JB200" s="697"/>
      <c r="JC200" s="697"/>
      <c r="JD200" s="697"/>
      <c r="JE200" s="697"/>
      <c r="JF200" s="697"/>
      <c r="JG200" s="697"/>
      <c r="JH200" s="697"/>
      <c r="JI200" s="697"/>
      <c r="JJ200" s="697"/>
      <c r="JK200" s="697"/>
      <c r="JL200" s="697"/>
      <c r="JM200" s="697"/>
      <c r="JN200" s="697"/>
      <c r="JO200" s="697"/>
      <c r="JP200" s="697"/>
      <c r="JQ200" s="697"/>
      <c r="JR200" s="697"/>
      <c r="JS200" s="697"/>
      <c r="JT200" s="697"/>
      <c r="JU200" s="697"/>
      <c r="JV200" s="697"/>
      <c r="JW200" s="697"/>
      <c r="JX200" s="697"/>
      <c r="JY200" s="697"/>
      <c r="JZ200" s="697"/>
      <c r="KA200" s="697"/>
      <c r="KB200" s="697"/>
      <c r="KC200" s="697"/>
      <c r="KD200" s="697"/>
      <c r="KE200" s="697"/>
      <c r="KF200" s="697"/>
      <c r="KG200" s="697"/>
      <c r="KH200" s="697"/>
      <c r="KI200" s="697"/>
      <c r="KJ200" s="697"/>
      <c r="KK200" s="697"/>
      <c r="KL200" s="697"/>
      <c r="KM200" s="697"/>
      <c r="KN200" s="697"/>
      <c r="KO200" s="697"/>
      <c r="KP200" s="697"/>
      <c r="KQ200" s="697"/>
      <c r="KR200" s="697"/>
      <c r="KS200" s="697"/>
      <c r="KT200" s="697"/>
      <c r="KU200" s="697"/>
      <c r="KV200" s="697"/>
      <c r="KW200" s="697"/>
      <c r="KX200" s="697"/>
      <c r="KY200" s="697"/>
      <c r="KZ200" s="697"/>
      <c r="LA200" s="697"/>
      <c r="LB200" s="697"/>
      <c r="LC200" s="697"/>
      <c r="LD200" s="697"/>
      <c r="LE200" s="697"/>
      <c r="LF200" s="697"/>
      <c r="LG200" s="697"/>
      <c r="LH200" s="697"/>
      <c r="LI200" s="697"/>
      <c r="LJ200" s="697"/>
      <c r="LK200" s="697"/>
      <c r="LL200" s="697"/>
      <c r="LM200" s="697"/>
      <c r="LN200" s="697"/>
      <c r="LO200" s="697"/>
      <c r="LP200" s="697"/>
      <c r="LQ200" s="697"/>
      <c r="LR200" s="697"/>
      <c r="LS200" s="697"/>
      <c r="LT200" s="697"/>
      <c r="LU200" s="697"/>
      <c r="LV200" s="697"/>
      <c r="LW200" s="697"/>
      <c r="LX200" s="697"/>
      <c r="LY200" s="697"/>
      <c r="LZ200" s="697"/>
      <c r="MA200" s="697"/>
      <c r="MB200" s="697"/>
      <c r="MC200" s="697"/>
      <c r="MD200" s="697"/>
      <c r="ME200" s="697"/>
      <c r="MF200" s="697"/>
      <c r="MG200" s="697"/>
      <c r="MH200" s="697"/>
      <c r="MI200" s="697"/>
      <c r="MJ200" s="697"/>
      <c r="MK200" s="697"/>
      <c r="ML200" s="697"/>
      <c r="MM200" s="697"/>
      <c r="MN200" s="697"/>
      <c r="MO200" s="697"/>
      <c r="MP200" s="697"/>
      <c r="MQ200" s="697"/>
      <c r="MR200" s="697"/>
      <c r="MS200" s="697"/>
      <c r="MT200" s="697"/>
      <c r="MU200" s="697"/>
      <c r="MV200" s="697"/>
      <c r="MW200" s="697"/>
      <c r="MX200" s="697"/>
      <c r="MY200" s="697"/>
      <c r="MZ200" s="697"/>
      <c r="NA200" s="697"/>
      <c r="NB200" s="697"/>
      <c r="NC200" s="697"/>
      <c r="ND200" s="697"/>
      <c r="NE200" s="697"/>
      <c r="NF200" s="697"/>
      <c r="NG200" s="697"/>
      <c r="NH200" s="697"/>
      <c r="NI200" s="697"/>
      <c r="NJ200" s="697"/>
      <c r="NK200" s="697"/>
      <c r="NL200" s="697"/>
      <c r="NM200" s="697"/>
      <c r="NN200" s="697"/>
      <c r="NO200" s="697"/>
      <c r="NP200" s="697"/>
      <c r="NQ200" s="697"/>
      <c r="NR200" s="697"/>
      <c r="NS200" s="697"/>
      <c r="NT200" s="697"/>
      <c r="NU200" s="697"/>
      <c r="NV200" s="697"/>
      <c r="NW200" s="697"/>
      <c r="NX200" s="697"/>
      <c r="NY200" s="697"/>
      <c r="NZ200" s="697"/>
      <c r="OA200" s="697"/>
      <c r="OB200" s="697"/>
      <c r="OC200" s="697"/>
      <c r="OD200" s="697"/>
      <c r="OE200" s="697"/>
      <c r="OF200" s="697"/>
      <c r="OG200" s="697"/>
      <c r="OH200" s="697"/>
      <c r="OI200" s="697"/>
      <c r="OJ200" s="697"/>
      <c r="OK200" s="697"/>
      <c r="OL200" s="697"/>
      <c r="OM200" s="697"/>
      <c r="ON200" s="697"/>
      <c r="OO200" s="697"/>
      <c r="OP200" s="697"/>
      <c r="OQ200" s="697"/>
      <c r="OR200" s="697"/>
      <c r="OS200" s="697"/>
      <c r="OT200" s="697"/>
      <c r="OU200" s="697"/>
      <c r="OV200" s="697"/>
      <c r="OW200" s="697"/>
      <c r="OX200" s="697"/>
      <c r="OY200" s="697"/>
      <c r="OZ200" s="697"/>
      <c r="PA200" s="697"/>
      <c r="PB200" s="697"/>
      <c r="PC200" s="697"/>
      <c r="PD200" s="697"/>
      <c r="PE200" s="697"/>
      <c r="PF200" s="697"/>
      <c r="PG200" s="697"/>
      <c r="PH200" s="697"/>
      <c r="PI200" s="697"/>
      <c r="PJ200" s="697"/>
      <c r="PK200" s="697"/>
      <c r="PL200" s="697"/>
      <c r="PM200" s="697"/>
      <c r="PN200" s="697"/>
      <c r="PO200" s="697"/>
      <c r="PP200" s="697"/>
      <c r="PQ200" s="697"/>
      <c r="PR200" s="697"/>
      <c r="PS200" s="697"/>
      <c r="PT200" s="697"/>
      <c r="PU200" s="697"/>
      <c r="PV200" s="697"/>
      <c r="PW200" s="697"/>
      <c r="PX200" s="697"/>
      <c r="PY200" s="697"/>
      <c r="PZ200" s="697"/>
      <c r="QA200" s="697"/>
      <c r="QB200" s="697"/>
      <c r="QC200" s="697"/>
      <c r="QD200" s="697"/>
      <c r="QE200" s="697"/>
      <c r="QF200" s="697"/>
      <c r="QG200" s="697"/>
      <c r="QH200" s="697"/>
      <c r="QI200" s="697"/>
      <c r="QJ200" s="697"/>
      <c r="QK200" s="697"/>
      <c r="QL200" s="697"/>
      <c r="QM200" s="697"/>
      <c r="QN200" s="697"/>
      <c r="QO200" s="697"/>
      <c r="QP200" s="697"/>
      <c r="QQ200" s="697"/>
      <c r="QR200" s="697"/>
      <c r="QS200" s="697"/>
      <c r="QT200" s="697"/>
      <c r="QU200" s="697"/>
      <c r="QV200" s="697"/>
      <c r="QW200" s="697"/>
      <c r="QX200" s="697"/>
      <c r="QY200" s="697"/>
      <c r="QZ200" s="697"/>
      <c r="RA200" s="697"/>
      <c r="RB200" s="697"/>
      <c r="RC200" s="697"/>
      <c r="RD200" s="697"/>
      <c r="RE200" s="697"/>
      <c r="RF200" s="697"/>
      <c r="RG200" s="697"/>
      <c r="RH200" s="697"/>
      <c r="RI200" s="697"/>
      <c r="RJ200" s="697"/>
      <c r="RK200" s="697"/>
      <c r="RL200" s="697"/>
      <c r="RM200" s="697"/>
      <c r="RN200" s="697"/>
      <c r="RO200" s="697"/>
      <c r="RP200" s="697"/>
      <c r="RQ200" s="697"/>
      <c r="RR200" s="697"/>
      <c r="RS200" s="697"/>
      <c r="RT200" s="697"/>
      <c r="RU200" s="697"/>
      <c r="RV200" s="697"/>
      <c r="RW200" s="697"/>
      <c r="RX200" s="697"/>
      <c r="RY200" s="697"/>
      <c r="RZ200" s="697"/>
      <c r="SA200" s="697"/>
      <c r="SB200" s="697"/>
      <c r="SC200" s="697"/>
      <c r="SD200" s="697"/>
      <c r="SE200" s="697"/>
      <c r="SF200" s="697"/>
      <c r="SG200" s="697"/>
      <c r="SH200" s="697"/>
      <c r="SI200" s="697"/>
      <c r="SJ200" s="697"/>
      <c r="SK200" s="697"/>
      <c r="SL200" s="697"/>
      <c r="SM200" s="697"/>
      <c r="SN200" s="697"/>
      <c r="SO200" s="697"/>
      <c r="SP200" s="697"/>
      <c r="SQ200" s="697"/>
      <c r="SR200" s="697"/>
      <c r="SS200" s="697"/>
      <c r="ST200" s="697"/>
      <c r="SU200" s="697"/>
      <c r="SV200" s="697"/>
      <c r="SW200" s="697"/>
      <c r="SX200" s="697"/>
      <c r="SY200" s="697"/>
      <c r="SZ200" s="697"/>
      <c r="TA200" s="697"/>
      <c r="TB200" s="697"/>
      <c r="TC200" s="697"/>
      <c r="TD200" s="697"/>
      <c r="TE200" s="697"/>
      <c r="TF200" s="697"/>
      <c r="TG200" s="697"/>
      <c r="TH200" s="697"/>
      <c r="TI200" s="697"/>
      <c r="TJ200" s="697"/>
      <c r="TK200" s="697"/>
      <c r="TL200" s="697"/>
      <c r="TM200" s="697"/>
      <c r="TN200" s="697"/>
      <c r="TO200" s="697"/>
      <c r="TP200" s="697"/>
      <c r="TQ200" s="697"/>
      <c r="TR200" s="697"/>
      <c r="TS200" s="697"/>
      <c r="TT200" s="697"/>
      <c r="TU200" s="697"/>
      <c r="TV200" s="697"/>
      <c r="TW200" s="697"/>
      <c r="TX200" s="697"/>
      <c r="TY200" s="697"/>
      <c r="TZ200" s="697"/>
      <c r="UA200" s="697"/>
      <c r="UB200" s="697"/>
      <c r="UC200" s="697"/>
      <c r="UD200" s="697"/>
      <c r="UE200" s="697"/>
      <c r="UF200" s="697"/>
      <c r="UG200" s="697"/>
      <c r="UH200" s="697"/>
      <c r="UI200" s="697"/>
      <c r="UJ200" s="697"/>
      <c r="UK200" s="697"/>
      <c r="UL200" s="697"/>
      <c r="UM200" s="697"/>
      <c r="UN200" s="697"/>
      <c r="UO200" s="697"/>
      <c r="UP200" s="697"/>
      <c r="UQ200" s="697"/>
      <c r="UR200" s="697"/>
      <c r="US200" s="697"/>
      <c r="UT200" s="697"/>
      <c r="UU200" s="697"/>
      <c r="UV200" s="697"/>
      <c r="UW200" s="697"/>
      <c r="UX200" s="697"/>
      <c r="UY200" s="697"/>
      <c r="UZ200" s="697"/>
      <c r="VA200" s="697"/>
      <c r="VB200" s="697"/>
      <c r="VC200" s="697"/>
      <c r="VD200" s="697"/>
      <c r="VE200" s="697"/>
      <c r="VF200" s="697"/>
      <c r="VG200" s="697"/>
      <c r="VH200" s="697"/>
      <c r="VI200" s="697"/>
      <c r="VJ200" s="697"/>
      <c r="VK200" s="697"/>
      <c r="VL200" s="697"/>
      <c r="VM200" s="697"/>
      <c r="VN200" s="697"/>
      <c r="VO200" s="697"/>
      <c r="VP200" s="697"/>
      <c r="VQ200" s="697"/>
      <c r="VR200" s="697"/>
      <c r="VS200" s="697"/>
      <c r="VT200" s="697"/>
      <c r="VU200" s="697"/>
      <c r="VV200" s="697"/>
      <c r="VW200" s="697"/>
      <c r="VX200" s="697"/>
      <c r="VY200" s="697"/>
      <c r="VZ200" s="697"/>
      <c r="WA200" s="697"/>
      <c r="WB200" s="697"/>
      <c r="WC200" s="697"/>
      <c r="WD200" s="697"/>
      <c r="WE200" s="697"/>
      <c r="WF200" s="697"/>
      <c r="WG200" s="697"/>
      <c r="WH200" s="697"/>
      <c r="WI200" s="697"/>
      <c r="WJ200" s="697"/>
      <c r="WK200" s="697"/>
      <c r="WL200" s="697"/>
      <c r="WM200" s="697"/>
      <c r="WN200" s="697"/>
      <c r="WO200" s="697"/>
      <c r="WP200" s="697"/>
      <c r="WQ200" s="697"/>
      <c r="WR200" s="697"/>
      <c r="WS200" s="697"/>
      <c r="WT200" s="697"/>
      <c r="WU200" s="697"/>
      <c r="WV200" s="697"/>
      <c r="WW200" s="697"/>
      <c r="WX200" s="697"/>
      <c r="WY200" s="697"/>
      <c r="WZ200" s="697"/>
      <c r="XA200" s="697"/>
      <c r="XB200" s="697"/>
      <c r="XC200" s="697"/>
      <c r="XD200" s="697"/>
      <c r="XE200" s="697"/>
      <c r="XF200" s="697"/>
      <c r="XG200" s="697"/>
      <c r="XH200" s="697"/>
      <c r="XI200" s="697"/>
      <c r="XJ200" s="697"/>
      <c r="XK200" s="697"/>
      <c r="XL200" s="697"/>
      <c r="XM200" s="697"/>
      <c r="XN200" s="697"/>
      <c r="XO200" s="697"/>
      <c r="XP200" s="697"/>
      <c r="XQ200" s="697"/>
      <c r="XR200" s="697"/>
      <c r="XS200" s="697"/>
      <c r="XT200" s="697"/>
      <c r="XU200" s="697"/>
      <c r="XV200" s="697"/>
      <c r="XW200" s="697"/>
      <c r="XX200" s="697"/>
      <c r="XY200" s="697"/>
      <c r="XZ200" s="697"/>
      <c r="YA200" s="697"/>
      <c r="YB200" s="697"/>
      <c r="YC200" s="697"/>
      <c r="YD200" s="697"/>
      <c r="YE200" s="697"/>
      <c r="YF200" s="697"/>
      <c r="YG200" s="697"/>
      <c r="YH200" s="697"/>
      <c r="YI200" s="697"/>
      <c r="YJ200" s="697"/>
      <c r="YK200" s="697"/>
      <c r="YL200" s="697"/>
      <c r="YM200" s="697"/>
      <c r="YN200" s="697"/>
      <c r="YO200" s="697"/>
      <c r="YP200" s="697"/>
      <c r="YQ200" s="697"/>
      <c r="YR200" s="697"/>
      <c r="YS200" s="697"/>
      <c r="YT200" s="697"/>
      <c r="YU200" s="697"/>
      <c r="YV200" s="697"/>
      <c r="YW200" s="697"/>
      <c r="YX200" s="697"/>
      <c r="YY200" s="697"/>
      <c r="YZ200" s="697"/>
      <c r="ZA200" s="697"/>
      <c r="ZB200" s="697"/>
      <c r="ZC200" s="697"/>
      <c r="ZD200" s="697"/>
      <c r="ZE200" s="697"/>
      <c r="ZF200" s="697"/>
      <c r="ZG200" s="697"/>
      <c r="ZH200" s="697"/>
      <c r="ZI200" s="697"/>
      <c r="ZJ200" s="697"/>
      <c r="ZK200" s="697"/>
      <c r="ZL200" s="697"/>
      <c r="ZM200" s="697"/>
      <c r="ZN200" s="697"/>
      <c r="ZO200" s="697"/>
      <c r="ZP200" s="697"/>
      <c r="ZQ200" s="697"/>
      <c r="ZR200" s="697"/>
      <c r="ZS200" s="697"/>
      <c r="ZT200" s="697"/>
      <c r="ZU200" s="697"/>
      <c r="ZV200" s="697"/>
      <c r="ZW200" s="697"/>
      <c r="ZX200" s="697"/>
      <c r="ZY200" s="697"/>
      <c r="ZZ200" s="697"/>
      <c r="AAA200" s="697"/>
      <c r="AAB200" s="697"/>
      <c r="AAC200" s="697"/>
      <c r="AAD200" s="697"/>
      <c r="AAE200" s="697"/>
      <c r="AAF200" s="697"/>
      <c r="AAG200" s="697"/>
      <c r="AAH200" s="697"/>
      <c r="AAI200" s="697"/>
      <c r="AAJ200" s="697"/>
      <c r="AAK200" s="697"/>
      <c r="AAL200" s="697"/>
      <c r="AAM200" s="697"/>
      <c r="AAN200" s="697"/>
      <c r="AAO200" s="697"/>
      <c r="AAP200" s="697"/>
      <c r="AAQ200" s="697"/>
      <c r="AAR200" s="697"/>
      <c r="AAS200" s="697"/>
      <c r="AAT200" s="697"/>
      <c r="AAU200" s="697"/>
      <c r="AAV200" s="697"/>
      <c r="AAW200" s="697"/>
      <c r="AAX200" s="697"/>
      <c r="AAY200" s="697"/>
      <c r="AAZ200" s="697"/>
      <c r="ABA200" s="697"/>
      <c r="ABB200" s="697"/>
      <c r="ABC200" s="697"/>
      <c r="ABD200" s="697"/>
      <c r="ABE200" s="697"/>
      <c r="ABF200" s="697"/>
      <c r="ABG200" s="697"/>
      <c r="ABH200" s="697"/>
      <c r="ABI200" s="697"/>
      <c r="ABJ200" s="697"/>
      <c r="ABK200" s="697"/>
      <c r="ABL200" s="697"/>
      <c r="ABM200" s="697"/>
      <c r="ABN200" s="697"/>
      <c r="ABO200" s="697"/>
      <c r="ABP200" s="697"/>
      <c r="ABQ200" s="697"/>
      <c r="ABR200" s="697"/>
      <c r="ABS200" s="697"/>
      <c r="ABT200" s="697"/>
      <c r="ABU200" s="697"/>
      <c r="ABV200" s="697"/>
      <c r="ABW200" s="697"/>
      <c r="ABX200" s="697"/>
      <c r="ABY200" s="697"/>
      <c r="ABZ200" s="697"/>
      <c r="ACA200" s="697"/>
      <c r="ACB200" s="697"/>
      <c r="ACC200" s="697"/>
      <c r="ACD200" s="697"/>
      <c r="ACE200" s="697"/>
      <c r="ACF200" s="697"/>
      <c r="ACG200" s="697"/>
      <c r="ACH200" s="697"/>
      <c r="ACI200" s="697"/>
      <c r="ACJ200" s="697"/>
      <c r="ACK200" s="697"/>
      <c r="ACL200" s="697"/>
      <c r="ACM200" s="697"/>
      <c r="ACN200" s="697"/>
      <c r="ACO200" s="697"/>
      <c r="ACP200" s="697"/>
      <c r="ACQ200" s="697"/>
      <c r="ACR200" s="697"/>
      <c r="ACS200" s="697"/>
      <c r="ACT200" s="697"/>
      <c r="ACU200" s="697"/>
      <c r="ACV200" s="697"/>
      <c r="ACW200" s="697"/>
      <c r="ACX200" s="697"/>
      <c r="ACY200" s="697"/>
      <c r="ACZ200" s="697"/>
      <c r="ADA200" s="697"/>
      <c r="ADB200" s="697"/>
      <c r="ADC200" s="697"/>
      <c r="ADD200" s="697"/>
      <c r="ADE200" s="697"/>
      <c r="ADF200" s="697"/>
      <c r="ADG200" s="697"/>
      <c r="ADH200" s="697"/>
      <c r="ADI200" s="697"/>
      <c r="ADJ200" s="697"/>
      <c r="ADK200" s="697"/>
      <c r="ADL200" s="697"/>
      <c r="ADM200" s="697"/>
      <c r="ADN200" s="697"/>
      <c r="ADO200" s="697"/>
      <c r="ADP200" s="697"/>
      <c r="ADQ200" s="697"/>
      <c r="ADR200" s="697"/>
      <c r="ADS200" s="697"/>
      <c r="ADT200" s="697"/>
      <c r="ADU200" s="697"/>
      <c r="ADV200" s="697"/>
      <c r="ADW200" s="697"/>
      <c r="ADX200" s="697"/>
      <c r="ADY200" s="697"/>
      <c r="ADZ200" s="697"/>
      <c r="AEA200" s="697"/>
      <c r="AEB200" s="697"/>
      <c r="AEC200" s="697"/>
      <c r="AED200" s="697"/>
      <c r="AEE200" s="697"/>
      <c r="AEF200" s="697"/>
      <c r="AEG200" s="697"/>
      <c r="AEH200" s="697"/>
      <c r="AEI200" s="697"/>
      <c r="AEJ200" s="697"/>
      <c r="AEK200" s="697"/>
      <c r="AEL200" s="697"/>
      <c r="AEM200" s="697"/>
      <c r="AEN200" s="697"/>
      <c r="AEO200" s="697"/>
      <c r="AEP200" s="697"/>
      <c r="AEQ200" s="697"/>
      <c r="AER200" s="697"/>
      <c r="AES200" s="697"/>
      <c r="AET200" s="697"/>
      <c r="AEU200" s="697"/>
      <c r="AEV200" s="697"/>
      <c r="AEW200" s="697"/>
      <c r="AEX200" s="697"/>
      <c r="AEY200" s="697"/>
      <c r="AEZ200" s="697"/>
      <c r="AFA200" s="697"/>
      <c r="AFB200" s="697"/>
      <c r="AFC200" s="697"/>
      <c r="AFD200" s="697"/>
      <c r="AFE200" s="697"/>
      <c r="AFF200" s="697"/>
      <c r="AFG200" s="697"/>
      <c r="AFH200" s="697"/>
      <c r="AFI200" s="697"/>
      <c r="AFJ200" s="697"/>
      <c r="AFK200" s="697"/>
      <c r="AFL200" s="697"/>
      <c r="AFM200" s="697"/>
      <c r="AFN200" s="697"/>
      <c r="AFO200" s="697"/>
      <c r="AFP200" s="697"/>
      <c r="AFQ200" s="697"/>
      <c r="AFR200" s="697"/>
      <c r="AFS200" s="697"/>
      <c r="AFT200" s="697"/>
      <c r="AFU200" s="697"/>
      <c r="AFV200" s="697"/>
      <c r="AFW200" s="697"/>
      <c r="AFX200" s="697"/>
      <c r="AFY200" s="697"/>
      <c r="AFZ200" s="697"/>
      <c r="AGA200" s="697"/>
      <c r="AGB200" s="697"/>
      <c r="AGC200" s="697"/>
      <c r="AGD200" s="697"/>
      <c r="AGE200" s="697"/>
      <c r="AGF200" s="697"/>
      <c r="AGG200" s="697"/>
      <c r="AGH200" s="697"/>
      <c r="AGI200" s="697"/>
      <c r="AGJ200" s="697"/>
      <c r="AGK200" s="697"/>
      <c r="AGL200" s="697"/>
      <c r="AGM200" s="697"/>
      <c r="AGN200" s="697"/>
      <c r="AGO200" s="697"/>
      <c r="AGP200" s="697"/>
      <c r="AGQ200" s="697"/>
      <c r="AGR200" s="697"/>
      <c r="AGS200" s="697"/>
      <c r="AGT200" s="697"/>
      <c r="AGU200" s="697"/>
      <c r="AGV200" s="697"/>
      <c r="AGW200" s="697"/>
      <c r="AGX200" s="697"/>
      <c r="AGY200" s="697"/>
      <c r="AGZ200" s="697"/>
      <c r="AHA200" s="697"/>
      <c r="AHB200" s="697"/>
      <c r="AHC200" s="697"/>
      <c r="AHD200" s="697"/>
      <c r="AHE200" s="697"/>
      <c r="AHF200" s="697"/>
      <c r="AHG200" s="697"/>
      <c r="AHH200" s="697"/>
      <c r="AHI200" s="697"/>
      <c r="AHJ200" s="697"/>
      <c r="AHK200" s="697"/>
      <c r="AHL200" s="697"/>
      <c r="AHM200" s="697"/>
      <c r="AHN200" s="697"/>
      <c r="AHO200" s="697"/>
      <c r="AHP200" s="697"/>
      <c r="AHQ200" s="697"/>
      <c r="AHR200" s="697"/>
      <c r="AHS200" s="697"/>
      <c r="AHT200" s="697"/>
      <c r="AHU200" s="697"/>
      <c r="AHV200" s="697"/>
      <c r="AHW200" s="697"/>
      <c r="AHX200" s="697"/>
      <c r="AHY200" s="697"/>
      <c r="AHZ200" s="697"/>
      <c r="AIA200" s="697"/>
      <c r="AIB200" s="697"/>
      <c r="AIC200" s="697"/>
      <c r="AID200" s="697"/>
      <c r="AIE200" s="697"/>
      <c r="AIF200" s="697"/>
      <c r="AIG200" s="697"/>
      <c r="AIH200" s="697"/>
      <c r="AII200" s="697"/>
      <c r="AIJ200" s="697"/>
      <c r="AIK200" s="697"/>
      <c r="AIL200" s="697"/>
      <c r="AIM200" s="697"/>
      <c r="AIN200" s="697"/>
      <c r="AIO200" s="697"/>
      <c r="AIP200" s="697"/>
      <c r="AIQ200" s="697"/>
      <c r="AIR200" s="697"/>
      <c r="AIS200" s="697"/>
      <c r="AIT200" s="697"/>
      <c r="AIU200" s="697"/>
      <c r="AIV200" s="697"/>
      <c r="AIW200" s="697"/>
      <c r="AIX200" s="697"/>
      <c r="AIY200" s="697"/>
      <c r="AIZ200" s="697"/>
      <c r="AJA200" s="697"/>
      <c r="AJB200" s="697"/>
      <c r="AJC200" s="697"/>
      <c r="AJD200" s="697"/>
      <c r="AJE200" s="697"/>
      <c r="AJF200" s="697"/>
      <c r="AJG200" s="697"/>
      <c r="AJH200" s="697"/>
      <c r="AJI200" s="697"/>
      <c r="AJJ200" s="697"/>
      <c r="AJK200" s="697"/>
      <c r="AJL200" s="697"/>
      <c r="AJM200" s="697"/>
      <c r="AJN200" s="697"/>
      <c r="AJO200" s="697"/>
      <c r="AJP200" s="697"/>
      <c r="AJQ200" s="697"/>
      <c r="AJR200" s="697"/>
      <c r="AJS200" s="697"/>
      <c r="AJT200" s="697"/>
      <c r="AJU200" s="697"/>
      <c r="AJV200" s="697"/>
      <c r="AJW200" s="697"/>
      <c r="AJX200" s="697"/>
      <c r="AJY200" s="697"/>
      <c r="AJZ200" s="697"/>
      <c r="AKA200" s="697"/>
      <c r="AKB200" s="697"/>
      <c r="AKC200" s="697"/>
      <c r="AKD200" s="697"/>
      <c r="AKE200" s="697"/>
      <c r="AKF200" s="697"/>
      <c r="AKG200" s="697"/>
      <c r="AKH200" s="697"/>
      <c r="AKI200" s="697"/>
      <c r="AKJ200" s="697"/>
      <c r="AKK200" s="697"/>
      <c r="AKL200" s="697"/>
      <c r="AKM200" s="697"/>
      <c r="AKN200" s="697"/>
      <c r="AKO200" s="697"/>
      <c r="AKP200" s="697"/>
      <c r="AKQ200" s="697"/>
      <c r="AKR200" s="697"/>
      <c r="AKS200" s="697"/>
      <c r="AKT200" s="697"/>
      <c r="AKU200" s="697"/>
      <c r="AKV200" s="697"/>
      <c r="AKW200" s="697"/>
      <c r="AKX200" s="697"/>
      <c r="AKY200" s="697"/>
      <c r="AKZ200" s="697"/>
      <c r="ALA200" s="697"/>
      <c r="ALB200" s="697"/>
      <c r="ALC200" s="697"/>
      <c r="ALD200" s="697"/>
      <c r="ALE200" s="697"/>
      <c r="ALF200" s="697"/>
      <c r="ALG200" s="697"/>
      <c r="ALH200" s="697"/>
      <c r="ALI200" s="697"/>
      <c r="ALJ200" s="697"/>
      <c r="ALK200" s="697"/>
      <c r="ALL200" s="697"/>
      <c r="ALM200" s="697"/>
      <c r="ALN200" s="697"/>
      <c r="ALO200" s="697"/>
      <c r="ALP200" s="697"/>
      <c r="ALQ200" s="697"/>
      <c r="ALR200" s="697"/>
      <c r="ALS200" s="697"/>
      <c r="ALT200" s="697"/>
      <c r="ALU200" s="697"/>
      <c r="ALV200" s="697"/>
      <c r="ALW200" s="697"/>
      <c r="ALX200" s="697"/>
      <c r="ALY200" s="697"/>
      <c r="ALZ200" s="697"/>
      <c r="AMA200" s="697"/>
      <c r="AMB200" s="697"/>
      <c r="AMC200" s="697"/>
      <c r="AMD200" s="697"/>
      <c r="AME200" s="697"/>
      <c r="AMF200" s="697"/>
      <c r="AMG200" s="697"/>
      <c r="AMH200" s="697"/>
      <c r="AMI200" s="697"/>
      <c r="AMJ200" s="697"/>
      <c r="AMK200" s="697"/>
      <c r="AML200" s="697"/>
      <c r="AMM200" s="697"/>
      <c r="AMN200" s="697"/>
      <c r="AMO200" s="697"/>
      <c r="AMP200" s="697"/>
      <c r="AMQ200" s="697"/>
      <c r="AMR200" s="697"/>
      <c r="AMS200" s="697"/>
      <c r="AMT200" s="697"/>
      <c r="AMU200" s="697"/>
      <c r="AMV200" s="697"/>
      <c r="AMW200" s="697"/>
      <c r="AMX200" s="697"/>
      <c r="AMY200" s="697"/>
      <c r="AMZ200" s="697"/>
      <c r="ANA200" s="697"/>
      <c r="ANB200" s="697"/>
      <c r="ANC200" s="697"/>
      <c r="AND200" s="697"/>
      <c r="ANE200" s="697"/>
      <c r="ANF200" s="697"/>
      <c r="ANG200" s="697"/>
      <c r="ANH200" s="697"/>
      <c r="ANI200" s="697"/>
      <c r="ANJ200" s="697"/>
      <c r="ANK200" s="697"/>
      <c r="ANL200" s="697"/>
      <c r="ANM200" s="697"/>
      <c r="ANN200" s="697"/>
      <c r="ANO200" s="697"/>
      <c r="ANP200" s="697"/>
      <c r="ANQ200" s="697"/>
      <c r="ANR200" s="697"/>
      <c r="ANS200" s="697"/>
      <c r="ANT200" s="697"/>
      <c r="ANU200" s="697"/>
      <c r="ANV200" s="697"/>
      <c r="ANW200" s="697"/>
      <c r="ANX200" s="697"/>
      <c r="ANY200" s="697"/>
      <c r="ANZ200" s="697"/>
      <c r="AOA200" s="697"/>
      <c r="AOB200" s="697"/>
      <c r="AOC200" s="697"/>
      <c r="AOD200" s="697"/>
      <c r="AOE200" s="697"/>
      <c r="AOF200" s="697"/>
      <c r="AOG200" s="697"/>
      <c r="AOH200" s="697"/>
      <c r="AOI200" s="697"/>
      <c r="AOJ200" s="697"/>
      <c r="AOK200" s="697"/>
      <c r="AOL200" s="697"/>
      <c r="AOM200" s="697"/>
      <c r="AON200" s="697"/>
      <c r="AOO200" s="697"/>
      <c r="AOP200" s="697"/>
      <c r="AOQ200" s="697"/>
      <c r="AOR200" s="697"/>
      <c r="AOS200" s="697"/>
      <c r="AOT200" s="697"/>
      <c r="AOU200" s="697"/>
      <c r="AOV200" s="697"/>
      <c r="AOW200" s="697"/>
      <c r="AOX200" s="697"/>
      <c r="AOY200" s="697"/>
      <c r="AOZ200" s="697"/>
      <c r="APA200" s="697"/>
      <c r="APB200" s="697"/>
      <c r="APC200" s="697"/>
      <c r="APD200" s="697"/>
      <c r="APE200" s="697"/>
      <c r="APF200" s="697"/>
      <c r="APG200" s="697"/>
      <c r="APH200" s="697"/>
      <c r="API200" s="697"/>
      <c r="APJ200" s="697"/>
      <c r="APK200" s="697"/>
      <c r="APL200" s="697"/>
      <c r="APM200" s="697"/>
      <c r="APN200" s="697"/>
      <c r="APO200" s="697"/>
      <c r="APP200" s="697"/>
      <c r="APQ200" s="697"/>
      <c r="APR200" s="697"/>
      <c r="APS200" s="697"/>
      <c r="APT200" s="697"/>
      <c r="APU200" s="697"/>
      <c r="APV200" s="697"/>
      <c r="APW200" s="697"/>
      <c r="APX200" s="697"/>
      <c r="APY200" s="697"/>
      <c r="APZ200" s="697"/>
      <c r="AQA200" s="697"/>
      <c r="AQB200" s="697"/>
      <c r="AQC200" s="697"/>
      <c r="AQD200" s="697"/>
      <c r="AQE200" s="697"/>
      <c r="AQF200" s="697"/>
      <c r="AQG200" s="697"/>
      <c r="AQH200" s="697"/>
      <c r="AQI200" s="697"/>
      <c r="AQJ200" s="697"/>
      <c r="AQK200" s="697"/>
      <c r="AQL200" s="697"/>
      <c r="AQM200" s="697"/>
      <c r="AQN200" s="697"/>
      <c r="AQO200" s="697"/>
      <c r="AQP200" s="697"/>
      <c r="AQQ200" s="697"/>
      <c r="AQR200" s="697"/>
      <c r="AQS200" s="697"/>
      <c r="AQT200" s="697"/>
      <c r="AQU200" s="697"/>
      <c r="AQV200" s="697"/>
      <c r="AQW200" s="697"/>
      <c r="AQX200" s="697"/>
      <c r="AQY200" s="697"/>
      <c r="AQZ200" s="697"/>
      <c r="ARA200" s="697"/>
      <c r="ARB200" s="697"/>
      <c r="ARC200" s="697"/>
      <c r="ARD200" s="697"/>
      <c r="ARE200" s="697"/>
      <c r="ARF200" s="697"/>
      <c r="ARG200" s="697"/>
      <c r="ARH200" s="697"/>
      <c r="ARI200" s="697"/>
      <c r="ARJ200" s="697"/>
      <c r="ARK200" s="697"/>
      <c r="ARL200" s="697"/>
      <c r="ARM200" s="697"/>
      <c r="ARN200" s="697"/>
      <c r="ARO200" s="697"/>
      <c r="ARP200" s="697"/>
      <c r="ARQ200" s="697"/>
      <c r="ARR200" s="697"/>
      <c r="ARS200" s="697"/>
      <c r="ART200" s="697"/>
      <c r="ARU200" s="697"/>
      <c r="ARV200" s="697"/>
      <c r="ARW200" s="697"/>
      <c r="ARX200" s="697"/>
      <c r="ARY200" s="697"/>
      <c r="ARZ200" s="697"/>
      <c r="ASA200" s="697"/>
      <c r="ASB200" s="697"/>
      <c r="ASC200" s="697"/>
      <c r="ASD200" s="697"/>
      <c r="ASE200" s="697"/>
      <c r="ASF200" s="697"/>
      <c r="ASG200" s="697"/>
      <c r="ASH200" s="697"/>
      <c r="ASI200" s="697"/>
      <c r="ASJ200" s="697"/>
      <c r="ASK200" s="697"/>
      <c r="ASL200" s="697"/>
      <c r="ASM200" s="697"/>
      <c r="ASN200" s="697"/>
      <c r="ASO200" s="697"/>
      <c r="ASP200" s="697"/>
      <c r="ASQ200" s="697"/>
      <c r="ASR200" s="697"/>
      <c r="ASS200" s="697"/>
      <c r="AST200" s="697"/>
      <c r="ASU200" s="697"/>
      <c r="ASV200" s="697"/>
      <c r="ASW200" s="697"/>
      <c r="ASX200" s="697"/>
      <c r="ASY200" s="697"/>
      <c r="ASZ200" s="697"/>
      <c r="ATA200" s="697"/>
      <c r="ATB200" s="697"/>
      <c r="ATC200" s="697"/>
      <c r="ATD200" s="697"/>
      <c r="ATE200" s="697"/>
      <c r="ATF200" s="697"/>
      <c r="ATG200" s="697"/>
      <c r="ATH200" s="697"/>
      <c r="ATI200" s="697"/>
      <c r="ATJ200" s="697"/>
      <c r="ATK200" s="697"/>
      <c r="ATL200" s="697"/>
      <c r="ATM200" s="697"/>
      <c r="ATN200" s="697"/>
      <c r="ATO200" s="697"/>
      <c r="ATP200" s="697"/>
      <c r="ATQ200" s="697"/>
      <c r="ATR200" s="697"/>
      <c r="ATS200" s="697"/>
      <c r="ATT200" s="697"/>
      <c r="ATU200" s="697"/>
      <c r="ATV200" s="697"/>
      <c r="ATW200" s="697"/>
      <c r="ATX200" s="697"/>
      <c r="ATY200" s="697"/>
      <c r="ATZ200" s="697"/>
      <c r="AUA200" s="697"/>
      <c r="AUB200" s="697"/>
      <c r="AUC200" s="697"/>
      <c r="AUD200" s="697"/>
      <c r="AUE200" s="697"/>
      <c r="AUF200" s="697"/>
      <c r="AUG200" s="697"/>
      <c r="AUH200" s="697"/>
      <c r="AUI200" s="697"/>
      <c r="AUJ200" s="697"/>
      <c r="AUK200" s="697"/>
      <c r="AUL200" s="697"/>
      <c r="AUM200" s="697"/>
      <c r="AUN200" s="697"/>
      <c r="AUO200" s="697"/>
      <c r="AUP200" s="697"/>
      <c r="AUQ200" s="697"/>
      <c r="AUR200" s="697"/>
      <c r="AUS200" s="697"/>
      <c r="AUT200" s="697"/>
      <c r="AUU200" s="697"/>
      <c r="AUV200" s="697"/>
      <c r="AUW200" s="697"/>
      <c r="AUX200" s="697"/>
      <c r="AUY200" s="697"/>
      <c r="AUZ200" s="697"/>
      <c r="AVA200" s="697"/>
      <c r="AVB200" s="697"/>
      <c r="AVC200" s="697"/>
      <c r="AVD200" s="697"/>
      <c r="AVE200" s="697"/>
      <c r="AVF200" s="697"/>
      <c r="AVG200" s="697"/>
      <c r="AVH200" s="697"/>
      <c r="AVI200" s="697"/>
      <c r="AVJ200" s="697"/>
      <c r="AVK200" s="697"/>
      <c r="AVL200" s="697"/>
      <c r="AVM200" s="697"/>
      <c r="AVN200" s="697"/>
      <c r="AVO200" s="697"/>
      <c r="AVP200" s="697"/>
      <c r="AVQ200" s="697"/>
      <c r="AVR200" s="697"/>
      <c r="AVS200" s="697"/>
      <c r="AVT200" s="697"/>
      <c r="AVU200" s="697"/>
      <c r="AVV200" s="697"/>
      <c r="AVW200" s="697"/>
      <c r="AVX200" s="697"/>
      <c r="AVY200" s="697"/>
      <c r="AVZ200" s="697"/>
      <c r="AWA200" s="697"/>
      <c r="AWB200" s="697"/>
      <c r="AWC200" s="697"/>
      <c r="AWD200" s="697"/>
      <c r="AWE200" s="697"/>
      <c r="AWF200" s="697"/>
      <c r="AWG200" s="697"/>
      <c r="AWH200" s="697"/>
      <c r="AWI200" s="697"/>
      <c r="AWJ200" s="697"/>
      <c r="AWK200" s="697"/>
      <c r="AWL200" s="697"/>
      <c r="AWM200" s="697"/>
      <c r="AWN200" s="697"/>
      <c r="AWO200" s="697"/>
      <c r="AWP200" s="697"/>
      <c r="AWQ200" s="697"/>
      <c r="AWR200" s="697"/>
      <c r="AWS200" s="697"/>
      <c r="AWT200" s="697"/>
      <c r="AWU200" s="697"/>
      <c r="AWV200" s="697"/>
      <c r="AWW200" s="697"/>
      <c r="AWX200" s="697"/>
      <c r="AWY200" s="697"/>
      <c r="AWZ200" s="697"/>
      <c r="AXA200" s="697"/>
      <c r="AXB200" s="697"/>
      <c r="AXC200" s="697"/>
      <c r="AXD200" s="697"/>
      <c r="AXE200" s="697"/>
      <c r="AXF200" s="697"/>
      <c r="AXG200" s="697"/>
      <c r="AXH200" s="697"/>
      <c r="AXI200" s="697"/>
      <c r="AXJ200" s="697"/>
      <c r="AXK200" s="697"/>
      <c r="AXL200" s="697"/>
      <c r="AXM200" s="697"/>
      <c r="AXN200" s="697"/>
      <c r="AXO200" s="697"/>
      <c r="AXP200" s="697"/>
      <c r="AXQ200" s="697"/>
      <c r="AXR200" s="697"/>
      <c r="AXS200" s="697"/>
      <c r="AXT200" s="697"/>
      <c r="AXU200" s="697"/>
      <c r="AXV200" s="697"/>
      <c r="AXW200" s="697"/>
      <c r="AXX200" s="697"/>
      <c r="AXY200" s="697"/>
      <c r="AXZ200" s="697"/>
      <c r="AYA200" s="697"/>
      <c r="AYB200" s="697"/>
      <c r="AYC200" s="697"/>
      <c r="AYD200" s="697"/>
      <c r="AYE200" s="697"/>
      <c r="AYF200" s="697"/>
      <c r="AYG200" s="697"/>
      <c r="AYH200" s="697"/>
      <c r="AYI200" s="697"/>
      <c r="AYJ200" s="697"/>
      <c r="AYK200" s="697"/>
      <c r="AYL200" s="697"/>
      <c r="AYM200" s="697"/>
      <c r="AYN200" s="697"/>
      <c r="AYO200" s="697"/>
      <c r="AYP200" s="697"/>
      <c r="AYQ200" s="697"/>
      <c r="AYR200" s="697"/>
      <c r="AYS200" s="697"/>
      <c r="AYT200" s="697"/>
      <c r="AYU200" s="697"/>
      <c r="AYV200" s="697"/>
      <c r="AYW200" s="697"/>
      <c r="AYX200" s="697"/>
      <c r="AYY200" s="697"/>
      <c r="AYZ200" s="697"/>
      <c r="AZA200" s="697"/>
      <c r="AZB200" s="697"/>
      <c r="AZC200" s="697"/>
      <c r="AZD200" s="697"/>
      <c r="AZE200" s="697"/>
      <c r="AZF200" s="697"/>
      <c r="AZG200" s="697"/>
      <c r="AZH200" s="697"/>
      <c r="AZI200" s="697"/>
      <c r="AZJ200" s="697"/>
      <c r="AZK200" s="697"/>
      <c r="AZL200" s="697"/>
      <c r="AZM200" s="697"/>
      <c r="AZN200" s="697"/>
      <c r="AZO200" s="697"/>
      <c r="AZP200" s="697"/>
      <c r="AZQ200" s="697"/>
      <c r="AZR200" s="697"/>
      <c r="AZS200" s="697"/>
      <c r="AZT200" s="697"/>
      <c r="AZU200" s="697"/>
      <c r="AZV200" s="697"/>
      <c r="AZW200" s="697"/>
      <c r="AZX200" s="697"/>
      <c r="AZY200" s="697"/>
      <c r="AZZ200" s="697"/>
      <c r="BAA200" s="697"/>
      <c r="BAB200" s="697"/>
      <c r="BAC200" s="697"/>
      <c r="BAD200" s="697"/>
      <c r="BAE200" s="697"/>
      <c r="BAF200" s="697"/>
      <c r="BAG200" s="697"/>
      <c r="BAH200" s="697"/>
      <c r="BAI200" s="697"/>
      <c r="BAJ200" s="697"/>
      <c r="BAK200" s="697"/>
      <c r="BAL200" s="697"/>
      <c r="BAM200" s="697"/>
      <c r="BAN200" s="697"/>
      <c r="BAO200" s="697"/>
      <c r="BAP200" s="697"/>
      <c r="BAQ200" s="697"/>
      <c r="BAR200" s="697"/>
      <c r="BAS200" s="697"/>
      <c r="BAT200" s="697"/>
      <c r="BAU200" s="697"/>
      <c r="BAV200" s="697"/>
      <c r="BAW200" s="697"/>
      <c r="BAX200" s="697"/>
      <c r="BAY200" s="697"/>
      <c r="BAZ200" s="697"/>
      <c r="BBA200" s="697"/>
      <c r="BBB200" s="697"/>
      <c r="BBC200" s="697"/>
      <c r="BBD200" s="697"/>
      <c r="BBE200" s="697"/>
      <c r="BBF200" s="697"/>
      <c r="BBG200" s="697"/>
      <c r="BBH200" s="697"/>
      <c r="BBI200" s="697"/>
      <c r="BBJ200" s="697"/>
      <c r="BBK200" s="697"/>
      <c r="BBL200" s="697"/>
      <c r="BBM200" s="697"/>
      <c r="BBN200" s="697"/>
      <c r="BBO200" s="697"/>
      <c r="BBP200" s="697"/>
      <c r="BBQ200" s="697"/>
      <c r="BBR200" s="697"/>
      <c r="BBS200" s="697"/>
      <c r="BBT200" s="697"/>
      <c r="BBU200" s="697"/>
      <c r="BBV200" s="697"/>
      <c r="BBW200" s="697"/>
      <c r="BBX200" s="697"/>
      <c r="BBY200" s="697"/>
      <c r="BBZ200" s="697"/>
      <c r="BCA200" s="697"/>
      <c r="BCB200" s="697"/>
      <c r="BCC200" s="697"/>
      <c r="BCD200" s="697"/>
      <c r="BCE200" s="697"/>
      <c r="BCF200" s="697"/>
      <c r="BCG200" s="697"/>
      <c r="BCH200" s="697"/>
      <c r="BCI200" s="697"/>
      <c r="BCJ200" s="697"/>
      <c r="BCK200" s="697"/>
      <c r="BCL200" s="697"/>
      <c r="BCM200" s="697"/>
      <c r="BCN200" s="697"/>
      <c r="BCO200" s="697"/>
      <c r="BCP200" s="697"/>
      <c r="BCQ200" s="697"/>
      <c r="BCR200" s="697"/>
      <c r="BCS200" s="697"/>
      <c r="BCT200" s="697"/>
      <c r="BCU200" s="697"/>
      <c r="BCV200" s="697"/>
      <c r="BCW200" s="697"/>
      <c r="BCX200" s="697"/>
      <c r="BCY200" s="697"/>
      <c r="BCZ200" s="697"/>
      <c r="BDA200" s="697"/>
      <c r="BDB200" s="697"/>
      <c r="BDC200" s="697"/>
      <c r="BDD200" s="697"/>
      <c r="BDE200" s="697"/>
      <c r="BDF200" s="697"/>
      <c r="BDG200" s="697"/>
      <c r="BDH200" s="697"/>
      <c r="BDI200" s="697"/>
      <c r="BDJ200" s="697"/>
      <c r="BDK200" s="697"/>
      <c r="BDL200" s="697"/>
      <c r="BDM200" s="697"/>
      <c r="BDN200" s="697"/>
      <c r="BDO200" s="697"/>
      <c r="BDP200" s="697"/>
      <c r="BDQ200" s="697"/>
      <c r="BDR200" s="697"/>
      <c r="BDS200" s="697"/>
      <c r="BDT200" s="697"/>
      <c r="BDU200" s="697"/>
      <c r="BDV200" s="697"/>
      <c r="BDW200" s="697"/>
      <c r="BDX200" s="697"/>
      <c r="BDY200" s="697"/>
      <c r="BDZ200" s="697"/>
      <c r="BEA200" s="697"/>
      <c r="BEB200" s="697"/>
      <c r="BEC200" s="697"/>
      <c r="BED200" s="697"/>
      <c r="BEE200" s="697"/>
      <c r="BEF200" s="697"/>
      <c r="BEG200" s="697"/>
      <c r="BEH200" s="697"/>
      <c r="BEI200" s="697"/>
      <c r="BEJ200" s="697"/>
      <c r="BEK200" s="697"/>
      <c r="BEL200" s="697"/>
      <c r="BEM200" s="697"/>
      <c r="BEN200" s="697"/>
      <c r="BEO200" s="697"/>
      <c r="BEP200" s="697"/>
      <c r="BEQ200" s="697"/>
      <c r="BER200" s="697"/>
      <c r="BES200" s="697"/>
      <c r="BET200" s="697"/>
      <c r="BEU200" s="697"/>
      <c r="BEV200" s="697"/>
      <c r="BEW200" s="697"/>
      <c r="BEX200" s="697"/>
      <c r="BEY200" s="697"/>
      <c r="BEZ200" s="697"/>
      <c r="BFA200" s="697"/>
      <c r="BFB200" s="697"/>
      <c r="BFC200" s="697"/>
      <c r="BFD200" s="697"/>
      <c r="BFE200" s="697"/>
      <c r="BFF200" s="697"/>
      <c r="BFG200" s="697"/>
      <c r="BFH200" s="697"/>
      <c r="BFI200" s="697"/>
      <c r="BFJ200" s="697"/>
      <c r="BFK200" s="697"/>
      <c r="BFL200" s="697"/>
      <c r="BFM200" s="697"/>
      <c r="BFN200" s="697"/>
      <c r="BFO200" s="697"/>
      <c r="BFP200" s="697"/>
      <c r="BFQ200" s="697"/>
      <c r="BFR200" s="697"/>
      <c r="BFS200" s="697"/>
      <c r="BFT200" s="697"/>
      <c r="BFU200" s="697"/>
      <c r="BFV200" s="697"/>
      <c r="BFW200" s="697"/>
      <c r="BFX200" s="697"/>
      <c r="BFY200" s="697"/>
      <c r="BFZ200" s="697"/>
      <c r="BGA200" s="697"/>
      <c r="BGB200" s="697"/>
      <c r="BGC200" s="697"/>
      <c r="BGD200" s="697"/>
      <c r="BGE200" s="697"/>
      <c r="BGF200" s="697"/>
      <c r="BGG200" s="697"/>
      <c r="BGH200" s="697"/>
      <c r="BGI200" s="697"/>
      <c r="BGJ200" s="697"/>
      <c r="BGK200" s="697"/>
      <c r="BGL200" s="697"/>
      <c r="BGM200" s="697"/>
      <c r="BGN200" s="697"/>
      <c r="BGO200" s="697"/>
      <c r="BGP200" s="697"/>
      <c r="BGQ200" s="697"/>
      <c r="BGR200" s="697"/>
      <c r="BGS200" s="697"/>
      <c r="BGT200" s="697"/>
      <c r="BGU200" s="697"/>
      <c r="BGV200" s="697"/>
      <c r="BGW200" s="697"/>
      <c r="BGX200" s="697"/>
      <c r="BGY200" s="697"/>
      <c r="BGZ200" s="697"/>
      <c r="BHA200" s="697"/>
      <c r="BHB200" s="697"/>
      <c r="BHC200" s="697"/>
      <c r="BHD200" s="697"/>
      <c r="BHE200" s="697"/>
      <c r="BHF200" s="697"/>
      <c r="BHG200" s="697"/>
      <c r="BHH200" s="697"/>
      <c r="BHI200" s="697"/>
      <c r="BHJ200" s="697"/>
      <c r="BHK200" s="697"/>
      <c r="BHL200" s="697"/>
      <c r="BHM200" s="697"/>
      <c r="BHN200" s="697"/>
      <c r="BHO200" s="697"/>
      <c r="BHP200" s="697"/>
      <c r="BHQ200" s="697"/>
      <c r="BHR200" s="697"/>
      <c r="BHS200" s="697"/>
      <c r="BHT200" s="697"/>
      <c r="BHU200" s="697"/>
      <c r="BHV200" s="697"/>
      <c r="BHW200" s="697"/>
      <c r="BHX200" s="697"/>
      <c r="BHY200" s="697"/>
      <c r="BHZ200" s="697"/>
      <c r="BIA200" s="697"/>
      <c r="BIB200" s="697"/>
      <c r="BIC200" s="697"/>
      <c r="BID200" s="697"/>
      <c r="BIE200" s="697"/>
      <c r="BIF200" s="697"/>
      <c r="BIG200" s="697"/>
      <c r="BIH200" s="697"/>
      <c r="BII200" s="697"/>
      <c r="BIJ200" s="697"/>
      <c r="BIK200" s="697"/>
      <c r="BIL200" s="697"/>
      <c r="BIM200" s="697"/>
      <c r="BIN200" s="697"/>
      <c r="BIO200" s="697"/>
      <c r="BIP200" s="697"/>
      <c r="BIQ200" s="697"/>
      <c r="BIR200" s="697"/>
      <c r="BIS200" s="697"/>
      <c r="BIT200" s="697"/>
      <c r="BIU200" s="697"/>
      <c r="BIV200" s="697"/>
      <c r="BIW200" s="697"/>
      <c r="BIX200" s="697"/>
      <c r="BIY200" s="697"/>
      <c r="BIZ200" s="697"/>
      <c r="BJA200" s="697"/>
      <c r="BJB200" s="697"/>
      <c r="BJC200" s="697"/>
      <c r="BJD200" s="697"/>
      <c r="BJE200" s="697"/>
      <c r="BJF200" s="697"/>
      <c r="BJG200" s="697"/>
      <c r="BJH200" s="697"/>
      <c r="BJI200" s="697"/>
      <c r="BJJ200" s="697"/>
      <c r="BJK200" s="697"/>
      <c r="BJL200" s="697"/>
      <c r="BJM200" s="697"/>
      <c r="BJN200" s="697"/>
      <c r="BJO200" s="697"/>
      <c r="BJP200" s="697"/>
      <c r="BJQ200" s="697"/>
      <c r="BJR200" s="697"/>
      <c r="BJS200" s="697"/>
      <c r="BJT200" s="697"/>
      <c r="BJU200" s="697"/>
      <c r="BJV200" s="697"/>
      <c r="BJW200" s="697"/>
      <c r="BJX200" s="697"/>
      <c r="BJY200" s="697"/>
      <c r="BJZ200" s="697"/>
      <c r="BKA200" s="697"/>
      <c r="BKB200" s="697"/>
      <c r="BKC200" s="697"/>
      <c r="BKD200" s="697"/>
      <c r="BKE200" s="697"/>
      <c r="BKF200" s="697"/>
      <c r="BKG200" s="697"/>
      <c r="BKH200" s="697"/>
      <c r="BKI200" s="697"/>
      <c r="BKJ200" s="697"/>
      <c r="BKK200" s="697"/>
      <c r="BKL200" s="697"/>
      <c r="BKM200" s="697"/>
      <c r="BKN200" s="697"/>
      <c r="BKO200" s="697"/>
      <c r="BKP200" s="697"/>
      <c r="BKQ200" s="697"/>
      <c r="BKR200" s="697"/>
      <c r="BKS200" s="697"/>
      <c r="BKT200" s="697"/>
      <c r="BKU200" s="697"/>
      <c r="BKV200" s="697"/>
      <c r="BKW200" s="697"/>
      <c r="BKX200" s="697"/>
      <c r="BKY200" s="697"/>
      <c r="BKZ200" s="697"/>
      <c r="BLA200" s="697"/>
      <c r="BLB200" s="697"/>
      <c r="BLC200" s="697"/>
      <c r="BLD200" s="697"/>
      <c r="BLE200" s="697"/>
      <c r="BLF200" s="697"/>
      <c r="BLG200" s="697"/>
      <c r="BLH200" s="697"/>
      <c r="BLI200" s="697"/>
      <c r="BLJ200" s="697"/>
      <c r="BLK200" s="697"/>
      <c r="BLL200" s="697"/>
      <c r="BLM200" s="697"/>
      <c r="BLN200" s="697"/>
      <c r="BLO200" s="697"/>
      <c r="BLP200" s="697"/>
      <c r="BLQ200" s="697"/>
      <c r="BLR200" s="697"/>
      <c r="BLS200" s="697"/>
      <c r="BLT200" s="697"/>
      <c r="BLU200" s="697"/>
      <c r="BLV200" s="697"/>
      <c r="BLW200" s="697"/>
      <c r="BLX200" s="697"/>
      <c r="BLY200" s="697"/>
      <c r="BLZ200" s="697"/>
      <c r="BMA200" s="697"/>
      <c r="BMB200" s="697"/>
      <c r="BMC200" s="697"/>
      <c r="BMD200" s="697"/>
      <c r="BME200" s="697"/>
      <c r="BMF200" s="697"/>
      <c r="BMG200" s="697"/>
      <c r="BMH200" s="697"/>
      <c r="BMI200" s="697"/>
      <c r="BMJ200" s="697"/>
      <c r="BMK200" s="697"/>
      <c r="BML200" s="697"/>
      <c r="BMM200" s="697"/>
      <c r="BMN200" s="697"/>
      <c r="BMO200" s="697"/>
      <c r="BMP200" s="697"/>
      <c r="BMQ200" s="697"/>
      <c r="BMR200" s="697"/>
      <c r="BMS200" s="697"/>
      <c r="BMT200" s="697"/>
      <c r="BMU200" s="697"/>
      <c r="BMV200" s="697"/>
      <c r="BMW200" s="697"/>
      <c r="BMX200" s="697"/>
      <c r="BMY200" s="697"/>
      <c r="BMZ200" s="697"/>
      <c r="BNA200" s="697"/>
      <c r="BNB200" s="697"/>
      <c r="BNC200" s="697"/>
      <c r="BND200" s="697"/>
      <c r="BNE200" s="697"/>
      <c r="BNF200" s="697"/>
      <c r="BNG200" s="697"/>
      <c r="BNH200" s="697"/>
      <c r="BNI200" s="697"/>
      <c r="BNJ200" s="697"/>
      <c r="BNK200" s="697"/>
      <c r="BNL200" s="697"/>
      <c r="BNM200" s="697"/>
      <c r="BNN200" s="697"/>
      <c r="BNO200" s="697"/>
      <c r="BNP200" s="697"/>
      <c r="BNQ200" s="697"/>
      <c r="BNR200" s="697"/>
      <c r="BNS200" s="697"/>
      <c r="BNT200" s="697"/>
      <c r="BNU200" s="697"/>
      <c r="BNV200" s="697"/>
      <c r="BNW200" s="697"/>
      <c r="BNX200" s="697"/>
      <c r="BNY200" s="697"/>
      <c r="BNZ200" s="697"/>
      <c r="BOA200" s="697"/>
      <c r="BOB200" s="697"/>
      <c r="BOC200" s="697"/>
      <c r="BOD200" s="697"/>
      <c r="BOE200" s="697"/>
      <c r="BOF200" s="697"/>
      <c r="BOG200" s="697"/>
      <c r="BOH200" s="697"/>
      <c r="BOI200" s="697"/>
      <c r="BOJ200" s="697"/>
      <c r="BOK200" s="697"/>
      <c r="BOL200" s="697"/>
      <c r="BOM200" s="697"/>
      <c r="BON200" s="697"/>
      <c r="BOO200" s="697"/>
      <c r="BOP200" s="697"/>
      <c r="BOQ200" s="697"/>
      <c r="BOR200" s="697"/>
      <c r="BOS200" s="697"/>
      <c r="BOT200" s="697"/>
      <c r="BOU200" s="697"/>
      <c r="BOV200" s="697"/>
      <c r="BOW200" s="697"/>
      <c r="BOX200" s="697"/>
      <c r="BOY200" s="697"/>
      <c r="BOZ200" s="697"/>
      <c r="BPA200" s="697"/>
      <c r="BPB200" s="697"/>
      <c r="BPC200" s="697"/>
      <c r="BPD200" s="697"/>
      <c r="BPE200" s="697"/>
      <c r="BPF200" s="697"/>
      <c r="BPG200" s="697"/>
      <c r="BPH200" s="697"/>
      <c r="BPI200" s="697"/>
      <c r="BPJ200" s="697"/>
      <c r="BPK200" s="697"/>
      <c r="BPL200" s="697"/>
      <c r="BPM200" s="697"/>
      <c r="BPN200" s="697"/>
      <c r="BPO200" s="697"/>
      <c r="BPP200" s="697"/>
      <c r="BPQ200" s="697"/>
      <c r="BPR200" s="697"/>
      <c r="BPS200" s="697"/>
      <c r="BPT200" s="697"/>
      <c r="BPU200" s="697"/>
      <c r="BPV200" s="697"/>
      <c r="BPW200" s="697"/>
      <c r="BPX200" s="697"/>
      <c r="BPY200" s="697"/>
      <c r="BPZ200" s="697"/>
      <c r="BQA200" s="697"/>
      <c r="BQB200" s="697"/>
      <c r="BQC200" s="697"/>
      <c r="BQD200" s="697"/>
      <c r="BQE200" s="697"/>
      <c r="BQF200" s="697"/>
      <c r="BQG200" s="697"/>
      <c r="BQH200" s="697"/>
      <c r="BQI200" s="697"/>
      <c r="BQJ200" s="697"/>
      <c r="BQK200" s="697"/>
      <c r="BQL200" s="697"/>
      <c r="BQM200" s="697"/>
      <c r="BQN200" s="697"/>
      <c r="BQO200" s="697"/>
      <c r="BQP200" s="697"/>
      <c r="BQQ200" s="697"/>
      <c r="BQR200" s="697"/>
      <c r="BQS200" s="697"/>
      <c r="BQT200" s="697"/>
      <c r="BQU200" s="697"/>
      <c r="BQV200" s="697"/>
      <c r="BQW200" s="697"/>
      <c r="BQX200" s="697"/>
      <c r="BQY200" s="697"/>
      <c r="BQZ200" s="697"/>
      <c r="BRA200" s="697"/>
      <c r="BRB200" s="697"/>
      <c r="BRC200" s="697"/>
      <c r="BRD200" s="697"/>
      <c r="BRE200" s="697"/>
      <c r="BRF200" s="697"/>
      <c r="BRG200" s="697"/>
      <c r="BRH200" s="697"/>
      <c r="BRI200" s="697"/>
      <c r="BRJ200" s="697"/>
      <c r="BRK200" s="697"/>
      <c r="BRL200" s="697"/>
      <c r="BRM200" s="697"/>
      <c r="BRN200" s="697"/>
      <c r="BRO200" s="697"/>
      <c r="BRP200" s="697"/>
      <c r="BRQ200" s="697"/>
      <c r="BRR200" s="697"/>
      <c r="BRS200" s="697"/>
      <c r="BRT200" s="697"/>
      <c r="BRU200" s="697"/>
      <c r="BRV200" s="697"/>
      <c r="BRW200" s="697"/>
      <c r="BRX200" s="697"/>
      <c r="BRY200" s="697"/>
      <c r="BRZ200" s="697"/>
      <c r="BSA200" s="697"/>
      <c r="BSB200" s="697"/>
      <c r="BSC200" s="697"/>
      <c r="BSD200" s="697"/>
      <c r="BSE200" s="697"/>
      <c r="BSF200" s="697"/>
      <c r="BSG200" s="697"/>
      <c r="BSH200" s="697"/>
      <c r="BSI200" s="697"/>
      <c r="BSJ200" s="697"/>
      <c r="BSK200" s="697"/>
      <c r="BSL200" s="697"/>
      <c r="BSM200" s="697"/>
      <c r="BSN200" s="697"/>
      <c r="BSO200" s="697"/>
      <c r="BSP200" s="697"/>
      <c r="BSQ200" s="697"/>
      <c r="BSR200" s="697"/>
      <c r="BSS200" s="697"/>
      <c r="BST200" s="697"/>
      <c r="BSU200" s="697"/>
      <c r="BSV200" s="697"/>
      <c r="BSW200" s="697"/>
      <c r="BSX200" s="697"/>
      <c r="BSY200" s="697"/>
      <c r="BSZ200" s="697"/>
      <c r="BTA200" s="697"/>
      <c r="BTB200" s="697"/>
      <c r="BTC200" s="697"/>
      <c r="BTD200" s="697"/>
      <c r="BTE200" s="697"/>
      <c r="BTF200" s="697"/>
      <c r="BTG200" s="697"/>
      <c r="BTH200" s="697"/>
      <c r="BTI200" s="697"/>
      <c r="BTJ200" s="697"/>
      <c r="BTK200" s="697"/>
      <c r="BTL200" s="697"/>
      <c r="BTM200" s="697"/>
      <c r="BTN200" s="697"/>
      <c r="BTO200" s="697"/>
      <c r="BTP200" s="697"/>
      <c r="BTQ200" s="697"/>
      <c r="BTR200" s="697"/>
      <c r="BTS200" s="697"/>
      <c r="BTT200" s="697"/>
      <c r="BTU200" s="697"/>
      <c r="BTV200" s="697"/>
      <c r="BTW200" s="697"/>
      <c r="BTX200" s="697"/>
      <c r="BTY200" s="697"/>
      <c r="BTZ200" s="697"/>
      <c r="BUA200" s="697"/>
      <c r="BUB200" s="697"/>
      <c r="BUC200" s="697"/>
      <c r="BUD200" s="697"/>
      <c r="BUE200" s="697"/>
      <c r="BUF200" s="697"/>
      <c r="BUG200" s="697"/>
      <c r="BUH200" s="697"/>
      <c r="BUI200" s="697"/>
      <c r="BUJ200" s="697"/>
      <c r="BUK200" s="697"/>
      <c r="BUL200" s="697"/>
      <c r="BUM200" s="697"/>
      <c r="BUN200" s="697"/>
      <c r="BUO200" s="697"/>
      <c r="BUP200" s="697"/>
      <c r="BUQ200" s="697"/>
      <c r="BUR200" s="697"/>
      <c r="BUS200" s="697"/>
      <c r="BUT200" s="697"/>
      <c r="BUU200" s="697"/>
      <c r="BUV200" s="697"/>
      <c r="BUW200" s="697"/>
      <c r="BUX200" s="697"/>
      <c r="BUY200" s="697"/>
      <c r="BUZ200" s="697"/>
      <c r="BVA200" s="697"/>
      <c r="BVB200" s="697"/>
      <c r="BVC200" s="697"/>
      <c r="BVD200" s="697"/>
      <c r="BVE200" s="697"/>
      <c r="BVF200" s="697"/>
      <c r="BVG200" s="697"/>
      <c r="BVH200" s="697"/>
      <c r="BVI200" s="697"/>
      <c r="BVJ200" s="697"/>
      <c r="BVK200" s="697"/>
      <c r="BVL200" s="697"/>
      <c r="BVM200" s="697"/>
      <c r="BVN200" s="697"/>
      <c r="BVO200" s="697"/>
      <c r="BVP200" s="697"/>
      <c r="BVQ200" s="697"/>
      <c r="BVR200" s="697"/>
      <c r="BVS200" s="697"/>
      <c r="BVT200" s="697"/>
      <c r="BVU200" s="697"/>
      <c r="BVV200" s="697"/>
      <c r="BVW200" s="697"/>
      <c r="BVX200" s="697"/>
      <c r="BVY200" s="697"/>
      <c r="BVZ200" s="697"/>
      <c r="BWA200" s="697"/>
      <c r="BWB200" s="697"/>
      <c r="BWC200" s="697"/>
      <c r="BWD200" s="697"/>
      <c r="BWE200" s="697"/>
      <c r="BWF200" s="697"/>
      <c r="BWG200" s="697"/>
      <c r="BWH200" s="697"/>
      <c r="BWI200" s="697"/>
      <c r="BWJ200" s="697"/>
      <c r="BWK200" s="697"/>
      <c r="BWL200" s="697"/>
      <c r="BWM200" s="697"/>
      <c r="BWN200" s="697"/>
      <c r="BWO200" s="697"/>
      <c r="BWP200" s="697"/>
      <c r="BWQ200" s="697"/>
      <c r="BWR200" s="697"/>
      <c r="BWS200" s="697"/>
      <c r="BWT200" s="697"/>
      <c r="BWU200" s="697"/>
      <c r="BWV200" s="697"/>
      <c r="BWW200" s="697"/>
      <c r="BWX200" s="697"/>
      <c r="BWY200" s="697"/>
      <c r="BWZ200" s="697"/>
      <c r="BXA200" s="697"/>
      <c r="BXB200" s="697"/>
      <c r="BXC200" s="697"/>
      <c r="BXD200" s="697"/>
      <c r="BXE200" s="697"/>
      <c r="BXF200" s="697"/>
      <c r="BXG200" s="697"/>
      <c r="BXH200" s="697"/>
      <c r="BXI200" s="697"/>
      <c r="BXJ200" s="697"/>
      <c r="BXK200" s="697"/>
      <c r="BXL200" s="697"/>
      <c r="BXM200" s="697"/>
      <c r="BXN200" s="697"/>
      <c r="BXO200" s="697"/>
      <c r="BXP200" s="697"/>
      <c r="BXQ200" s="697"/>
      <c r="BXR200" s="697"/>
      <c r="BXS200" s="697"/>
      <c r="BXT200" s="697"/>
      <c r="BXU200" s="697"/>
      <c r="BXV200" s="697"/>
      <c r="BXW200" s="697"/>
      <c r="BXX200" s="697"/>
      <c r="BXY200" s="697"/>
      <c r="BXZ200" s="697"/>
      <c r="BYA200" s="697"/>
      <c r="BYB200" s="697"/>
      <c r="BYC200" s="697"/>
      <c r="BYD200" s="697"/>
      <c r="BYE200" s="697"/>
      <c r="BYF200" s="697"/>
      <c r="BYG200" s="697"/>
      <c r="BYH200" s="697"/>
      <c r="BYI200" s="697"/>
      <c r="BYJ200" s="697"/>
      <c r="BYK200" s="697"/>
      <c r="BYL200" s="697"/>
      <c r="BYM200" s="697"/>
      <c r="BYN200" s="697"/>
      <c r="BYO200" s="697"/>
      <c r="BYP200" s="697"/>
      <c r="BYQ200" s="697"/>
      <c r="BYR200" s="697"/>
      <c r="BYS200" s="697"/>
      <c r="BYT200" s="697"/>
      <c r="BYU200" s="697"/>
      <c r="BYV200" s="697"/>
      <c r="BYW200" s="697"/>
      <c r="BYX200" s="697"/>
      <c r="BYY200" s="697"/>
      <c r="BYZ200" s="697"/>
      <c r="BZA200" s="697"/>
      <c r="BZB200" s="697"/>
      <c r="BZC200" s="697"/>
      <c r="BZD200" s="697"/>
      <c r="BZE200" s="697"/>
      <c r="BZF200" s="697"/>
      <c r="BZG200" s="697"/>
      <c r="BZH200" s="697"/>
      <c r="BZI200" s="697"/>
      <c r="BZJ200" s="697"/>
      <c r="BZK200" s="697"/>
      <c r="BZL200" s="697"/>
      <c r="BZM200" s="697"/>
      <c r="BZN200" s="697"/>
      <c r="BZO200" s="697"/>
      <c r="BZP200" s="697"/>
      <c r="BZQ200" s="697"/>
      <c r="BZR200" s="697"/>
      <c r="BZS200" s="697"/>
      <c r="BZT200" s="697"/>
      <c r="BZU200" s="697"/>
      <c r="BZV200" s="697"/>
      <c r="BZW200" s="697"/>
      <c r="BZX200" s="697"/>
      <c r="BZY200" s="697"/>
      <c r="BZZ200" s="697"/>
      <c r="CAA200" s="697"/>
      <c r="CAB200" s="697"/>
      <c r="CAC200" s="697"/>
      <c r="CAD200" s="697"/>
      <c r="CAE200" s="697"/>
      <c r="CAF200" s="697"/>
      <c r="CAG200" s="697"/>
      <c r="CAH200" s="697"/>
      <c r="CAI200" s="697"/>
      <c r="CAJ200" s="697"/>
      <c r="CAK200" s="697"/>
      <c r="CAL200" s="697"/>
      <c r="CAM200" s="697"/>
      <c r="CAN200" s="697"/>
      <c r="CAO200" s="697"/>
      <c r="CAP200" s="697"/>
      <c r="CAQ200" s="697"/>
      <c r="CAR200" s="697"/>
      <c r="CAS200" s="697"/>
      <c r="CAT200" s="697"/>
      <c r="CAU200" s="697"/>
      <c r="CAV200" s="697"/>
      <c r="CAW200" s="697"/>
      <c r="CAX200" s="697"/>
      <c r="CAY200" s="697"/>
      <c r="CAZ200" s="697"/>
      <c r="CBA200" s="697"/>
      <c r="CBB200" s="697"/>
      <c r="CBC200" s="697"/>
      <c r="CBD200" s="697"/>
      <c r="CBE200" s="697"/>
      <c r="CBF200" s="697"/>
      <c r="CBG200" s="697"/>
      <c r="CBH200" s="697"/>
      <c r="CBI200" s="697"/>
      <c r="CBJ200" s="697"/>
      <c r="CBK200" s="697"/>
      <c r="CBL200" s="697"/>
      <c r="CBM200" s="697"/>
      <c r="CBN200" s="697"/>
      <c r="CBO200" s="697"/>
      <c r="CBP200" s="697"/>
      <c r="CBQ200" s="697"/>
      <c r="CBR200" s="697"/>
      <c r="CBS200" s="697"/>
      <c r="CBT200" s="697"/>
      <c r="CBU200" s="697"/>
      <c r="CBV200" s="697"/>
      <c r="CBW200" s="697"/>
      <c r="CBX200" s="697"/>
      <c r="CBY200" s="697"/>
      <c r="CBZ200" s="697"/>
      <c r="CCA200" s="697"/>
      <c r="CCB200" s="697"/>
      <c r="CCC200" s="697"/>
      <c r="CCD200" s="697"/>
      <c r="CCE200" s="697"/>
      <c r="CCF200" s="697"/>
      <c r="CCG200" s="697"/>
      <c r="CCH200" s="697"/>
      <c r="CCI200" s="697"/>
      <c r="CCJ200" s="697"/>
      <c r="CCK200" s="697"/>
      <c r="CCL200" s="697"/>
      <c r="CCM200" s="697"/>
      <c r="CCN200" s="697"/>
      <c r="CCO200" s="697"/>
      <c r="CCP200" s="697"/>
      <c r="CCQ200" s="697"/>
      <c r="CCR200" s="697"/>
      <c r="CCS200" s="697"/>
      <c r="CCT200" s="697"/>
      <c r="CCU200" s="697"/>
      <c r="CCV200" s="697"/>
      <c r="CCW200" s="697"/>
      <c r="CCX200" s="697"/>
      <c r="CCY200" s="697"/>
      <c r="CCZ200" s="697"/>
      <c r="CDA200" s="697"/>
      <c r="CDB200" s="697"/>
      <c r="CDC200" s="697"/>
      <c r="CDD200" s="697"/>
      <c r="CDE200" s="697"/>
      <c r="CDF200" s="697"/>
      <c r="CDG200" s="697"/>
      <c r="CDH200" s="697"/>
      <c r="CDI200" s="697"/>
      <c r="CDJ200" s="697"/>
      <c r="CDK200" s="697"/>
      <c r="CDL200" s="697"/>
      <c r="CDM200" s="697"/>
      <c r="CDN200" s="697"/>
      <c r="CDO200" s="697"/>
      <c r="CDP200" s="697"/>
      <c r="CDQ200" s="697"/>
      <c r="CDR200" s="697"/>
      <c r="CDS200" s="697"/>
      <c r="CDT200" s="697"/>
      <c r="CDU200" s="697"/>
      <c r="CDV200" s="697"/>
      <c r="CDW200" s="697"/>
      <c r="CDX200" s="697"/>
      <c r="CDY200" s="697"/>
      <c r="CDZ200" s="697"/>
      <c r="CEA200" s="697"/>
      <c r="CEB200" s="697"/>
      <c r="CEC200" s="697"/>
      <c r="CED200" s="697"/>
      <c r="CEE200" s="697"/>
      <c r="CEF200" s="697"/>
      <c r="CEG200" s="697"/>
      <c r="CEH200" s="697"/>
      <c r="CEI200" s="697"/>
      <c r="CEJ200" s="697"/>
      <c r="CEK200" s="697"/>
      <c r="CEL200" s="697"/>
      <c r="CEM200" s="697"/>
      <c r="CEN200" s="697"/>
      <c r="CEO200" s="697"/>
      <c r="CEP200" s="697"/>
      <c r="CEQ200" s="697"/>
      <c r="CER200" s="697"/>
      <c r="CES200" s="697"/>
      <c r="CET200" s="697"/>
      <c r="CEU200" s="697"/>
      <c r="CEV200" s="697"/>
      <c r="CEW200" s="697"/>
      <c r="CEX200" s="697"/>
      <c r="CEY200" s="697"/>
      <c r="CEZ200" s="697"/>
      <c r="CFA200" s="697"/>
      <c r="CFB200" s="697"/>
      <c r="CFC200" s="697"/>
      <c r="CFD200" s="697"/>
      <c r="CFE200" s="697"/>
      <c r="CFF200" s="697"/>
      <c r="CFG200" s="697"/>
      <c r="CFH200" s="697"/>
      <c r="CFI200" s="697"/>
      <c r="CFJ200" s="697"/>
      <c r="CFK200" s="697"/>
      <c r="CFL200" s="697"/>
      <c r="CFM200" s="697"/>
      <c r="CFN200" s="697"/>
      <c r="CFO200" s="697"/>
      <c r="CFP200" s="697"/>
      <c r="CFQ200" s="697"/>
      <c r="CFR200" s="697"/>
      <c r="CFS200" s="697"/>
      <c r="CFT200" s="697"/>
      <c r="CFU200" s="697"/>
      <c r="CFV200" s="697"/>
      <c r="CFW200" s="697"/>
      <c r="CFX200" s="697"/>
      <c r="CFY200" s="697"/>
      <c r="CFZ200" s="697"/>
      <c r="CGA200" s="697"/>
      <c r="CGB200" s="697"/>
      <c r="CGC200" s="697"/>
      <c r="CGD200" s="697"/>
      <c r="CGE200" s="697"/>
      <c r="CGF200" s="697"/>
      <c r="CGG200" s="697"/>
      <c r="CGH200" s="697"/>
      <c r="CGI200" s="697"/>
      <c r="CGJ200" s="697"/>
      <c r="CGK200" s="697"/>
      <c r="CGL200" s="697"/>
      <c r="CGM200" s="697"/>
      <c r="CGN200" s="697"/>
      <c r="CGO200" s="697"/>
      <c r="CGP200" s="697"/>
      <c r="CGQ200" s="697"/>
      <c r="CGR200" s="697"/>
      <c r="CGS200" s="697"/>
      <c r="CGT200" s="697"/>
      <c r="CGU200" s="697"/>
      <c r="CGV200" s="697"/>
      <c r="CGW200" s="697"/>
      <c r="CGX200" s="697"/>
      <c r="CGY200" s="697"/>
      <c r="CGZ200" s="697"/>
      <c r="CHA200" s="697"/>
      <c r="CHB200" s="697"/>
      <c r="CHC200" s="697"/>
      <c r="CHD200" s="697"/>
      <c r="CHE200" s="697"/>
      <c r="CHF200" s="697"/>
      <c r="CHG200" s="697"/>
      <c r="CHH200" s="697"/>
      <c r="CHI200" s="697"/>
      <c r="CHJ200" s="697"/>
      <c r="CHK200" s="697"/>
      <c r="CHL200" s="697"/>
      <c r="CHM200" s="697"/>
      <c r="CHN200" s="697"/>
      <c r="CHO200" s="697"/>
      <c r="CHP200" s="697"/>
      <c r="CHQ200" s="697"/>
      <c r="CHR200" s="697"/>
      <c r="CHS200" s="697"/>
      <c r="CHT200" s="697"/>
      <c r="CHU200" s="697"/>
      <c r="CHV200" s="697"/>
      <c r="CHW200" s="697"/>
      <c r="CHX200" s="697"/>
      <c r="CHY200" s="697"/>
      <c r="CHZ200" s="697"/>
      <c r="CIA200" s="697"/>
      <c r="CIB200" s="697"/>
      <c r="CIC200" s="697"/>
      <c r="CID200" s="697"/>
      <c r="CIE200" s="697"/>
      <c r="CIF200" s="697"/>
      <c r="CIG200" s="697"/>
      <c r="CIH200" s="697"/>
      <c r="CII200" s="697"/>
      <c r="CIJ200" s="697"/>
      <c r="CIK200" s="697"/>
      <c r="CIL200" s="697"/>
      <c r="CIM200" s="697"/>
      <c r="CIN200" s="697"/>
      <c r="CIO200" s="697"/>
      <c r="CIP200" s="697"/>
      <c r="CIQ200" s="697"/>
      <c r="CIR200" s="697"/>
      <c r="CIS200" s="697"/>
      <c r="CIT200" s="697"/>
      <c r="CIU200" s="697"/>
      <c r="CIV200" s="697"/>
      <c r="CIW200" s="697"/>
      <c r="CIX200" s="697"/>
      <c r="CIY200" s="697"/>
      <c r="CIZ200" s="697"/>
      <c r="CJA200" s="697"/>
      <c r="CJB200" s="697"/>
      <c r="CJC200" s="697"/>
      <c r="CJD200" s="697"/>
      <c r="CJE200" s="697"/>
      <c r="CJF200" s="697"/>
      <c r="CJG200" s="697"/>
      <c r="CJH200" s="697"/>
      <c r="CJI200" s="697"/>
      <c r="CJJ200" s="697"/>
      <c r="CJK200" s="697"/>
      <c r="CJL200" s="697"/>
      <c r="CJM200" s="697"/>
      <c r="CJN200" s="697"/>
      <c r="CJO200" s="697"/>
      <c r="CJP200" s="697"/>
      <c r="CJQ200" s="697"/>
      <c r="CJR200" s="697"/>
      <c r="CJS200" s="697"/>
      <c r="CJT200" s="697"/>
      <c r="CJU200" s="697"/>
      <c r="CJV200" s="697"/>
      <c r="CJW200" s="697"/>
      <c r="CJX200" s="697"/>
      <c r="CJY200" s="697"/>
      <c r="CJZ200" s="697"/>
      <c r="CKA200" s="697"/>
      <c r="CKB200" s="697"/>
      <c r="CKC200" s="697"/>
      <c r="CKD200" s="697"/>
      <c r="CKE200" s="697"/>
      <c r="CKF200" s="697"/>
      <c r="CKG200" s="697"/>
      <c r="CKH200" s="697"/>
      <c r="CKI200" s="697"/>
      <c r="CKJ200" s="697"/>
      <c r="CKK200" s="697"/>
      <c r="CKL200" s="697"/>
      <c r="CKM200" s="697"/>
      <c r="CKN200" s="697"/>
      <c r="CKO200" s="697"/>
      <c r="CKP200" s="697"/>
      <c r="CKQ200" s="697"/>
      <c r="CKR200" s="697"/>
      <c r="CKS200" s="697"/>
      <c r="CKT200" s="697"/>
      <c r="CKU200" s="697"/>
      <c r="CKV200" s="697"/>
      <c r="CKW200" s="697"/>
      <c r="CKX200" s="697"/>
      <c r="CKY200" s="697"/>
      <c r="CKZ200" s="697"/>
      <c r="CLA200" s="697"/>
      <c r="CLB200" s="697"/>
      <c r="CLC200" s="697"/>
      <c r="CLD200" s="697"/>
      <c r="CLE200" s="697"/>
      <c r="CLF200" s="697"/>
      <c r="CLG200" s="697"/>
      <c r="CLH200" s="697"/>
      <c r="CLI200" s="697"/>
      <c r="CLJ200" s="697"/>
      <c r="CLK200" s="697"/>
      <c r="CLL200" s="697"/>
      <c r="CLM200" s="697"/>
      <c r="CLN200" s="697"/>
      <c r="CLO200" s="697"/>
      <c r="CLP200" s="697"/>
      <c r="CLQ200" s="697"/>
      <c r="CLR200" s="697"/>
      <c r="CLS200" s="697"/>
      <c r="CLT200" s="697"/>
      <c r="CLU200" s="697"/>
      <c r="CLV200" s="697"/>
      <c r="CLW200" s="697"/>
      <c r="CLX200" s="697"/>
      <c r="CLY200" s="697"/>
      <c r="CLZ200" s="697"/>
      <c r="CMA200" s="697"/>
      <c r="CMB200" s="697"/>
      <c r="CMC200" s="697"/>
      <c r="CMD200" s="697"/>
      <c r="CME200" s="697"/>
      <c r="CMF200" s="697"/>
      <c r="CMG200" s="697"/>
      <c r="CMH200" s="697"/>
      <c r="CMI200" s="697"/>
      <c r="CMJ200" s="697"/>
      <c r="CMK200" s="697"/>
      <c r="CML200" s="697"/>
      <c r="CMM200" s="697"/>
      <c r="CMN200" s="697"/>
      <c r="CMO200" s="697"/>
      <c r="CMP200" s="697"/>
      <c r="CMQ200" s="697"/>
      <c r="CMR200" s="697"/>
      <c r="CMS200" s="697"/>
      <c r="CMT200" s="697"/>
      <c r="CMU200" s="697"/>
      <c r="CMV200" s="697"/>
      <c r="CMW200" s="697"/>
      <c r="CMX200" s="697"/>
      <c r="CMY200" s="697"/>
      <c r="CMZ200" s="697"/>
      <c r="CNA200" s="697"/>
      <c r="CNB200" s="697"/>
      <c r="CNC200" s="697"/>
      <c r="CND200" s="697"/>
      <c r="CNE200" s="697"/>
      <c r="CNF200" s="697"/>
      <c r="CNG200" s="697"/>
      <c r="CNH200" s="697"/>
      <c r="CNI200" s="697"/>
      <c r="CNJ200" s="697"/>
      <c r="CNK200" s="697"/>
      <c r="CNL200" s="697"/>
      <c r="CNM200" s="697"/>
      <c r="CNN200" s="697"/>
      <c r="CNO200" s="697"/>
      <c r="CNP200" s="697"/>
      <c r="CNQ200" s="697"/>
      <c r="CNR200" s="697"/>
      <c r="CNS200" s="697"/>
      <c r="CNT200" s="697"/>
      <c r="CNU200" s="697"/>
      <c r="CNV200" s="697"/>
      <c r="CNW200" s="697"/>
      <c r="CNX200" s="697"/>
      <c r="CNY200" s="697"/>
      <c r="CNZ200" s="697"/>
      <c r="COA200" s="697"/>
      <c r="COB200" s="697"/>
      <c r="COC200" s="697"/>
      <c r="COD200" s="697"/>
      <c r="COE200" s="697"/>
      <c r="COF200" s="697"/>
      <c r="COG200" s="697"/>
      <c r="COH200" s="697"/>
      <c r="COI200" s="697"/>
      <c r="COJ200" s="697"/>
      <c r="COK200" s="697"/>
      <c r="COL200" s="697"/>
      <c r="COM200" s="697"/>
      <c r="CON200" s="697"/>
      <c r="COO200" s="697"/>
      <c r="COP200" s="697"/>
      <c r="COQ200" s="697"/>
      <c r="COR200" s="697"/>
      <c r="COS200" s="697"/>
      <c r="COT200" s="697"/>
      <c r="COU200" s="697"/>
      <c r="COV200" s="697"/>
      <c r="COW200" s="697"/>
      <c r="COX200" s="697"/>
      <c r="COY200" s="697"/>
      <c r="COZ200" s="697"/>
      <c r="CPA200" s="697"/>
      <c r="CPB200" s="697"/>
      <c r="CPC200" s="697"/>
      <c r="CPD200" s="697"/>
      <c r="CPE200" s="697"/>
      <c r="CPF200" s="697"/>
      <c r="CPG200" s="697"/>
      <c r="CPH200" s="697"/>
      <c r="CPI200" s="697"/>
      <c r="CPJ200" s="697"/>
      <c r="CPK200" s="697"/>
      <c r="CPL200" s="697"/>
      <c r="CPM200" s="697"/>
      <c r="CPN200" s="697"/>
      <c r="CPO200" s="697"/>
      <c r="CPP200" s="697"/>
      <c r="CPQ200" s="697"/>
      <c r="CPR200" s="697"/>
      <c r="CPS200" s="697"/>
      <c r="CPT200" s="697"/>
      <c r="CPU200" s="697"/>
      <c r="CPV200" s="697"/>
      <c r="CPW200" s="697"/>
      <c r="CPX200" s="697"/>
      <c r="CPY200" s="697"/>
      <c r="CPZ200" s="697"/>
      <c r="CQA200" s="697"/>
      <c r="CQB200" s="697"/>
      <c r="CQC200" s="697"/>
      <c r="CQD200" s="697"/>
      <c r="CQE200" s="697"/>
      <c r="CQF200" s="697"/>
      <c r="CQG200" s="697"/>
      <c r="CQH200" s="697"/>
      <c r="CQI200" s="697"/>
      <c r="CQJ200" s="697"/>
      <c r="CQK200" s="697"/>
      <c r="CQL200" s="697"/>
      <c r="CQM200" s="697"/>
      <c r="CQN200" s="697"/>
      <c r="CQO200" s="697"/>
      <c r="CQP200" s="697"/>
      <c r="CQQ200" s="697"/>
      <c r="CQR200" s="697"/>
      <c r="CQS200" s="697"/>
      <c r="CQT200" s="697"/>
      <c r="CQU200" s="697"/>
      <c r="CQV200" s="697"/>
      <c r="CQW200" s="697"/>
      <c r="CQX200" s="697"/>
      <c r="CQY200" s="697"/>
      <c r="CQZ200" s="697"/>
      <c r="CRA200" s="697"/>
      <c r="CRB200" s="697"/>
      <c r="CRC200" s="697"/>
      <c r="CRD200" s="697"/>
      <c r="CRE200" s="697"/>
      <c r="CRF200" s="697"/>
      <c r="CRG200" s="697"/>
      <c r="CRH200" s="697"/>
      <c r="CRI200" s="697"/>
      <c r="CRJ200" s="697"/>
      <c r="CRK200" s="697"/>
      <c r="CRL200" s="697"/>
      <c r="CRM200" s="697"/>
      <c r="CRN200" s="697"/>
      <c r="CRO200" s="697"/>
      <c r="CRP200" s="697"/>
      <c r="CRQ200" s="697"/>
      <c r="CRR200" s="697"/>
      <c r="CRS200" s="697"/>
      <c r="CRT200" s="697"/>
      <c r="CRU200" s="697"/>
      <c r="CRV200" s="697"/>
      <c r="CRW200" s="697"/>
      <c r="CRX200" s="697"/>
      <c r="CRY200" s="697"/>
      <c r="CRZ200" s="697"/>
      <c r="CSA200" s="697"/>
      <c r="CSB200" s="697"/>
      <c r="CSC200" s="697"/>
      <c r="CSD200" s="697"/>
      <c r="CSE200" s="697"/>
      <c r="CSF200" s="697"/>
      <c r="CSG200" s="697"/>
      <c r="CSH200" s="697"/>
      <c r="CSI200" s="697"/>
      <c r="CSJ200" s="697"/>
      <c r="CSK200" s="697"/>
      <c r="CSL200" s="697"/>
      <c r="CSM200" s="697"/>
      <c r="CSN200" s="697"/>
      <c r="CSO200" s="697"/>
      <c r="CSP200" s="697"/>
      <c r="CSQ200" s="697"/>
      <c r="CSR200" s="697"/>
      <c r="CSS200" s="697"/>
      <c r="CST200" s="697"/>
      <c r="CSU200" s="697"/>
      <c r="CSV200" s="697"/>
      <c r="CSW200" s="697"/>
      <c r="CSX200" s="697"/>
      <c r="CSY200" s="697"/>
      <c r="CSZ200" s="697"/>
      <c r="CTA200" s="697"/>
      <c r="CTB200" s="697"/>
      <c r="CTC200" s="697"/>
      <c r="CTD200" s="697"/>
      <c r="CTE200" s="697"/>
      <c r="CTF200" s="697"/>
      <c r="CTG200" s="697"/>
      <c r="CTH200" s="697"/>
      <c r="CTI200" s="697"/>
      <c r="CTJ200" s="697"/>
      <c r="CTK200" s="697"/>
      <c r="CTL200" s="697"/>
      <c r="CTM200" s="697"/>
      <c r="CTN200" s="697"/>
      <c r="CTO200" s="697"/>
      <c r="CTP200" s="697"/>
      <c r="CTQ200" s="697"/>
      <c r="CTR200" s="697"/>
      <c r="CTS200" s="697"/>
      <c r="CTT200" s="697"/>
      <c r="CTU200" s="697"/>
      <c r="CTV200" s="697"/>
      <c r="CTW200" s="697"/>
      <c r="CTX200" s="697"/>
      <c r="CTY200" s="697"/>
      <c r="CTZ200" s="697"/>
      <c r="CUA200" s="697"/>
      <c r="CUB200" s="697"/>
      <c r="CUC200" s="697"/>
      <c r="CUD200" s="697"/>
      <c r="CUE200" s="697"/>
      <c r="CUF200" s="697"/>
      <c r="CUG200" s="697"/>
      <c r="CUH200" s="697"/>
      <c r="CUI200" s="697"/>
      <c r="CUJ200" s="697"/>
      <c r="CUK200" s="697"/>
      <c r="CUL200" s="697"/>
      <c r="CUM200" s="697"/>
      <c r="CUN200" s="697"/>
      <c r="CUO200" s="697"/>
      <c r="CUP200" s="697"/>
      <c r="CUQ200" s="697"/>
      <c r="CUR200" s="697"/>
      <c r="CUS200" s="697"/>
      <c r="CUT200" s="697"/>
      <c r="CUU200" s="697"/>
      <c r="CUV200" s="697"/>
      <c r="CUW200" s="697"/>
      <c r="CUX200" s="697"/>
      <c r="CUY200" s="697"/>
      <c r="CUZ200" s="697"/>
      <c r="CVA200" s="697"/>
      <c r="CVB200" s="697"/>
      <c r="CVC200" s="697"/>
      <c r="CVD200" s="697"/>
      <c r="CVE200" s="697"/>
      <c r="CVF200" s="697"/>
      <c r="CVG200" s="697"/>
      <c r="CVH200" s="697"/>
      <c r="CVI200" s="697"/>
      <c r="CVJ200" s="697"/>
      <c r="CVK200" s="697"/>
      <c r="CVL200" s="697"/>
      <c r="CVM200" s="697"/>
      <c r="CVN200" s="697"/>
      <c r="CVO200" s="697"/>
      <c r="CVP200" s="697"/>
      <c r="CVQ200" s="697"/>
      <c r="CVR200" s="697"/>
      <c r="CVS200" s="697"/>
      <c r="CVT200" s="697"/>
      <c r="CVU200" s="697"/>
      <c r="CVV200" s="697"/>
      <c r="CVW200" s="697"/>
      <c r="CVX200" s="697"/>
      <c r="CVY200" s="697"/>
      <c r="CVZ200" s="697"/>
      <c r="CWA200" s="697"/>
      <c r="CWB200" s="697"/>
      <c r="CWC200" s="697"/>
      <c r="CWD200" s="697"/>
      <c r="CWE200" s="697"/>
      <c r="CWF200" s="697"/>
      <c r="CWG200" s="697"/>
      <c r="CWH200" s="697"/>
      <c r="CWI200" s="697"/>
      <c r="CWJ200" s="697"/>
      <c r="CWK200" s="697"/>
      <c r="CWL200" s="697"/>
      <c r="CWM200" s="697"/>
      <c r="CWN200" s="697"/>
      <c r="CWO200" s="697"/>
      <c r="CWP200" s="697"/>
      <c r="CWQ200" s="697"/>
      <c r="CWR200" s="697"/>
      <c r="CWS200" s="697"/>
      <c r="CWT200" s="697"/>
      <c r="CWU200" s="697"/>
      <c r="CWV200" s="697"/>
      <c r="CWW200" s="697"/>
      <c r="CWX200" s="697"/>
      <c r="CWY200" s="697"/>
      <c r="CWZ200" s="697"/>
      <c r="CXA200" s="697"/>
      <c r="CXB200" s="697"/>
      <c r="CXC200" s="697"/>
      <c r="CXD200" s="697"/>
      <c r="CXE200" s="697"/>
      <c r="CXF200" s="697"/>
      <c r="CXG200" s="697"/>
      <c r="CXH200" s="697"/>
      <c r="CXI200" s="697"/>
      <c r="CXJ200" s="697"/>
      <c r="CXK200" s="697"/>
      <c r="CXL200" s="697"/>
      <c r="CXM200" s="697"/>
      <c r="CXN200" s="697"/>
      <c r="CXO200" s="697"/>
      <c r="CXP200" s="697"/>
      <c r="CXQ200" s="697"/>
      <c r="CXR200" s="697"/>
      <c r="CXS200" s="697"/>
      <c r="CXT200" s="697"/>
      <c r="CXU200" s="697"/>
      <c r="CXV200" s="697"/>
      <c r="CXW200" s="697"/>
      <c r="CXX200" s="697"/>
      <c r="CXY200" s="697"/>
      <c r="CXZ200" s="697"/>
      <c r="CYA200" s="697"/>
      <c r="CYB200" s="697"/>
      <c r="CYC200" s="697"/>
      <c r="CYD200" s="697"/>
      <c r="CYE200" s="697"/>
      <c r="CYF200" s="697"/>
      <c r="CYG200" s="697"/>
      <c r="CYH200" s="697"/>
      <c r="CYI200" s="697"/>
      <c r="CYJ200" s="697"/>
      <c r="CYK200" s="697"/>
      <c r="CYL200" s="697"/>
      <c r="CYM200" s="697"/>
      <c r="CYN200" s="697"/>
      <c r="CYO200" s="697"/>
      <c r="CYP200" s="697"/>
      <c r="CYQ200" s="697"/>
      <c r="CYR200" s="697"/>
      <c r="CYS200" s="697"/>
      <c r="CYT200" s="697"/>
      <c r="CYU200" s="697"/>
      <c r="CYV200" s="697"/>
      <c r="CYW200" s="697"/>
      <c r="CYX200" s="697"/>
      <c r="CYY200" s="697"/>
      <c r="CYZ200" s="697"/>
      <c r="CZA200" s="697"/>
      <c r="CZB200" s="697"/>
      <c r="CZC200" s="697"/>
      <c r="CZD200" s="697"/>
      <c r="CZE200" s="697"/>
      <c r="CZF200" s="697"/>
      <c r="CZG200" s="697"/>
      <c r="CZH200" s="697"/>
      <c r="CZI200" s="697"/>
      <c r="CZJ200" s="697"/>
      <c r="CZK200" s="697"/>
      <c r="CZL200" s="697"/>
      <c r="CZM200" s="697"/>
      <c r="CZN200" s="697"/>
      <c r="CZO200" s="697"/>
      <c r="CZP200" s="697"/>
      <c r="CZQ200" s="697"/>
      <c r="CZR200" s="697"/>
      <c r="CZS200" s="697"/>
      <c r="CZT200" s="697"/>
      <c r="CZU200" s="697"/>
      <c r="CZV200" s="697"/>
      <c r="CZW200" s="697"/>
      <c r="CZX200" s="697"/>
      <c r="CZY200" s="697"/>
      <c r="CZZ200" s="697"/>
      <c r="DAA200" s="697"/>
      <c r="DAB200" s="697"/>
      <c r="DAC200" s="697"/>
      <c r="DAD200" s="697"/>
      <c r="DAE200" s="697"/>
      <c r="DAF200" s="697"/>
      <c r="DAG200" s="697"/>
      <c r="DAH200" s="697"/>
      <c r="DAI200" s="697"/>
      <c r="DAJ200" s="697"/>
      <c r="DAK200" s="697"/>
      <c r="DAL200" s="697"/>
      <c r="DAM200" s="697"/>
      <c r="DAN200" s="697"/>
      <c r="DAO200" s="697"/>
      <c r="DAP200" s="697"/>
      <c r="DAQ200" s="697"/>
      <c r="DAR200" s="697"/>
      <c r="DAS200" s="697"/>
      <c r="DAT200" s="697"/>
      <c r="DAU200" s="697"/>
      <c r="DAV200" s="697"/>
      <c r="DAW200" s="697"/>
      <c r="DAX200" s="697"/>
      <c r="DAY200" s="697"/>
      <c r="DAZ200" s="697"/>
      <c r="DBA200" s="697"/>
      <c r="DBB200" s="697"/>
      <c r="DBC200" s="697"/>
      <c r="DBD200" s="697"/>
      <c r="DBE200" s="697"/>
      <c r="DBF200" s="697"/>
      <c r="DBG200" s="697"/>
      <c r="DBH200" s="697"/>
      <c r="DBI200" s="697"/>
      <c r="DBJ200" s="697"/>
      <c r="DBK200" s="697"/>
      <c r="DBL200" s="697"/>
      <c r="DBM200" s="697"/>
      <c r="DBN200" s="697"/>
      <c r="DBO200" s="697"/>
      <c r="DBP200" s="697"/>
      <c r="DBQ200" s="697"/>
      <c r="DBR200" s="697"/>
      <c r="DBS200" s="697"/>
      <c r="DBT200" s="697"/>
      <c r="DBU200" s="697"/>
      <c r="DBV200" s="697"/>
      <c r="DBW200" s="697"/>
      <c r="DBX200" s="697"/>
      <c r="DBY200" s="697"/>
      <c r="DBZ200" s="697"/>
      <c r="DCA200" s="697"/>
      <c r="DCB200" s="697"/>
      <c r="DCC200" s="697"/>
      <c r="DCD200" s="697"/>
      <c r="DCE200" s="697"/>
      <c r="DCF200" s="697"/>
      <c r="DCG200" s="697"/>
      <c r="DCH200" s="697"/>
      <c r="DCI200" s="697"/>
      <c r="DCJ200" s="697"/>
      <c r="DCK200" s="697"/>
      <c r="DCL200" s="697"/>
      <c r="DCM200" s="697"/>
      <c r="DCN200" s="697"/>
      <c r="DCO200" s="697"/>
      <c r="DCP200" s="697"/>
      <c r="DCQ200" s="697"/>
      <c r="DCR200" s="697"/>
      <c r="DCS200" s="697"/>
      <c r="DCT200" s="697"/>
      <c r="DCU200" s="697"/>
      <c r="DCV200" s="697"/>
      <c r="DCW200" s="697"/>
      <c r="DCX200" s="697"/>
      <c r="DCY200" s="697"/>
      <c r="DCZ200" s="697"/>
      <c r="DDA200" s="697"/>
      <c r="DDB200" s="697"/>
      <c r="DDC200" s="697"/>
      <c r="DDD200" s="697"/>
      <c r="DDE200" s="697"/>
      <c r="DDF200" s="697"/>
      <c r="DDG200" s="697"/>
      <c r="DDH200" s="697"/>
      <c r="DDI200" s="697"/>
      <c r="DDJ200" s="697"/>
      <c r="DDK200" s="697"/>
      <c r="DDL200" s="697"/>
      <c r="DDM200" s="697"/>
      <c r="DDN200" s="697"/>
      <c r="DDO200" s="697"/>
      <c r="DDP200" s="697"/>
      <c r="DDQ200" s="697"/>
      <c r="DDR200" s="697"/>
      <c r="DDS200" s="697"/>
      <c r="DDT200" s="697"/>
      <c r="DDU200" s="697"/>
      <c r="DDV200" s="697"/>
      <c r="DDW200" s="697"/>
      <c r="DDX200" s="697"/>
      <c r="DDY200" s="697"/>
      <c r="DDZ200" s="697"/>
      <c r="DEA200" s="697"/>
      <c r="DEB200" s="697"/>
      <c r="DEC200" s="697"/>
      <c r="DED200" s="697"/>
      <c r="DEE200" s="697"/>
      <c r="DEF200" s="697"/>
      <c r="DEG200" s="697"/>
      <c r="DEH200" s="697"/>
      <c r="DEI200" s="697"/>
      <c r="DEJ200" s="697"/>
      <c r="DEK200" s="697"/>
      <c r="DEL200" s="697"/>
      <c r="DEM200" s="697"/>
      <c r="DEN200" s="697"/>
      <c r="DEO200" s="697"/>
      <c r="DEP200" s="697"/>
      <c r="DEQ200" s="697"/>
      <c r="DER200" s="697"/>
      <c r="DES200" s="697"/>
      <c r="DET200" s="697"/>
      <c r="DEU200" s="697"/>
      <c r="DEV200" s="697"/>
      <c r="DEW200" s="697"/>
      <c r="DEX200" s="697"/>
      <c r="DEY200" s="697"/>
      <c r="DEZ200" s="697"/>
      <c r="DFA200" s="697"/>
      <c r="DFB200" s="697"/>
      <c r="DFC200" s="697"/>
      <c r="DFD200" s="697"/>
      <c r="DFE200" s="697"/>
      <c r="DFF200" s="697"/>
      <c r="DFG200" s="697"/>
      <c r="DFH200" s="697"/>
      <c r="DFI200" s="697"/>
      <c r="DFJ200" s="697"/>
      <c r="DFK200" s="697"/>
      <c r="DFL200" s="697"/>
      <c r="DFM200" s="697"/>
      <c r="DFN200" s="697"/>
      <c r="DFO200" s="697"/>
      <c r="DFP200" s="697"/>
      <c r="DFQ200" s="697"/>
      <c r="DFR200" s="697"/>
      <c r="DFS200" s="697"/>
      <c r="DFT200" s="697"/>
      <c r="DFU200" s="697"/>
      <c r="DFV200" s="697"/>
      <c r="DFW200" s="697"/>
      <c r="DFX200" s="697"/>
      <c r="DFY200" s="697"/>
      <c r="DFZ200" s="697"/>
      <c r="DGA200" s="697"/>
      <c r="DGB200" s="697"/>
      <c r="DGC200" s="697"/>
      <c r="DGD200" s="697"/>
      <c r="DGE200" s="697"/>
      <c r="DGF200" s="697"/>
      <c r="DGG200" s="697"/>
      <c r="DGH200" s="697"/>
      <c r="DGI200" s="697"/>
      <c r="DGJ200" s="697"/>
      <c r="DGK200" s="697"/>
      <c r="DGL200" s="697"/>
      <c r="DGM200" s="697"/>
      <c r="DGN200" s="697"/>
      <c r="DGO200" s="697"/>
      <c r="DGP200" s="697"/>
      <c r="DGQ200" s="697"/>
      <c r="DGR200" s="697"/>
      <c r="DGS200" s="697"/>
      <c r="DGT200" s="697"/>
      <c r="DGU200" s="697"/>
      <c r="DGV200" s="697"/>
      <c r="DGW200" s="697"/>
      <c r="DGX200" s="697"/>
      <c r="DGY200" s="697"/>
      <c r="DGZ200" s="697"/>
      <c r="DHA200" s="697"/>
      <c r="DHB200" s="697"/>
      <c r="DHC200" s="697"/>
      <c r="DHD200" s="697"/>
      <c r="DHE200" s="697"/>
      <c r="DHF200" s="697"/>
      <c r="DHG200" s="697"/>
      <c r="DHH200" s="697"/>
      <c r="DHI200" s="697"/>
      <c r="DHJ200" s="697"/>
      <c r="DHK200" s="697"/>
      <c r="DHL200" s="697"/>
      <c r="DHM200" s="697"/>
      <c r="DHN200" s="697"/>
      <c r="DHO200" s="697"/>
      <c r="DHP200" s="697"/>
      <c r="DHQ200" s="697"/>
      <c r="DHR200" s="697"/>
      <c r="DHS200" s="697"/>
      <c r="DHT200" s="697"/>
      <c r="DHU200" s="697"/>
      <c r="DHV200" s="697"/>
      <c r="DHW200" s="697"/>
      <c r="DHX200" s="697"/>
      <c r="DHY200" s="697"/>
      <c r="DHZ200" s="697"/>
      <c r="DIA200" s="697"/>
      <c r="DIB200" s="697"/>
      <c r="DIC200" s="697"/>
      <c r="DID200" s="697"/>
      <c r="DIE200" s="697"/>
      <c r="DIF200" s="697"/>
      <c r="DIG200" s="697"/>
      <c r="DIH200" s="697"/>
      <c r="DII200" s="697"/>
      <c r="DIJ200" s="697"/>
      <c r="DIK200" s="697"/>
      <c r="DIL200" s="697"/>
      <c r="DIM200" s="697"/>
      <c r="DIN200" s="697"/>
      <c r="DIO200" s="697"/>
      <c r="DIP200" s="697"/>
      <c r="DIQ200" s="697"/>
      <c r="DIR200" s="697"/>
      <c r="DIS200" s="697"/>
      <c r="DIT200" s="697"/>
      <c r="DIU200" s="697"/>
      <c r="DIV200" s="697"/>
      <c r="DIW200" s="697"/>
      <c r="DIX200" s="697"/>
      <c r="DIY200" s="697"/>
      <c r="DIZ200" s="697"/>
      <c r="DJA200" s="697"/>
      <c r="DJB200" s="697"/>
      <c r="DJC200" s="697"/>
      <c r="DJD200" s="697"/>
      <c r="DJE200" s="697"/>
      <c r="DJF200" s="697"/>
      <c r="DJG200" s="697"/>
      <c r="DJH200" s="697"/>
      <c r="DJI200" s="697"/>
      <c r="DJJ200" s="697"/>
      <c r="DJK200" s="697"/>
      <c r="DJL200" s="697"/>
      <c r="DJM200" s="697"/>
      <c r="DJN200" s="697"/>
      <c r="DJO200" s="697"/>
      <c r="DJP200" s="697"/>
      <c r="DJQ200" s="697"/>
      <c r="DJR200" s="697"/>
      <c r="DJS200" s="697"/>
      <c r="DJT200" s="697"/>
      <c r="DJU200" s="697"/>
      <c r="DJV200" s="697"/>
      <c r="DJW200" s="697"/>
      <c r="DJX200" s="697"/>
      <c r="DJY200" s="697"/>
      <c r="DJZ200" s="697"/>
      <c r="DKA200" s="697"/>
      <c r="DKB200" s="697"/>
      <c r="DKC200" s="697"/>
      <c r="DKD200" s="697"/>
      <c r="DKE200" s="697"/>
      <c r="DKF200" s="697"/>
      <c r="DKG200" s="697"/>
      <c r="DKH200" s="697"/>
      <c r="DKI200" s="697"/>
      <c r="DKJ200" s="697"/>
      <c r="DKK200" s="697"/>
      <c r="DKL200" s="697"/>
      <c r="DKM200" s="697"/>
      <c r="DKN200" s="697"/>
      <c r="DKO200" s="697"/>
      <c r="DKP200" s="697"/>
      <c r="DKQ200" s="697"/>
      <c r="DKR200" s="697"/>
      <c r="DKS200" s="697"/>
      <c r="DKT200" s="697"/>
      <c r="DKU200" s="697"/>
      <c r="DKV200" s="697"/>
      <c r="DKW200" s="697"/>
      <c r="DKX200" s="697"/>
      <c r="DKY200" s="697"/>
      <c r="DKZ200" s="697"/>
      <c r="DLA200" s="697"/>
      <c r="DLB200" s="697"/>
      <c r="DLC200" s="697"/>
      <c r="DLD200" s="697"/>
      <c r="DLE200" s="697"/>
      <c r="DLF200" s="697"/>
      <c r="DLG200" s="697"/>
      <c r="DLH200" s="697"/>
      <c r="DLI200" s="697"/>
      <c r="DLJ200" s="697"/>
      <c r="DLK200" s="697"/>
      <c r="DLL200" s="697"/>
      <c r="DLM200" s="697"/>
      <c r="DLN200" s="697"/>
      <c r="DLO200" s="697"/>
      <c r="DLP200" s="697"/>
      <c r="DLQ200" s="697"/>
      <c r="DLR200" s="697"/>
      <c r="DLS200" s="697"/>
      <c r="DLT200" s="697"/>
      <c r="DLU200" s="697"/>
      <c r="DLV200" s="697"/>
      <c r="DLW200" s="697"/>
      <c r="DLX200" s="697"/>
      <c r="DLY200" s="697"/>
      <c r="DLZ200" s="697"/>
      <c r="DMA200" s="697"/>
      <c r="DMB200" s="697"/>
      <c r="DMC200" s="697"/>
      <c r="DMD200" s="697"/>
      <c r="DME200" s="697"/>
      <c r="DMF200" s="697"/>
      <c r="DMG200" s="697"/>
      <c r="DMH200" s="697"/>
      <c r="DMI200" s="697"/>
      <c r="DMJ200" s="697"/>
      <c r="DMK200" s="697"/>
      <c r="DML200" s="697"/>
      <c r="DMM200" s="697"/>
      <c r="DMN200" s="697"/>
      <c r="DMO200" s="697"/>
      <c r="DMP200" s="697"/>
      <c r="DMQ200" s="697"/>
      <c r="DMR200" s="697"/>
      <c r="DMS200" s="697"/>
      <c r="DMT200" s="697"/>
      <c r="DMU200" s="697"/>
      <c r="DMV200" s="697"/>
      <c r="DMW200" s="697"/>
      <c r="DMX200" s="697"/>
      <c r="DMY200" s="697"/>
      <c r="DMZ200" s="697"/>
      <c r="DNA200" s="697"/>
      <c r="DNB200" s="697"/>
      <c r="DNC200" s="697"/>
      <c r="DND200" s="697"/>
      <c r="DNE200" s="697"/>
      <c r="DNF200" s="697"/>
      <c r="DNG200" s="697"/>
      <c r="DNH200" s="697"/>
      <c r="DNI200" s="697"/>
      <c r="DNJ200" s="697"/>
      <c r="DNK200" s="697"/>
      <c r="DNL200" s="697"/>
      <c r="DNM200" s="697"/>
      <c r="DNN200" s="697"/>
      <c r="DNO200" s="697"/>
      <c r="DNP200" s="697"/>
      <c r="DNQ200" s="697"/>
      <c r="DNR200" s="697"/>
      <c r="DNS200" s="697"/>
      <c r="DNT200" s="697"/>
      <c r="DNU200" s="697"/>
      <c r="DNV200" s="697"/>
      <c r="DNW200" s="697"/>
      <c r="DNX200" s="697"/>
      <c r="DNY200" s="697"/>
      <c r="DNZ200" s="697"/>
      <c r="DOA200" s="697"/>
      <c r="DOB200" s="697"/>
      <c r="DOC200" s="697"/>
      <c r="DOD200" s="697"/>
      <c r="DOE200" s="697"/>
      <c r="DOF200" s="697"/>
      <c r="DOG200" s="697"/>
      <c r="DOH200" s="697"/>
      <c r="DOI200" s="697"/>
      <c r="DOJ200" s="697"/>
      <c r="DOK200" s="697"/>
      <c r="DOL200" s="697"/>
      <c r="DOM200" s="697"/>
      <c r="DON200" s="697"/>
      <c r="DOO200" s="697"/>
      <c r="DOP200" s="697"/>
      <c r="DOQ200" s="697"/>
      <c r="DOR200" s="697"/>
      <c r="DOS200" s="697"/>
      <c r="DOT200" s="697"/>
      <c r="DOU200" s="697"/>
      <c r="DOV200" s="697"/>
      <c r="DOW200" s="697"/>
      <c r="DOX200" s="697"/>
      <c r="DOY200" s="697"/>
      <c r="DOZ200" s="697"/>
      <c r="DPA200" s="697"/>
      <c r="DPB200" s="697"/>
      <c r="DPC200" s="697"/>
      <c r="DPD200" s="697"/>
      <c r="DPE200" s="697"/>
      <c r="DPF200" s="697"/>
      <c r="DPG200" s="697"/>
      <c r="DPH200" s="697"/>
      <c r="DPI200" s="697"/>
      <c r="DPJ200" s="697"/>
      <c r="DPK200" s="697"/>
      <c r="DPL200" s="697"/>
      <c r="DPM200" s="697"/>
      <c r="DPN200" s="697"/>
      <c r="DPO200" s="697"/>
      <c r="DPP200" s="697"/>
      <c r="DPQ200" s="697"/>
      <c r="DPR200" s="697"/>
      <c r="DPS200" s="697"/>
      <c r="DPT200" s="697"/>
      <c r="DPU200" s="697"/>
      <c r="DPV200" s="697"/>
      <c r="DPW200" s="697"/>
      <c r="DPX200" s="697"/>
      <c r="DPY200" s="697"/>
      <c r="DPZ200" s="697"/>
      <c r="DQA200" s="697"/>
      <c r="DQB200" s="697"/>
      <c r="DQC200" s="697"/>
      <c r="DQD200" s="697"/>
      <c r="DQE200" s="697"/>
      <c r="DQF200" s="697"/>
      <c r="DQG200" s="697"/>
      <c r="DQH200" s="697"/>
      <c r="DQI200" s="697"/>
      <c r="DQJ200" s="697"/>
      <c r="DQK200" s="697"/>
      <c r="DQL200" s="697"/>
      <c r="DQM200" s="697"/>
      <c r="DQN200" s="697"/>
      <c r="DQO200" s="697"/>
      <c r="DQP200" s="697"/>
      <c r="DQQ200" s="697"/>
      <c r="DQR200" s="697"/>
      <c r="DQS200" s="697"/>
      <c r="DQT200" s="697"/>
      <c r="DQU200" s="697"/>
      <c r="DQV200" s="697"/>
      <c r="DQW200" s="697"/>
      <c r="DQX200" s="697"/>
      <c r="DQY200" s="697"/>
      <c r="DQZ200" s="697"/>
      <c r="DRA200" s="697"/>
      <c r="DRB200" s="697"/>
      <c r="DRC200" s="697"/>
      <c r="DRD200" s="697"/>
      <c r="DRE200" s="697"/>
      <c r="DRF200" s="697"/>
      <c r="DRG200" s="697"/>
      <c r="DRH200" s="697"/>
      <c r="DRI200" s="697"/>
      <c r="DRJ200" s="697"/>
      <c r="DRK200" s="697"/>
      <c r="DRL200" s="697"/>
      <c r="DRM200" s="697"/>
      <c r="DRN200" s="697"/>
      <c r="DRO200" s="697"/>
      <c r="DRP200" s="697"/>
      <c r="DRQ200" s="697"/>
      <c r="DRR200" s="697"/>
      <c r="DRS200" s="697"/>
      <c r="DRT200" s="697"/>
      <c r="DRU200" s="697"/>
      <c r="DRV200" s="697"/>
      <c r="DRW200" s="697"/>
      <c r="DRX200" s="697"/>
      <c r="DRY200" s="697"/>
      <c r="DRZ200" s="697"/>
      <c r="DSA200" s="697"/>
      <c r="DSB200" s="697"/>
      <c r="DSC200" s="697"/>
      <c r="DSD200" s="697"/>
      <c r="DSE200" s="697"/>
      <c r="DSF200" s="697"/>
      <c r="DSG200" s="697"/>
      <c r="DSH200" s="697"/>
      <c r="DSI200" s="697"/>
      <c r="DSJ200" s="697"/>
      <c r="DSK200" s="697"/>
      <c r="DSL200" s="697"/>
      <c r="DSM200" s="697"/>
      <c r="DSN200" s="697"/>
      <c r="DSO200" s="697"/>
      <c r="DSP200" s="697"/>
      <c r="DSQ200" s="697"/>
      <c r="DSR200" s="697"/>
      <c r="DSS200" s="697"/>
      <c r="DST200" s="697"/>
      <c r="DSU200" s="697"/>
      <c r="DSV200" s="697"/>
      <c r="DSW200" s="697"/>
      <c r="DSX200" s="697"/>
      <c r="DSY200" s="697"/>
      <c r="DSZ200" s="697"/>
      <c r="DTA200" s="697"/>
      <c r="DTB200" s="697"/>
      <c r="DTC200" s="697"/>
      <c r="DTD200" s="697"/>
      <c r="DTE200" s="697"/>
      <c r="DTF200" s="697"/>
      <c r="DTG200" s="697"/>
      <c r="DTH200" s="697"/>
      <c r="DTI200" s="697"/>
      <c r="DTJ200" s="697"/>
      <c r="DTK200" s="697"/>
      <c r="DTL200" s="697"/>
      <c r="DTM200" s="697"/>
      <c r="DTN200" s="697"/>
      <c r="DTO200" s="697"/>
      <c r="DTP200" s="697"/>
      <c r="DTQ200" s="697"/>
      <c r="DTR200" s="697"/>
      <c r="DTS200" s="697"/>
      <c r="DTT200" s="697"/>
      <c r="DTU200" s="697"/>
      <c r="DTV200" s="697"/>
      <c r="DTW200" s="697"/>
      <c r="DTX200" s="697"/>
      <c r="DTY200" s="697"/>
      <c r="DTZ200" s="697"/>
      <c r="DUA200" s="697"/>
      <c r="DUB200" s="697"/>
      <c r="DUC200" s="697"/>
      <c r="DUD200" s="697"/>
      <c r="DUE200" s="697"/>
      <c r="DUF200" s="697"/>
      <c r="DUG200" s="697"/>
      <c r="DUH200" s="697"/>
      <c r="DUI200" s="697"/>
      <c r="DUJ200" s="697"/>
      <c r="DUK200" s="697"/>
      <c r="DUL200" s="697"/>
      <c r="DUM200" s="697"/>
      <c r="DUN200" s="697"/>
      <c r="DUO200" s="697"/>
      <c r="DUP200" s="697"/>
      <c r="DUQ200" s="697"/>
      <c r="DUR200" s="697"/>
      <c r="DUS200" s="697"/>
      <c r="DUT200" s="697"/>
      <c r="DUU200" s="697"/>
      <c r="DUV200" s="697"/>
      <c r="DUW200" s="697"/>
      <c r="DUX200" s="697"/>
      <c r="DUY200" s="697"/>
      <c r="DUZ200" s="697"/>
      <c r="DVA200" s="697"/>
      <c r="DVB200" s="697"/>
      <c r="DVC200" s="697"/>
      <c r="DVD200" s="697"/>
      <c r="DVE200" s="697"/>
      <c r="DVF200" s="697"/>
      <c r="DVG200" s="697"/>
      <c r="DVH200" s="697"/>
      <c r="DVI200" s="697"/>
      <c r="DVJ200" s="697"/>
      <c r="DVK200" s="697"/>
      <c r="DVL200" s="697"/>
      <c r="DVM200" s="697"/>
      <c r="DVN200" s="697"/>
      <c r="DVO200" s="697"/>
      <c r="DVP200" s="697"/>
      <c r="DVQ200" s="697"/>
      <c r="DVR200" s="697"/>
      <c r="DVS200" s="697"/>
      <c r="DVT200" s="697"/>
      <c r="DVU200" s="697"/>
      <c r="DVV200" s="697"/>
      <c r="DVW200" s="697"/>
      <c r="DVX200" s="697"/>
      <c r="DVY200" s="697"/>
      <c r="DVZ200" s="697"/>
      <c r="DWA200" s="697"/>
      <c r="DWB200" s="697"/>
      <c r="DWC200" s="697"/>
      <c r="DWD200" s="697"/>
      <c r="DWE200" s="697"/>
      <c r="DWF200" s="697"/>
      <c r="DWG200" s="697"/>
      <c r="DWH200" s="697"/>
      <c r="DWI200" s="697"/>
      <c r="DWJ200" s="697"/>
      <c r="DWK200" s="697"/>
      <c r="DWL200" s="697"/>
      <c r="DWM200" s="697"/>
      <c r="DWN200" s="697"/>
      <c r="DWO200" s="697"/>
      <c r="DWP200" s="697"/>
      <c r="DWQ200" s="697"/>
      <c r="DWR200" s="697"/>
      <c r="DWS200" s="697"/>
      <c r="DWT200" s="697"/>
      <c r="DWU200" s="697"/>
      <c r="DWV200" s="697"/>
      <c r="DWW200" s="697"/>
      <c r="DWX200" s="697"/>
      <c r="DWY200" s="697"/>
      <c r="DWZ200" s="697"/>
      <c r="DXA200" s="697"/>
      <c r="DXB200" s="697"/>
      <c r="DXC200" s="697"/>
      <c r="DXD200" s="697"/>
      <c r="DXE200" s="697"/>
      <c r="DXF200" s="697"/>
      <c r="DXG200" s="697"/>
      <c r="DXH200" s="697"/>
      <c r="DXI200" s="697"/>
      <c r="DXJ200" s="697"/>
      <c r="DXK200" s="697"/>
      <c r="DXL200" s="697"/>
      <c r="DXM200" s="697"/>
      <c r="DXN200" s="697"/>
      <c r="DXO200" s="697"/>
      <c r="DXP200" s="697"/>
      <c r="DXQ200" s="697"/>
      <c r="DXR200" s="697"/>
      <c r="DXS200" s="697"/>
      <c r="DXT200" s="697"/>
      <c r="DXU200" s="697"/>
      <c r="DXV200" s="697"/>
      <c r="DXW200" s="697"/>
      <c r="DXX200" s="697"/>
      <c r="DXY200" s="697"/>
      <c r="DXZ200" s="697"/>
      <c r="DYA200" s="697"/>
      <c r="DYB200" s="697"/>
      <c r="DYC200" s="697"/>
      <c r="DYD200" s="697"/>
      <c r="DYE200" s="697"/>
      <c r="DYF200" s="697"/>
      <c r="DYG200" s="697"/>
      <c r="DYH200" s="697"/>
      <c r="DYI200" s="697"/>
      <c r="DYJ200" s="697"/>
      <c r="DYK200" s="697"/>
      <c r="DYL200" s="697"/>
      <c r="DYM200" s="697"/>
      <c r="DYN200" s="697"/>
      <c r="DYO200" s="697"/>
      <c r="DYP200" s="697"/>
      <c r="DYQ200" s="697"/>
      <c r="DYR200" s="697"/>
      <c r="DYS200" s="697"/>
      <c r="DYT200" s="697"/>
      <c r="DYU200" s="697"/>
      <c r="DYV200" s="697"/>
      <c r="DYW200" s="697"/>
      <c r="DYX200" s="697"/>
      <c r="DYY200" s="697"/>
      <c r="DYZ200" s="697"/>
      <c r="DZA200" s="697"/>
      <c r="DZB200" s="697"/>
      <c r="DZC200" s="697"/>
      <c r="DZD200" s="697"/>
      <c r="DZE200" s="697"/>
      <c r="DZF200" s="697"/>
      <c r="DZG200" s="697"/>
      <c r="DZH200" s="697"/>
      <c r="DZI200" s="697"/>
      <c r="DZJ200" s="697"/>
      <c r="DZK200" s="697"/>
      <c r="DZL200" s="697"/>
      <c r="DZM200" s="697"/>
      <c r="DZN200" s="697"/>
      <c r="DZO200" s="697"/>
      <c r="DZP200" s="697"/>
      <c r="DZQ200" s="697"/>
      <c r="DZR200" s="697"/>
      <c r="DZS200" s="697"/>
      <c r="DZT200" s="697"/>
      <c r="DZU200" s="697"/>
      <c r="DZV200" s="697"/>
      <c r="DZW200" s="697"/>
      <c r="DZX200" s="697"/>
      <c r="DZY200" s="697"/>
      <c r="DZZ200" s="697"/>
      <c r="EAA200" s="697"/>
      <c r="EAB200" s="697"/>
      <c r="EAC200" s="697"/>
      <c r="EAD200" s="697"/>
      <c r="EAE200" s="697"/>
      <c r="EAF200" s="697"/>
      <c r="EAG200" s="697"/>
      <c r="EAH200" s="697"/>
      <c r="EAI200" s="697"/>
      <c r="EAJ200" s="697"/>
      <c r="EAK200" s="697"/>
      <c r="EAL200" s="697"/>
      <c r="EAM200" s="697"/>
      <c r="EAN200" s="697"/>
      <c r="EAO200" s="697"/>
      <c r="EAP200" s="697"/>
      <c r="EAQ200" s="697"/>
      <c r="EAR200" s="697"/>
      <c r="EAS200" s="697"/>
      <c r="EAT200" s="697"/>
      <c r="EAU200" s="697"/>
      <c r="EAV200" s="697"/>
      <c r="EAW200" s="697"/>
      <c r="EAX200" s="697"/>
      <c r="EAY200" s="697"/>
      <c r="EAZ200" s="697"/>
      <c r="EBA200" s="697"/>
      <c r="EBB200" s="697"/>
      <c r="EBC200" s="697"/>
      <c r="EBD200" s="697"/>
      <c r="EBE200" s="697"/>
      <c r="EBF200" s="697"/>
      <c r="EBG200" s="697"/>
      <c r="EBH200" s="697"/>
      <c r="EBI200" s="697"/>
      <c r="EBJ200" s="697"/>
      <c r="EBK200" s="697"/>
      <c r="EBL200" s="697"/>
      <c r="EBM200" s="697"/>
      <c r="EBN200" s="697"/>
      <c r="EBO200" s="697"/>
      <c r="EBP200" s="697"/>
      <c r="EBQ200" s="697"/>
      <c r="EBR200" s="697"/>
      <c r="EBS200" s="697"/>
      <c r="EBT200" s="697"/>
      <c r="EBU200" s="697"/>
      <c r="EBV200" s="697"/>
      <c r="EBW200" s="697"/>
      <c r="EBX200" s="697"/>
      <c r="EBY200" s="697"/>
      <c r="EBZ200" s="697"/>
      <c r="ECA200" s="697"/>
      <c r="ECB200" s="697"/>
      <c r="ECC200" s="697"/>
      <c r="ECD200" s="697"/>
      <c r="ECE200" s="697"/>
      <c r="ECF200" s="697"/>
      <c r="ECG200" s="697"/>
      <c r="ECH200" s="697"/>
      <c r="ECI200" s="697"/>
      <c r="ECJ200" s="697"/>
      <c r="ECK200" s="697"/>
      <c r="ECL200" s="697"/>
      <c r="ECM200" s="697"/>
      <c r="ECN200" s="697"/>
      <c r="ECO200" s="697"/>
      <c r="ECP200" s="697"/>
      <c r="ECQ200" s="697"/>
      <c r="ECR200" s="697"/>
      <c r="ECS200" s="697"/>
      <c r="ECT200" s="697"/>
      <c r="ECU200" s="697"/>
      <c r="ECV200" s="697"/>
      <c r="ECW200" s="697"/>
      <c r="ECX200" s="697"/>
      <c r="ECY200" s="697"/>
      <c r="ECZ200" s="697"/>
      <c r="EDA200" s="697"/>
      <c r="EDB200" s="697"/>
      <c r="EDC200" s="697"/>
      <c r="EDD200" s="697"/>
      <c r="EDE200" s="697"/>
      <c r="EDF200" s="697"/>
      <c r="EDG200" s="697"/>
      <c r="EDH200" s="697"/>
      <c r="EDI200" s="697"/>
      <c r="EDJ200" s="697"/>
      <c r="EDK200" s="697"/>
      <c r="EDL200" s="697"/>
      <c r="EDM200" s="697"/>
      <c r="EDN200" s="697"/>
      <c r="EDO200" s="697"/>
      <c r="EDP200" s="697"/>
      <c r="EDQ200" s="697"/>
      <c r="EDR200" s="697"/>
      <c r="EDS200" s="697"/>
      <c r="EDT200" s="697"/>
      <c r="EDU200" s="697"/>
      <c r="EDV200" s="697"/>
      <c r="EDW200" s="697"/>
      <c r="EDX200" s="697"/>
      <c r="EDY200" s="697"/>
      <c r="EDZ200" s="697"/>
      <c r="EEA200" s="697"/>
      <c r="EEB200" s="697"/>
      <c r="EEC200" s="697"/>
      <c r="EED200" s="697"/>
      <c r="EEE200" s="697"/>
      <c r="EEF200" s="697"/>
      <c r="EEG200" s="697"/>
      <c r="EEH200" s="697"/>
      <c r="EEI200" s="697"/>
      <c r="EEJ200" s="697"/>
      <c r="EEK200" s="697"/>
      <c r="EEL200" s="697"/>
      <c r="EEM200" s="697"/>
      <c r="EEN200" s="697"/>
      <c r="EEO200" s="697"/>
      <c r="EEP200" s="697"/>
      <c r="EEQ200" s="697"/>
      <c r="EER200" s="697"/>
      <c r="EES200" s="697"/>
      <c r="EET200" s="697"/>
      <c r="EEU200" s="697"/>
      <c r="EEV200" s="697"/>
      <c r="EEW200" s="697"/>
      <c r="EEX200" s="697"/>
      <c r="EEY200" s="697"/>
      <c r="EEZ200" s="697"/>
      <c r="EFA200" s="697"/>
      <c r="EFB200" s="697"/>
      <c r="EFC200" s="697"/>
      <c r="EFD200" s="697"/>
      <c r="EFE200" s="697"/>
      <c r="EFF200" s="697"/>
      <c r="EFG200" s="697"/>
      <c r="EFH200" s="697"/>
      <c r="EFI200" s="697"/>
      <c r="EFJ200" s="697"/>
      <c r="EFK200" s="697"/>
      <c r="EFL200" s="697"/>
      <c r="EFM200" s="697"/>
      <c r="EFN200" s="697"/>
      <c r="EFO200" s="697"/>
      <c r="EFP200" s="697"/>
      <c r="EFQ200" s="697"/>
      <c r="EFR200" s="697"/>
      <c r="EFS200" s="697"/>
      <c r="EFT200" s="697"/>
      <c r="EFU200" s="697"/>
      <c r="EFV200" s="697"/>
      <c r="EFW200" s="697"/>
      <c r="EFX200" s="697"/>
      <c r="EFY200" s="697"/>
      <c r="EFZ200" s="697"/>
      <c r="EGA200" s="697"/>
      <c r="EGB200" s="697"/>
      <c r="EGC200" s="697"/>
      <c r="EGD200" s="697"/>
      <c r="EGE200" s="697"/>
      <c r="EGF200" s="697"/>
      <c r="EGG200" s="697"/>
      <c r="EGH200" s="697"/>
      <c r="EGI200" s="697"/>
      <c r="EGJ200" s="697"/>
      <c r="EGK200" s="697"/>
      <c r="EGL200" s="697"/>
      <c r="EGM200" s="697"/>
      <c r="EGN200" s="697"/>
      <c r="EGO200" s="697"/>
      <c r="EGP200" s="697"/>
      <c r="EGQ200" s="697"/>
      <c r="EGR200" s="697"/>
      <c r="EGS200" s="697"/>
      <c r="EGT200" s="697"/>
      <c r="EGU200" s="697"/>
      <c r="EGV200" s="697"/>
      <c r="EGW200" s="697"/>
      <c r="EGX200" s="697"/>
      <c r="EGY200" s="697"/>
      <c r="EGZ200" s="697"/>
      <c r="EHA200" s="697"/>
      <c r="EHB200" s="697"/>
      <c r="EHC200" s="697"/>
      <c r="EHD200" s="697"/>
      <c r="EHE200" s="697"/>
      <c r="EHF200" s="697"/>
      <c r="EHG200" s="697"/>
      <c r="EHH200" s="697"/>
      <c r="EHI200" s="697"/>
      <c r="EHJ200" s="697"/>
      <c r="EHK200" s="697"/>
      <c r="EHL200" s="697"/>
      <c r="EHM200" s="697"/>
      <c r="EHN200" s="697"/>
      <c r="EHO200" s="697"/>
      <c r="EHP200" s="697"/>
      <c r="EHQ200" s="697"/>
      <c r="EHR200" s="697"/>
      <c r="EHS200" s="697"/>
      <c r="EHT200" s="697"/>
      <c r="EHU200" s="697"/>
      <c r="EHV200" s="697"/>
      <c r="EHW200" s="697"/>
      <c r="EHX200" s="697"/>
      <c r="EHY200" s="697"/>
      <c r="EHZ200" s="697"/>
      <c r="EIA200" s="697"/>
      <c r="EIB200" s="697"/>
      <c r="EIC200" s="697"/>
      <c r="EID200" s="697"/>
      <c r="EIE200" s="697"/>
      <c r="EIF200" s="697"/>
      <c r="EIG200" s="697"/>
      <c r="EIH200" s="697"/>
      <c r="EII200" s="697"/>
      <c r="EIJ200" s="697"/>
      <c r="EIK200" s="697"/>
      <c r="EIL200" s="697"/>
      <c r="EIM200" s="697"/>
      <c r="EIN200" s="697"/>
      <c r="EIO200" s="697"/>
      <c r="EIP200" s="697"/>
      <c r="EIQ200" s="697"/>
      <c r="EIR200" s="697"/>
      <c r="EIS200" s="697"/>
      <c r="EIT200" s="697"/>
      <c r="EIU200" s="697"/>
      <c r="EIV200" s="697"/>
      <c r="EIW200" s="697"/>
      <c r="EIX200" s="697"/>
      <c r="EIY200" s="697"/>
      <c r="EIZ200" s="697"/>
      <c r="EJA200" s="697"/>
      <c r="EJB200" s="697"/>
      <c r="EJC200" s="697"/>
      <c r="EJD200" s="697"/>
      <c r="EJE200" s="697"/>
      <c r="EJF200" s="697"/>
      <c r="EJG200" s="697"/>
      <c r="EJH200" s="697"/>
      <c r="EJI200" s="697"/>
      <c r="EJJ200" s="697"/>
      <c r="EJK200" s="697"/>
      <c r="EJL200" s="697"/>
      <c r="EJM200" s="697"/>
      <c r="EJN200" s="697"/>
      <c r="EJO200" s="697"/>
      <c r="EJP200" s="697"/>
      <c r="EJQ200" s="697"/>
      <c r="EJR200" s="697"/>
      <c r="EJS200" s="697"/>
      <c r="EJT200" s="697"/>
      <c r="EJU200" s="697"/>
      <c r="EJV200" s="697"/>
      <c r="EJW200" s="697"/>
      <c r="EJX200" s="697"/>
      <c r="EJY200" s="697"/>
      <c r="EJZ200" s="697"/>
      <c r="EKA200" s="697"/>
      <c r="EKB200" s="697"/>
      <c r="EKC200" s="697"/>
      <c r="EKD200" s="697"/>
      <c r="EKE200" s="697"/>
      <c r="EKF200" s="697"/>
      <c r="EKG200" s="697"/>
      <c r="EKH200" s="697"/>
      <c r="EKI200" s="697"/>
      <c r="EKJ200" s="697"/>
      <c r="EKK200" s="697"/>
      <c r="EKL200" s="697"/>
      <c r="EKM200" s="697"/>
      <c r="EKN200" s="697"/>
      <c r="EKO200" s="697"/>
      <c r="EKP200" s="697"/>
      <c r="EKQ200" s="697"/>
      <c r="EKR200" s="697"/>
      <c r="EKS200" s="697"/>
      <c r="EKT200" s="697"/>
      <c r="EKU200" s="697"/>
      <c r="EKV200" s="697"/>
      <c r="EKW200" s="697"/>
      <c r="EKX200" s="697"/>
      <c r="EKY200" s="697"/>
      <c r="EKZ200" s="697"/>
      <c r="ELA200" s="697"/>
      <c r="ELB200" s="697"/>
      <c r="ELC200" s="697"/>
      <c r="ELD200" s="697"/>
      <c r="ELE200" s="697"/>
      <c r="ELF200" s="697"/>
      <c r="ELG200" s="697"/>
      <c r="ELH200" s="697"/>
      <c r="ELI200" s="697"/>
      <c r="ELJ200" s="697"/>
      <c r="ELK200" s="697"/>
      <c r="ELL200" s="697"/>
      <c r="ELM200" s="697"/>
      <c r="ELN200" s="697"/>
      <c r="ELO200" s="697"/>
      <c r="ELP200" s="697"/>
      <c r="ELQ200" s="697"/>
      <c r="ELR200" s="697"/>
      <c r="ELS200" s="697"/>
      <c r="ELT200" s="697"/>
      <c r="ELU200" s="697"/>
      <c r="ELV200" s="697"/>
      <c r="ELW200" s="697"/>
      <c r="ELX200" s="697"/>
      <c r="ELY200" s="697"/>
      <c r="ELZ200" s="697"/>
      <c r="EMA200" s="697"/>
      <c r="EMB200" s="697"/>
      <c r="EMC200" s="697"/>
      <c r="EMD200" s="697"/>
      <c r="EME200" s="697"/>
      <c r="EMF200" s="697"/>
      <c r="EMG200" s="697"/>
      <c r="EMH200" s="697"/>
      <c r="EMI200" s="697"/>
      <c r="EMJ200" s="697"/>
      <c r="EMK200" s="697"/>
      <c r="EML200" s="697"/>
      <c r="EMM200" s="697"/>
      <c r="EMN200" s="697"/>
      <c r="EMO200" s="697"/>
      <c r="EMP200" s="697"/>
      <c r="EMQ200" s="697"/>
      <c r="EMR200" s="697"/>
      <c r="EMS200" s="697"/>
      <c r="EMT200" s="697"/>
      <c r="EMU200" s="697"/>
      <c r="EMV200" s="697"/>
      <c r="EMW200" s="697"/>
      <c r="EMX200" s="697"/>
      <c r="EMY200" s="697"/>
      <c r="EMZ200" s="697"/>
      <c r="ENA200" s="697"/>
      <c r="ENB200" s="697"/>
      <c r="ENC200" s="697"/>
      <c r="END200" s="697"/>
      <c r="ENE200" s="697"/>
      <c r="ENF200" s="697"/>
      <c r="ENG200" s="697"/>
      <c r="ENH200" s="697"/>
      <c r="ENI200" s="697"/>
      <c r="ENJ200" s="697"/>
      <c r="ENK200" s="697"/>
      <c r="ENL200" s="697"/>
      <c r="ENM200" s="697"/>
      <c r="ENN200" s="697"/>
      <c r="ENO200" s="697"/>
      <c r="ENP200" s="697"/>
      <c r="ENQ200" s="697"/>
      <c r="ENR200" s="697"/>
      <c r="ENS200" s="697"/>
      <c r="ENT200" s="697"/>
      <c r="ENU200" s="697"/>
      <c r="ENV200" s="697"/>
      <c r="ENW200" s="697"/>
      <c r="ENX200" s="697"/>
      <c r="ENY200" s="697"/>
      <c r="ENZ200" s="697"/>
      <c r="EOA200" s="697"/>
      <c r="EOB200" s="697"/>
      <c r="EOC200" s="697"/>
      <c r="EOD200" s="697"/>
      <c r="EOE200" s="697"/>
      <c r="EOF200" s="697"/>
      <c r="EOG200" s="697"/>
      <c r="EOH200" s="697"/>
      <c r="EOI200" s="697"/>
      <c r="EOJ200" s="697"/>
      <c r="EOK200" s="697"/>
      <c r="EOL200" s="697"/>
      <c r="EOM200" s="697"/>
      <c r="EON200" s="697"/>
      <c r="EOO200" s="697"/>
      <c r="EOP200" s="697"/>
      <c r="EOQ200" s="697"/>
      <c r="EOR200" s="697"/>
      <c r="EOS200" s="697"/>
      <c r="EOT200" s="697"/>
      <c r="EOU200" s="697"/>
      <c r="EOV200" s="697"/>
      <c r="EOW200" s="697"/>
      <c r="EOX200" s="697"/>
      <c r="EOY200" s="697"/>
      <c r="EOZ200" s="697"/>
      <c r="EPA200" s="697"/>
      <c r="EPB200" s="697"/>
      <c r="EPC200" s="697"/>
      <c r="EPD200" s="697"/>
      <c r="EPE200" s="697"/>
      <c r="EPF200" s="697"/>
      <c r="EPG200" s="697"/>
      <c r="EPH200" s="697"/>
      <c r="EPI200" s="697"/>
      <c r="EPJ200" s="697"/>
      <c r="EPK200" s="697"/>
      <c r="EPL200" s="697"/>
      <c r="EPM200" s="697"/>
      <c r="EPN200" s="697"/>
      <c r="EPO200" s="697"/>
      <c r="EPP200" s="697"/>
      <c r="EPQ200" s="697"/>
      <c r="EPR200" s="697"/>
      <c r="EPS200" s="697"/>
      <c r="EPT200" s="697"/>
      <c r="EPU200" s="697"/>
      <c r="EPV200" s="697"/>
      <c r="EPW200" s="697"/>
      <c r="EPX200" s="697"/>
      <c r="EPY200" s="697"/>
      <c r="EPZ200" s="697"/>
      <c r="EQA200" s="697"/>
      <c r="EQB200" s="697"/>
      <c r="EQC200" s="697"/>
      <c r="EQD200" s="697"/>
      <c r="EQE200" s="697"/>
      <c r="EQF200" s="697"/>
      <c r="EQG200" s="697"/>
      <c r="EQH200" s="697"/>
      <c r="EQI200" s="697"/>
      <c r="EQJ200" s="697"/>
      <c r="EQK200" s="697"/>
      <c r="EQL200" s="697"/>
      <c r="EQM200" s="697"/>
      <c r="EQN200" s="697"/>
      <c r="EQO200" s="697"/>
      <c r="EQP200" s="697"/>
      <c r="EQQ200" s="697"/>
      <c r="EQR200" s="697"/>
      <c r="EQS200" s="697"/>
      <c r="EQT200" s="697"/>
      <c r="EQU200" s="697"/>
      <c r="EQV200" s="697"/>
      <c r="EQW200" s="697"/>
      <c r="EQX200" s="697"/>
      <c r="EQY200" s="697"/>
      <c r="EQZ200" s="697"/>
      <c r="ERA200" s="697"/>
      <c r="ERB200" s="697"/>
      <c r="ERC200" s="697"/>
      <c r="ERD200" s="697"/>
      <c r="ERE200" s="697"/>
      <c r="ERF200" s="697"/>
      <c r="ERG200" s="697"/>
      <c r="ERH200" s="697"/>
      <c r="ERI200" s="697"/>
      <c r="ERJ200" s="697"/>
      <c r="ERK200" s="697"/>
      <c r="ERL200" s="697"/>
      <c r="ERM200" s="697"/>
      <c r="ERN200" s="697"/>
      <c r="ERO200" s="697"/>
      <c r="ERP200" s="697"/>
      <c r="ERQ200" s="697"/>
      <c r="ERR200" s="697"/>
      <c r="ERS200" s="697"/>
      <c r="ERT200" s="697"/>
      <c r="ERU200" s="697"/>
      <c r="ERV200" s="697"/>
      <c r="ERW200" s="697"/>
      <c r="ERX200" s="697"/>
      <c r="ERY200" s="697"/>
      <c r="ERZ200" s="697"/>
      <c r="ESA200" s="697"/>
      <c r="ESB200" s="697"/>
      <c r="ESC200" s="697"/>
      <c r="ESD200" s="697"/>
      <c r="ESE200" s="697"/>
      <c r="ESF200" s="697"/>
      <c r="ESG200" s="697"/>
      <c r="ESH200" s="697"/>
      <c r="ESI200" s="697"/>
      <c r="ESJ200" s="697"/>
      <c r="ESK200" s="697"/>
      <c r="ESL200" s="697"/>
      <c r="ESM200" s="697"/>
      <c r="ESN200" s="697"/>
      <c r="ESO200" s="697"/>
      <c r="ESP200" s="697"/>
      <c r="ESQ200" s="697"/>
      <c r="ESR200" s="697"/>
      <c r="ESS200" s="697"/>
      <c r="EST200" s="697"/>
      <c r="ESU200" s="697"/>
      <c r="ESV200" s="697"/>
      <c r="ESW200" s="697"/>
      <c r="ESX200" s="697"/>
      <c r="ESY200" s="697"/>
      <c r="ESZ200" s="697"/>
      <c r="ETA200" s="697"/>
      <c r="ETB200" s="697"/>
      <c r="ETC200" s="697"/>
      <c r="ETD200" s="697"/>
      <c r="ETE200" s="697"/>
      <c r="ETF200" s="697"/>
      <c r="ETG200" s="697"/>
      <c r="ETH200" s="697"/>
      <c r="ETI200" s="697"/>
      <c r="ETJ200" s="697"/>
      <c r="ETK200" s="697"/>
      <c r="ETL200" s="697"/>
      <c r="ETM200" s="697"/>
      <c r="ETN200" s="697"/>
      <c r="ETO200" s="697"/>
      <c r="ETP200" s="697"/>
      <c r="ETQ200" s="697"/>
      <c r="ETR200" s="697"/>
      <c r="ETS200" s="697"/>
      <c r="ETT200" s="697"/>
      <c r="ETU200" s="697"/>
      <c r="ETV200" s="697"/>
      <c r="ETW200" s="697"/>
      <c r="ETX200" s="697"/>
      <c r="ETY200" s="697"/>
      <c r="ETZ200" s="697"/>
      <c r="EUA200" s="697"/>
      <c r="EUB200" s="697"/>
      <c r="EUC200" s="697"/>
      <c r="EUD200" s="697"/>
      <c r="EUE200" s="697"/>
      <c r="EUF200" s="697"/>
      <c r="EUG200" s="697"/>
      <c r="EUH200" s="697"/>
      <c r="EUI200" s="697"/>
      <c r="EUJ200" s="697"/>
      <c r="EUK200" s="697"/>
      <c r="EUL200" s="697"/>
      <c r="EUM200" s="697"/>
      <c r="EUN200" s="697"/>
      <c r="EUO200" s="697"/>
      <c r="EUP200" s="697"/>
      <c r="EUQ200" s="697"/>
      <c r="EUR200" s="697"/>
      <c r="EUS200" s="697"/>
      <c r="EUT200" s="697"/>
      <c r="EUU200" s="697"/>
      <c r="EUV200" s="697"/>
      <c r="EUW200" s="697"/>
      <c r="EUX200" s="697"/>
      <c r="EUY200" s="697"/>
      <c r="EUZ200" s="697"/>
      <c r="EVA200" s="697"/>
      <c r="EVB200" s="697"/>
      <c r="EVC200" s="697"/>
      <c r="EVD200" s="697"/>
      <c r="EVE200" s="697"/>
      <c r="EVF200" s="697"/>
      <c r="EVG200" s="697"/>
      <c r="EVH200" s="697"/>
      <c r="EVI200" s="697"/>
      <c r="EVJ200" s="697"/>
      <c r="EVK200" s="697"/>
      <c r="EVL200" s="697"/>
      <c r="EVM200" s="697"/>
      <c r="EVN200" s="697"/>
      <c r="EVO200" s="697"/>
      <c r="EVP200" s="697"/>
      <c r="EVQ200" s="697"/>
      <c r="EVR200" s="697"/>
      <c r="EVS200" s="697"/>
      <c r="EVT200" s="697"/>
      <c r="EVU200" s="697"/>
      <c r="EVV200" s="697"/>
      <c r="EVW200" s="697"/>
      <c r="EVX200" s="697"/>
      <c r="EVY200" s="697"/>
      <c r="EVZ200" s="697"/>
      <c r="EWA200" s="697"/>
      <c r="EWB200" s="697"/>
      <c r="EWC200" s="697"/>
      <c r="EWD200" s="697"/>
      <c r="EWE200" s="697"/>
      <c r="EWF200" s="697"/>
      <c r="EWG200" s="697"/>
      <c r="EWH200" s="697"/>
      <c r="EWI200" s="697"/>
      <c r="EWJ200" s="697"/>
      <c r="EWK200" s="697"/>
      <c r="EWL200" s="697"/>
      <c r="EWM200" s="697"/>
      <c r="EWN200" s="697"/>
      <c r="EWO200" s="697"/>
      <c r="EWP200" s="697"/>
      <c r="EWQ200" s="697"/>
      <c r="EWR200" s="697"/>
      <c r="EWS200" s="697"/>
      <c r="EWT200" s="697"/>
      <c r="EWU200" s="697"/>
      <c r="EWV200" s="697"/>
      <c r="EWW200" s="697"/>
      <c r="EWX200" s="697"/>
      <c r="EWY200" s="697"/>
      <c r="EWZ200" s="697"/>
      <c r="EXA200" s="697"/>
      <c r="EXB200" s="697"/>
      <c r="EXC200" s="697"/>
      <c r="EXD200" s="697"/>
      <c r="EXE200" s="697"/>
      <c r="EXF200" s="697"/>
      <c r="EXG200" s="697"/>
      <c r="EXH200" s="697"/>
      <c r="EXI200" s="697"/>
      <c r="EXJ200" s="697"/>
      <c r="EXK200" s="697"/>
      <c r="EXL200" s="697"/>
      <c r="EXM200" s="697"/>
      <c r="EXN200" s="697"/>
      <c r="EXO200" s="697"/>
      <c r="EXP200" s="697"/>
      <c r="EXQ200" s="697"/>
      <c r="EXR200" s="697"/>
      <c r="EXS200" s="697"/>
      <c r="EXT200" s="697"/>
      <c r="EXU200" s="697"/>
      <c r="EXV200" s="697"/>
      <c r="EXW200" s="697"/>
      <c r="EXX200" s="697"/>
      <c r="EXY200" s="697"/>
      <c r="EXZ200" s="697"/>
      <c r="EYA200" s="697"/>
      <c r="EYB200" s="697"/>
      <c r="EYC200" s="697"/>
      <c r="EYD200" s="697"/>
      <c r="EYE200" s="697"/>
      <c r="EYF200" s="697"/>
      <c r="EYG200" s="697"/>
      <c r="EYH200" s="697"/>
      <c r="EYI200" s="697"/>
      <c r="EYJ200" s="697"/>
      <c r="EYK200" s="697"/>
      <c r="EYL200" s="697"/>
      <c r="EYM200" s="697"/>
      <c r="EYN200" s="697"/>
      <c r="EYO200" s="697"/>
      <c r="EYP200" s="697"/>
      <c r="EYQ200" s="697"/>
      <c r="EYR200" s="697"/>
      <c r="EYS200" s="697"/>
      <c r="EYT200" s="697"/>
      <c r="EYU200" s="697"/>
      <c r="EYV200" s="697"/>
      <c r="EYW200" s="697"/>
      <c r="EYX200" s="697"/>
      <c r="EYY200" s="697"/>
      <c r="EYZ200" s="697"/>
      <c r="EZA200" s="697"/>
      <c r="EZB200" s="697"/>
      <c r="EZC200" s="697"/>
      <c r="EZD200" s="697"/>
      <c r="EZE200" s="697"/>
      <c r="EZF200" s="697"/>
      <c r="EZG200" s="697"/>
      <c r="EZH200" s="697"/>
      <c r="EZI200" s="697"/>
      <c r="EZJ200" s="697"/>
      <c r="EZK200" s="697"/>
      <c r="EZL200" s="697"/>
      <c r="EZM200" s="697"/>
      <c r="EZN200" s="697"/>
      <c r="EZO200" s="697"/>
      <c r="EZP200" s="697"/>
      <c r="EZQ200" s="697"/>
      <c r="EZR200" s="697"/>
      <c r="EZS200" s="697"/>
      <c r="EZT200" s="697"/>
      <c r="EZU200" s="697"/>
      <c r="EZV200" s="697"/>
      <c r="EZW200" s="697"/>
      <c r="EZX200" s="697"/>
      <c r="EZY200" s="697"/>
      <c r="EZZ200" s="697"/>
      <c r="FAA200" s="697"/>
      <c r="FAB200" s="697"/>
      <c r="FAC200" s="697"/>
      <c r="FAD200" s="697"/>
      <c r="FAE200" s="697"/>
      <c r="FAF200" s="697"/>
      <c r="FAG200" s="697"/>
      <c r="FAH200" s="697"/>
      <c r="FAI200" s="697"/>
      <c r="FAJ200" s="697"/>
      <c r="FAK200" s="697"/>
      <c r="FAL200" s="697"/>
      <c r="FAM200" s="697"/>
      <c r="FAN200" s="697"/>
      <c r="FAO200" s="697"/>
      <c r="FAP200" s="697"/>
      <c r="FAQ200" s="697"/>
      <c r="FAR200" s="697"/>
      <c r="FAS200" s="697"/>
      <c r="FAT200" s="697"/>
      <c r="FAU200" s="697"/>
      <c r="FAV200" s="697"/>
      <c r="FAW200" s="697"/>
      <c r="FAX200" s="697"/>
      <c r="FAY200" s="697"/>
      <c r="FAZ200" s="697"/>
      <c r="FBA200" s="697"/>
      <c r="FBB200" s="697"/>
      <c r="FBC200" s="697"/>
      <c r="FBD200" s="697"/>
      <c r="FBE200" s="697"/>
      <c r="FBF200" s="697"/>
      <c r="FBG200" s="697"/>
      <c r="FBH200" s="697"/>
      <c r="FBI200" s="697"/>
      <c r="FBJ200" s="697"/>
      <c r="FBK200" s="697"/>
      <c r="FBL200" s="697"/>
      <c r="FBM200" s="697"/>
      <c r="FBN200" s="697"/>
      <c r="FBO200" s="697"/>
      <c r="FBP200" s="697"/>
      <c r="FBQ200" s="697"/>
      <c r="FBR200" s="697"/>
      <c r="FBS200" s="697"/>
      <c r="FBT200" s="697"/>
      <c r="FBU200" s="697"/>
      <c r="FBV200" s="697"/>
      <c r="FBW200" s="697"/>
      <c r="FBX200" s="697"/>
      <c r="FBY200" s="697"/>
      <c r="FBZ200" s="697"/>
      <c r="FCA200" s="697"/>
      <c r="FCB200" s="697"/>
      <c r="FCC200" s="697"/>
      <c r="FCD200" s="697"/>
      <c r="FCE200" s="697"/>
      <c r="FCF200" s="697"/>
      <c r="FCG200" s="697"/>
      <c r="FCH200" s="697"/>
      <c r="FCI200" s="697"/>
      <c r="FCJ200" s="697"/>
      <c r="FCK200" s="697"/>
      <c r="FCL200" s="697"/>
      <c r="FCM200" s="697"/>
      <c r="FCN200" s="697"/>
      <c r="FCO200" s="697"/>
      <c r="FCP200" s="697"/>
      <c r="FCQ200" s="697"/>
      <c r="FCR200" s="697"/>
      <c r="FCS200" s="697"/>
      <c r="FCT200" s="697"/>
      <c r="FCU200" s="697"/>
      <c r="FCV200" s="697"/>
      <c r="FCW200" s="697"/>
      <c r="FCX200" s="697"/>
      <c r="FCY200" s="697"/>
      <c r="FCZ200" s="697"/>
      <c r="FDA200" s="697"/>
      <c r="FDB200" s="697"/>
      <c r="FDC200" s="697"/>
      <c r="FDD200" s="697"/>
      <c r="FDE200" s="697"/>
      <c r="FDF200" s="697"/>
      <c r="FDG200" s="697"/>
      <c r="FDH200" s="697"/>
      <c r="FDI200" s="697"/>
      <c r="FDJ200" s="697"/>
      <c r="FDK200" s="697"/>
      <c r="FDL200" s="697"/>
      <c r="FDM200" s="697"/>
      <c r="FDN200" s="697"/>
      <c r="FDO200" s="697"/>
      <c r="FDP200" s="697"/>
      <c r="FDQ200" s="697"/>
      <c r="FDR200" s="697"/>
      <c r="FDS200" s="697"/>
      <c r="FDT200" s="697"/>
      <c r="FDU200" s="697"/>
      <c r="FDV200" s="697"/>
      <c r="FDW200" s="697"/>
      <c r="FDX200" s="697"/>
      <c r="FDY200" s="697"/>
      <c r="FDZ200" s="697"/>
      <c r="FEA200" s="697"/>
      <c r="FEB200" s="697"/>
      <c r="FEC200" s="697"/>
      <c r="FED200" s="697"/>
      <c r="FEE200" s="697"/>
      <c r="FEF200" s="697"/>
      <c r="FEG200" s="697"/>
      <c r="FEH200" s="697"/>
      <c r="FEI200" s="697"/>
      <c r="FEJ200" s="697"/>
      <c r="FEK200" s="697"/>
      <c r="FEL200" s="697"/>
      <c r="FEM200" s="697"/>
      <c r="FEN200" s="697"/>
      <c r="FEO200" s="697"/>
      <c r="FEP200" s="697"/>
      <c r="FEQ200" s="697"/>
      <c r="FER200" s="697"/>
      <c r="FES200" s="697"/>
      <c r="FET200" s="697"/>
      <c r="FEU200" s="697"/>
      <c r="FEV200" s="697"/>
      <c r="FEW200" s="697"/>
      <c r="FEX200" s="697"/>
      <c r="FEY200" s="697"/>
      <c r="FEZ200" s="697"/>
      <c r="FFA200" s="697"/>
      <c r="FFB200" s="697"/>
      <c r="FFC200" s="697"/>
      <c r="FFD200" s="697"/>
      <c r="FFE200" s="697"/>
      <c r="FFF200" s="697"/>
      <c r="FFG200" s="697"/>
      <c r="FFH200" s="697"/>
      <c r="FFI200" s="697"/>
      <c r="FFJ200" s="697"/>
      <c r="FFK200" s="697"/>
      <c r="FFL200" s="697"/>
      <c r="FFM200" s="697"/>
      <c r="FFN200" s="697"/>
      <c r="FFO200" s="697"/>
      <c r="FFP200" s="697"/>
      <c r="FFQ200" s="697"/>
      <c r="FFR200" s="697"/>
      <c r="FFS200" s="697"/>
      <c r="FFT200" s="697"/>
      <c r="FFU200" s="697"/>
      <c r="FFV200" s="697"/>
      <c r="FFW200" s="697"/>
      <c r="FFX200" s="697"/>
      <c r="FFY200" s="697"/>
      <c r="FFZ200" s="697"/>
      <c r="FGA200" s="697"/>
      <c r="FGB200" s="697"/>
      <c r="FGC200" s="697"/>
      <c r="FGD200" s="697"/>
      <c r="FGE200" s="697"/>
      <c r="FGF200" s="697"/>
      <c r="FGG200" s="697"/>
      <c r="FGH200" s="697"/>
      <c r="FGI200" s="697"/>
      <c r="FGJ200" s="697"/>
      <c r="FGK200" s="697"/>
      <c r="FGL200" s="697"/>
      <c r="FGM200" s="697"/>
      <c r="FGN200" s="697"/>
      <c r="FGO200" s="697"/>
      <c r="FGP200" s="697"/>
      <c r="FGQ200" s="697"/>
      <c r="FGR200" s="697"/>
      <c r="FGS200" s="697"/>
      <c r="FGT200" s="697"/>
      <c r="FGU200" s="697"/>
      <c r="FGV200" s="697"/>
      <c r="FGW200" s="697"/>
      <c r="FGX200" s="697"/>
      <c r="FGY200" s="697"/>
      <c r="FGZ200" s="697"/>
      <c r="FHA200" s="697"/>
      <c r="FHB200" s="697"/>
      <c r="FHC200" s="697"/>
      <c r="FHD200" s="697"/>
      <c r="FHE200" s="697"/>
      <c r="FHF200" s="697"/>
      <c r="FHG200" s="697"/>
      <c r="FHH200" s="697"/>
      <c r="FHI200" s="697"/>
      <c r="FHJ200" s="697"/>
      <c r="FHK200" s="697"/>
      <c r="FHL200" s="697"/>
      <c r="FHM200" s="697"/>
      <c r="FHN200" s="697"/>
      <c r="FHO200" s="697"/>
      <c r="FHP200" s="697"/>
      <c r="FHQ200" s="697"/>
      <c r="FHR200" s="697"/>
      <c r="FHS200" s="697"/>
      <c r="FHT200" s="697"/>
      <c r="FHU200" s="697"/>
      <c r="FHV200" s="697"/>
      <c r="FHW200" s="697"/>
      <c r="FHX200" s="697"/>
      <c r="FHY200" s="697"/>
      <c r="FHZ200" s="697"/>
      <c r="FIA200" s="697"/>
      <c r="FIB200" s="697"/>
      <c r="FIC200" s="697"/>
      <c r="FID200" s="697"/>
      <c r="FIE200" s="697"/>
      <c r="FIF200" s="697"/>
      <c r="FIG200" s="697"/>
      <c r="FIH200" s="697"/>
      <c r="FII200" s="697"/>
      <c r="FIJ200" s="697"/>
      <c r="FIK200" s="697"/>
      <c r="FIL200" s="697"/>
      <c r="FIM200" s="697"/>
      <c r="FIN200" s="697"/>
      <c r="FIO200" s="697"/>
      <c r="FIP200" s="697"/>
      <c r="FIQ200" s="697"/>
      <c r="FIR200" s="697"/>
      <c r="FIS200" s="697"/>
      <c r="FIT200" s="697"/>
      <c r="FIU200" s="697"/>
      <c r="FIV200" s="697"/>
      <c r="FIW200" s="697"/>
      <c r="FIX200" s="697"/>
      <c r="FIY200" s="697"/>
      <c r="FIZ200" s="697"/>
      <c r="FJA200" s="697"/>
      <c r="FJB200" s="697"/>
      <c r="FJC200" s="697"/>
      <c r="FJD200" s="697"/>
      <c r="FJE200" s="697"/>
      <c r="FJF200" s="697"/>
      <c r="FJG200" s="697"/>
      <c r="FJH200" s="697"/>
      <c r="FJI200" s="697"/>
      <c r="FJJ200" s="697"/>
      <c r="FJK200" s="697"/>
      <c r="FJL200" s="697"/>
      <c r="FJM200" s="697"/>
      <c r="FJN200" s="697"/>
      <c r="FJO200" s="697"/>
      <c r="FJP200" s="697"/>
      <c r="FJQ200" s="697"/>
      <c r="FJR200" s="697"/>
      <c r="FJS200" s="697"/>
      <c r="FJT200" s="697"/>
      <c r="FJU200" s="697"/>
      <c r="FJV200" s="697"/>
      <c r="FJW200" s="697"/>
      <c r="FJX200" s="697"/>
      <c r="FJY200" s="697"/>
      <c r="FJZ200" s="697"/>
      <c r="FKA200" s="697"/>
      <c r="FKB200" s="697"/>
      <c r="FKC200" s="697"/>
      <c r="FKD200" s="697"/>
      <c r="FKE200" s="697"/>
      <c r="FKF200" s="697"/>
      <c r="FKG200" s="697"/>
      <c r="FKH200" s="697"/>
      <c r="FKI200" s="697"/>
      <c r="FKJ200" s="697"/>
      <c r="FKK200" s="697"/>
      <c r="FKL200" s="697"/>
      <c r="FKM200" s="697"/>
      <c r="FKN200" s="697"/>
      <c r="FKO200" s="697"/>
      <c r="FKP200" s="697"/>
      <c r="FKQ200" s="697"/>
      <c r="FKR200" s="697"/>
      <c r="FKS200" s="697"/>
      <c r="FKT200" s="697"/>
      <c r="FKU200" s="697"/>
      <c r="FKV200" s="697"/>
      <c r="FKW200" s="697"/>
      <c r="FKX200" s="697"/>
      <c r="FKY200" s="697"/>
      <c r="FKZ200" s="697"/>
      <c r="FLA200" s="697"/>
      <c r="FLB200" s="697"/>
      <c r="FLC200" s="697"/>
      <c r="FLD200" s="697"/>
      <c r="FLE200" s="697"/>
      <c r="FLF200" s="697"/>
      <c r="FLG200" s="697"/>
      <c r="FLH200" s="697"/>
      <c r="FLI200" s="697"/>
      <c r="FLJ200" s="697"/>
      <c r="FLK200" s="697"/>
      <c r="FLL200" s="697"/>
      <c r="FLM200" s="697"/>
      <c r="FLN200" s="697"/>
      <c r="FLO200" s="697"/>
      <c r="FLP200" s="697"/>
      <c r="FLQ200" s="697"/>
      <c r="FLR200" s="697"/>
      <c r="FLS200" s="697"/>
      <c r="FLT200" s="697"/>
      <c r="FLU200" s="697"/>
      <c r="FLV200" s="697"/>
      <c r="FLW200" s="697"/>
      <c r="FLX200" s="697"/>
      <c r="FLY200" s="697"/>
      <c r="FLZ200" s="697"/>
      <c r="FMA200" s="697"/>
      <c r="FMB200" s="697"/>
      <c r="FMC200" s="697"/>
      <c r="FMD200" s="697"/>
      <c r="FME200" s="697"/>
      <c r="FMF200" s="697"/>
      <c r="FMG200" s="697"/>
      <c r="FMH200" s="697"/>
      <c r="FMI200" s="697"/>
      <c r="FMJ200" s="697"/>
      <c r="FMK200" s="697"/>
      <c r="FML200" s="697"/>
      <c r="FMM200" s="697"/>
      <c r="FMN200" s="697"/>
      <c r="FMO200" s="697"/>
      <c r="FMP200" s="697"/>
      <c r="FMQ200" s="697"/>
      <c r="FMR200" s="697"/>
      <c r="FMS200" s="697"/>
      <c r="FMT200" s="697"/>
      <c r="FMU200" s="697"/>
      <c r="FMV200" s="697"/>
      <c r="FMW200" s="697"/>
      <c r="FMX200" s="697"/>
      <c r="FMY200" s="697"/>
      <c r="FMZ200" s="697"/>
      <c r="FNA200" s="697"/>
      <c r="FNB200" s="697"/>
      <c r="FNC200" s="697"/>
      <c r="FND200" s="697"/>
      <c r="FNE200" s="697"/>
      <c r="FNF200" s="697"/>
      <c r="FNG200" s="697"/>
      <c r="FNH200" s="697"/>
      <c r="FNI200" s="697"/>
      <c r="FNJ200" s="697"/>
      <c r="FNK200" s="697"/>
      <c r="FNL200" s="697"/>
      <c r="FNM200" s="697"/>
      <c r="FNN200" s="697"/>
      <c r="FNO200" s="697"/>
      <c r="FNP200" s="697"/>
      <c r="FNQ200" s="697"/>
      <c r="FNR200" s="697"/>
      <c r="FNS200" s="697"/>
      <c r="FNT200" s="697"/>
      <c r="FNU200" s="697"/>
      <c r="FNV200" s="697"/>
      <c r="FNW200" s="697"/>
      <c r="FNX200" s="697"/>
      <c r="FNY200" s="697"/>
      <c r="FNZ200" s="697"/>
      <c r="FOA200" s="697"/>
      <c r="FOB200" s="697"/>
      <c r="FOC200" s="697"/>
      <c r="FOD200" s="697"/>
      <c r="FOE200" s="697"/>
      <c r="FOF200" s="697"/>
      <c r="FOG200" s="697"/>
      <c r="FOH200" s="697"/>
      <c r="FOI200" s="697"/>
      <c r="FOJ200" s="697"/>
      <c r="FOK200" s="697"/>
      <c r="FOL200" s="697"/>
      <c r="FOM200" s="697"/>
      <c r="FON200" s="697"/>
      <c r="FOO200" s="697"/>
      <c r="FOP200" s="697"/>
      <c r="FOQ200" s="697"/>
      <c r="FOR200" s="697"/>
      <c r="FOS200" s="697"/>
      <c r="FOT200" s="697"/>
      <c r="FOU200" s="697"/>
      <c r="FOV200" s="697"/>
      <c r="FOW200" s="697"/>
      <c r="FOX200" s="697"/>
      <c r="FOY200" s="697"/>
      <c r="FOZ200" s="697"/>
      <c r="FPA200" s="697"/>
      <c r="FPB200" s="697"/>
      <c r="FPC200" s="697"/>
      <c r="FPD200" s="697"/>
      <c r="FPE200" s="697"/>
      <c r="FPF200" s="697"/>
      <c r="FPG200" s="697"/>
      <c r="FPH200" s="697"/>
      <c r="FPI200" s="697"/>
      <c r="FPJ200" s="697"/>
      <c r="FPK200" s="697"/>
      <c r="FPL200" s="697"/>
      <c r="FPM200" s="697"/>
      <c r="FPN200" s="697"/>
      <c r="FPO200" s="697"/>
      <c r="FPP200" s="697"/>
      <c r="FPQ200" s="697"/>
      <c r="FPR200" s="697"/>
      <c r="FPS200" s="697"/>
      <c r="FPT200" s="697"/>
      <c r="FPU200" s="697"/>
      <c r="FPV200" s="697"/>
      <c r="FPW200" s="697"/>
      <c r="FPX200" s="697"/>
      <c r="FPY200" s="697"/>
      <c r="FPZ200" s="697"/>
      <c r="FQA200" s="697"/>
      <c r="FQB200" s="697"/>
      <c r="FQC200" s="697"/>
      <c r="FQD200" s="697"/>
      <c r="FQE200" s="697"/>
      <c r="FQF200" s="697"/>
      <c r="FQG200" s="697"/>
      <c r="FQH200" s="697"/>
      <c r="FQI200" s="697"/>
      <c r="FQJ200" s="697"/>
      <c r="FQK200" s="697"/>
      <c r="FQL200" s="697"/>
      <c r="FQM200" s="697"/>
      <c r="FQN200" s="697"/>
      <c r="FQO200" s="697"/>
      <c r="FQP200" s="697"/>
      <c r="FQQ200" s="697"/>
      <c r="FQR200" s="697"/>
      <c r="FQS200" s="697"/>
      <c r="FQT200" s="697"/>
      <c r="FQU200" s="697"/>
      <c r="FQV200" s="697"/>
      <c r="FQW200" s="697"/>
      <c r="FQX200" s="697"/>
      <c r="FQY200" s="697"/>
      <c r="FQZ200" s="697"/>
      <c r="FRA200" s="697"/>
      <c r="FRB200" s="697"/>
      <c r="FRC200" s="697"/>
      <c r="FRD200" s="697"/>
      <c r="FRE200" s="697"/>
      <c r="FRF200" s="697"/>
      <c r="FRG200" s="697"/>
      <c r="FRH200" s="697"/>
      <c r="FRI200" s="697"/>
      <c r="FRJ200" s="697"/>
      <c r="FRK200" s="697"/>
      <c r="FRL200" s="697"/>
      <c r="FRM200" s="697"/>
      <c r="FRN200" s="697"/>
      <c r="FRO200" s="697"/>
      <c r="FRP200" s="697"/>
      <c r="FRQ200" s="697"/>
      <c r="FRR200" s="697"/>
      <c r="FRS200" s="697"/>
      <c r="FRT200" s="697"/>
      <c r="FRU200" s="697"/>
      <c r="FRV200" s="697"/>
      <c r="FRW200" s="697"/>
      <c r="FRX200" s="697"/>
      <c r="FRY200" s="697"/>
      <c r="FRZ200" s="697"/>
      <c r="FSA200" s="697"/>
      <c r="FSB200" s="697"/>
      <c r="FSC200" s="697"/>
      <c r="FSD200" s="697"/>
      <c r="FSE200" s="697"/>
      <c r="FSF200" s="697"/>
      <c r="FSG200" s="697"/>
      <c r="FSH200" s="697"/>
      <c r="FSI200" s="697"/>
      <c r="FSJ200" s="697"/>
      <c r="FSK200" s="697"/>
      <c r="FSL200" s="697"/>
      <c r="FSM200" s="697"/>
      <c r="FSN200" s="697"/>
      <c r="FSO200" s="697"/>
      <c r="FSP200" s="697"/>
      <c r="FSQ200" s="697"/>
      <c r="FSR200" s="697"/>
      <c r="FSS200" s="697"/>
      <c r="FST200" s="697"/>
      <c r="FSU200" s="697"/>
      <c r="FSV200" s="697"/>
      <c r="FSW200" s="697"/>
      <c r="FSX200" s="697"/>
      <c r="FSY200" s="697"/>
      <c r="FSZ200" s="697"/>
      <c r="FTA200" s="697"/>
      <c r="FTB200" s="697"/>
      <c r="FTC200" s="697"/>
      <c r="FTD200" s="697"/>
      <c r="FTE200" s="697"/>
      <c r="FTF200" s="697"/>
      <c r="FTG200" s="697"/>
      <c r="FTH200" s="697"/>
      <c r="FTI200" s="697"/>
      <c r="FTJ200" s="697"/>
      <c r="FTK200" s="697"/>
      <c r="FTL200" s="697"/>
      <c r="FTM200" s="697"/>
      <c r="FTN200" s="697"/>
      <c r="FTO200" s="697"/>
      <c r="FTP200" s="697"/>
      <c r="FTQ200" s="697"/>
      <c r="FTR200" s="697"/>
      <c r="FTS200" s="697"/>
      <c r="FTT200" s="697"/>
      <c r="FTU200" s="697"/>
      <c r="FTV200" s="697"/>
      <c r="FTW200" s="697"/>
      <c r="FTX200" s="697"/>
      <c r="FTY200" s="697"/>
      <c r="FTZ200" s="697"/>
      <c r="FUA200" s="697"/>
      <c r="FUB200" s="697"/>
      <c r="FUC200" s="697"/>
      <c r="FUD200" s="697"/>
      <c r="FUE200" s="697"/>
      <c r="FUF200" s="697"/>
      <c r="FUG200" s="697"/>
      <c r="FUH200" s="697"/>
      <c r="FUI200" s="697"/>
      <c r="FUJ200" s="697"/>
      <c r="FUK200" s="697"/>
      <c r="FUL200" s="697"/>
      <c r="FUM200" s="697"/>
      <c r="FUN200" s="697"/>
      <c r="FUO200" s="697"/>
      <c r="FUP200" s="697"/>
      <c r="FUQ200" s="697"/>
      <c r="FUR200" s="697"/>
      <c r="FUS200" s="697"/>
      <c r="FUT200" s="697"/>
      <c r="FUU200" s="697"/>
      <c r="FUV200" s="697"/>
      <c r="FUW200" s="697"/>
      <c r="FUX200" s="697"/>
      <c r="FUY200" s="697"/>
      <c r="FUZ200" s="697"/>
      <c r="FVA200" s="697"/>
      <c r="FVB200" s="697"/>
      <c r="FVC200" s="697"/>
      <c r="FVD200" s="697"/>
      <c r="FVE200" s="697"/>
      <c r="FVF200" s="697"/>
      <c r="FVG200" s="697"/>
      <c r="FVH200" s="697"/>
      <c r="FVI200" s="697"/>
      <c r="FVJ200" s="697"/>
      <c r="FVK200" s="697"/>
      <c r="FVL200" s="697"/>
      <c r="FVM200" s="697"/>
      <c r="FVN200" s="697"/>
      <c r="FVO200" s="697"/>
      <c r="FVP200" s="697"/>
      <c r="FVQ200" s="697"/>
      <c r="FVR200" s="697"/>
      <c r="FVS200" s="697"/>
      <c r="FVT200" s="697"/>
      <c r="FVU200" s="697"/>
      <c r="FVV200" s="697"/>
      <c r="FVW200" s="697"/>
      <c r="FVX200" s="697"/>
      <c r="FVY200" s="697"/>
      <c r="FVZ200" s="697"/>
      <c r="FWA200" s="697"/>
      <c r="FWB200" s="697"/>
      <c r="FWC200" s="697"/>
      <c r="FWD200" s="697"/>
      <c r="FWE200" s="697"/>
      <c r="FWF200" s="697"/>
      <c r="FWG200" s="697"/>
      <c r="FWH200" s="697"/>
      <c r="FWI200" s="697"/>
      <c r="FWJ200" s="697"/>
      <c r="FWK200" s="697"/>
      <c r="FWL200" s="697"/>
      <c r="FWM200" s="697"/>
      <c r="FWN200" s="697"/>
      <c r="FWO200" s="697"/>
      <c r="FWP200" s="697"/>
      <c r="FWQ200" s="697"/>
      <c r="FWR200" s="697"/>
      <c r="FWS200" s="697"/>
      <c r="FWT200" s="697"/>
      <c r="FWU200" s="697"/>
      <c r="FWV200" s="697"/>
      <c r="FWW200" s="697"/>
      <c r="FWX200" s="697"/>
      <c r="FWY200" s="697"/>
      <c r="FWZ200" s="697"/>
      <c r="FXA200" s="697"/>
      <c r="FXB200" s="697"/>
      <c r="FXC200" s="697"/>
      <c r="FXD200" s="697"/>
      <c r="FXE200" s="697"/>
      <c r="FXF200" s="697"/>
      <c r="FXG200" s="697"/>
      <c r="FXH200" s="697"/>
      <c r="FXI200" s="697"/>
      <c r="FXJ200" s="697"/>
      <c r="FXK200" s="697"/>
      <c r="FXL200" s="697"/>
      <c r="FXM200" s="697"/>
      <c r="FXN200" s="697"/>
      <c r="FXO200" s="697"/>
      <c r="FXP200" s="697"/>
      <c r="FXQ200" s="697"/>
      <c r="FXR200" s="697"/>
      <c r="FXS200" s="697"/>
      <c r="FXT200" s="697"/>
      <c r="FXU200" s="697"/>
      <c r="FXV200" s="697"/>
      <c r="FXW200" s="697"/>
      <c r="FXX200" s="697"/>
      <c r="FXY200" s="697"/>
      <c r="FXZ200" s="697"/>
      <c r="FYA200" s="697"/>
      <c r="FYB200" s="697"/>
      <c r="FYC200" s="697"/>
      <c r="FYD200" s="697"/>
      <c r="FYE200" s="697"/>
      <c r="FYF200" s="697"/>
      <c r="FYG200" s="697"/>
      <c r="FYH200" s="697"/>
      <c r="FYI200" s="697"/>
      <c r="FYJ200" s="697"/>
      <c r="FYK200" s="697"/>
      <c r="FYL200" s="697"/>
      <c r="FYM200" s="697"/>
      <c r="FYN200" s="697"/>
      <c r="FYO200" s="697"/>
      <c r="FYP200" s="697"/>
      <c r="FYQ200" s="697"/>
      <c r="FYR200" s="697"/>
      <c r="FYS200" s="697"/>
      <c r="FYT200" s="697"/>
      <c r="FYU200" s="697"/>
      <c r="FYV200" s="697"/>
      <c r="FYW200" s="697"/>
      <c r="FYX200" s="697"/>
      <c r="FYY200" s="697"/>
      <c r="FYZ200" s="697"/>
      <c r="FZA200" s="697"/>
      <c r="FZB200" s="697"/>
      <c r="FZC200" s="697"/>
      <c r="FZD200" s="697"/>
      <c r="FZE200" s="697"/>
      <c r="FZF200" s="697"/>
      <c r="FZG200" s="697"/>
      <c r="FZH200" s="697"/>
      <c r="FZI200" s="697"/>
      <c r="FZJ200" s="697"/>
      <c r="FZK200" s="697"/>
      <c r="FZL200" s="697"/>
      <c r="FZM200" s="697"/>
      <c r="FZN200" s="697"/>
      <c r="FZO200" s="697"/>
      <c r="FZP200" s="697"/>
      <c r="FZQ200" s="697"/>
      <c r="FZR200" s="697"/>
      <c r="FZS200" s="697"/>
      <c r="FZT200" s="697"/>
      <c r="FZU200" s="697"/>
      <c r="FZV200" s="697"/>
      <c r="FZW200" s="697"/>
      <c r="FZX200" s="697"/>
      <c r="FZY200" s="697"/>
      <c r="FZZ200" s="697"/>
      <c r="GAA200" s="697"/>
      <c r="GAB200" s="697"/>
      <c r="GAC200" s="697"/>
      <c r="GAD200" s="697"/>
      <c r="GAE200" s="697"/>
      <c r="GAF200" s="697"/>
      <c r="GAG200" s="697"/>
      <c r="GAH200" s="697"/>
      <c r="GAI200" s="697"/>
      <c r="GAJ200" s="697"/>
      <c r="GAK200" s="697"/>
      <c r="GAL200" s="697"/>
      <c r="GAM200" s="697"/>
      <c r="GAN200" s="697"/>
      <c r="GAO200" s="697"/>
      <c r="GAP200" s="697"/>
      <c r="GAQ200" s="697"/>
      <c r="GAR200" s="697"/>
      <c r="GAS200" s="697"/>
      <c r="GAT200" s="697"/>
      <c r="GAU200" s="697"/>
      <c r="GAV200" s="697"/>
      <c r="GAW200" s="697"/>
      <c r="GAX200" s="697"/>
      <c r="GAY200" s="697"/>
      <c r="GAZ200" s="697"/>
      <c r="GBA200" s="697"/>
      <c r="GBB200" s="697"/>
      <c r="GBC200" s="697"/>
      <c r="GBD200" s="697"/>
      <c r="GBE200" s="697"/>
      <c r="GBF200" s="697"/>
      <c r="GBG200" s="697"/>
      <c r="GBH200" s="697"/>
      <c r="GBI200" s="697"/>
      <c r="GBJ200" s="697"/>
      <c r="GBK200" s="697"/>
      <c r="GBL200" s="697"/>
      <c r="GBM200" s="697"/>
      <c r="GBN200" s="697"/>
      <c r="GBO200" s="697"/>
      <c r="GBP200" s="697"/>
      <c r="GBQ200" s="697"/>
      <c r="GBR200" s="697"/>
      <c r="GBS200" s="697"/>
      <c r="GBT200" s="697"/>
      <c r="GBU200" s="697"/>
      <c r="GBV200" s="697"/>
      <c r="GBW200" s="697"/>
      <c r="GBX200" s="697"/>
      <c r="GBY200" s="697"/>
      <c r="GBZ200" s="697"/>
      <c r="GCA200" s="697"/>
      <c r="GCB200" s="697"/>
      <c r="GCC200" s="697"/>
      <c r="GCD200" s="697"/>
      <c r="GCE200" s="697"/>
      <c r="GCF200" s="697"/>
      <c r="GCG200" s="697"/>
      <c r="GCH200" s="697"/>
      <c r="GCI200" s="697"/>
      <c r="GCJ200" s="697"/>
      <c r="GCK200" s="697"/>
      <c r="GCL200" s="697"/>
      <c r="GCM200" s="697"/>
      <c r="GCN200" s="697"/>
      <c r="GCO200" s="697"/>
      <c r="GCP200" s="697"/>
      <c r="GCQ200" s="697"/>
      <c r="GCR200" s="697"/>
      <c r="GCS200" s="697"/>
      <c r="GCT200" s="697"/>
      <c r="GCU200" s="697"/>
      <c r="GCV200" s="697"/>
      <c r="GCW200" s="697"/>
      <c r="GCX200" s="697"/>
      <c r="GCY200" s="697"/>
      <c r="GCZ200" s="697"/>
      <c r="GDA200" s="697"/>
      <c r="GDB200" s="697"/>
      <c r="GDC200" s="697"/>
      <c r="GDD200" s="697"/>
      <c r="GDE200" s="697"/>
      <c r="GDF200" s="697"/>
      <c r="GDG200" s="697"/>
      <c r="GDH200" s="697"/>
      <c r="GDI200" s="697"/>
      <c r="GDJ200" s="697"/>
      <c r="GDK200" s="697"/>
      <c r="GDL200" s="697"/>
      <c r="GDM200" s="697"/>
      <c r="GDN200" s="697"/>
      <c r="GDO200" s="697"/>
      <c r="GDP200" s="697"/>
      <c r="GDQ200" s="697"/>
      <c r="GDR200" s="697"/>
      <c r="GDS200" s="697"/>
      <c r="GDT200" s="697"/>
      <c r="GDU200" s="697"/>
      <c r="GDV200" s="697"/>
      <c r="GDW200" s="697"/>
      <c r="GDX200" s="697"/>
      <c r="GDY200" s="697"/>
      <c r="GDZ200" s="697"/>
      <c r="GEA200" s="697"/>
      <c r="GEB200" s="697"/>
      <c r="GEC200" s="697"/>
      <c r="GED200" s="697"/>
      <c r="GEE200" s="697"/>
      <c r="GEF200" s="697"/>
      <c r="GEG200" s="697"/>
      <c r="GEH200" s="697"/>
      <c r="GEI200" s="697"/>
      <c r="GEJ200" s="697"/>
      <c r="GEK200" s="697"/>
      <c r="GEL200" s="697"/>
      <c r="GEM200" s="697"/>
      <c r="GEN200" s="697"/>
      <c r="GEO200" s="697"/>
      <c r="GEP200" s="697"/>
      <c r="GEQ200" s="697"/>
      <c r="GER200" s="697"/>
      <c r="GES200" s="697"/>
      <c r="GET200" s="697"/>
      <c r="GEU200" s="697"/>
      <c r="GEV200" s="697"/>
      <c r="GEW200" s="697"/>
      <c r="GEX200" s="697"/>
      <c r="GEY200" s="697"/>
      <c r="GEZ200" s="697"/>
      <c r="GFA200" s="697"/>
      <c r="GFB200" s="697"/>
      <c r="GFC200" s="697"/>
      <c r="GFD200" s="697"/>
      <c r="GFE200" s="697"/>
      <c r="GFF200" s="697"/>
      <c r="GFG200" s="697"/>
      <c r="GFH200" s="697"/>
      <c r="GFI200" s="697"/>
      <c r="GFJ200" s="697"/>
      <c r="GFK200" s="697"/>
      <c r="GFL200" s="697"/>
      <c r="GFM200" s="697"/>
      <c r="GFN200" s="697"/>
      <c r="GFO200" s="697"/>
      <c r="GFP200" s="697"/>
      <c r="GFQ200" s="697"/>
      <c r="GFR200" s="697"/>
      <c r="GFS200" s="697"/>
      <c r="GFT200" s="697"/>
      <c r="GFU200" s="697"/>
      <c r="GFV200" s="697"/>
      <c r="GFW200" s="697"/>
      <c r="GFX200" s="697"/>
      <c r="GFY200" s="697"/>
      <c r="GFZ200" s="697"/>
      <c r="GGA200" s="697"/>
      <c r="GGB200" s="697"/>
      <c r="GGC200" s="697"/>
      <c r="GGD200" s="697"/>
      <c r="GGE200" s="697"/>
      <c r="GGF200" s="697"/>
      <c r="GGG200" s="697"/>
      <c r="GGH200" s="697"/>
      <c r="GGI200" s="697"/>
      <c r="GGJ200" s="697"/>
      <c r="GGK200" s="697"/>
      <c r="GGL200" s="697"/>
      <c r="GGM200" s="697"/>
      <c r="GGN200" s="697"/>
      <c r="GGO200" s="697"/>
      <c r="GGP200" s="697"/>
      <c r="GGQ200" s="697"/>
      <c r="GGR200" s="697"/>
      <c r="GGS200" s="697"/>
      <c r="GGT200" s="697"/>
      <c r="GGU200" s="697"/>
      <c r="GGV200" s="697"/>
      <c r="GGW200" s="697"/>
      <c r="GGX200" s="697"/>
      <c r="GGY200" s="697"/>
      <c r="GGZ200" s="697"/>
      <c r="GHA200" s="697"/>
      <c r="GHB200" s="697"/>
      <c r="GHC200" s="697"/>
      <c r="GHD200" s="697"/>
      <c r="GHE200" s="697"/>
      <c r="GHF200" s="697"/>
      <c r="GHG200" s="697"/>
      <c r="GHH200" s="697"/>
      <c r="GHI200" s="697"/>
      <c r="GHJ200" s="697"/>
      <c r="GHK200" s="697"/>
      <c r="GHL200" s="697"/>
      <c r="GHM200" s="697"/>
      <c r="GHN200" s="697"/>
      <c r="GHO200" s="697"/>
      <c r="GHP200" s="697"/>
      <c r="GHQ200" s="697"/>
      <c r="GHR200" s="697"/>
      <c r="GHS200" s="697"/>
      <c r="GHT200" s="697"/>
      <c r="GHU200" s="697"/>
      <c r="GHV200" s="697"/>
      <c r="GHW200" s="697"/>
      <c r="GHX200" s="697"/>
      <c r="GHY200" s="697"/>
      <c r="GHZ200" s="697"/>
      <c r="GIA200" s="697"/>
      <c r="GIB200" s="697"/>
      <c r="GIC200" s="697"/>
      <c r="GID200" s="697"/>
      <c r="GIE200" s="697"/>
      <c r="GIF200" s="697"/>
      <c r="GIG200" s="697"/>
      <c r="GIH200" s="697"/>
      <c r="GII200" s="697"/>
      <c r="GIJ200" s="697"/>
      <c r="GIK200" s="697"/>
      <c r="GIL200" s="697"/>
      <c r="GIM200" s="697"/>
      <c r="GIN200" s="697"/>
      <c r="GIO200" s="697"/>
      <c r="GIP200" s="697"/>
      <c r="GIQ200" s="697"/>
      <c r="GIR200" s="697"/>
      <c r="GIS200" s="697"/>
      <c r="GIT200" s="697"/>
      <c r="GIU200" s="697"/>
      <c r="GIV200" s="697"/>
      <c r="GIW200" s="697"/>
      <c r="GIX200" s="697"/>
      <c r="GIY200" s="697"/>
      <c r="GIZ200" s="697"/>
      <c r="GJA200" s="697"/>
      <c r="GJB200" s="697"/>
      <c r="GJC200" s="697"/>
      <c r="GJD200" s="697"/>
      <c r="GJE200" s="697"/>
      <c r="GJF200" s="697"/>
      <c r="GJG200" s="697"/>
      <c r="GJH200" s="697"/>
      <c r="GJI200" s="697"/>
      <c r="GJJ200" s="697"/>
      <c r="GJK200" s="697"/>
      <c r="GJL200" s="697"/>
      <c r="GJM200" s="697"/>
      <c r="GJN200" s="697"/>
      <c r="GJO200" s="697"/>
      <c r="GJP200" s="697"/>
      <c r="GJQ200" s="697"/>
      <c r="GJR200" s="697"/>
      <c r="GJS200" s="697"/>
      <c r="GJT200" s="697"/>
      <c r="GJU200" s="697"/>
      <c r="GJV200" s="697"/>
      <c r="GJW200" s="697"/>
      <c r="GJX200" s="697"/>
      <c r="GJY200" s="697"/>
      <c r="GJZ200" s="697"/>
      <c r="GKA200" s="697"/>
      <c r="GKB200" s="697"/>
      <c r="GKC200" s="697"/>
      <c r="GKD200" s="697"/>
      <c r="GKE200" s="697"/>
      <c r="GKF200" s="697"/>
      <c r="GKG200" s="697"/>
      <c r="GKH200" s="697"/>
      <c r="GKI200" s="697"/>
      <c r="GKJ200" s="697"/>
      <c r="GKK200" s="697"/>
      <c r="GKL200" s="697"/>
      <c r="GKM200" s="697"/>
      <c r="GKN200" s="697"/>
      <c r="GKO200" s="697"/>
      <c r="GKP200" s="697"/>
      <c r="GKQ200" s="697"/>
      <c r="GKR200" s="697"/>
      <c r="GKS200" s="697"/>
      <c r="GKT200" s="697"/>
      <c r="GKU200" s="697"/>
      <c r="GKV200" s="697"/>
      <c r="GKW200" s="697"/>
      <c r="GKX200" s="697"/>
      <c r="GKY200" s="697"/>
      <c r="GKZ200" s="697"/>
      <c r="GLA200" s="697"/>
      <c r="GLB200" s="697"/>
      <c r="GLC200" s="697"/>
      <c r="GLD200" s="697"/>
      <c r="GLE200" s="697"/>
      <c r="GLF200" s="697"/>
      <c r="GLG200" s="697"/>
      <c r="GLH200" s="697"/>
      <c r="GLI200" s="697"/>
      <c r="GLJ200" s="697"/>
      <c r="GLK200" s="697"/>
      <c r="GLL200" s="697"/>
      <c r="GLM200" s="697"/>
      <c r="GLN200" s="697"/>
      <c r="GLO200" s="697"/>
      <c r="GLP200" s="697"/>
      <c r="GLQ200" s="697"/>
      <c r="GLR200" s="697"/>
      <c r="GLS200" s="697"/>
      <c r="GLT200" s="697"/>
      <c r="GLU200" s="697"/>
      <c r="GLV200" s="697"/>
      <c r="GLW200" s="697"/>
      <c r="GLX200" s="697"/>
      <c r="GLY200" s="697"/>
      <c r="GLZ200" s="697"/>
      <c r="GMA200" s="697"/>
      <c r="GMB200" s="697"/>
      <c r="GMC200" s="697"/>
      <c r="GMD200" s="697"/>
      <c r="GME200" s="697"/>
      <c r="GMF200" s="697"/>
      <c r="GMG200" s="697"/>
      <c r="GMH200" s="697"/>
      <c r="GMI200" s="697"/>
      <c r="GMJ200" s="697"/>
      <c r="GMK200" s="697"/>
      <c r="GML200" s="697"/>
      <c r="GMM200" s="697"/>
      <c r="GMN200" s="697"/>
      <c r="GMO200" s="697"/>
      <c r="GMP200" s="697"/>
      <c r="GMQ200" s="697"/>
      <c r="GMR200" s="697"/>
      <c r="GMS200" s="697"/>
      <c r="GMT200" s="697"/>
      <c r="GMU200" s="697"/>
      <c r="GMV200" s="697"/>
      <c r="GMW200" s="697"/>
      <c r="GMX200" s="697"/>
      <c r="GMY200" s="697"/>
      <c r="GMZ200" s="697"/>
      <c r="GNA200" s="697"/>
      <c r="GNB200" s="697"/>
      <c r="GNC200" s="697"/>
      <c r="GND200" s="697"/>
      <c r="GNE200" s="697"/>
      <c r="GNF200" s="697"/>
      <c r="GNG200" s="697"/>
      <c r="GNH200" s="697"/>
      <c r="GNI200" s="697"/>
      <c r="GNJ200" s="697"/>
      <c r="GNK200" s="697"/>
      <c r="GNL200" s="697"/>
      <c r="GNM200" s="697"/>
      <c r="GNN200" s="697"/>
      <c r="GNO200" s="697"/>
      <c r="GNP200" s="697"/>
      <c r="GNQ200" s="697"/>
      <c r="GNR200" s="697"/>
      <c r="GNS200" s="697"/>
      <c r="GNT200" s="697"/>
      <c r="GNU200" s="697"/>
      <c r="GNV200" s="697"/>
      <c r="GNW200" s="697"/>
      <c r="GNX200" s="697"/>
      <c r="GNY200" s="697"/>
      <c r="GNZ200" s="697"/>
      <c r="GOA200" s="697"/>
      <c r="GOB200" s="697"/>
      <c r="GOC200" s="697"/>
      <c r="GOD200" s="697"/>
      <c r="GOE200" s="697"/>
      <c r="GOF200" s="697"/>
      <c r="GOG200" s="697"/>
      <c r="GOH200" s="697"/>
      <c r="GOI200" s="697"/>
      <c r="GOJ200" s="697"/>
      <c r="GOK200" s="697"/>
      <c r="GOL200" s="697"/>
      <c r="GOM200" s="697"/>
      <c r="GON200" s="697"/>
      <c r="GOO200" s="697"/>
      <c r="GOP200" s="697"/>
      <c r="GOQ200" s="697"/>
      <c r="GOR200" s="697"/>
      <c r="GOS200" s="697"/>
      <c r="GOT200" s="697"/>
      <c r="GOU200" s="697"/>
      <c r="GOV200" s="697"/>
      <c r="GOW200" s="697"/>
      <c r="GOX200" s="697"/>
      <c r="GOY200" s="697"/>
      <c r="GOZ200" s="697"/>
      <c r="GPA200" s="697"/>
      <c r="GPB200" s="697"/>
      <c r="GPC200" s="697"/>
      <c r="GPD200" s="697"/>
      <c r="GPE200" s="697"/>
      <c r="GPF200" s="697"/>
      <c r="GPG200" s="697"/>
      <c r="GPH200" s="697"/>
      <c r="GPI200" s="697"/>
      <c r="GPJ200" s="697"/>
      <c r="GPK200" s="697"/>
      <c r="GPL200" s="697"/>
      <c r="GPM200" s="697"/>
      <c r="GPN200" s="697"/>
      <c r="GPO200" s="697"/>
      <c r="GPP200" s="697"/>
      <c r="GPQ200" s="697"/>
      <c r="GPR200" s="697"/>
      <c r="GPS200" s="697"/>
      <c r="GPT200" s="697"/>
      <c r="GPU200" s="697"/>
      <c r="GPV200" s="697"/>
      <c r="GPW200" s="697"/>
      <c r="GPX200" s="697"/>
      <c r="GPY200" s="697"/>
      <c r="GPZ200" s="697"/>
      <c r="GQA200" s="697"/>
      <c r="GQB200" s="697"/>
      <c r="GQC200" s="697"/>
      <c r="GQD200" s="697"/>
      <c r="GQE200" s="697"/>
      <c r="GQF200" s="697"/>
      <c r="GQG200" s="697"/>
      <c r="GQH200" s="697"/>
      <c r="GQI200" s="697"/>
      <c r="GQJ200" s="697"/>
      <c r="GQK200" s="697"/>
      <c r="GQL200" s="697"/>
      <c r="GQM200" s="697"/>
      <c r="GQN200" s="697"/>
      <c r="GQO200" s="697"/>
      <c r="GQP200" s="697"/>
      <c r="GQQ200" s="697"/>
      <c r="GQR200" s="697"/>
      <c r="GQS200" s="697"/>
      <c r="GQT200" s="697"/>
      <c r="GQU200" s="697"/>
      <c r="GQV200" s="697"/>
      <c r="GQW200" s="697"/>
      <c r="GQX200" s="697"/>
      <c r="GQY200" s="697"/>
      <c r="GQZ200" s="697"/>
      <c r="GRA200" s="697"/>
      <c r="GRB200" s="697"/>
      <c r="GRC200" s="697"/>
      <c r="GRD200" s="697"/>
      <c r="GRE200" s="697"/>
      <c r="GRF200" s="697"/>
      <c r="GRG200" s="697"/>
      <c r="GRH200" s="697"/>
      <c r="GRI200" s="697"/>
      <c r="GRJ200" s="697"/>
      <c r="GRK200" s="697"/>
      <c r="GRL200" s="697"/>
      <c r="GRM200" s="697"/>
      <c r="GRN200" s="697"/>
      <c r="GRO200" s="697"/>
      <c r="GRP200" s="697"/>
      <c r="GRQ200" s="697"/>
      <c r="GRR200" s="697"/>
      <c r="GRS200" s="697"/>
      <c r="GRT200" s="697"/>
      <c r="GRU200" s="697"/>
      <c r="GRV200" s="697"/>
      <c r="GRW200" s="697"/>
      <c r="GRX200" s="697"/>
      <c r="GRY200" s="697"/>
      <c r="GRZ200" s="697"/>
      <c r="GSA200" s="697"/>
      <c r="GSB200" s="697"/>
      <c r="GSC200" s="697"/>
      <c r="GSD200" s="697"/>
      <c r="GSE200" s="697"/>
      <c r="GSF200" s="697"/>
      <c r="GSG200" s="697"/>
      <c r="GSH200" s="697"/>
      <c r="GSI200" s="697"/>
      <c r="GSJ200" s="697"/>
      <c r="GSK200" s="697"/>
      <c r="GSL200" s="697"/>
      <c r="GSM200" s="697"/>
      <c r="GSN200" s="697"/>
      <c r="GSO200" s="697"/>
      <c r="GSP200" s="697"/>
      <c r="GSQ200" s="697"/>
      <c r="GSR200" s="697"/>
      <c r="GSS200" s="697"/>
      <c r="GST200" s="697"/>
      <c r="GSU200" s="697"/>
      <c r="GSV200" s="697"/>
      <c r="GSW200" s="697"/>
      <c r="GSX200" s="697"/>
      <c r="GSY200" s="697"/>
      <c r="GSZ200" s="697"/>
      <c r="GTA200" s="697"/>
      <c r="GTB200" s="697"/>
      <c r="GTC200" s="697"/>
      <c r="GTD200" s="697"/>
      <c r="GTE200" s="697"/>
      <c r="GTF200" s="697"/>
      <c r="GTG200" s="697"/>
      <c r="GTH200" s="697"/>
      <c r="GTI200" s="697"/>
      <c r="GTJ200" s="697"/>
      <c r="GTK200" s="697"/>
      <c r="GTL200" s="697"/>
      <c r="GTM200" s="697"/>
      <c r="GTN200" s="697"/>
      <c r="GTO200" s="697"/>
      <c r="GTP200" s="697"/>
      <c r="GTQ200" s="697"/>
      <c r="GTR200" s="697"/>
      <c r="GTS200" s="697"/>
      <c r="GTT200" s="697"/>
      <c r="GTU200" s="697"/>
      <c r="GTV200" s="697"/>
      <c r="GTW200" s="697"/>
      <c r="GTX200" s="697"/>
      <c r="GTY200" s="697"/>
      <c r="GTZ200" s="697"/>
      <c r="GUA200" s="697"/>
      <c r="GUB200" s="697"/>
      <c r="GUC200" s="697"/>
      <c r="GUD200" s="697"/>
      <c r="GUE200" s="697"/>
      <c r="GUF200" s="697"/>
      <c r="GUG200" s="697"/>
      <c r="GUH200" s="697"/>
      <c r="GUI200" s="697"/>
      <c r="GUJ200" s="697"/>
      <c r="GUK200" s="697"/>
      <c r="GUL200" s="697"/>
      <c r="GUM200" s="697"/>
      <c r="GUN200" s="697"/>
      <c r="GUO200" s="697"/>
      <c r="GUP200" s="697"/>
      <c r="GUQ200" s="697"/>
      <c r="GUR200" s="697"/>
      <c r="GUS200" s="697"/>
      <c r="GUT200" s="697"/>
      <c r="GUU200" s="697"/>
      <c r="GUV200" s="697"/>
      <c r="GUW200" s="697"/>
      <c r="GUX200" s="697"/>
      <c r="GUY200" s="697"/>
      <c r="GUZ200" s="697"/>
      <c r="GVA200" s="697"/>
      <c r="GVB200" s="697"/>
      <c r="GVC200" s="697"/>
      <c r="GVD200" s="697"/>
      <c r="GVE200" s="697"/>
      <c r="GVF200" s="697"/>
      <c r="GVG200" s="697"/>
      <c r="GVH200" s="697"/>
      <c r="GVI200" s="697"/>
      <c r="GVJ200" s="697"/>
      <c r="GVK200" s="697"/>
      <c r="GVL200" s="697"/>
      <c r="GVM200" s="697"/>
      <c r="GVN200" s="697"/>
      <c r="GVO200" s="697"/>
      <c r="GVP200" s="697"/>
      <c r="GVQ200" s="697"/>
      <c r="GVR200" s="697"/>
      <c r="GVS200" s="697"/>
      <c r="GVT200" s="697"/>
      <c r="GVU200" s="697"/>
      <c r="GVV200" s="697"/>
      <c r="GVW200" s="697"/>
      <c r="GVX200" s="697"/>
      <c r="GVY200" s="697"/>
      <c r="GVZ200" s="697"/>
      <c r="GWA200" s="697"/>
      <c r="GWB200" s="697"/>
      <c r="GWC200" s="697"/>
      <c r="GWD200" s="697"/>
      <c r="GWE200" s="697"/>
      <c r="GWF200" s="697"/>
      <c r="GWG200" s="697"/>
      <c r="GWH200" s="697"/>
      <c r="GWI200" s="697"/>
      <c r="GWJ200" s="697"/>
      <c r="GWK200" s="697"/>
      <c r="GWL200" s="697"/>
      <c r="GWM200" s="697"/>
      <c r="GWN200" s="697"/>
      <c r="GWO200" s="697"/>
      <c r="GWP200" s="697"/>
      <c r="GWQ200" s="697"/>
      <c r="GWR200" s="697"/>
      <c r="GWS200" s="697"/>
      <c r="GWT200" s="697"/>
      <c r="GWU200" s="697"/>
      <c r="GWV200" s="697"/>
      <c r="GWW200" s="697"/>
      <c r="GWX200" s="697"/>
      <c r="GWY200" s="697"/>
      <c r="GWZ200" s="697"/>
      <c r="GXA200" s="697"/>
      <c r="GXB200" s="697"/>
      <c r="GXC200" s="697"/>
      <c r="GXD200" s="697"/>
      <c r="GXE200" s="697"/>
      <c r="GXF200" s="697"/>
      <c r="GXG200" s="697"/>
      <c r="GXH200" s="697"/>
      <c r="GXI200" s="697"/>
      <c r="GXJ200" s="697"/>
      <c r="GXK200" s="697"/>
      <c r="GXL200" s="697"/>
      <c r="GXM200" s="697"/>
      <c r="GXN200" s="697"/>
      <c r="GXO200" s="697"/>
      <c r="GXP200" s="697"/>
      <c r="GXQ200" s="697"/>
      <c r="GXR200" s="697"/>
      <c r="GXS200" s="697"/>
      <c r="GXT200" s="697"/>
      <c r="GXU200" s="697"/>
      <c r="GXV200" s="697"/>
      <c r="GXW200" s="697"/>
      <c r="GXX200" s="697"/>
      <c r="GXY200" s="697"/>
      <c r="GXZ200" s="697"/>
      <c r="GYA200" s="697"/>
      <c r="GYB200" s="697"/>
      <c r="GYC200" s="697"/>
      <c r="GYD200" s="697"/>
      <c r="GYE200" s="697"/>
      <c r="GYF200" s="697"/>
      <c r="GYG200" s="697"/>
      <c r="GYH200" s="697"/>
      <c r="GYI200" s="697"/>
      <c r="GYJ200" s="697"/>
      <c r="GYK200" s="697"/>
      <c r="GYL200" s="697"/>
      <c r="GYM200" s="697"/>
      <c r="GYN200" s="697"/>
      <c r="GYO200" s="697"/>
      <c r="GYP200" s="697"/>
      <c r="GYQ200" s="697"/>
      <c r="GYR200" s="697"/>
      <c r="GYS200" s="697"/>
      <c r="GYT200" s="697"/>
      <c r="GYU200" s="697"/>
      <c r="GYV200" s="697"/>
      <c r="GYW200" s="697"/>
      <c r="GYX200" s="697"/>
      <c r="GYY200" s="697"/>
      <c r="GYZ200" s="697"/>
      <c r="GZA200" s="697"/>
      <c r="GZB200" s="697"/>
      <c r="GZC200" s="697"/>
      <c r="GZD200" s="697"/>
      <c r="GZE200" s="697"/>
      <c r="GZF200" s="697"/>
      <c r="GZG200" s="697"/>
      <c r="GZH200" s="697"/>
      <c r="GZI200" s="697"/>
      <c r="GZJ200" s="697"/>
      <c r="GZK200" s="697"/>
      <c r="GZL200" s="697"/>
      <c r="GZM200" s="697"/>
      <c r="GZN200" s="697"/>
      <c r="GZO200" s="697"/>
      <c r="GZP200" s="697"/>
      <c r="GZQ200" s="697"/>
      <c r="GZR200" s="697"/>
      <c r="GZS200" s="697"/>
      <c r="GZT200" s="697"/>
      <c r="GZU200" s="697"/>
      <c r="GZV200" s="697"/>
      <c r="GZW200" s="697"/>
      <c r="GZX200" s="697"/>
      <c r="GZY200" s="697"/>
      <c r="GZZ200" s="697"/>
      <c r="HAA200" s="697"/>
      <c r="HAB200" s="697"/>
      <c r="HAC200" s="697"/>
      <c r="HAD200" s="697"/>
      <c r="HAE200" s="697"/>
      <c r="HAF200" s="697"/>
      <c r="HAG200" s="697"/>
      <c r="HAH200" s="697"/>
      <c r="HAI200" s="697"/>
      <c r="HAJ200" s="697"/>
      <c r="HAK200" s="697"/>
      <c r="HAL200" s="697"/>
      <c r="HAM200" s="697"/>
      <c r="HAN200" s="697"/>
      <c r="HAO200" s="697"/>
      <c r="HAP200" s="697"/>
      <c r="HAQ200" s="697"/>
      <c r="HAR200" s="697"/>
      <c r="HAS200" s="697"/>
      <c r="HAT200" s="697"/>
      <c r="HAU200" s="697"/>
      <c r="HAV200" s="697"/>
      <c r="HAW200" s="697"/>
      <c r="HAX200" s="697"/>
      <c r="HAY200" s="697"/>
      <c r="HAZ200" s="697"/>
      <c r="HBA200" s="697"/>
      <c r="HBB200" s="697"/>
      <c r="HBC200" s="697"/>
      <c r="HBD200" s="697"/>
      <c r="HBE200" s="697"/>
      <c r="HBF200" s="697"/>
      <c r="HBG200" s="697"/>
      <c r="HBH200" s="697"/>
      <c r="HBI200" s="697"/>
      <c r="HBJ200" s="697"/>
      <c r="HBK200" s="697"/>
      <c r="HBL200" s="697"/>
      <c r="HBM200" s="697"/>
      <c r="HBN200" s="697"/>
      <c r="HBO200" s="697"/>
      <c r="HBP200" s="697"/>
      <c r="HBQ200" s="697"/>
      <c r="HBR200" s="697"/>
      <c r="HBS200" s="697"/>
      <c r="HBT200" s="697"/>
      <c r="HBU200" s="697"/>
      <c r="HBV200" s="697"/>
      <c r="HBW200" s="697"/>
      <c r="HBX200" s="697"/>
      <c r="HBY200" s="697"/>
      <c r="HBZ200" s="697"/>
      <c r="HCA200" s="697"/>
      <c r="HCB200" s="697"/>
      <c r="HCC200" s="697"/>
      <c r="HCD200" s="697"/>
      <c r="HCE200" s="697"/>
      <c r="HCF200" s="697"/>
      <c r="HCG200" s="697"/>
      <c r="HCH200" s="697"/>
      <c r="HCI200" s="697"/>
      <c r="HCJ200" s="697"/>
      <c r="HCK200" s="697"/>
      <c r="HCL200" s="697"/>
      <c r="HCM200" s="697"/>
      <c r="HCN200" s="697"/>
      <c r="HCO200" s="697"/>
      <c r="HCP200" s="697"/>
      <c r="HCQ200" s="697"/>
      <c r="HCR200" s="697"/>
      <c r="HCS200" s="697"/>
      <c r="HCT200" s="697"/>
      <c r="HCU200" s="697"/>
      <c r="HCV200" s="697"/>
      <c r="HCW200" s="697"/>
      <c r="HCX200" s="697"/>
      <c r="HCY200" s="697"/>
      <c r="HCZ200" s="697"/>
      <c r="HDA200" s="697"/>
      <c r="HDB200" s="697"/>
      <c r="HDC200" s="697"/>
      <c r="HDD200" s="697"/>
      <c r="HDE200" s="697"/>
      <c r="HDF200" s="697"/>
      <c r="HDG200" s="697"/>
      <c r="HDH200" s="697"/>
      <c r="HDI200" s="697"/>
      <c r="HDJ200" s="697"/>
      <c r="HDK200" s="697"/>
      <c r="HDL200" s="697"/>
      <c r="HDM200" s="697"/>
      <c r="HDN200" s="697"/>
      <c r="HDO200" s="697"/>
      <c r="HDP200" s="697"/>
      <c r="HDQ200" s="697"/>
      <c r="HDR200" s="697"/>
      <c r="HDS200" s="697"/>
      <c r="HDT200" s="697"/>
      <c r="HDU200" s="697"/>
      <c r="HDV200" s="697"/>
      <c r="HDW200" s="697"/>
      <c r="HDX200" s="697"/>
      <c r="HDY200" s="697"/>
      <c r="HDZ200" s="697"/>
      <c r="HEA200" s="697"/>
      <c r="HEB200" s="697"/>
      <c r="HEC200" s="697"/>
      <c r="HED200" s="697"/>
      <c r="HEE200" s="697"/>
      <c r="HEF200" s="697"/>
      <c r="HEG200" s="697"/>
      <c r="HEH200" s="697"/>
      <c r="HEI200" s="697"/>
      <c r="HEJ200" s="697"/>
      <c r="HEK200" s="697"/>
      <c r="HEL200" s="697"/>
      <c r="HEM200" s="697"/>
      <c r="HEN200" s="697"/>
      <c r="HEO200" s="697"/>
      <c r="HEP200" s="697"/>
      <c r="HEQ200" s="697"/>
      <c r="HER200" s="697"/>
      <c r="HES200" s="697"/>
      <c r="HET200" s="697"/>
      <c r="HEU200" s="697"/>
      <c r="HEV200" s="697"/>
      <c r="HEW200" s="697"/>
      <c r="HEX200" s="697"/>
      <c r="HEY200" s="697"/>
      <c r="HEZ200" s="697"/>
      <c r="HFA200" s="697"/>
      <c r="HFB200" s="697"/>
      <c r="HFC200" s="697"/>
      <c r="HFD200" s="697"/>
      <c r="HFE200" s="697"/>
      <c r="HFF200" s="697"/>
      <c r="HFG200" s="697"/>
      <c r="HFH200" s="697"/>
      <c r="HFI200" s="697"/>
      <c r="HFJ200" s="697"/>
      <c r="HFK200" s="697"/>
      <c r="HFL200" s="697"/>
      <c r="HFM200" s="697"/>
      <c r="HFN200" s="697"/>
      <c r="HFO200" s="697"/>
      <c r="HFP200" s="697"/>
      <c r="HFQ200" s="697"/>
      <c r="HFR200" s="697"/>
      <c r="HFS200" s="697"/>
      <c r="HFT200" s="697"/>
      <c r="HFU200" s="697"/>
      <c r="HFV200" s="697"/>
      <c r="HFW200" s="697"/>
      <c r="HFX200" s="697"/>
      <c r="HFY200" s="697"/>
      <c r="HFZ200" s="697"/>
      <c r="HGA200" s="697"/>
      <c r="HGB200" s="697"/>
      <c r="HGC200" s="697"/>
      <c r="HGD200" s="697"/>
      <c r="HGE200" s="697"/>
      <c r="HGF200" s="697"/>
      <c r="HGG200" s="697"/>
      <c r="HGH200" s="697"/>
      <c r="HGI200" s="697"/>
      <c r="HGJ200" s="697"/>
      <c r="HGK200" s="697"/>
      <c r="HGL200" s="697"/>
      <c r="HGM200" s="697"/>
      <c r="HGN200" s="697"/>
      <c r="HGO200" s="697"/>
      <c r="HGP200" s="697"/>
      <c r="HGQ200" s="697"/>
      <c r="HGR200" s="697"/>
      <c r="HGS200" s="697"/>
      <c r="HGT200" s="697"/>
      <c r="HGU200" s="697"/>
      <c r="HGV200" s="697"/>
      <c r="HGW200" s="697"/>
      <c r="HGX200" s="697"/>
      <c r="HGY200" s="697"/>
      <c r="HGZ200" s="697"/>
      <c r="HHA200" s="697"/>
      <c r="HHB200" s="697"/>
      <c r="HHC200" s="697"/>
      <c r="HHD200" s="697"/>
      <c r="HHE200" s="697"/>
      <c r="HHF200" s="697"/>
      <c r="HHG200" s="697"/>
      <c r="HHH200" s="697"/>
      <c r="HHI200" s="697"/>
      <c r="HHJ200" s="697"/>
      <c r="HHK200" s="697"/>
      <c r="HHL200" s="697"/>
      <c r="HHM200" s="697"/>
      <c r="HHN200" s="697"/>
      <c r="HHO200" s="697"/>
      <c r="HHP200" s="697"/>
      <c r="HHQ200" s="697"/>
      <c r="HHR200" s="697"/>
      <c r="HHS200" s="697"/>
      <c r="HHT200" s="697"/>
      <c r="HHU200" s="697"/>
      <c r="HHV200" s="697"/>
      <c r="HHW200" s="697"/>
      <c r="HHX200" s="697"/>
      <c r="HHY200" s="697"/>
      <c r="HHZ200" s="697"/>
      <c r="HIA200" s="697"/>
      <c r="HIB200" s="697"/>
      <c r="HIC200" s="697"/>
      <c r="HID200" s="697"/>
      <c r="HIE200" s="697"/>
      <c r="HIF200" s="697"/>
      <c r="HIG200" s="697"/>
      <c r="HIH200" s="697"/>
      <c r="HII200" s="697"/>
      <c r="HIJ200" s="697"/>
      <c r="HIK200" s="697"/>
      <c r="HIL200" s="697"/>
      <c r="HIM200" s="697"/>
      <c r="HIN200" s="697"/>
      <c r="HIO200" s="697"/>
      <c r="HIP200" s="697"/>
      <c r="HIQ200" s="697"/>
      <c r="HIR200" s="697"/>
      <c r="HIS200" s="697"/>
      <c r="HIT200" s="697"/>
      <c r="HIU200" s="697"/>
      <c r="HIV200" s="697"/>
      <c r="HIW200" s="697"/>
      <c r="HIX200" s="697"/>
      <c r="HIY200" s="697"/>
      <c r="HIZ200" s="697"/>
      <c r="HJA200" s="697"/>
      <c r="HJB200" s="697"/>
      <c r="HJC200" s="697"/>
      <c r="HJD200" s="697"/>
      <c r="HJE200" s="697"/>
      <c r="HJF200" s="697"/>
      <c r="HJG200" s="697"/>
      <c r="HJH200" s="697"/>
      <c r="HJI200" s="697"/>
      <c r="HJJ200" s="697"/>
      <c r="HJK200" s="697"/>
      <c r="HJL200" s="697"/>
      <c r="HJM200" s="697"/>
      <c r="HJN200" s="697"/>
      <c r="HJO200" s="697"/>
      <c r="HJP200" s="697"/>
      <c r="HJQ200" s="697"/>
      <c r="HJR200" s="697"/>
      <c r="HJS200" s="697"/>
      <c r="HJT200" s="697"/>
      <c r="HJU200" s="697"/>
      <c r="HJV200" s="697"/>
      <c r="HJW200" s="697"/>
      <c r="HJX200" s="697"/>
      <c r="HJY200" s="697"/>
      <c r="HJZ200" s="697"/>
      <c r="HKA200" s="697"/>
      <c r="HKB200" s="697"/>
      <c r="HKC200" s="697"/>
      <c r="HKD200" s="697"/>
      <c r="HKE200" s="697"/>
      <c r="HKF200" s="697"/>
      <c r="HKG200" s="697"/>
      <c r="HKH200" s="697"/>
      <c r="HKI200" s="697"/>
      <c r="HKJ200" s="697"/>
      <c r="HKK200" s="697"/>
      <c r="HKL200" s="697"/>
      <c r="HKM200" s="697"/>
      <c r="HKN200" s="697"/>
      <c r="HKO200" s="697"/>
      <c r="HKP200" s="697"/>
      <c r="HKQ200" s="697"/>
      <c r="HKR200" s="697"/>
      <c r="HKS200" s="697"/>
      <c r="HKT200" s="697"/>
      <c r="HKU200" s="697"/>
      <c r="HKV200" s="697"/>
      <c r="HKW200" s="697"/>
      <c r="HKX200" s="697"/>
      <c r="HKY200" s="697"/>
      <c r="HKZ200" s="697"/>
      <c r="HLA200" s="697"/>
      <c r="HLB200" s="697"/>
      <c r="HLC200" s="697"/>
      <c r="HLD200" s="697"/>
      <c r="HLE200" s="697"/>
      <c r="HLF200" s="697"/>
      <c r="HLG200" s="697"/>
      <c r="HLH200" s="697"/>
      <c r="HLI200" s="697"/>
      <c r="HLJ200" s="697"/>
      <c r="HLK200" s="697"/>
      <c r="HLL200" s="697"/>
      <c r="HLM200" s="697"/>
      <c r="HLN200" s="697"/>
      <c r="HLO200" s="697"/>
      <c r="HLP200" s="697"/>
      <c r="HLQ200" s="697"/>
      <c r="HLR200" s="697"/>
      <c r="HLS200" s="697"/>
      <c r="HLT200" s="697"/>
      <c r="HLU200" s="697"/>
      <c r="HLV200" s="697"/>
      <c r="HLW200" s="697"/>
      <c r="HLX200" s="697"/>
      <c r="HLY200" s="697"/>
      <c r="HLZ200" s="697"/>
      <c r="HMA200" s="697"/>
      <c r="HMB200" s="697"/>
      <c r="HMC200" s="697"/>
      <c r="HMD200" s="697"/>
      <c r="HME200" s="697"/>
      <c r="HMF200" s="697"/>
      <c r="HMG200" s="697"/>
      <c r="HMH200" s="697"/>
      <c r="HMI200" s="697"/>
      <c r="HMJ200" s="697"/>
      <c r="HMK200" s="697"/>
      <c r="HML200" s="697"/>
      <c r="HMM200" s="697"/>
      <c r="HMN200" s="697"/>
      <c r="HMO200" s="697"/>
      <c r="HMP200" s="697"/>
      <c r="HMQ200" s="697"/>
      <c r="HMR200" s="697"/>
      <c r="HMS200" s="697"/>
      <c r="HMT200" s="697"/>
      <c r="HMU200" s="697"/>
      <c r="HMV200" s="697"/>
      <c r="HMW200" s="697"/>
      <c r="HMX200" s="697"/>
      <c r="HMY200" s="697"/>
      <c r="HMZ200" s="697"/>
      <c r="HNA200" s="697"/>
      <c r="HNB200" s="697"/>
      <c r="HNC200" s="697"/>
      <c r="HND200" s="697"/>
      <c r="HNE200" s="697"/>
      <c r="HNF200" s="697"/>
      <c r="HNG200" s="697"/>
      <c r="HNH200" s="697"/>
      <c r="HNI200" s="697"/>
      <c r="HNJ200" s="697"/>
      <c r="HNK200" s="697"/>
      <c r="HNL200" s="697"/>
      <c r="HNM200" s="697"/>
      <c r="HNN200" s="697"/>
      <c r="HNO200" s="697"/>
      <c r="HNP200" s="697"/>
      <c r="HNQ200" s="697"/>
      <c r="HNR200" s="697"/>
      <c r="HNS200" s="697"/>
      <c r="HNT200" s="697"/>
      <c r="HNU200" s="697"/>
      <c r="HNV200" s="697"/>
      <c r="HNW200" s="697"/>
      <c r="HNX200" s="697"/>
      <c r="HNY200" s="697"/>
      <c r="HNZ200" s="697"/>
      <c r="HOA200" s="697"/>
      <c r="HOB200" s="697"/>
      <c r="HOC200" s="697"/>
      <c r="HOD200" s="697"/>
      <c r="HOE200" s="697"/>
      <c r="HOF200" s="697"/>
      <c r="HOG200" s="697"/>
      <c r="HOH200" s="697"/>
      <c r="HOI200" s="697"/>
      <c r="HOJ200" s="697"/>
      <c r="HOK200" s="697"/>
      <c r="HOL200" s="697"/>
      <c r="HOM200" s="697"/>
      <c r="HON200" s="697"/>
      <c r="HOO200" s="697"/>
      <c r="HOP200" s="697"/>
      <c r="HOQ200" s="697"/>
      <c r="HOR200" s="697"/>
      <c r="HOS200" s="697"/>
      <c r="HOT200" s="697"/>
      <c r="HOU200" s="697"/>
      <c r="HOV200" s="697"/>
      <c r="HOW200" s="697"/>
      <c r="HOX200" s="697"/>
      <c r="HOY200" s="697"/>
      <c r="HOZ200" s="697"/>
      <c r="HPA200" s="697"/>
      <c r="HPB200" s="697"/>
      <c r="HPC200" s="697"/>
      <c r="HPD200" s="697"/>
      <c r="HPE200" s="697"/>
      <c r="HPF200" s="697"/>
      <c r="HPG200" s="697"/>
      <c r="HPH200" s="697"/>
      <c r="HPI200" s="697"/>
      <c r="HPJ200" s="697"/>
      <c r="HPK200" s="697"/>
      <c r="HPL200" s="697"/>
      <c r="HPM200" s="697"/>
      <c r="HPN200" s="697"/>
      <c r="HPO200" s="697"/>
      <c r="HPP200" s="697"/>
      <c r="HPQ200" s="697"/>
      <c r="HPR200" s="697"/>
      <c r="HPS200" s="697"/>
      <c r="HPT200" s="697"/>
      <c r="HPU200" s="697"/>
      <c r="HPV200" s="697"/>
      <c r="HPW200" s="697"/>
      <c r="HPX200" s="697"/>
      <c r="HPY200" s="697"/>
      <c r="HPZ200" s="697"/>
      <c r="HQA200" s="697"/>
      <c r="HQB200" s="697"/>
      <c r="HQC200" s="697"/>
      <c r="HQD200" s="697"/>
      <c r="HQE200" s="697"/>
      <c r="HQF200" s="697"/>
      <c r="HQG200" s="697"/>
      <c r="HQH200" s="697"/>
      <c r="HQI200" s="697"/>
      <c r="HQJ200" s="697"/>
      <c r="HQK200" s="697"/>
      <c r="HQL200" s="697"/>
      <c r="HQM200" s="697"/>
      <c r="HQN200" s="697"/>
      <c r="HQO200" s="697"/>
      <c r="HQP200" s="697"/>
      <c r="HQQ200" s="697"/>
      <c r="HQR200" s="697"/>
      <c r="HQS200" s="697"/>
      <c r="HQT200" s="697"/>
      <c r="HQU200" s="697"/>
      <c r="HQV200" s="697"/>
      <c r="HQW200" s="697"/>
      <c r="HQX200" s="697"/>
      <c r="HQY200" s="697"/>
      <c r="HQZ200" s="697"/>
      <c r="HRA200" s="697"/>
      <c r="HRB200" s="697"/>
      <c r="HRC200" s="697"/>
      <c r="HRD200" s="697"/>
      <c r="HRE200" s="697"/>
      <c r="HRF200" s="697"/>
      <c r="HRG200" s="697"/>
      <c r="HRH200" s="697"/>
      <c r="HRI200" s="697"/>
      <c r="HRJ200" s="697"/>
      <c r="HRK200" s="697"/>
      <c r="HRL200" s="697"/>
      <c r="HRM200" s="697"/>
      <c r="HRN200" s="697"/>
      <c r="HRO200" s="697"/>
      <c r="HRP200" s="697"/>
      <c r="HRQ200" s="697"/>
      <c r="HRR200" s="697"/>
      <c r="HRS200" s="697"/>
      <c r="HRT200" s="697"/>
      <c r="HRU200" s="697"/>
      <c r="HRV200" s="697"/>
      <c r="HRW200" s="697"/>
      <c r="HRX200" s="697"/>
      <c r="HRY200" s="697"/>
      <c r="HRZ200" s="697"/>
      <c r="HSA200" s="697"/>
      <c r="HSB200" s="697"/>
      <c r="HSC200" s="697"/>
      <c r="HSD200" s="697"/>
      <c r="HSE200" s="697"/>
      <c r="HSF200" s="697"/>
      <c r="HSG200" s="697"/>
      <c r="HSH200" s="697"/>
      <c r="HSI200" s="697"/>
      <c r="HSJ200" s="697"/>
      <c r="HSK200" s="697"/>
      <c r="HSL200" s="697"/>
      <c r="HSM200" s="697"/>
      <c r="HSN200" s="697"/>
      <c r="HSO200" s="697"/>
      <c r="HSP200" s="697"/>
      <c r="HSQ200" s="697"/>
      <c r="HSR200" s="697"/>
      <c r="HSS200" s="697"/>
      <c r="HST200" s="697"/>
      <c r="HSU200" s="697"/>
      <c r="HSV200" s="697"/>
      <c r="HSW200" s="697"/>
      <c r="HSX200" s="697"/>
      <c r="HSY200" s="697"/>
      <c r="HSZ200" s="697"/>
      <c r="HTA200" s="697"/>
      <c r="HTB200" s="697"/>
      <c r="HTC200" s="697"/>
      <c r="HTD200" s="697"/>
      <c r="HTE200" s="697"/>
      <c r="HTF200" s="697"/>
      <c r="HTG200" s="697"/>
      <c r="HTH200" s="697"/>
      <c r="HTI200" s="697"/>
      <c r="HTJ200" s="697"/>
      <c r="HTK200" s="697"/>
      <c r="HTL200" s="697"/>
      <c r="HTM200" s="697"/>
      <c r="HTN200" s="697"/>
      <c r="HTO200" s="697"/>
      <c r="HTP200" s="697"/>
      <c r="HTQ200" s="697"/>
      <c r="HTR200" s="697"/>
      <c r="HTS200" s="697"/>
      <c r="HTT200" s="697"/>
      <c r="HTU200" s="697"/>
      <c r="HTV200" s="697"/>
      <c r="HTW200" s="697"/>
      <c r="HTX200" s="697"/>
      <c r="HTY200" s="697"/>
      <c r="HTZ200" s="697"/>
      <c r="HUA200" s="697"/>
      <c r="HUB200" s="697"/>
      <c r="HUC200" s="697"/>
      <c r="HUD200" s="697"/>
      <c r="HUE200" s="697"/>
      <c r="HUF200" s="697"/>
      <c r="HUG200" s="697"/>
      <c r="HUH200" s="697"/>
      <c r="HUI200" s="697"/>
      <c r="HUJ200" s="697"/>
      <c r="HUK200" s="697"/>
      <c r="HUL200" s="697"/>
      <c r="HUM200" s="697"/>
      <c r="HUN200" s="697"/>
      <c r="HUO200" s="697"/>
      <c r="HUP200" s="697"/>
      <c r="HUQ200" s="697"/>
      <c r="HUR200" s="697"/>
      <c r="HUS200" s="697"/>
      <c r="HUT200" s="697"/>
      <c r="HUU200" s="697"/>
      <c r="HUV200" s="697"/>
      <c r="HUW200" s="697"/>
      <c r="HUX200" s="697"/>
      <c r="HUY200" s="697"/>
      <c r="HUZ200" s="697"/>
      <c r="HVA200" s="697"/>
      <c r="HVB200" s="697"/>
      <c r="HVC200" s="697"/>
      <c r="HVD200" s="697"/>
      <c r="HVE200" s="697"/>
      <c r="HVF200" s="697"/>
      <c r="HVG200" s="697"/>
      <c r="HVH200" s="697"/>
      <c r="HVI200" s="697"/>
      <c r="HVJ200" s="697"/>
      <c r="HVK200" s="697"/>
      <c r="HVL200" s="697"/>
      <c r="HVM200" s="697"/>
      <c r="HVN200" s="697"/>
      <c r="HVO200" s="697"/>
      <c r="HVP200" s="697"/>
      <c r="HVQ200" s="697"/>
      <c r="HVR200" s="697"/>
      <c r="HVS200" s="697"/>
      <c r="HVT200" s="697"/>
      <c r="HVU200" s="697"/>
      <c r="HVV200" s="697"/>
      <c r="HVW200" s="697"/>
      <c r="HVX200" s="697"/>
      <c r="HVY200" s="697"/>
      <c r="HVZ200" s="697"/>
      <c r="HWA200" s="697"/>
      <c r="HWB200" s="697"/>
      <c r="HWC200" s="697"/>
      <c r="HWD200" s="697"/>
      <c r="HWE200" s="697"/>
      <c r="HWF200" s="697"/>
      <c r="HWG200" s="697"/>
      <c r="HWH200" s="697"/>
      <c r="HWI200" s="697"/>
      <c r="HWJ200" s="697"/>
      <c r="HWK200" s="697"/>
      <c r="HWL200" s="697"/>
      <c r="HWM200" s="697"/>
      <c r="HWN200" s="697"/>
      <c r="HWO200" s="697"/>
      <c r="HWP200" s="697"/>
      <c r="HWQ200" s="697"/>
      <c r="HWR200" s="697"/>
      <c r="HWS200" s="697"/>
      <c r="HWT200" s="697"/>
      <c r="HWU200" s="697"/>
      <c r="HWV200" s="697"/>
      <c r="HWW200" s="697"/>
      <c r="HWX200" s="697"/>
      <c r="HWY200" s="697"/>
      <c r="HWZ200" s="697"/>
      <c r="HXA200" s="697"/>
      <c r="HXB200" s="697"/>
      <c r="HXC200" s="697"/>
      <c r="HXD200" s="697"/>
      <c r="HXE200" s="697"/>
      <c r="HXF200" s="697"/>
      <c r="HXG200" s="697"/>
      <c r="HXH200" s="697"/>
      <c r="HXI200" s="697"/>
      <c r="HXJ200" s="697"/>
      <c r="HXK200" s="697"/>
      <c r="HXL200" s="697"/>
      <c r="HXM200" s="697"/>
      <c r="HXN200" s="697"/>
      <c r="HXO200" s="697"/>
      <c r="HXP200" s="697"/>
      <c r="HXQ200" s="697"/>
      <c r="HXR200" s="697"/>
      <c r="HXS200" s="697"/>
      <c r="HXT200" s="697"/>
      <c r="HXU200" s="697"/>
      <c r="HXV200" s="697"/>
      <c r="HXW200" s="697"/>
      <c r="HXX200" s="697"/>
      <c r="HXY200" s="697"/>
      <c r="HXZ200" s="697"/>
      <c r="HYA200" s="697"/>
      <c r="HYB200" s="697"/>
      <c r="HYC200" s="697"/>
      <c r="HYD200" s="697"/>
      <c r="HYE200" s="697"/>
      <c r="HYF200" s="697"/>
      <c r="HYG200" s="697"/>
      <c r="HYH200" s="697"/>
      <c r="HYI200" s="697"/>
      <c r="HYJ200" s="697"/>
      <c r="HYK200" s="697"/>
      <c r="HYL200" s="697"/>
      <c r="HYM200" s="697"/>
      <c r="HYN200" s="697"/>
      <c r="HYO200" s="697"/>
      <c r="HYP200" s="697"/>
      <c r="HYQ200" s="697"/>
      <c r="HYR200" s="697"/>
      <c r="HYS200" s="697"/>
      <c r="HYT200" s="697"/>
      <c r="HYU200" s="697"/>
      <c r="HYV200" s="697"/>
      <c r="HYW200" s="697"/>
      <c r="HYX200" s="697"/>
      <c r="HYY200" s="697"/>
      <c r="HYZ200" s="697"/>
      <c r="HZA200" s="697"/>
      <c r="HZB200" s="697"/>
      <c r="HZC200" s="697"/>
      <c r="HZD200" s="697"/>
      <c r="HZE200" s="697"/>
      <c r="HZF200" s="697"/>
      <c r="HZG200" s="697"/>
      <c r="HZH200" s="697"/>
      <c r="HZI200" s="697"/>
      <c r="HZJ200" s="697"/>
      <c r="HZK200" s="697"/>
      <c r="HZL200" s="697"/>
      <c r="HZM200" s="697"/>
      <c r="HZN200" s="697"/>
      <c r="HZO200" s="697"/>
      <c r="HZP200" s="697"/>
      <c r="HZQ200" s="697"/>
      <c r="HZR200" s="697"/>
      <c r="HZS200" s="697"/>
      <c r="HZT200" s="697"/>
      <c r="HZU200" s="697"/>
      <c r="HZV200" s="697"/>
      <c r="HZW200" s="697"/>
      <c r="HZX200" s="697"/>
      <c r="HZY200" s="697"/>
      <c r="HZZ200" s="697"/>
      <c r="IAA200" s="697"/>
      <c r="IAB200" s="697"/>
      <c r="IAC200" s="697"/>
      <c r="IAD200" s="697"/>
      <c r="IAE200" s="697"/>
      <c r="IAF200" s="697"/>
      <c r="IAG200" s="697"/>
      <c r="IAH200" s="697"/>
      <c r="IAI200" s="697"/>
      <c r="IAJ200" s="697"/>
      <c r="IAK200" s="697"/>
      <c r="IAL200" s="697"/>
      <c r="IAM200" s="697"/>
      <c r="IAN200" s="697"/>
      <c r="IAO200" s="697"/>
      <c r="IAP200" s="697"/>
      <c r="IAQ200" s="697"/>
      <c r="IAR200" s="697"/>
      <c r="IAS200" s="697"/>
      <c r="IAT200" s="697"/>
      <c r="IAU200" s="697"/>
      <c r="IAV200" s="697"/>
      <c r="IAW200" s="697"/>
      <c r="IAX200" s="697"/>
      <c r="IAY200" s="697"/>
      <c r="IAZ200" s="697"/>
      <c r="IBA200" s="697"/>
      <c r="IBB200" s="697"/>
      <c r="IBC200" s="697"/>
      <c r="IBD200" s="697"/>
      <c r="IBE200" s="697"/>
      <c r="IBF200" s="697"/>
      <c r="IBG200" s="697"/>
      <c r="IBH200" s="697"/>
      <c r="IBI200" s="697"/>
      <c r="IBJ200" s="697"/>
      <c r="IBK200" s="697"/>
      <c r="IBL200" s="697"/>
      <c r="IBM200" s="697"/>
      <c r="IBN200" s="697"/>
      <c r="IBO200" s="697"/>
      <c r="IBP200" s="697"/>
      <c r="IBQ200" s="697"/>
      <c r="IBR200" s="697"/>
      <c r="IBS200" s="697"/>
      <c r="IBT200" s="697"/>
      <c r="IBU200" s="697"/>
      <c r="IBV200" s="697"/>
      <c r="IBW200" s="697"/>
      <c r="IBX200" s="697"/>
      <c r="IBY200" s="697"/>
      <c r="IBZ200" s="697"/>
      <c r="ICA200" s="697"/>
      <c r="ICB200" s="697"/>
      <c r="ICC200" s="697"/>
      <c r="ICD200" s="697"/>
      <c r="ICE200" s="697"/>
      <c r="ICF200" s="697"/>
      <c r="ICG200" s="697"/>
      <c r="ICH200" s="697"/>
      <c r="ICI200" s="697"/>
      <c r="ICJ200" s="697"/>
      <c r="ICK200" s="697"/>
      <c r="ICL200" s="697"/>
      <c r="ICM200" s="697"/>
      <c r="ICN200" s="697"/>
      <c r="ICO200" s="697"/>
      <c r="ICP200" s="697"/>
      <c r="ICQ200" s="697"/>
      <c r="ICR200" s="697"/>
      <c r="ICS200" s="697"/>
      <c r="ICT200" s="697"/>
      <c r="ICU200" s="697"/>
      <c r="ICV200" s="697"/>
      <c r="ICW200" s="697"/>
      <c r="ICX200" s="697"/>
      <c r="ICY200" s="697"/>
      <c r="ICZ200" s="697"/>
      <c r="IDA200" s="697"/>
      <c r="IDB200" s="697"/>
      <c r="IDC200" s="697"/>
      <c r="IDD200" s="697"/>
      <c r="IDE200" s="697"/>
      <c r="IDF200" s="697"/>
      <c r="IDG200" s="697"/>
      <c r="IDH200" s="697"/>
      <c r="IDI200" s="697"/>
      <c r="IDJ200" s="697"/>
      <c r="IDK200" s="697"/>
      <c r="IDL200" s="697"/>
      <c r="IDM200" s="697"/>
      <c r="IDN200" s="697"/>
      <c r="IDO200" s="697"/>
      <c r="IDP200" s="697"/>
      <c r="IDQ200" s="697"/>
      <c r="IDR200" s="697"/>
      <c r="IDS200" s="697"/>
      <c r="IDT200" s="697"/>
      <c r="IDU200" s="697"/>
      <c r="IDV200" s="697"/>
      <c r="IDW200" s="697"/>
      <c r="IDX200" s="697"/>
      <c r="IDY200" s="697"/>
      <c r="IDZ200" s="697"/>
      <c r="IEA200" s="697"/>
      <c r="IEB200" s="697"/>
      <c r="IEC200" s="697"/>
      <c r="IED200" s="697"/>
      <c r="IEE200" s="697"/>
      <c r="IEF200" s="697"/>
      <c r="IEG200" s="697"/>
      <c r="IEH200" s="697"/>
      <c r="IEI200" s="697"/>
      <c r="IEJ200" s="697"/>
      <c r="IEK200" s="697"/>
      <c r="IEL200" s="697"/>
      <c r="IEM200" s="697"/>
      <c r="IEN200" s="697"/>
      <c r="IEO200" s="697"/>
      <c r="IEP200" s="697"/>
      <c r="IEQ200" s="697"/>
      <c r="IER200" s="697"/>
      <c r="IES200" s="697"/>
      <c r="IET200" s="697"/>
      <c r="IEU200" s="697"/>
      <c r="IEV200" s="697"/>
      <c r="IEW200" s="697"/>
      <c r="IEX200" s="697"/>
      <c r="IEY200" s="697"/>
      <c r="IEZ200" s="697"/>
      <c r="IFA200" s="697"/>
      <c r="IFB200" s="697"/>
      <c r="IFC200" s="697"/>
      <c r="IFD200" s="697"/>
      <c r="IFE200" s="697"/>
      <c r="IFF200" s="697"/>
      <c r="IFG200" s="697"/>
      <c r="IFH200" s="697"/>
      <c r="IFI200" s="697"/>
      <c r="IFJ200" s="697"/>
      <c r="IFK200" s="697"/>
      <c r="IFL200" s="697"/>
      <c r="IFM200" s="697"/>
      <c r="IFN200" s="697"/>
      <c r="IFO200" s="697"/>
      <c r="IFP200" s="697"/>
      <c r="IFQ200" s="697"/>
      <c r="IFR200" s="697"/>
      <c r="IFS200" s="697"/>
      <c r="IFT200" s="697"/>
      <c r="IFU200" s="697"/>
      <c r="IFV200" s="697"/>
      <c r="IFW200" s="697"/>
      <c r="IFX200" s="697"/>
      <c r="IFY200" s="697"/>
      <c r="IFZ200" s="697"/>
      <c r="IGA200" s="697"/>
      <c r="IGB200" s="697"/>
      <c r="IGC200" s="697"/>
      <c r="IGD200" s="697"/>
      <c r="IGE200" s="697"/>
      <c r="IGF200" s="697"/>
      <c r="IGG200" s="697"/>
      <c r="IGH200" s="697"/>
      <c r="IGI200" s="697"/>
      <c r="IGJ200" s="697"/>
      <c r="IGK200" s="697"/>
      <c r="IGL200" s="697"/>
      <c r="IGM200" s="697"/>
      <c r="IGN200" s="697"/>
      <c r="IGO200" s="697"/>
      <c r="IGP200" s="697"/>
      <c r="IGQ200" s="697"/>
      <c r="IGR200" s="697"/>
      <c r="IGS200" s="697"/>
      <c r="IGT200" s="697"/>
      <c r="IGU200" s="697"/>
      <c r="IGV200" s="697"/>
      <c r="IGW200" s="697"/>
      <c r="IGX200" s="697"/>
      <c r="IGY200" s="697"/>
      <c r="IGZ200" s="697"/>
      <c r="IHA200" s="697"/>
      <c r="IHB200" s="697"/>
      <c r="IHC200" s="697"/>
      <c r="IHD200" s="697"/>
      <c r="IHE200" s="697"/>
      <c r="IHF200" s="697"/>
      <c r="IHG200" s="697"/>
      <c r="IHH200" s="697"/>
      <c r="IHI200" s="697"/>
      <c r="IHJ200" s="697"/>
      <c r="IHK200" s="697"/>
      <c r="IHL200" s="697"/>
      <c r="IHM200" s="697"/>
      <c r="IHN200" s="697"/>
      <c r="IHO200" s="697"/>
      <c r="IHP200" s="697"/>
      <c r="IHQ200" s="697"/>
      <c r="IHR200" s="697"/>
      <c r="IHS200" s="697"/>
      <c r="IHT200" s="697"/>
      <c r="IHU200" s="697"/>
      <c r="IHV200" s="697"/>
      <c r="IHW200" s="697"/>
      <c r="IHX200" s="697"/>
      <c r="IHY200" s="697"/>
      <c r="IHZ200" s="697"/>
      <c r="IIA200" s="697"/>
      <c r="IIB200" s="697"/>
      <c r="IIC200" s="697"/>
      <c r="IID200" s="697"/>
      <c r="IIE200" s="697"/>
      <c r="IIF200" s="697"/>
      <c r="IIG200" s="697"/>
      <c r="IIH200" s="697"/>
      <c r="III200" s="697"/>
      <c r="IIJ200" s="697"/>
      <c r="IIK200" s="697"/>
      <c r="IIL200" s="697"/>
      <c r="IIM200" s="697"/>
      <c r="IIN200" s="697"/>
      <c r="IIO200" s="697"/>
      <c r="IIP200" s="697"/>
      <c r="IIQ200" s="697"/>
      <c r="IIR200" s="697"/>
      <c r="IIS200" s="697"/>
      <c r="IIT200" s="697"/>
      <c r="IIU200" s="697"/>
      <c r="IIV200" s="697"/>
      <c r="IIW200" s="697"/>
      <c r="IIX200" s="697"/>
      <c r="IIY200" s="697"/>
      <c r="IIZ200" s="697"/>
      <c r="IJA200" s="697"/>
      <c r="IJB200" s="697"/>
      <c r="IJC200" s="697"/>
      <c r="IJD200" s="697"/>
      <c r="IJE200" s="697"/>
      <c r="IJF200" s="697"/>
      <c r="IJG200" s="697"/>
      <c r="IJH200" s="697"/>
      <c r="IJI200" s="697"/>
      <c r="IJJ200" s="697"/>
      <c r="IJK200" s="697"/>
      <c r="IJL200" s="697"/>
      <c r="IJM200" s="697"/>
      <c r="IJN200" s="697"/>
      <c r="IJO200" s="697"/>
      <c r="IJP200" s="697"/>
      <c r="IJQ200" s="697"/>
      <c r="IJR200" s="697"/>
      <c r="IJS200" s="697"/>
      <c r="IJT200" s="697"/>
      <c r="IJU200" s="697"/>
      <c r="IJV200" s="697"/>
      <c r="IJW200" s="697"/>
      <c r="IJX200" s="697"/>
      <c r="IJY200" s="697"/>
      <c r="IJZ200" s="697"/>
      <c r="IKA200" s="697"/>
      <c r="IKB200" s="697"/>
      <c r="IKC200" s="697"/>
      <c r="IKD200" s="697"/>
      <c r="IKE200" s="697"/>
      <c r="IKF200" s="697"/>
      <c r="IKG200" s="697"/>
      <c r="IKH200" s="697"/>
      <c r="IKI200" s="697"/>
      <c r="IKJ200" s="697"/>
      <c r="IKK200" s="697"/>
      <c r="IKL200" s="697"/>
      <c r="IKM200" s="697"/>
      <c r="IKN200" s="697"/>
      <c r="IKO200" s="697"/>
      <c r="IKP200" s="697"/>
      <c r="IKQ200" s="697"/>
      <c r="IKR200" s="697"/>
      <c r="IKS200" s="697"/>
      <c r="IKT200" s="697"/>
      <c r="IKU200" s="697"/>
      <c r="IKV200" s="697"/>
      <c r="IKW200" s="697"/>
      <c r="IKX200" s="697"/>
      <c r="IKY200" s="697"/>
      <c r="IKZ200" s="697"/>
      <c r="ILA200" s="697"/>
      <c r="ILB200" s="697"/>
      <c r="ILC200" s="697"/>
      <c r="ILD200" s="697"/>
      <c r="ILE200" s="697"/>
      <c r="ILF200" s="697"/>
      <c r="ILG200" s="697"/>
      <c r="ILH200" s="697"/>
      <c r="ILI200" s="697"/>
      <c r="ILJ200" s="697"/>
      <c r="ILK200" s="697"/>
      <c r="ILL200" s="697"/>
      <c r="ILM200" s="697"/>
      <c r="ILN200" s="697"/>
      <c r="ILO200" s="697"/>
      <c r="ILP200" s="697"/>
      <c r="ILQ200" s="697"/>
      <c r="ILR200" s="697"/>
      <c r="ILS200" s="697"/>
      <c r="ILT200" s="697"/>
      <c r="ILU200" s="697"/>
      <c r="ILV200" s="697"/>
      <c r="ILW200" s="697"/>
      <c r="ILX200" s="697"/>
      <c r="ILY200" s="697"/>
      <c r="ILZ200" s="697"/>
      <c r="IMA200" s="697"/>
      <c r="IMB200" s="697"/>
      <c r="IMC200" s="697"/>
      <c r="IMD200" s="697"/>
      <c r="IME200" s="697"/>
      <c r="IMF200" s="697"/>
      <c r="IMG200" s="697"/>
      <c r="IMH200" s="697"/>
      <c r="IMI200" s="697"/>
      <c r="IMJ200" s="697"/>
      <c r="IMK200" s="697"/>
      <c r="IML200" s="697"/>
      <c r="IMM200" s="697"/>
      <c r="IMN200" s="697"/>
      <c r="IMO200" s="697"/>
      <c r="IMP200" s="697"/>
      <c r="IMQ200" s="697"/>
      <c r="IMR200" s="697"/>
      <c r="IMS200" s="697"/>
      <c r="IMT200" s="697"/>
      <c r="IMU200" s="697"/>
      <c r="IMV200" s="697"/>
      <c r="IMW200" s="697"/>
      <c r="IMX200" s="697"/>
      <c r="IMY200" s="697"/>
      <c r="IMZ200" s="697"/>
      <c r="INA200" s="697"/>
      <c r="INB200" s="697"/>
      <c r="INC200" s="697"/>
      <c r="IND200" s="697"/>
      <c r="INE200" s="697"/>
      <c r="INF200" s="697"/>
      <c r="ING200" s="697"/>
      <c r="INH200" s="697"/>
      <c r="INI200" s="697"/>
      <c r="INJ200" s="697"/>
      <c r="INK200" s="697"/>
      <c r="INL200" s="697"/>
      <c r="INM200" s="697"/>
      <c r="INN200" s="697"/>
      <c r="INO200" s="697"/>
      <c r="INP200" s="697"/>
      <c r="INQ200" s="697"/>
      <c r="INR200" s="697"/>
      <c r="INS200" s="697"/>
      <c r="INT200" s="697"/>
      <c r="INU200" s="697"/>
      <c r="INV200" s="697"/>
      <c r="INW200" s="697"/>
      <c r="INX200" s="697"/>
      <c r="INY200" s="697"/>
      <c r="INZ200" s="697"/>
      <c r="IOA200" s="697"/>
      <c r="IOB200" s="697"/>
      <c r="IOC200" s="697"/>
      <c r="IOD200" s="697"/>
      <c r="IOE200" s="697"/>
      <c r="IOF200" s="697"/>
      <c r="IOG200" s="697"/>
      <c r="IOH200" s="697"/>
      <c r="IOI200" s="697"/>
      <c r="IOJ200" s="697"/>
      <c r="IOK200" s="697"/>
      <c r="IOL200" s="697"/>
      <c r="IOM200" s="697"/>
      <c r="ION200" s="697"/>
      <c r="IOO200" s="697"/>
      <c r="IOP200" s="697"/>
      <c r="IOQ200" s="697"/>
      <c r="IOR200" s="697"/>
      <c r="IOS200" s="697"/>
      <c r="IOT200" s="697"/>
      <c r="IOU200" s="697"/>
      <c r="IOV200" s="697"/>
      <c r="IOW200" s="697"/>
      <c r="IOX200" s="697"/>
      <c r="IOY200" s="697"/>
      <c r="IOZ200" s="697"/>
      <c r="IPA200" s="697"/>
      <c r="IPB200" s="697"/>
      <c r="IPC200" s="697"/>
      <c r="IPD200" s="697"/>
      <c r="IPE200" s="697"/>
      <c r="IPF200" s="697"/>
      <c r="IPG200" s="697"/>
      <c r="IPH200" s="697"/>
      <c r="IPI200" s="697"/>
      <c r="IPJ200" s="697"/>
      <c r="IPK200" s="697"/>
      <c r="IPL200" s="697"/>
      <c r="IPM200" s="697"/>
      <c r="IPN200" s="697"/>
      <c r="IPO200" s="697"/>
      <c r="IPP200" s="697"/>
      <c r="IPQ200" s="697"/>
      <c r="IPR200" s="697"/>
      <c r="IPS200" s="697"/>
      <c r="IPT200" s="697"/>
      <c r="IPU200" s="697"/>
      <c r="IPV200" s="697"/>
      <c r="IPW200" s="697"/>
      <c r="IPX200" s="697"/>
      <c r="IPY200" s="697"/>
      <c r="IPZ200" s="697"/>
      <c r="IQA200" s="697"/>
      <c r="IQB200" s="697"/>
      <c r="IQC200" s="697"/>
      <c r="IQD200" s="697"/>
      <c r="IQE200" s="697"/>
      <c r="IQF200" s="697"/>
      <c r="IQG200" s="697"/>
      <c r="IQH200" s="697"/>
      <c r="IQI200" s="697"/>
      <c r="IQJ200" s="697"/>
      <c r="IQK200" s="697"/>
      <c r="IQL200" s="697"/>
      <c r="IQM200" s="697"/>
      <c r="IQN200" s="697"/>
      <c r="IQO200" s="697"/>
      <c r="IQP200" s="697"/>
      <c r="IQQ200" s="697"/>
      <c r="IQR200" s="697"/>
      <c r="IQS200" s="697"/>
      <c r="IQT200" s="697"/>
      <c r="IQU200" s="697"/>
      <c r="IQV200" s="697"/>
      <c r="IQW200" s="697"/>
      <c r="IQX200" s="697"/>
      <c r="IQY200" s="697"/>
      <c r="IQZ200" s="697"/>
      <c r="IRA200" s="697"/>
      <c r="IRB200" s="697"/>
      <c r="IRC200" s="697"/>
      <c r="IRD200" s="697"/>
      <c r="IRE200" s="697"/>
      <c r="IRF200" s="697"/>
      <c r="IRG200" s="697"/>
      <c r="IRH200" s="697"/>
      <c r="IRI200" s="697"/>
      <c r="IRJ200" s="697"/>
      <c r="IRK200" s="697"/>
      <c r="IRL200" s="697"/>
      <c r="IRM200" s="697"/>
      <c r="IRN200" s="697"/>
      <c r="IRO200" s="697"/>
      <c r="IRP200" s="697"/>
      <c r="IRQ200" s="697"/>
      <c r="IRR200" s="697"/>
      <c r="IRS200" s="697"/>
      <c r="IRT200" s="697"/>
      <c r="IRU200" s="697"/>
      <c r="IRV200" s="697"/>
      <c r="IRW200" s="697"/>
      <c r="IRX200" s="697"/>
      <c r="IRY200" s="697"/>
      <c r="IRZ200" s="697"/>
      <c r="ISA200" s="697"/>
      <c r="ISB200" s="697"/>
      <c r="ISC200" s="697"/>
      <c r="ISD200" s="697"/>
      <c r="ISE200" s="697"/>
      <c r="ISF200" s="697"/>
      <c r="ISG200" s="697"/>
      <c r="ISH200" s="697"/>
      <c r="ISI200" s="697"/>
      <c r="ISJ200" s="697"/>
      <c r="ISK200" s="697"/>
      <c r="ISL200" s="697"/>
      <c r="ISM200" s="697"/>
      <c r="ISN200" s="697"/>
      <c r="ISO200" s="697"/>
      <c r="ISP200" s="697"/>
      <c r="ISQ200" s="697"/>
      <c r="ISR200" s="697"/>
      <c r="ISS200" s="697"/>
      <c r="IST200" s="697"/>
      <c r="ISU200" s="697"/>
      <c r="ISV200" s="697"/>
      <c r="ISW200" s="697"/>
      <c r="ISX200" s="697"/>
      <c r="ISY200" s="697"/>
      <c r="ISZ200" s="697"/>
      <c r="ITA200" s="697"/>
      <c r="ITB200" s="697"/>
      <c r="ITC200" s="697"/>
      <c r="ITD200" s="697"/>
      <c r="ITE200" s="697"/>
      <c r="ITF200" s="697"/>
      <c r="ITG200" s="697"/>
      <c r="ITH200" s="697"/>
      <c r="ITI200" s="697"/>
      <c r="ITJ200" s="697"/>
      <c r="ITK200" s="697"/>
      <c r="ITL200" s="697"/>
      <c r="ITM200" s="697"/>
      <c r="ITN200" s="697"/>
      <c r="ITO200" s="697"/>
      <c r="ITP200" s="697"/>
      <c r="ITQ200" s="697"/>
      <c r="ITR200" s="697"/>
      <c r="ITS200" s="697"/>
      <c r="ITT200" s="697"/>
      <c r="ITU200" s="697"/>
      <c r="ITV200" s="697"/>
      <c r="ITW200" s="697"/>
      <c r="ITX200" s="697"/>
      <c r="ITY200" s="697"/>
      <c r="ITZ200" s="697"/>
      <c r="IUA200" s="697"/>
      <c r="IUB200" s="697"/>
      <c r="IUC200" s="697"/>
      <c r="IUD200" s="697"/>
      <c r="IUE200" s="697"/>
      <c r="IUF200" s="697"/>
      <c r="IUG200" s="697"/>
      <c r="IUH200" s="697"/>
      <c r="IUI200" s="697"/>
      <c r="IUJ200" s="697"/>
      <c r="IUK200" s="697"/>
      <c r="IUL200" s="697"/>
      <c r="IUM200" s="697"/>
      <c r="IUN200" s="697"/>
      <c r="IUO200" s="697"/>
      <c r="IUP200" s="697"/>
      <c r="IUQ200" s="697"/>
      <c r="IUR200" s="697"/>
      <c r="IUS200" s="697"/>
      <c r="IUT200" s="697"/>
      <c r="IUU200" s="697"/>
      <c r="IUV200" s="697"/>
      <c r="IUW200" s="697"/>
      <c r="IUX200" s="697"/>
      <c r="IUY200" s="697"/>
      <c r="IUZ200" s="697"/>
      <c r="IVA200" s="697"/>
      <c r="IVB200" s="697"/>
      <c r="IVC200" s="697"/>
      <c r="IVD200" s="697"/>
      <c r="IVE200" s="697"/>
      <c r="IVF200" s="697"/>
      <c r="IVG200" s="697"/>
      <c r="IVH200" s="697"/>
      <c r="IVI200" s="697"/>
      <c r="IVJ200" s="697"/>
      <c r="IVK200" s="697"/>
      <c r="IVL200" s="697"/>
      <c r="IVM200" s="697"/>
      <c r="IVN200" s="697"/>
      <c r="IVO200" s="697"/>
      <c r="IVP200" s="697"/>
      <c r="IVQ200" s="697"/>
      <c r="IVR200" s="697"/>
      <c r="IVS200" s="697"/>
      <c r="IVT200" s="697"/>
      <c r="IVU200" s="697"/>
      <c r="IVV200" s="697"/>
      <c r="IVW200" s="697"/>
      <c r="IVX200" s="697"/>
      <c r="IVY200" s="697"/>
      <c r="IVZ200" s="697"/>
      <c r="IWA200" s="697"/>
      <c r="IWB200" s="697"/>
      <c r="IWC200" s="697"/>
      <c r="IWD200" s="697"/>
      <c r="IWE200" s="697"/>
      <c r="IWF200" s="697"/>
      <c r="IWG200" s="697"/>
      <c r="IWH200" s="697"/>
      <c r="IWI200" s="697"/>
      <c r="IWJ200" s="697"/>
      <c r="IWK200" s="697"/>
      <c r="IWL200" s="697"/>
      <c r="IWM200" s="697"/>
      <c r="IWN200" s="697"/>
      <c r="IWO200" s="697"/>
      <c r="IWP200" s="697"/>
      <c r="IWQ200" s="697"/>
      <c r="IWR200" s="697"/>
      <c r="IWS200" s="697"/>
      <c r="IWT200" s="697"/>
      <c r="IWU200" s="697"/>
      <c r="IWV200" s="697"/>
      <c r="IWW200" s="697"/>
      <c r="IWX200" s="697"/>
      <c r="IWY200" s="697"/>
      <c r="IWZ200" s="697"/>
      <c r="IXA200" s="697"/>
      <c r="IXB200" s="697"/>
      <c r="IXC200" s="697"/>
      <c r="IXD200" s="697"/>
      <c r="IXE200" s="697"/>
      <c r="IXF200" s="697"/>
      <c r="IXG200" s="697"/>
      <c r="IXH200" s="697"/>
      <c r="IXI200" s="697"/>
      <c r="IXJ200" s="697"/>
      <c r="IXK200" s="697"/>
      <c r="IXL200" s="697"/>
      <c r="IXM200" s="697"/>
      <c r="IXN200" s="697"/>
      <c r="IXO200" s="697"/>
      <c r="IXP200" s="697"/>
      <c r="IXQ200" s="697"/>
      <c r="IXR200" s="697"/>
      <c r="IXS200" s="697"/>
      <c r="IXT200" s="697"/>
      <c r="IXU200" s="697"/>
      <c r="IXV200" s="697"/>
      <c r="IXW200" s="697"/>
      <c r="IXX200" s="697"/>
      <c r="IXY200" s="697"/>
      <c r="IXZ200" s="697"/>
      <c r="IYA200" s="697"/>
      <c r="IYB200" s="697"/>
      <c r="IYC200" s="697"/>
      <c r="IYD200" s="697"/>
      <c r="IYE200" s="697"/>
      <c r="IYF200" s="697"/>
      <c r="IYG200" s="697"/>
      <c r="IYH200" s="697"/>
      <c r="IYI200" s="697"/>
      <c r="IYJ200" s="697"/>
      <c r="IYK200" s="697"/>
      <c r="IYL200" s="697"/>
      <c r="IYM200" s="697"/>
      <c r="IYN200" s="697"/>
      <c r="IYO200" s="697"/>
      <c r="IYP200" s="697"/>
      <c r="IYQ200" s="697"/>
      <c r="IYR200" s="697"/>
      <c r="IYS200" s="697"/>
      <c r="IYT200" s="697"/>
      <c r="IYU200" s="697"/>
      <c r="IYV200" s="697"/>
      <c r="IYW200" s="697"/>
      <c r="IYX200" s="697"/>
      <c r="IYY200" s="697"/>
      <c r="IYZ200" s="697"/>
      <c r="IZA200" s="697"/>
      <c r="IZB200" s="697"/>
      <c r="IZC200" s="697"/>
      <c r="IZD200" s="697"/>
      <c r="IZE200" s="697"/>
      <c r="IZF200" s="697"/>
      <c r="IZG200" s="697"/>
      <c r="IZH200" s="697"/>
      <c r="IZI200" s="697"/>
      <c r="IZJ200" s="697"/>
      <c r="IZK200" s="697"/>
      <c r="IZL200" s="697"/>
      <c r="IZM200" s="697"/>
      <c r="IZN200" s="697"/>
      <c r="IZO200" s="697"/>
      <c r="IZP200" s="697"/>
      <c r="IZQ200" s="697"/>
      <c r="IZR200" s="697"/>
      <c r="IZS200" s="697"/>
      <c r="IZT200" s="697"/>
      <c r="IZU200" s="697"/>
      <c r="IZV200" s="697"/>
      <c r="IZW200" s="697"/>
      <c r="IZX200" s="697"/>
      <c r="IZY200" s="697"/>
      <c r="IZZ200" s="697"/>
      <c r="JAA200" s="697"/>
      <c r="JAB200" s="697"/>
      <c r="JAC200" s="697"/>
      <c r="JAD200" s="697"/>
      <c r="JAE200" s="697"/>
      <c r="JAF200" s="697"/>
      <c r="JAG200" s="697"/>
      <c r="JAH200" s="697"/>
      <c r="JAI200" s="697"/>
      <c r="JAJ200" s="697"/>
      <c r="JAK200" s="697"/>
      <c r="JAL200" s="697"/>
      <c r="JAM200" s="697"/>
      <c r="JAN200" s="697"/>
      <c r="JAO200" s="697"/>
      <c r="JAP200" s="697"/>
      <c r="JAQ200" s="697"/>
      <c r="JAR200" s="697"/>
      <c r="JAS200" s="697"/>
      <c r="JAT200" s="697"/>
      <c r="JAU200" s="697"/>
      <c r="JAV200" s="697"/>
      <c r="JAW200" s="697"/>
      <c r="JAX200" s="697"/>
      <c r="JAY200" s="697"/>
      <c r="JAZ200" s="697"/>
      <c r="JBA200" s="697"/>
      <c r="JBB200" s="697"/>
      <c r="JBC200" s="697"/>
      <c r="JBD200" s="697"/>
      <c r="JBE200" s="697"/>
      <c r="JBF200" s="697"/>
      <c r="JBG200" s="697"/>
      <c r="JBH200" s="697"/>
      <c r="JBI200" s="697"/>
      <c r="JBJ200" s="697"/>
      <c r="JBK200" s="697"/>
      <c r="JBL200" s="697"/>
      <c r="JBM200" s="697"/>
      <c r="JBN200" s="697"/>
      <c r="JBO200" s="697"/>
      <c r="JBP200" s="697"/>
      <c r="JBQ200" s="697"/>
      <c r="JBR200" s="697"/>
      <c r="JBS200" s="697"/>
      <c r="JBT200" s="697"/>
      <c r="JBU200" s="697"/>
      <c r="JBV200" s="697"/>
      <c r="JBW200" s="697"/>
      <c r="JBX200" s="697"/>
      <c r="JBY200" s="697"/>
      <c r="JBZ200" s="697"/>
      <c r="JCA200" s="697"/>
      <c r="JCB200" s="697"/>
      <c r="JCC200" s="697"/>
      <c r="JCD200" s="697"/>
      <c r="JCE200" s="697"/>
      <c r="JCF200" s="697"/>
      <c r="JCG200" s="697"/>
      <c r="JCH200" s="697"/>
      <c r="JCI200" s="697"/>
      <c r="JCJ200" s="697"/>
      <c r="JCK200" s="697"/>
      <c r="JCL200" s="697"/>
      <c r="JCM200" s="697"/>
      <c r="JCN200" s="697"/>
      <c r="JCO200" s="697"/>
      <c r="JCP200" s="697"/>
      <c r="JCQ200" s="697"/>
      <c r="JCR200" s="697"/>
      <c r="JCS200" s="697"/>
      <c r="JCT200" s="697"/>
      <c r="JCU200" s="697"/>
      <c r="JCV200" s="697"/>
      <c r="JCW200" s="697"/>
      <c r="JCX200" s="697"/>
      <c r="JCY200" s="697"/>
      <c r="JCZ200" s="697"/>
      <c r="JDA200" s="697"/>
      <c r="JDB200" s="697"/>
      <c r="JDC200" s="697"/>
      <c r="JDD200" s="697"/>
      <c r="JDE200" s="697"/>
      <c r="JDF200" s="697"/>
      <c r="JDG200" s="697"/>
      <c r="JDH200" s="697"/>
      <c r="JDI200" s="697"/>
      <c r="JDJ200" s="697"/>
      <c r="JDK200" s="697"/>
      <c r="JDL200" s="697"/>
      <c r="JDM200" s="697"/>
      <c r="JDN200" s="697"/>
      <c r="JDO200" s="697"/>
      <c r="JDP200" s="697"/>
      <c r="JDQ200" s="697"/>
      <c r="JDR200" s="697"/>
      <c r="JDS200" s="697"/>
      <c r="JDT200" s="697"/>
      <c r="JDU200" s="697"/>
      <c r="JDV200" s="697"/>
      <c r="JDW200" s="697"/>
      <c r="JDX200" s="697"/>
      <c r="JDY200" s="697"/>
      <c r="JDZ200" s="697"/>
      <c r="JEA200" s="697"/>
      <c r="JEB200" s="697"/>
      <c r="JEC200" s="697"/>
      <c r="JED200" s="697"/>
      <c r="JEE200" s="697"/>
      <c r="JEF200" s="697"/>
      <c r="JEG200" s="697"/>
      <c r="JEH200" s="697"/>
      <c r="JEI200" s="697"/>
      <c r="JEJ200" s="697"/>
      <c r="JEK200" s="697"/>
      <c r="JEL200" s="697"/>
      <c r="JEM200" s="697"/>
      <c r="JEN200" s="697"/>
      <c r="JEO200" s="697"/>
      <c r="JEP200" s="697"/>
      <c r="JEQ200" s="697"/>
      <c r="JER200" s="697"/>
      <c r="JES200" s="697"/>
      <c r="JET200" s="697"/>
      <c r="JEU200" s="697"/>
      <c r="JEV200" s="697"/>
      <c r="JEW200" s="697"/>
      <c r="JEX200" s="697"/>
      <c r="JEY200" s="697"/>
      <c r="JEZ200" s="697"/>
      <c r="JFA200" s="697"/>
      <c r="JFB200" s="697"/>
      <c r="JFC200" s="697"/>
      <c r="JFD200" s="697"/>
      <c r="JFE200" s="697"/>
      <c r="JFF200" s="697"/>
      <c r="JFG200" s="697"/>
      <c r="JFH200" s="697"/>
      <c r="JFI200" s="697"/>
      <c r="JFJ200" s="697"/>
      <c r="JFK200" s="697"/>
      <c r="JFL200" s="697"/>
      <c r="JFM200" s="697"/>
      <c r="JFN200" s="697"/>
      <c r="JFO200" s="697"/>
      <c r="JFP200" s="697"/>
      <c r="JFQ200" s="697"/>
      <c r="JFR200" s="697"/>
      <c r="JFS200" s="697"/>
      <c r="JFT200" s="697"/>
      <c r="JFU200" s="697"/>
      <c r="JFV200" s="697"/>
      <c r="JFW200" s="697"/>
      <c r="JFX200" s="697"/>
      <c r="JFY200" s="697"/>
      <c r="JFZ200" s="697"/>
      <c r="JGA200" s="697"/>
      <c r="JGB200" s="697"/>
      <c r="JGC200" s="697"/>
      <c r="JGD200" s="697"/>
      <c r="JGE200" s="697"/>
      <c r="JGF200" s="697"/>
      <c r="JGG200" s="697"/>
      <c r="JGH200" s="697"/>
      <c r="JGI200" s="697"/>
      <c r="JGJ200" s="697"/>
      <c r="JGK200" s="697"/>
      <c r="JGL200" s="697"/>
      <c r="JGM200" s="697"/>
      <c r="JGN200" s="697"/>
      <c r="JGO200" s="697"/>
      <c r="JGP200" s="697"/>
      <c r="JGQ200" s="697"/>
      <c r="JGR200" s="697"/>
      <c r="JGS200" s="697"/>
      <c r="JGT200" s="697"/>
      <c r="JGU200" s="697"/>
      <c r="JGV200" s="697"/>
      <c r="JGW200" s="697"/>
      <c r="JGX200" s="697"/>
      <c r="JGY200" s="697"/>
      <c r="JGZ200" s="697"/>
      <c r="JHA200" s="697"/>
      <c r="JHB200" s="697"/>
      <c r="JHC200" s="697"/>
      <c r="JHD200" s="697"/>
      <c r="JHE200" s="697"/>
      <c r="JHF200" s="697"/>
      <c r="JHG200" s="697"/>
      <c r="JHH200" s="697"/>
      <c r="JHI200" s="697"/>
      <c r="JHJ200" s="697"/>
      <c r="JHK200" s="697"/>
      <c r="JHL200" s="697"/>
      <c r="JHM200" s="697"/>
      <c r="JHN200" s="697"/>
      <c r="JHO200" s="697"/>
      <c r="JHP200" s="697"/>
      <c r="JHQ200" s="697"/>
      <c r="JHR200" s="697"/>
      <c r="JHS200" s="697"/>
      <c r="JHT200" s="697"/>
      <c r="JHU200" s="697"/>
      <c r="JHV200" s="697"/>
      <c r="JHW200" s="697"/>
      <c r="JHX200" s="697"/>
      <c r="JHY200" s="697"/>
      <c r="JHZ200" s="697"/>
      <c r="JIA200" s="697"/>
      <c r="JIB200" s="697"/>
      <c r="JIC200" s="697"/>
      <c r="JID200" s="697"/>
      <c r="JIE200" s="697"/>
      <c r="JIF200" s="697"/>
      <c r="JIG200" s="697"/>
      <c r="JIH200" s="697"/>
      <c r="JII200" s="697"/>
      <c r="JIJ200" s="697"/>
      <c r="JIK200" s="697"/>
      <c r="JIL200" s="697"/>
      <c r="JIM200" s="697"/>
      <c r="JIN200" s="697"/>
      <c r="JIO200" s="697"/>
      <c r="JIP200" s="697"/>
      <c r="JIQ200" s="697"/>
      <c r="JIR200" s="697"/>
      <c r="JIS200" s="697"/>
      <c r="JIT200" s="697"/>
      <c r="JIU200" s="697"/>
      <c r="JIV200" s="697"/>
      <c r="JIW200" s="697"/>
      <c r="JIX200" s="697"/>
      <c r="JIY200" s="697"/>
      <c r="JIZ200" s="697"/>
      <c r="JJA200" s="697"/>
      <c r="JJB200" s="697"/>
      <c r="JJC200" s="697"/>
      <c r="JJD200" s="697"/>
      <c r="JJE200" s="697"/>
      <c r="JJF200" s="697"/>
      <c r="JJG200" s="697"/>
      <c r="JJH200" s="697"/>
      <c r="JJI200" s="697"/>
      <c r="JJJ200" s="697"/>
      <c r="JJK200" s="697"/>
      <c r="JJL200" s="697"/>
      <c r="JJM200" s="697"/>
      <c r="JJN200" s="697"/>
      <c r="JJO200" s="697"/>
      <c r="JJP200" s="697"/>
      <c r="JJQ200" s="697"/>
      <c r="JJR200" s="697"/>
      <c r="JJS200" s="697"/>
      <c r="JJT200" s="697"/>
      <c r="JJU200" s="697"/>
      <c r="JJV200" s="697"/>
      <c r="JJW200" s="697"/>
      <c r="JJX200" s="697"/>
      <c r="JJY200" s="697"/>
      <c r="JJZ200" s="697"/>
      <c r="JKA200" s="697"/>
      <c r="JKB200" s="697"/>
      <c r="JKC200" s="697"/>
      <c r="JKD200" s="697"/>
      <c r="JKE200" s="697"/>
      <c r="JKF200" s="697"/>
      <c r="JKG200" s="697"/>
      <c r="JKH200" s="697"/>
      <c r="JKI200" s="697"/>
      <c r="JKJ200" s="697"/>
      <c r="JKK200" s="697"/>
      <c r="JKL200" s="697"/>
      <c r="JKM200" s="697"/>
      <c r="JKN200" s="697"/>
      <c r="JKO200" s="697"/>
      <c r="JKP200" s="697"/>
      <c r="JKQ200" s="697"/>
      <c r="JKR200" s="697"/>
      <c r="JKS200" s="697"/>
      <c r="JKT200" s="697"/>
      <c r="JKU200" s="697"/>
      <c r="JKV200" s="697"/>
      <c r="JKW200" s="697"/>
      <c r="JKX200" s="697"/>
      <c r="JKY200" s="697"/>
      <c r="JKZ200" s="697"/>
      <c r="JLA200" s="697"/>
      <c r="JLB200" s="697"/>
      <c r="JLC200" s="697"/>
      <c r="JLD200" s="697"/>
      <c r="JLE200" s="697"/>
      <c r="JLF200" s="697"/>
      <c r="JLG200" s="697"/>
      <c r="JLH200" s="697"/>
      <c r="JLI200" s="697"/>
      <c r="JLJ200" s="697"/>
      <c r="JLK200" s="697"/>
      <c r="JLL200" s="697"/>
      <c r="JLM200" s="697"/>
      <c r="JLN200" s="697"/>
      <c r="JLO200" s="697"/>
      <c r="JLP200" s="697"/>
      <c r="JLQ200" s="697"/>
      <c r="JLR200" s="697"/>
      <c r="JLS200" s="697"/>
      <c r="JLT200" s="697"/>
      <c r="JLU200" s="697"/>
      <c r="JLV200" s="697"/>
      <c r="JLW200" s="697"/>
      <c r="JLX200" s="697"/>
      <c r="JLY200" s="697"/>
      <c r="JLZ200" s="697"/>
      <c r="JMA200" s="697"/>
      <c r="JMB200" s="697"/>
      <c r="JMC200" s="697"/>
      <c r="JMD200" s="697"/>
      <c r="JME200" s="697"/>
      <c r="JMF200" s="697"/>
      <c r="JMG200" s="697"/>
      <c r="JMH200" s="697"/>
      <c r="JMI200" s="697"/>
      <c r="JMJ200" s="697"/>
      <c r="JMK200" s="697"/>
      <c r="JML200" s="697"/>
      <c r="JMM200" s="697"/>
      <c r="JMN200" s="697"/>
      <c r="JMO200" s="697"/>
      <c r="JMP200" s="697"/>
      <c r="JMQ200" s="697"/>
      <c r="JMR200" s="697"/>
      <c r="JMS200" s="697"/>
      <c r="JMT200" s="697"/>
      <c r="JMU200" s="697"/>
      <c r="JMV200" s="697"/>
      <c r="JMW200" s="697"/>
      <c r="JMX200" s="697"/>
      <c r="JMY200" s="697"/>
      <c r="JMZ200" s="697"/>
      <c r="JNA200" s="697"/>
      <c r="JNB200" s="697"/>
      <c r="JNC200" s="697"/>
      <c r="JND200" s="697"/>
      <c r="JNE200" s="697"/>
      <c r="JNF200" s="697"/>
      <c r="JNG200" s="697"/>
      <c r="JNH200" s="697"/>
      <c r="JNI200" s="697"/>
      <c r="JNJ200" s="697"/>
      <c r="JNK200" s="697"/>
      <c r="JNL200" s="697"/>
      <c r="JNM200" s="697"/>
      <c r="JNN200" s="697"/>
      <c r="JNO200" s="697"/>
      <c r="JNP200" s="697"/>
      <c r="JNQ200" s="697"/>
      <c r="JNR200" s="697"/>
      <c r="JNS200" s="697"/>
      <c r="JNT200" s="697"/>
      <c r="JNU200" s="697"/>
      <c r="JNV200" s="697"/>
      <c r="JNW200" s="697"/>
      <c r="JNX200" s="697"/>
      <c r="JNY200" s="697"/>
      <c r="JNZ200" s="697"/>
      <c r="JOA200" s="697"/>
      <c r="JOB200" s="697"/>
      <c r="JOC200" s="697"/>
      <c r="JOD200" s="697"/>
      <c r="JOE200" s="697"/>
      <c r="JOF200" s="697"/>
      <c r="JOG200" s="697"/>
      <c r="JOH200" s="697"/>
      <c r="JOI200" s="697"/>
      <c r="JOJ200" s="697"/>
      <c r="JOK200" s="697"/>
      <c r="JOL200" s="697"/>
      <c r="JOM200" s="697"/>
      <c r="JON200" s="697"/>
      <c r="JOO200" s="697"/>
      <c r="JOP200" s="697"/>
      <c r="JOQ200" s="697"/>
      <c r="JOR200" s="697"/>
      <c r="JOS200" s="697"/>
      <c r="JOT200" s="697"/>
      <c r="JOU200" s="697"/>
      <c r="JOV200" s="697"/>
      <c r="JOW200" s="697"/>
      <c r="JOX200" s="697"/>
      <c r="JOY200" s="697"/>
      <c r="JOZ200" s="697"/>
      <c r="JPA200" s="697"/>
      <c r="JPB200" s="697"/>
      <c r="JPC200" s="697"/>
      <c r="JPD200" s="697"/>
      <c r="JPE200" s="697"/>
      <c r="JPF200" s="697"/>
      <c r="JPG200" s="697"/>
      <c r="JPH200" s="697"/>
      <c r="JPI200" s="697"/>
      <c r="JPJ200" s="697"/>
      <c r="JPK200" s="697"/>
      <c r="JPL200" s="697"/>
      <c r="JPM200" s="697"/>
      <c r="JPN200" s="697"/>
      <c r="JPO200" s="697"/>
      <c r="JPP200" s="697"/>
      <c r="JPQ200" s="697"/>
      <c r="JPR200" s="697"/>
      <c r="JPS200" s="697"/>
      <c r="JPT200" s="697"/>
      <c r="JPU200" s="697"/>
      <c r="JPV200" s="697"/>
      <c r="JPW200" s="697"/>
      <c r="JPX200" s="697"/>
      <c r="JPY200" s="697"/>
      <c r="JPZ200" s="697"/>
      <c r="JQA200" s="697"/>
      <c r="JQB200" s="697"/>
      <c r="JQC200" s="697"/>
      <c r="JQD200" s="697"/>
      <c r="JQE200" s="697"/>
      <c r="JQF200" s="697"/>
      <c r="JQG200" s="697"/>
      <c r="JQH200" s="697"/>
      <c r="JQI200" s="697"/>
      <c r="JQJ200" s="697"/>
      <c r="JQK200" s="697"/>
      <c r="JQL200" s="697"/>
      <c r="JQM200" s="697"/>
      <c r="JQN200" s="697"/>
      <c r="JQO200" s="697"/>
      <c r="JQP200" s="697"/>
      <c r="JQQ200" s="697"/>
      <c r="JQR200" s="697"/>
      <c r="JQS200" s="697"/>
      <c r="JQT200" s="697"/>
      <c r="JQU200" s="697"/>
      <c r="JQV200" s="697"/>
      <c r="JQW200" s="697"/>
      <c r="JQX200" s="697"/>
      <c r="JQY200" s="697"/>
      <c r="JQZ200" s="697"/>
      <c r="JRA200" s="697"/>
      <c r="JRB200" s="697"/>
      <c r="JRC200" s="697"/>
      <c r="JRD200" s="697"/>
      <c r="JRE200" s="697"/>
      <c r="JRF200" s="697"/>
      <c r="JRG200" s="697"/>
      <c r="JRH200" s="697"/>
      <c r="JRI200" s="697"/>
      <c r="JRJ200" s="697"/>
      <c r="JRK200" s="697"/>
      <c r="JRL200" s="697"/>
      <c r="JRM200" s="697"/>
      <c r="JRN200" s="697"/>
      <c r="JRO200" s="697"/>
      <c r="JRP200" s="697"/>
      <c r="JRQ200" s="697"/>
      <c r="JRR200" s="697"/>
      <c r="JRS200" s="697"/>
      <c r="JRT200" s="697"/>
      <c r="JRU200" s="697"/>
      <c r="JRV200" s="697"/>
      <c r="JRW200" s="697"/>
      <c r="JRX200" s="697"/>
      <c r="JRY200" s="697"/>
      <c r="JRZ200" s="697"/>
      <c r="JSA200" s="697"/>
      <c r="JSB200" s="697"/>
      <c r="JSC200" s="697"/>
      <c r="JSD200" s="697"/>
      <c r="JSE200" s="697"/>
      <c r="JSF200" s="697"/>
      <c r="JSG200" s="697"/>
      <c r="JSH200" s="697"/>
      <c r="JSI200" s="697"/>
      <c r="JSJ200" s="697"/>
      <c r="JSK200" s="697"/>
      <c r="JSL200" s="697"/>
      <c r="JSM200" s="697"/>
      <c r="JSN200" s="697"/>
      <c r="JSO200" s="697"/>
      <c r="JSP200" s="697"/>
      <c r="JSQ200" s="697"/>
      <c r="JSR200" s="697"/>
      <c r="JSS200" s="697"/>
      <c r="JST200" s="697"/>
      <c r="JSU200" s="697"/>
      <c r="JSV200" s="697"/>
      <c r="JSW200" s="697"/>
      <c r="JSX200" s="697"/>
      <c r="JSY200" s="697"/>
      <c r="JSZ200" s="697"/>
      <c r="JTA200" s="697"/>
      <c r="JTB200" s="697"/>
      <c r="JTC200" s="697"/>
      <c r="JTD200" s="697"/>
      <c r="JTE200" s="697"/>
      <c r="JTF200" s="697"/>
      <c r="JTG200" s="697"/>
      <c r="JTH200" s="697"/>
      <c r="JTI200" s="697"/>
      <c r="JTJ200" s="697"/>
      <c r="JTK200" s="697"/>
      <c r="JTL200" s="697"/>
      <c r="JTM200" s="697"/>
      <c r="JTN200" s="697"/>
      <c r="JTO200" s="697"/>
      <c r="JTP200" s="697"/>
      <c r="JTQ200" s="697"/>
      <c r="JTR200" s="697"/>
      <c r="JTS200" s="697"/>
      <c r="JTT200" s="697"/>
      <c r="JTU200" s="697"/>
      <c r="JTV200" s="697"/>
      <c r="JTW200" s="697"/>
      <c r="JTX200" s="697"/>
      <c r="JTY200" s="697"/>
      <c r="JTZ200" s="697"/>
      <c r="JUA200" s="697"/>
      <c r="JUB200" s="697"/>
      <c r="JUC200" s="697"/>
      <c r="JUD200" s="697"/>
      <c r="JUE200" s="697"/>
      <c r="JUF200" s="697"/>
      <c r="JUG200" s="697"/>
      <c r="JUH200" s="697"/>
      <c r="JUI200" s="697"/>
      <c r="JUJ200" s="697"/>
      <c r="JUK200" s="697"/>
      <c r="JUL200" s="697"/>
      <c r="JUM200" s="697"/>
      <c r="JUN200" s="697"/>
      <c r="JUO200" s="697"/>
      <c r="JUP200" s="697"/>
      <c r="JUQ200" s="697"/>
      <c r="JUR200" s="697"/>
      <c r="JUS200" s="697"/>
      <c r="JUT200" s="697"/>
      <c r="JUU200" s="697"/>
      <c r="JUV200" s="697"/>
      <c r="JUW200" s="697"/>
      <c r="JUX200" s="697"/>
      <c r="JUY200" s="697"/>
      <c r="JUZ200" s="697"/>
      <c r="JVA200" s="697"/>
      <c r="JVB200" s="697"/>
      <c r="JVC200" s="697"/>
      <c r="JVD200" s="697"/>
      <c r="JVE200" s="697"/>
      <c r="JVF200" s="697"/>
      <c r="JVG200" s="697"/>
      <c r="JVH200" s="697"/>
      <c r="JVI200" s="697"/>
      <c r="JVJ200" s="697"/>
      <c r="JVK200" s="697"/>
      <c r="JVL200" s="697"/>
      <c r="JVM200" s="697"/>
      <c r="JVN200" s="697"/>
      <c r="JVO200" s="697"/>
      <c r="JVP200" s="697"/>
      <c r="JVQ200" s="697"/>
      <c r="JVR200" s="697"/>
      <c r="JVS200" s="697"/>
      <c r="JVT200" s="697"/>
      <c r="JVU200" s="697"/>
      <c r="JVV200" s="697"/>
      <c r="JVW200" s="697"/>
      <c r="JVX200" s="697"/>
      <c r="JVY200" s="697"/>
      <c r="JVZ200" s="697"/>
      <c r="JWA200" s="697"/>
      <c r="JWB200" s="697"/>
      <c r="JWC200" s="697"/>
      <c r="JWD200" s="697"/>
      <c r="JWE200" s="697"/>
      <c r="JWF200" s="697"/>
      <c r="JWG200" s="697"/>
      <c r="JWH200" s="697"/>
      <c r="JWI200" s="697"/>
      <c r="JWJ200" s="697"/>
      <c r="JWK200" s="697"/>
      <c r="JWL200" s="697"/>
      <c r="JWM200" s="697"/>
      <c r="JWN200" s="697"/>
      <c r="JWO200" s="697"/>
      <c r="JWP200" s="697"/>
      <c r="JWQ200" s="697"/>
      <c r="JWR200" s="697"/>
      <c r="JWS200" s="697"/>
      <c r="JWT200" s="697"/>
      <c r="JWU200" s="697"/>
      <c r="JWV200" s="697"/>
      <c r="JWW200" s="697"/>
      <c r="JWX200" s="697"/>
      <c r="JWY200" s="697"/>
      <c r="JWZ200" s="697"/>
      <c r="JXA200" s="697"/>
      <c r="JXB200" s="697"/>
      <c r="JXC200" s="697"/>
      <c r="JXD200" s="697"/>
      <c r="JXE200" s="697"/>
      <c r="JXF200" s="697"/>
      <c r="JXG200" s="697"/>
      <c r="JXH200" s="697"/>
      <c r="JXI200" s="697"/>
      <c r="JXJ200" s="697"/>
      <c r="JXK200" s="697"/>
      <c r="JXL200" s="697"/>
      <c r="JXM200" s="697"/>
      <c r="JXN200" s="697"/>
      <c r="JXO200" s="697"/>
      <c r="JXP200" s="697"/>
      <c r="JXQ200" s="697"/>
      <c r="JXR200" s="697"/>
      <c r="JXS200" s="697"/>
      <c r="JXT200" s="697"/>
      <c r="JXU200" s="697"/>
      <c r="JXV200" s="697"/>
      <c r="JXW200" s="697"/>
      <c r="JXX200" s="697"/>
      <c r="JXY200" s="697"/>
      <c r="JXZ200" s="697"/>
      <c r="JYA200" s="697"/>
      <c r="JYB200" s="697"/>
      <c r="JYC200" s="697"/>
      <c r="JYD200" s="697"/>
      <c r="JYE200" s="697"/>
      <c r="JYF200" s="697"/>
      <c r="JYG200" s="697"/>
      <c r="JYH200" s="697"/>
      <c r="JYI200" s="697"/>
      <c r="JYJ200" s="697"/>
      <c r="JYK200" s="697"/>
      <c r="JYL200" s="697"/>
      <c r="JYM200" s="697"/>
      <c r="JYN200" s="697"/>
      <c r="JYO200" s="697"/>
      <c r="JYP200" s="697"/>
      <c r="JYQ200" s="697"/>
      <c r="JYR200" s="697"/>
      <c r="JYS200" s="697"/>
      <c r="JYT200" s="697"/>
      <c r="JYU200" s="697"/>
      <c r="JYV200" s="697"/>
      <c r="JYW200" s="697"/>
      <c r="JYX200" s="697"/>
      <c r="JYY200" s="697"/>
      <c r="JYZ200" s="697"/>
      <c r="JZA200" s="697"/>
      <c r="JZB200" s="697"/>
      <c r="JZC200" s="697"/>
      <c r="JZD200" s="697"/>
      <c r="JZE200" s="697"/>
      <c r="JZF200" s="697"/>
      <c r="JZG200" s="697"/>
      <c r="JZH200" s="697"/>
      <c r="JZI200" s="697"/>
      <c r="JZJ200" s="697"/>
      <c r="JZK200" s="697"/>
      <c r="JZL200" s="697"/>
      <c r="JZM200" s="697"/>
      <c r="JZN200" s="697"/>
      <c r="JZO200" s="697"/>
      <c r="JZP200" s="697"/>
      <c r="JZQ200" s="697"/>
      <c r="JZR200" s="697"/>
      <c r="JZS200" s="697"/>
      <c r="JZT200" s="697"/>
      <c r="JZU200" s="697"/>
      <c r="JZV200" s="697"/>
      <c r="JZW200" s="697"/>
      <c r="JZX200" s="697"/>
      <c r="JZY200" s="697"/>
      <c r="JZZ200" s="697"/>
      <c r="KAA200" s="697"/>
      <c r="KAB200" s="697"/>
      <c r="KAC200" s="697"/>
      <c r="KAD200" s="697"/>
      <c r="KAE200" s="697"/>
      <c r="KAF200" s="697"/>
      <c r="KAG200" s="697"/>
      <c r="KAH200" s="697"/>
      <c r="KAI200" s="697"/>
      <c r="KAJ200" s="697"/>
      <c r="KAK200" s="697"/>
      <c r="KAL200" s="697"/>
      <c r="KAM200" s="697"/>
      <c r="KAN200" s="697"/>
      <c r="KAO200" s="697"/>
      <c r="KAP200" s="697"/>
      <c r="KAQ200" s="697"/>
      <c r="KAR200" s="697"/>
      <c r="KAS200" s="697"/>
      <c r="KAT200" s="697"/>
      <c r="KAU200" s="697"/>
      <c r="KAV200" s="697"/>
      <c r="KAW200" s="697"/>
      <c r="KAX200" s="697"/>
      <c r="KAY200" s="697"/>
      <c r="KAZ200" s="697"/>
      <c r="KBA200" s="697"/>
      <c r="KBB200" s="697"/>
      <c r="KBC200" s="697"/>
      <c r="KBD200" s="697"/>
      <c r="KBE200" s="697"/>
      <c r="KBF200" s="697"/>
      <c r="KBG200" s="697"/>
      <c r="KBH200" s="697"/>
      <c r="KBI200" s="697"/>
      <c r="KBJ200" s="697"/>
      <c r="KBK200" s="697"/>
      <c r="KBL200" s="697"/>
      <c r="KBM200" s="697"/>
      <c r="KBN200" s="697"/>
      <c r="KBO200" s="697"/>
      <c r="KBP200" s="697"/>
      <c r="KBQ200" s="697"/>
      <c r="KBR200" s="697"/>
      <c r="KBS200" s="697"/>
      <c r="KBT200" s="697"/>
      <c r="KBU200" s="697"/>
      <c r="KBV200" s="697"/>
      <c r="KBW200" s="697"/>
      <c r="KBX200" s="697"/>
      <c r="KBY200" s="697"/>
      <c r="KBZ200" s="697"/>
      <c r="KCA200" s="697"/>
      <c r="KCB200" s="697"/>
      <c r="KCC200" s="697"/>
      <c r="KCD200" s="697"/>
      <c r="KCE200" s="697"/>
      <c r="KCF200" s="697"/>
      <c r="KCG200" s="697"/>
      <c r="KCH200" s="697"/>
      <c r="KCI200" s="697"/>
      <c r="KCJ200" s="697"/>
      <c r="KCK200" s="697"/>
      <c r="KCL200" s="697"/>
      <c r="KCM200" s="697"/>
      <c r="KCN200" s="697"/>
      <c r="KCO200" s="697"/>
      <c r="KCP200" s="697"/>
      <c r="KCQ200" s="697"/>
      <c r="KCR200" s="697"/>
      <c r="KCS200" s="697"/>
      <c r="KCT200" s="697"/>
      <c r="KCU200" s="697"/>
      <c r="KCV200" s="697"/>
      <c r="KCW200" s="697"/>
      <c r="KCX200" s="697"/>
      <c r="KCY200" s="697"/>
      <c r="KCZ200" s="697"/>
      <c r="KDA200" s="697"/>
      <c r="KDB200" s="697"/>
      <c r="KDC200" s="697"/>
      <c r="KDD200" s="697"/>
      <c r="KDE200" s="697"/>
      <c r="KDF200" s="697"/>
      <c r="KDG200" s="697"/>
      <c r="KDH200" s="697"/>
      <c r="KDI200" s="697"/>
      <c r="KDJ200" s="697"/>
      <c r="KDK200" s="697"/>
      <c r="KDL200" s="697"/>
      <c r="KDM200" s="697"/>
      <c r="KDN200" s="697"/>
      <c r="KDO200" s="697"/>
      <c r="KDP200" s="697"/>
      <c r="KDQ200" s="697"/>
      <c r="KDR200" s="697"/>
      <c r="KDS200" s="697"/>
      <c r="KDT200" s="697"/>
      <c r="KDU200" s="697"/>
      <c r="KDV200" s="697"/>
      <c r="KDW200" s="697"/>
      <c r="KDX200" s="697"/>
      <c r="KDY200" s="697"/>
      <c r="KDZ200" s="697"/>
      <c r="KEA200" s="697"/>
      <c r="KEB200" s="697"/>
      <c r="KEC200" s="697"/>
      <c r="KED200" s="697"/>
      <c r="KEE200" s="697"/>
      <c r="KEF200" s="697"/>
      <c r="KEG200" s="697"/>
      <c r="KEH200" s="697"/>
      <c r="KEI200" s="697"/>
      <c r="KEJ200" s="697"/>
      <c r="KEK200" s="697"/>
      <c r="KEL200" s="697"/>
      <c r="KEM200" s="697"/>
      <c r="KEN200" s="697"/>
      <c r="KEO200" s="697"/>
      <c r="KEP200" s="697"/>
      <c r="KEQ200" s="697"/>
      <c r="KER200" s="697"/>
      <c r="KES200" s="697"/>
      <c r="KET200" s="697"/>
      <c r="KEU200" s="697"/>
      <c r="KEV200" s="697"/>
      <c r="KEW200" s="697"/>
      <c r="KEX200" s="697"/>
      <c r="KEY200" s="697"/>
      <c r="KEZ200" s="697"/>
      <c r="KFA200" s="697"/>
      <c r="KFB200" s="697"/>
      <c r="KFC200" s="697"/>
      <c r="KFD200" s="697"/>
      <c r="KFE200" s="697"/>
      <c r="KFF200" s="697"/>
      <c r="KFG200" s="697"/>
      <c r="KFH200" s="697"/>
      <c r="KFI200" s="697"/>
      <c r="KFJ200" s="697"/>
      <c r="KFK200" s="697"/>
      <c r="KFL200" s="697"/>
      <c r="KFM200" s="697"/>
      <c r="KFN200" s="697"/>
      <c r="KFO200" s="697"/>
      <c r="KFP200" s="697"/>
      <c r="KFQ200" s="697"/>
      <c r="KFR200" s="697"/>
      <c r="KFS200" s="697"/>
      <c r="KFT200" s="697"/>
      <c r="KFU200" s="697"/>
      <c r="KFV200" s="697"/>
      <c r="KFW200" s="697"/>
      <c r="KFX200" s="697"/>
      <c r="KFY200" s="697"/>
      <c r="KFZ200" s="697"/>
      <c r="KGA200" s="697"/>
      <c r="KGB200" s="697"/>
      <c r="KGC200" s="697"/>
      <c r="KGD200" s="697"/>
      <c r="KGE200" s="697"/>
      <c r="KGF200" s="697"/>
      <c r="KGG200" s="697"/>
      <c r="KGH200" s="697"/>
      <c r="KGI200" s="697"/>
      <c r="KGJ200" s="697"/>
      <c r="KGK200" s="697"/>
      <c r="KGL200" s="697"/>
      <c r="KGM200" s="697"/>
      <c r="KGN200" s="697"/>
      <c r="KGO200" s="697"/>
      <c r="KGP200" s="697"/>
      <c r="KGQ200" s="697"/>
      <c r="KGR200" s="697"/>
      <c r="KGS200" s="697"/>
      <c r="KGT200" s="697"/>
      <c r="KGU200" s="697"/>
      <c r="KGV200" s="697"/>
      <c r="KGW200" s="697"/>
      <c r="KGX200" s="697"/>
      <c r="KGY200" s="697"/>
      <c r="KGZ200" s="697"/>
      <c r="KHA200" s="697"/>
      <c r="KHB200" s="697"/>
      <c r="KHC200" s="697"/>
      <c r="KHD200" s="697"/>
      <c r="KHE200" s="697"/>
      <c r="KHF200" s="697"/>
      <c r="KHG200" s="697"/>
      <c r="KHH200" s="697"/>
      <c r="KHI200" s="697"/>
      <c r="KHJ200" s="697"/>
      <c r="KHK200" s="697"/>
      <c r="KHL200" s="697"/>
      <c r="KHM200" s="697"/>
      <c r="KHN200" s="697"/>
      <c r="KHO200" s="697"/>
      <c r="KHP200" s="697"/>
      <c r="KHQ200" s="697"/>
      <c r="KHR200" s="697"/>
      <c r="KHS200" s="697"/>
      <c r="KHT200" s="697"/>
      <c r="KHU200" s="697"/>
      <c r="KHV200" s="697"/>
      <c r="KHW200" s="697"/>
      <c r="KHX200" s="697"/>
      <c r="KHY200" s="697"/>
      <c r="KHZ200" s="697"/>
      <c r="KIA200" s="697"/>
      <c r="KIB200" s="697"/>
      <c r="KIC200" s="697"/>
      <c r="KID200" s="697"/>
      <c r="KIE200" s="697"/>
      <c r="KIF200" s="697"/>
      <c r="KIG200" s="697"/>
      <c r="KIH200" s="697"/>
      <c r="KII200" s="697"/>
      <c r="KIJ200" s="697"/>
      <c r="KIK200" s="697"/>
      <c r="KIL200" s="697"/>
      <c r="KIM200" s="697"/>
      <c r="KIN200" s="697"/>
      <c r="KIO200" s="697"/>
      <c r="KIP200" s="697"/>
      <c r="KIQ200" s="697"/>
      <c r="KIR200" s="697"/>
      <c r="KIS200" s="697"/>
      <c r="KIT200" s="697"/>
      <c r="KIU200" s="697"/>
      <c r="KIV200" s="697"/>
      <c r="KIW200" s="697"/>
      <c r="KIX200" s="697"/>
      <c r="KIY200" s="697"/>
      <c r="KIZ200" s="697"/>
      <c r="KJA200" s="697"/>
      <c r="KJB200" s="697"/>
      <c r="KJC200" s="697"/>
      <c r="KJD200" s="697"/>
      <c r="KJE200" s="697"/>
      <c r="KJF200" s="697"/>
      <c r="KJG200" s="697"/>
      <c r="KJH200" s="697"/>
      <c r="KJI200" s="697"/>
      <c r="KJJ200" s="697"/>
      <c r="KJK200" s="697"/>
      <c r="KJL200" s="697"/>
      <c r="KJM200" s="697"/>
      <c r="KJN200" s="697"/>
      <c r="KJO200" s="697"/>
      <c r="KJP200" s="697"/>
      <c r="KJQ200" s="697"/>
      <c r="KJR200" s="697"/>
      <c r="KJS200" s="697"/>
      <c r="KJT200" s="697"/>
      <c r="KJU200" s="697"/>
      <c r="KJV200" s="697"/>
      <c r="KJW200" s="697"/>
      <c r="KJX200" s="697"/>
      <c r="KJY200" s="697"/>
      <c r="KJZ200" s="697"/>
      <c r="KKA200" s="697"/>
      <c r="KKB200" s="697"/>
      <c r="KKC200" s="697"/>
      <c r="KKD200" s="697"/>
      <c r="KKE200" s="697"/>
      <c r="KKF200" s="697"/>
      <c r="KKG200" s="697"/>
      <c r="KKH200" s="697"/>
      <c r="KKI200" s="697"/>
      <c r="KKJ200" s="697"/>
      <c r="KKK200" s="697"/>
      <c r="KKL200" s="697"/>
      <c r="KKM200" s="697"/>
      <c r="KKN200" s="697"/>
      <c r="KKO200" s="697"/>
      <c r="KKP200" s="697"/>
      <c r="KKQ200" s="697"/>
      <c r="KKR200" s="697"/>
      <c r="KKS200" s="697"/>
      <c r="KKT200" s="697"/>
      <c r="KKU200" s="697"/>
      <c r="KKV200" s="697"/>
      <c r="KKW200" s="697"/>
      <c r="KKX200" s="697"/>
      <c r="KKY200" s="697"/>
      <c r="KKZ200" s="697"/>
      <c r="KLA200" s="697"/>
      <c r="KLB200" s="697"/>
      <c r="KLC200" s="697"/>
      <c r="KLD200" s="697"/>
      <c r="KLE200" s="697"/>
      <c r="KLF200" s="697"/>
      <c r="KLG200" s="697"/>
      <c r="KLH200" s="697"/>
      <c r="KLI200" s="697"/>
      <c r="KLJ200" s="697"/>
      <c r="KLK200" s="697"/>
      <c r="KLL200" s="697"/>
      <c r="KLM200" s="697"/>
      <c r="KLN200" s="697"/>
      <c r="KLO200" s="697"/>
      <c r="KLP200" s="697"/>
      <c r="KLQ200" s="697"/>
      <c r="KLR200" s="697"/>
      <c r="KLS200" s="697"/>
      <c r="KLT200" s="697"/>
      <c r="KLU200" s="697"/>
      <c r="KLV200" s="697"/>
      <c r="KLW200" s="697"/>
      <c r="KLX200" s="697"/>
      <c r="KLY200" s="697"/>
      <c r="KLZ200" s="697"/>
      <c r="KMA200" s="697"/>
      <c r="KMB200" s="697"/>
      <c r="KMC200" s="697"/>
      <c r="KMD200" s="697"/>
      <c r="KME200" s="697"/>
      <c r="KMF200" s="697"/>
      <c r="KMG200" s="697"/>
      <c r="KMH200" s="697"/>
      <c r="KMI200" s="697"/>
      <c r="KMJ200" s="697"/>
      <c r="KMK200" s="697"/>
      <c r="KML200" s="697"/>
      <c r="KMM200" s="697"/>
      <c r="KMN200" s="697"/>
      <c r="KMO200" s="697"/>
      <c r="KMP200" s="697"/>
      <c r="KMQ200" s="697"/>
      <c r="KMR200" s="697"/>
      <c r="KMS200" s="697"/>
      <c r="KMT200" s="697"/>
      <c r="KMU200" s="697"/>
      <c r="KMV200" s="697"/>
      <c r="KMW200" s="697"/>
      <c r="KMX200" s="697"/>
      <c r="KMY200" s="697"/>
      <c r="KMZ200" s="697"/>
      <c r="KNA200" s="697"/>
      <c r="KNB200" s="697"/>
      <c r="KNC200" s="697"/>
      <c r="KND200" s="697"/>
      <c r="KNE200" s="697"/>
      <c r="KNF200" s="697"/>
      <c r="KNG200" s="697"/>
      <c r="KNH200" s="697"/>
      <c r="KNI200" s="697"/>
      <c r="KNJ200" s="697"/>
      <c r="KNK200" s="697"/>
      <c r="KNL200" s="697"/>
      <c r="KNM200" s="697"/>
      <c r="KNN200" s="697"/>
      <c r="KNO200" s="697"/>
      <c r="KNP200" s="697"/>
      <c r="KNQ200" s="697"/>
      <c r="KNR200" s="697"/>
      <c r="KNS200" s="697"/>
      <c r="KNT200" s="697"/>
      <c r="KNU200" s="697"/>
      <c r="KNV200" s="697"/>
      <c r="KNW200" s="697"/>
      <c r="KNX200" s="697"/>
      <c r="KNY200" s="697"/>
      <c r="KNZ200" s="697"/>
      <c r="KOA200" s="697"/>
      <c r="KOB200" s="697"/>
      <c r="KOC200" s="697"/>
      <c r="KOD200" s="697"/>
      <c r="KOE200" s="697"/>
      <c r="KOF200" s="697"/>
      <c r="KOG200" s="697"/>
      <c r="KOH200" s="697"/>
      <c r="KOI200" s="697"/>
      <c r="KOJ200" s="697"/>
      <c r="KOK200" s="697"/>
      <c r="KOL200" s="697"/>
      <c r="KOM200" s="697"/>
      <c r="KON200" s="697"/>
      <c r="KOO200" s="697"/>
      <c r="KOP200" s="697"/>
      <c r="KOQ200" s="697"/>
      <c r="KOR200" s="697"/>
      <c r="KOS200" s="697"/>
      <c r="KOT200" s="697"/>
      <c r="KOU200" s="697"/>
      <c r="KOV200" s="697"/>
      <c r="KOW200" s="697"/>
      <c r="KOX200" s="697"/>
      <c r="KOY200" s="697"/>
      <c r="KOZ200" s="697"/>
      <c r="KPA200" s="697"/>
      <c r="KPB200" s="697"/>
      <c r="KPC200" s="697"/>
      <c r="KPD200" s="697"/>
      <c r="KPE200" s="697"/>
      <c r="KPF200" s="697"/>
      <c r="KPG200" s="697"/>
      <c r="KPH200" s="697"/>
      <c r="KPI200" s="697"/>
      <c r="KPJ200" s="697"/>
      <c r="KPK200" s="697"/>
      <c r="KPL200" s="697"/>
      <c r="KPM200" s="697"/>
      <c r="KPN200" s="697"/>
      <c r="KPO200" s="697"/>
      <c r="KPP200" s="697"/>
      <c r="KPQ200" s="697"/>
      <c r="KPR200" s="697"/>
      <c r="KPS200" s="697"/>
      <c r="KPT200" s="697"/>
      <c r="KPU200" s="697"/>
      <c r="KPV200" s="697"/>
      <c r="KPW200" s="697"/>
      <c r="KPX200" s="697"/>
      <c r="KPY200" s="697"/>
      <c r="KPZ200" s="697"/>
      <c r="KQA200" s="697"/>
      <c r="KQB200" s="697"/>
      <c r="KQC200" s="697"/>
      <c r="KQD200" s="697"/>
      <c r="KQE200" s="697"/>
      <c r="KQF200" s="697"/>
      <c r="KQG200" s="697"/>
      <c r="KQH200" s="697"/>
      <c r="KQI200" s="697"/>
      <c r="KQJ200" s="697"/>
      <c r="KQK200" s="697"/>
      <c r="KQL200" s="697"/>
      <c r="KQM200" s="697"/>
      <c r="KQN200" s="697"/>
      <c r="KQO200" s="697"/>
      <c r="KQP200" s="697"/>
      <c r="KQQ200" s="697"/>
      <c r="KQR200" s="697"/>
      <c r="KQS200" s="697"/>
      <c r="KQT200" s="697"/>
      <c r="KQU200" s="697"/>
      <c r="KQV200" s="697"/>
      <c r="KQW200" s="697"/>
      <c r="KQX200" s="697"/>
      <c r="KQY200" s="697"/>
      <c r="KQZ200" s="697"/>
      <c r="KRA200" s="697"/>
      <c r="KRB200" s="697"/>
      <c r="KRC200" s="697"/>
      <c r="KRD200" s="697"/>
      <c r="KRE200" s="697"/>
      <c r="KRF200" s="697"/>
      <c r="KRG200" s="697"/>
      <c r="KRH200" s="697"/>
      <c r="KRI200" s="697"/>
      <c r="KRJ200" s="697"/>
      <c r="KRK200" s="697"/>
      <c r="KRL200" s="697"/>
      <c r="KRM200" s="697"/>
      <c r="KRN200" s="697"/>
      <c r="KRO200" s="697"/>
      <c r="KRP200" s="697"/>
      <c r="KRQ200" s="697"/>
      <c r="KRR200" s="697"/>
      <c r="KRS200" s="697"/>
      <c r="KRT200" s="697"/>
      <c r="KRU200" s="697"/>
      <c r="KRV200" s="697"/>
      <c r="KRW200" s="697"/>
      <c r="KRX200" s="697"/>
      <c r="KRY200" s="697"/>
      <c r="KRZ200" s="697"/>
      <c r="KSA200" s="697"/>
      <c r="KSB200" s="697"/>
      <c r="KSC200" s="697"/>
      <c r="KSD200" s="697"/>
      <c r="KSE200" s="697"/>
      <c r="KSF200" s="697"/>
      <c r="KSG200" s="697"/>
      <c r="KSH200" s="697"/>
      <c r="KSI200" s="697"/>
      <c r="KSJ200" s="697"/>
      <c r="KSK200" s="697"/>
      <c r="KSL200" s="697"/>
      <c r="KSM200" s="697"/>
      <c r="KSN200" s="697"/>
      <c r="KSO200" s="697"/>
      <c r="KSP200" s="697"/>
      <c r="KSQ200" s="697"/>
      <c r="KSR200" s="697"/>
      <c r="KSS200" s="697"/>
      <c r="KST200" s="697"/>
      <c r="KSU200" s="697"/>
      <c r="KSV200" s="697"/>
      <c r="KSW200" s="697"/>
      <c r="KSX200" s="697"/>
      <c r="KSY200" s="697"/>
      <c r="KSZ200" s="697"/>
      <c r="KTA200" s="697"/>
      <c r="KTB200" s="697"/>
      <c r="KTC200" s="697"/>
      <c r="KTD200" s="697"/>
      <c r="KTE200" s="697"/>
      <c r="KTF200" s="697"/>
      <c r="KTG200" s="697"/>
      <c r="KTH200" s="697"/>
      <c r="KTI200" s="697"/>
      <c r="KTJ200" s="697"/>
      <c r="KTK200" s="697"/>
      <c r="KTL200" s="697"/>
      <c r="KTM200" s="697"/>
      <c r="KTN200" s="697"/>
      <c r="KTO200" s="697"/>
      <c r="KTP200" s="697"/>
      <c r="KTQ200" s="697"/>
      <c r="KTR200" s="697"/>
      <c r="KTS200" s="697"/>
      <c r="KTT200" s="697"/>
      <c r="KTU200" s="697"/>
      <c r="KTV200" s="697"/>
      <c r="KTW200" s="697"/>
      <c r="KTX200" s="697"/>
      <c r="KTY200" s="697"/>
      <c r="KTZ200" s="697"/>
      <c r="KUA200" s="697"/>
      <c r="KUB200" s="697"/>
      <c r="KUC200" s="697"/>
      <c r="KUD200" s="697"/>
      <c r="KUE200" s="697"/>
      <c r="KUF200" s="697"/>
      <c r="KUG200" s="697"/>
      <c r="KUH200" s="697"/>
      <c r="KUI200" s="697"/>
      <c r="KUJ200" s="697"/>
      <c r="KUK200" s="697"/>
      <c r="KUL200" s="697"/>
      <c r="KUM200" s="697"/>
      <c r="KUN200" s="697"/>
      <c r="KUO200" s="697"/>
      <c r="KUP200" s="697"/>
      <c r="KUQ200" s="697"/>
      <c r="KUR200" s="697"/>
      <c r="KUS200" s="697"/>
      <c r="KUT200" s="697"/>
      <c r="KUU200" s="697"/>
      <c r="KUV200" s="697"/>
      <c r="KUW200" s="697"/>
      <c r="KUX200" s="697"/>
      <c r="KUY200" s="697"/>
      <c r="KUZ200" s="697"/>
      <c r="KVA200" s="697"/>
      <c r="KVB200" s="697"/>
      <c r="KVC200" s="697"/>
      <c r="KVD200" s="697"/>
      <c r="KVE200" s="697"/>
      <c r="KVF200" s="697"/>
      <c r="KVG200" s="697"/>
      <c r="KVH200" s="697"/>
      <c r="KVI200" s="697"/>
      <c r="KVJ200" s="697"/>
      <c r="KVK200" s="697"/>
      <c r="KVL200" s="697"/>
      <c r="KVM200" s="697"/>
      <c r="KVN200" s="697"/>
      <c r="KVO200" s="697"/>
      <c r="KVP200" s="697"/>
      <c r="KVQ200" s="697"/>
      <c r="KVR200" s="697"/>
      <c r="KVS200" s="697"/>
      <c r="KVT200" s="697"/>
      <c r="KVU200" s="697"/>
      <c r="KVV200" s="697"/>
      <c r="KVW200" s="697"/>
      <c r="KVX200" s="697"/>
      <c r="KVY200" s="697"/>
      <c r="KVZ200" s="697"/>
      <c r="KWA200" s="697"/>
      <c r="KWB200" s="697"/>
      <c r="KWC200" s="697"/>
      <c r="KWD200" s="697"/>
      <c r="KWE200" s="697"/>
      <c r="KWF200" s="697"/>
      <c r="KWG200" s="697"/>
      <c r="KWH200" s="697"/>
      <c r="KWI200" s="697"/>
      <c r="KWJ200" s="697"/>
      <c r="KWK200" s="697"/>
      <c r="KWL200" s="697"/>
      <c r="KWM200" s="697"/>
      <c r="KWN200" s="697"/>
      <c r="KWO200" s="697"/>
      <c r="KWP200" s="697"/>
      <c r="KWQ200" s="697"/>
      <c r="KWR200" s="697"/>
      <c r="KWS200" s="697"/>
      <c r="KWT200" s="697"/>
      <c r="KWU200" s="697"/>
      <c r="KWV200" s="697"/>
      <c r="KWW200" s="697"/>
      <c r="KWX200" s="697"/>
      <c r="KWY200" s="697"/>
      <c r="KWZ200" s="697"/>
      <c r="KXA200" s="697"/>
      <c r="KXB200" s="697"/>
      <c r="KXC200" s="697"/>
      <c r="KXD200" s="697"/>
      <c r="KXE200" s="697"/>
      <c r="KXF200" s="697"/>
      <c r="KXG200" s="697"/>
      <c r="KXH200" s="697"/>
      <c r="KXI200" s="697"/>
      <c r="KXJ200" s="697"/>
      <c r="KXK200" s="697"/>
      <c r="KXL200" s="697"/>
      <c r="KXM200" s="697"/>
      <c r="KXN200" s="697"/>
      <c r="KXO200" s="697"/>
      <c r="KXP200" s="697"/>
      <c r="KXQ200" s="697"/>
      <c r="KXR200" s="697"/>
      <c r="KXS200" s="697"/>
      <c r="KXT200" s="697"/>
      <c r="KXU200" s="697"/>
      <c r="KXV200" s="697"/>
      <c r="KXW200" s="697"/>
      <c r="KXX200" s="697"/>
      <c r="KXY200" s="697"/>
      <c r="KXZ200" s="697"/>
      <c r="KYA200" s="697"/>
      <c r="KYB200" s="697"/>
      <c r="KYC200" s="697"/>
      <c r="KYD200" s="697"/>
      <c r="KYE200" s="697"/>
      <c r="KYF200" s="697"/>
      <c r="KYG200" s="697"/>
      <c r="KYH200" s="697"/>
      <c r="KYI200" s="697"/>
      <c r="KYJ200" s="697"/>
      <c r="KYK200" s="697"/>
      <c r="KYL200" s="697"/>
      <c r="KYM200" s="697"/>
      <c r="KYN200" s="697"/>
      <c r="KYO200" s="697"/>
      <c r="KYP200" s="697"/>
      <c r="KYQ200" s="697"/>
      <c r="KYR200" s="697"/>
      <c r="KYS200" s="697"/>
      <c r="KYT200" s="697"/>
      <c r="KYU200" s="697"/>
      <c r="KYV200" s="697"/>
      <c r="KYW200" s="697"/>
      <c r="KYX200" s="697"/>
      <c r="KYY200" s="697"/>
      <c r="KYZ200" s="697"/>
      <c r="KZA200" s="697"/>
      <c r="KZB200" s="697"/>
      <c r="KZC200" s="697"/>
      <c r="KZD200" s="697"/>
      <c r="KZE200" s="697"/>
      <c r="KZF200" s="697"/>
      <c r="KZG200" s="697"/>
      <c r="KZH200" s="697"/>
      <c r="KZI200" s="697"/>
      <c r="KZJ200" s="697"/>
      <c r="KZK200" s="697"/>
      <c r="KZL200" s="697"/>
      <c r="KZM200" s="697"/>
      <c r="KZN200" s="697"/>
      <c r="KZO200" s="697"/>
      <c r="KZP200" s="697"/>
      <c r="KZQ200" s="697"/>
      <c r="KZR200" s="697"/>
      <c r="KZS200" s="697"/>
      <c r="KZT200" s="697"/>
      <c r="KZU200" s="697"/>
      <c r="KZV200" s="697"/>
      <c r="KZW200" s="697"/>
      <c r="KZX200" s="697"/>
      <c r="KZY200" s="697"/>
      <c r="KZZ200" s="697"/>
      <c r="LAA200" s="697"/>
      <c r="LAB200" s="697"/>
      <c r="LAC200" s="697"/>
      <c r="LAD200" s="697"/>
      <c r="LAE200" s="697"/>
      <c r="LAF200" s="697"/>
      <c r="LAG200" s="697"/>
      <c r="LAH200" s="697"/>
      <c r="LAI200" s="697"/>
      <c r="LAJ200" s="697"/>
      <c r="LAK200" s="697"/>
      <c r="LAL200" s="697"/>
      <c r="LAM200" s="697"/>
      <c r="LAN200" s="697"/>
      <c r="LAO200" s="697"/>
      <c r="LAP200" s="697"/>
      <c r="LAQ200" s="697"/>
      <c r="LAR200" s="697"/>
      <c r="LAS200" s="697"/>
      <c r="LAT200" s="697"/>
      <c r="LAU200" s="697"/>
      <c r="LAV200" s="697"/>
      <c r="LAW200" s="697"/>
      <c r="LAX200" s="697"/>
      <c r="LAY200" s="697"/>
      <c r="LAZ200" s="697"/>
      <c r="LBA200" s="697"/>
      <c r="LBB200" s="697"/>
      <c r="LBC200" s="697"/>
      <c r="LBD200" s="697"/>
      <c r="LBE200" s="697"/>
      <c r="LBF200" s="697"/>
      <c r="LBG200" s="697"/>
      <c r="LBH200" s="697"/>
      <c r="LBI200" s="697"/>
      <c r="LBJ200" s="697"/>
      <c r="LBK200" s="697"/>
      <c r="LBL200" s="697"/>
      <c r="LBM200" s="697"/>
      <c r="LBN200" s="697"/>
      <c r="LBO200" s="697"/>
      <c r="LBP200" s="697"/>
      <c r="LBQ200" s="697"/>
      <c r="LBR200" s="697"/>
      <c r="LBS200" s="697"/>
      <c r="LBT200" s="697"/>
      <c r="LBU200" s="697"/>
      <c r="LBV200" s="697"/>
      <c r="LBW200" s="697"/>
      <c r="LBX200" s="697"/>
      <c r="LBY200" s="697"/>
      <c r="LBZ200" s="697"/>
      <c r="LCA200" s="697"/>
      <c r="LCB200" s="697"/>
      <c r="LCC200" s="697"/>
      <c r="LCD200" s="697"/>
      <c r="LCE200" s="697"/>
      <c r="LCF200" s="697"/>
      <c r="LCG200" s="697"/>
      <c r="LCH200" s="697"/>
      <c r="LCI200" s="697"/>
      <c r="LCJ200" s="697"/>
      <c r="LCK200" s="697"/>
      <c r="LCL200" s="697"/>
      <c r="LCM200" s="697"/>
      <c r="LCN200" s="697"/>
      <c r="LCO200" s="697"/>
      <c r="LCP200" s="697"/>
      <c r="LCQ200" s="697"/>
      <c r="LCR200" s="697"/>
      <c r="LCS200" s="697"/>
      <c r="LCT200" s="697"/>
      <c r="LCU200" s="697"/>
      <c r="LCV200" s="697"/>
      <c r="LCW200" s="697"/>
      <c r="LCX200" s="697"/>
      <c r="LCY200" s="697"/>
      <c r="LCZ200" s="697"/>
      <c r="LDA200" s="697"/>
      <c r="LDB200" s="697"/>
      <c r="LDC200" s="697"/>
      <c r="LDD200" s="697"/>
      <c r="LDE200" s="697"/>
      <c r="LDF200" s="697"/>
      <c r="LDG200" s="697"/>
      <c r="LDH200" s="697"/>
      <c r="LDI200" s="697"/>
      <c r="LDJ200" s="697"/>
      <c r="LDK200" s="697"/>
      <c r="LDL200" s="697"/>
      <c r="LDM200" s="697"/>
      <c r="LDN200" s="697"/>
      <c r="LDO200" s="697"/>
      <c r="LDP200" s="697"/>
      <c r="LDQ200" s="697"/>
      <c r="LDR200" s="697"/>
      <c r="LDS200" s="697"/>
      <c r="LDT200" s="697"/>
      <c r="LDU200" s="697"/>
      <c r="LDV200" s="697"/>
      <c r="LDW200" s="697"/>
      <c r="LDX200" s="697"/>
      <c r="LDY200" s="697"/>
      <c r="LDZ200" s="697"/>
      <c r="LEA200" s="697"/>
      <c r="LEB200" s="697"/>
      <c r="LEC200" s="697"/>
      <c r="LED200" s="697"/>
      <c r="LEE200" s="697"/>
      <c r="LEF200" s="697"/>
      <c r="LEG200" s="697"/>
      <c r="LEH200" s="697"/>
      <c r="LEI200" s="697"/>
      <c r="LEJ200" s="697"/>
      <c r="LEK200" s="697"/>
      <c r="LEL200" s="697"/>
      <c r="LEM200" s="697"/>
      <c r="LEN200" s="697"/>
      <c r="LEO200" s="697"/>
      <c r="LEP200" s="697"/>
      <c r="LEQ200" s="697"/>
      <c r="LER200" s="697"/>
      <c r="LES200" s="697"/>
      <c r="LET200" s="697"/>
      <c r="LEU200" s="697"/>
      <c r="LEV200" s="697"/>
      <c r="LEW200" s="697"/>
      <c r="LEX200" s="697"/>
      <c r="LEY200" s="697"/>
      <c r="LEZ200" s="697"/>
      <c r="LFA200" s="697"/>
      <c r="LFB200" s="697"/>
      <c r="LFC200" s="697"/>
      <c r="LFD200" s="697"/>
      <c r="LFE200" s="697"/>
      <c r="LFF200" s="697"/>
      <c r="LFG200" s="697"/>
      <c r="LFH200" s="697"/>
      <c r="LFI200" s="697"/>
      <c r="LFJ200" s="697"/>
      <c r="LFK200" s="697"/>
      <c r="LFL200" s="697"/>
      <c r="LFM200" s="697"/>
      <c r="LFN200" s="697"/>
      <c r="LFO200" s="697"/>
      <c r="LFP200" s="697"/>
      <c r="LFQ200" s="697"/>
      <c r="LFR200" s="697"/>
      <c r="LFS200" s="697"/>
      <c r="LFT200" s="697"/>
      <c r="LFU200" s="697"/>
      <c r="LFV200" s="697"/>
      <c r="LFW200" s="697"/>
      <c r="LFX200" s="697"/>
      <c r="LFY200" s="697"/>
      <c r="LFZ200" s="697"/>
      <c r="LGA200" s="697"/>
      <c r="LGB200" s="697"/>
      <c r="LGC200" s="697"/>
      <c r="LGD200" s="697"/>
      <c r="LGE200" s="697"/>
      <c r="LGF200" s="697"/>
      <c r="LGG200" s="697"/>
      <c r="LGH200" s="697"/>
      <c r="LGI200" s="697"/>
      <c r="LGJ200" s="697"/>
      <c r="LGK200" s="697"/>
      <c r="LGL200" s="697"/>
      <c r="LGM200" s="697"/>
      <c r="LGN200" s="697"/>
      <c r="LGO200" s="697"/>
      <c r="LGP200" s="697"/>
      <c r="LGQ200" s="697"/>
      <c r="LGR200" s="697"/>
      <c r="LGS200" s="697"/>
      <c r="LGT200" s="697"/>
      <c r="LGU200" s="697"/>
      <c r="LGV200" s="697"/>
      <c r="LGW200" s="697"/>
      <c r="LGX200" s="697"/>
      <c r="LGY200" s="697"/>
      <c r="LGZ200" s="697"/>
      <c r="LHA200" s="697"/>
      <c r="LHB200" s="697"/>
      <c r="LHC200" s="697"/>
      <c r="LHD200" s="697"/>
      <c r="LHE200" s="697"/>
      <c r="LHF200" s="697"/>
      <c r="LHG200" s="697"/>
      <c r="LHH200" s="697"/>
      <c r="LHI200" s="697"/>
      <c r="LHJ200" s="697"/>
      <c r="LHK200" s="697"/>
      <c r="LHL200" s="697"/>
      <c r="LHM200" s="697"/>
      <c r="LHN200" s="697"/>
      <c r="LHO200" s="697"/>
      <c r="LHP200" s="697"/>
      <c r="LHQ200" s="697"/>
      <c r="LHR200" s="697"/>
      <c r="LHS200" s="697"/>
      <c r="LHT200" s="697"/>
      <c r="LHU200" s="697"/>
      <c r="LHV200" s="697"/>
      <c r="LHW200" s="697"/>
      <c r="LHX200" s="697"/>
      <c r="LHY200" s="697"/>
      <c r="LHZ200" s="697"/>
      <c r="LIA200" s="697"/>
      <c r="LIB200" s="697"/>
      <c r="LIC200" s="697"/>
      <c r="LID200" s="697"/>
      <c r="LIE200" s="697"/>
      <c r="LIF200" s="697"/>
      <c r="LIG200" s="697"/>
      <c r="LIH200" s="697"/>
      <c r="LII200" s="697"/>
      <c r="LIJ200" s="697"/>
      <c r="LIK200" s="697"/>
      <c r="LIL200" s="697"/>
      <c r="LIM200" s="697"/>
      <c r="LIN200" s="697"/>
      <c r="LIO200" s="697"/>
      <c r="LIP200" s="697"/>
      <c r="LIQ200" s="697"/>
      <c r="LIR200" s="697"/>
      <c r="LIS200" s="697"/>
      <c r="LIT200" s="697"/>
      <c r="LIU200" s="697"/>
      <c r="LIV200" s="697"/>
      <c r="LIW200" s="697"/>
      <c r="LIX200" s="697"/>
      <c r="LIY200" s="697"/>
      <c r="LIZ200" s="697"/>
      <c r="LJA200" s="697"/>
      <c r="LJB200" s="697"/>
      <c r="LJC200" s="697"/>
      <c r="LJD200" s="697"/>
      <c r="LJE200" s="697"/>
      <c r="LJF200" s="697"/>
      <c r="LJG200" s="697"/>
      <c r="LJH200" s="697"/>
      <c r="LJI200" s="697"/>
      <c r="LJJ200" s="697"/>
      <c r="LJK200" s="697"/>
      <c r="LJL200" s="697"/>
      <c r="LJM200" s="697"/>
      <c r="LJN200" s="697"/>
      <c r="LJO200" s="697"/>
      <c r="LJP200" s="697"/>
      <c r="LJQ200" s="697"/>
      <c r="LJR200" s="697"/>
      <c r="LJS200" s="697"/>
      <c r="LJT200" s="697"/>
      <c r="LJU200" s="697"/>
      <c r="LJV200" s="697"/>
      <c r="LJW200" s="697"/>
      <c r="LJX200" s="697"/>
      <c r="LJY200" s="697"/>
      <c r="LJZ200" s="697"/>
      <c r="LKA200" s="697"/>
      <c r="LKB200" s="697"/>
      <c r="LKC200" s="697"/>
      <c r="LKD200" s="697"/>
      <c r="LKE200" s="697"/>
      <c r="LKF200" s="697"/>
      <c r="LKG200" s="697"/>
      <c r="LKH200" s="697"/>
      <c r="LKI200" s="697"/>
      <c r="LKJ200" s="697"/>
      <c r="LKK200" s="697"/>
      <c r="LKL200" s="697"/>
      <c r="LKM200" s="697"/>
      <c r="LKN200" s="697"/>
      <c r="LKO200" s="697"/>
      <c r="LKP200" s="697"/>
      <c r="LKQ200" s="697"/>
      <c r="LKR200" s="697"/>
      <c r="LKS200" s="697"/>
      <c r="LKT200" s="697"/>
      <c r="LKU200" s="697"/>
      <c r="LKV200" s="697"/>
      <c r="LKW200" s="697"/>
      <c r="LKX200" s="697"/>
      <c r="LKY200" s="697"/>
      <c r="LKZ200" s="697"/>
      <c r="LLA200" s="697"/>
      <c r="LLB200" s="697"/>
      <c r="LLC200" s="697"/>
      <c r="LLD200" s="697"/>
      <c r="LLE200" s="697"/>
      <c r="LLF200" s="697"/>
      <c r="LLG200" s="697"/>
      <c r="LLH200" s="697"/>
      <c r="LLI200" s="697"/>
      <c r="LLJ200" s="697"/>
      <c r="LLK200" s="697"/>
      <c r="LLL200" s="697"/>
      <c r="LLM200" s="697"/>
      <c r="LLN200" s="697"/>
      <c r="LLO200" s="697"/>
      <c r="LLP200" s="697"/>
      <c r="LLQ200" s="697"/>
      <c r="LLR200" s="697"/>
      <c r="LLS200" s="697"/>
      <c r="LLT200" s="697"/>
      <c r="LLU200" s="697"/>
      <c r="LLV200" s="697"/>
      <c r="LLW200" s="697"/>
      <c r="LLX200" s="697"/>
      <c r="LLY200" s="697"/>
      <c r="LLZ200" s="697"/>
      <c r="LMA200" s="697"/>
      <c r="LMB200" s="697"/>
      <c r="LMC200" s="697"/>
      <c r="LMD200" s="697"/>
      <c r="LME200" s="697"/>
      <c r="LMF200" s="697"/>
      <c r="LMG200" s="697"/>
      <c r="LMH200" s="697"/>
      <c r="LMI200" s="697"/>
      <c r="LMJ200" s="697"/>
      <c r="LMK200" s="697"/>
      <c r="LML200" s="697"/>
      <c r="LMM200" s="697"/>
      <c r="LMN200" s="697"/>
      <c r="LMO200" s="697"/>
      <c r="LMP200" s="697"/>
      <c r="LMQ200" s="697"/>
      <c r="LMR200" s="697"/>
      <c r="LMS200" s="697"/>
      <c r="LMT200" s="697"/>
      <c r="LMU200" s="697"/>
      <c r="LMV200" s="697"/>
      <c r="LMW200" s="697"/>
      <c r="LMX200" s="697"/>
      <c r="LMY200" s="697"/>
      <c r="LMZ200" s="697"/>
      <c r="LNA200" s="697"/>
      <c r="LNB200" s="697"/>
      <c r="LNC200" s="697"/>
      <c r="LND200" s="697"/>
      <c r="LNE200" s="697"/>
      <c r="LNF200" s="697"/>
      <c r="LNG200" s="697"/>
      <c r="LNH200" s="697"/>
      <c r="LNI200" s="697"/>
      <c r="LNJ200" s="697"/>
      <c r="LNK200" s="697"/>
      <c r="LNL200" s="697"/>
      <c r="LNM200" s="697"/>
      <c r="LNN200" s="697"/>
      <c r="LNO200" s="697"/>
      <c r="LNP200" s="697"/>
      <c r="LNQ200" s="697"/>
      <c r="LNR200" s="697"/>
      <c r="LNS200" s="697"/>
      <c r="LNT200" s="697"/>
      <c r="LNU200" s="697"/>
      <c r="LNV200" s="697"/>
      <c r="LNW200" s="697"/>
      <c r="LNX200" s="697"/>
      <c r="LNY200" s="697"/>
      <c r="LNZ200" s="697"/>
      <c r="LOA200" s="697"/>
      <c r="LOB200" s="697"/>
      <c r="LOC200" s="697"/>
      <c r="LOD200" s="697"/>
      <c r="LOE200" s="697"/>
      <c r="LOF200" s="697"/>
      <c r="LOG200" s="697"/>
      <c r="LOH200" s="697"/>
      <c r="LOI200" s="697"/>
      <c r="LOJ200" s="697"/>
      <c r="LOK200" s="697"/>
      <c r="LOL200" s="697"/>
      <c r="LOM200" s="697"/>
      <c r="LON200" s="697"/>
      <c r="LOO200" s="697"/>
      <c r="LOP200" s="697"/>
      <c r="LOQ200" s="697"/>
      <c r="LOR200" s="697"/>
      <c r="LOS200" s="697"/>
      <c r="LOT200" s="697"/>
      <c r="LOU200" s="697"/>
      <c r="LOV200" s="697"/>
      <c r="LOW200" s="697"/>
      <c r="LOX200" s="697"/>
      <c r="LOY200" s="697"/>
      <c r="LOZ200" s="697"/>
      <c r="LPA200" s="697"/>
      <c r="LPB200" s="697"/>
      <c r="LPC200" s="697"/>
      <c r="LPD200" s="697"/>
      <c r="LPE200" s="697"/>
      <c r="LPF200" s="697"/>
      <c r="LPG200" s="697"/>
      <c r="LPH200" s="697"/>
      <c r="LPI200" s="697"/>
      <c r="LPJ200" s="697"/>
      <c r="LPK200" s="697"/>
      <c r="LPL200" s="697"/>
      <c r="LPM200" s="697"/>
      <c r="LPN200" s="697"/>
      <c r="LPO200" s="697"/>
      <c r="LPP200" s="697"/>
      <c r="LPQ200" s="697"/>
      <c r="LPR200" s="697"/>
      <c r="LPS200" s="697"/>
      <c r="LPT200" s="697"/>
      <c r="LPU200" s="697"/>
      <c r="LPV200" s="697"/>
      <c r="LPW200" s="697"/>
      <c r="LPX200" s="697"/>
      <c r="LPY200" s="697"/>
      <c r="LPZ200" s="697"/>
      <c r="LQA200" s="697"/>
      <c r="LQB200" s="697"/>
      <c r="LQC200" s="697"/>
      <c r="LQD200" s="697"/>
      <c r="LQE200" s="697"/>
      <c r="LQF200" s="697"/>
      <c r="LQG200" s="697"/>
      <c r="LQH200" s="697"/>
      <c r="LQI200" s="697"/>
      <c r="LQJ200" s="697"/>
      <c r="LQK200" s="697"/>
      <c r="LQL200" s="697"/>
      <c r="LQM200" s="697"/>
      <c r="LQN200" s="697"/>
      <c r="LQO200" s="697"/>
      <c r="LQP200" s="697"/>
      <c r="LQQ200" s="697"/>
      <c r="LQR200" s="697"/>
      <c r="LQS200" s="697"/>
      <c r="LQT200" s="697"/>
      <c r="LQU200" s="697"/>
      <c r="LQV200" s="697"/>
      <c r="LQW200" s="697"/>
      <c r="LQX200" s="697"/>
      <c r="LQY200" s="697"/>
      <c r="LQZ200" s="697"/>
      <c r="LRA200" s="697"/>
      <c r="LRB200" s="697"/>
      <c r="LRC200" s="697"/>
      <c r="LRD200" s="697"/>
      <c r="LRE200" s="697"/>
      <c r="LRF200" s="697"/>
      <c r="LRG200" s="697"/>
      <c r="LRH200" s="697"/>
      <c r="LRI200" s="697"/>
      <c r="LRJ200" s="697"/>
      <c r="LRK200" s="697"/>
      <c r="LRL200" s="697"/>
      <c r="LRM200" s="697"/>
      <c r="LRN200" s="697"/>
      <c r="LRO200" s="697"/>
      <c r="LRP200" s="697"/>
      <c r="LRQ200" s="697"/>
      <c r="LRR200" s="697"/>
      <c r="LRS200" s="697"/>
      <c r="LRT200" s="697"/>
      <c r="LRU200" s="697"/>
      <c r="LRV200" s="697"/>
      <c r="LRW200" s="697"/>
      <c r="LRX200" s="697"/>
      <c r="LRY200" s="697"/>
      <c r="LRZ200" s="697"/>
      <c r="LSA200" s="697"/>
      <c r="LSB200" s="697"/>
      <c r="LSC200" s="697"/>
      <c r="LSD200" s="697"/>
      <c r="LSE200" s="697"/>
      <c r="LSF200" s="697"/>
      <c r="LSG200" s="697"/>
      <c r="LSH200" s="697"/>
      <c r="LSI200" s="697"/>
      <c r="LSJ200" s="697"/>
      <c r="LSK200" s="697"/>
      <c r="LSL200" s="697"/>
      <c r="LSM200" s="697"/>
      <c r="LSN200" s="697"/>
      <c r="LSO200" s="697"/>
      <c r="LSP200" s="697"/>
      <c r="LSQ200" s="697"/>
      <c r="LSR200" s="697"/>
      <c r="LSS200" s="697"/>
      <c r="LST200" s="697"/>
      <c r="LSU200" s="697"/>
      <c r="LSV200" s="697"/>
      <c r="LSW200" s="697"/>
      <c r="LSX200" s="697"/>
      <c r="LSY200" s="697"/>
      <c r="LSZ200" s="697"/>
      <c r="LTA200" s="697"/>
      <c r="LTB200" s="697"/>
      <c r="LTC200" s="697"/>
      <c r="LTD200" s="697"/>
      <c r="LTE200" s="697"/>
      <c r="LTF200" s="697"/>
      <c r="LTG200" s="697"/>
      <c r="LTH200" s="697"/>
      <c r="LTI200" s="697"/>
      <c r="LTJ200" s="697"/>
      <c r="LTK200" s="697"/>
      <c r="LTL200" s="697"/>
      <c r="LTM200" s="697"/>
      <c r="LTN200" s="697"/>
      <c r="LTO200" s="697"/>
      <c r="LTP200" s="697"/>
      <c r="LTQ200" s="697"/>
      <c r="LTR200" s="697"/>
      <c r="LTS200" s="697"/>
      <c r="LTT200" s="697"/>
      <c r="LTU200" s="697"/>
      <c r="LTV200" s="697"/>
      <c r="LTW200" s="697"/>
      <c r="LTX200" s="697"/>
      <c r="LTY200" s="697"/>
      <c r="LTZ200" s="697"/>
      <c r="LUA200" s="697"/>
      <c r="LUB200" s="697"/>
      <c r="LUC200" s="697"/>
      <c r="LUD200" s="697"/>
      <c r="LUE200" s="697"/>
      <c r="LUF200" s="697"/>
      <c r="LUG200" s="697"/>
      <c r="LUH200" s="697"/>
      <c r="LUI200" s="697"/>
      <c r="LUJ200" s="697"/>
      <c r="LUK200" s="697"/>
      <c r="LUL200" s="697"/>
      <c r="LUM200" s="697"/>
      <c r="LUN200" s="697"/>
      <c r="LUO200" s="697"/>
      <c r="LUP200" s="697"/>
      <c r="LUQ200" s="697"/>
      <c r="LUR200" s="697"/>
      <c r="LUS200" s="697"/>
      <c r="LUT200" s="697"/>
      <c r="LUU200" s="697"/>
      <c r="LUV200" s="697"/>
      <c r="LUW200" s="697"/>
      <c r="LUX200" s="697"/>
      <c r="LUY200" s="697"/>
      <c r="LUZ200" s="697"/>
      <c r="LVA200" s="697"/>
      <c r="LVB200" s="697"/>
      <c r="LVC200" s="697"/>
      <c r="LVD200" s="697"/>
      <c r="LVE200" s="697"/>
      <c r="LVF200" s="697"/>
      <c r="LVG200" s="697"/>
      <c r="LVH200" s="697"/>
      <c r="LVI200" s="697"/>
      <c r="LVJ200" s="697"/>
      <c r="LVK200" s="697"/>
      <c r="LVL200" s="697"/>
      <c r="LVM200" s="697"/>
      <c r="LVN200" s="697"/>
      <c r="LVO200" s="697"/>
      <c r="LVP200" s="697"/>
      <c r="LVQ200" s="697"/>
      <c r="LVR200" s="697"/>
      <c r="LVS200" s="697"/>
      <c r="LVT200" s="697"/>
      <c r="LVU200" s="697"/>
      <c r="LVV200" s="697"/>
      <c r="LVW200" s="697"/>
      <c r="LVX200" s="697"/>
      <c r="LVY200" s="697"/>
      <c r="LVZ200" s="697"/>
      <c r="LWA200" s="697"/>
      <c r="LWB200" s="697"/>
      <c r="LWC200" s="697"/>
      <c r="LWD200" s="697"/>
      <c r="LWE200" s="697"/>
      <c r="LWF200" s="697"/>
      <c r="LWG200" s="697"/>
      <c r="LWH200" s="697"/>
      <c r="LWI200" s="697"/>
      <c r="LWJ200" s="697"/>
      <c r="LWK200" s="697"/>
      <c r="LWL200" s="697"/>
      <c r="LWM200" s="697"/>
      <c r="LWN200" s="697"/>
      <c r="LWO200" s="697"/>
      <c r="LWP200" s="697"/>
      <c r="LWQ200" s="697"/>
      <c r="LWR200" s="697"/>
      <c r="LWS200" s="697"/>
      <c r="LWT200" s="697"/>
      <c r="LWU200" s="697"/>
      <c r="LWV200" s="697"/>
      <c r="LWW200" s="697"/>
      <c r="LWX200" s="697"/>
      <c r="LWY200" s="697"/>
      <c r="LWZ200" s="697"/>
      <c r="LXA200" s="697"/>
      <c r="LXB200" s="697"/>
      <c r="LXC200" s="697"/>
      <c r="LXD200" s="697"/>
      <c r="LXE200" s="697"/>
      <c r="LXF200" s="697"/>
      <c r="LXG200" s="697"/>
      <c r="LXH200" s="697"/>
      <c r="LXI200" s="697"/>
      <c r="LXJ200" s="697"/>
      <c r="LXK200" s="697"/>
      <c r="LXL200" s="697"/>
      <c r="LXM200" s="697"/>
      <c r="LXN200" s="697"/>
      <c r="LXO200" s="697"/>
      <c r="LXP200" s="697"/>
      <c r="LXQ200" s="697"/>
      <c r="LXR200" s="697"/>
      <c r="LXS200" s="697"/>
      <c r="LXT200" s="697"/>
      <c r="LXU200" s="697"/>
      <c r="LXV200" s="697"/>
      <c r="LXW200" s="697"/>
      <c r="LXX200" s="697"/>
      <c r="LXY200" s="697"/>
      <c r="LXZ200" s="697"/>
      <c r="LYA200" s="697"/>
      <c r="LYB200" s="697"/>
      <c r="LYC200" s="697"/>
      <c r="LYD200" s="697"/>
      <c r="LYE200" s="697"/>
      <c r="LYF200" s="697"/>
      <c r="LYG200" s="697"/>
      <c r="LYH200" s="697"/>
      <c r="LYI200" s="697"/>
      <c r="LYJ200" s="697"/>
      <c r="LYK200" s="697"/>
      <c r="LYL200" s="697"/>
      <c r="LYM200" s="697"/>
      <c r="LYN200" s="697"/>
      <c r="LYO200" s="697"/>
      <c r="LYP200" s="697"/>
      <c r="LYQ200" s="697"/>
      <c r="LYR200" s="697"/>
      <c r="LYS200" s="697"/>
      <c r="LYT200" s="697"/>
      <c r="LYU200" s="697"/>
      <c r="LYV200" s="697"/>
      <c r="LYW200" s="697"/>
      <c r="LYX200" s="697"/>
      <c r="LYY200" s="697"/>
      <c r="LYZ200" s="697"/>
      <c r="LZA200" s="697"/>
      <c r="LZB200" s="697"/>
      <c r="LZC200" s="697"/>
      <c r="LZD200" s="697"/>
      <c r="LZE200" s="697"/>
      <c r="LZF200" s="697"/>
      <c r="LZG200" s="697"/>
      <c r="LZH200" s="697"/>
      <c r="LZI200" s="697"/>
      <c r="LZJ200" s="697"/>
      <c r="LZK200" s="697"/>
      <c r="LZL200" s="697"/>
      <c r="LZM200" s="697"/>
      <c r="LZN200" s="697"/>
      <c r="LZO200" s="697"/>
      <c r="LZP200" s="697"/>
      <c r="LZQ200" s="697"/>
      <c r="LZR200" s="697"/>
      <c r="LZS200" s="697"/>
      <c r="LZT200" s="697"/>
      <c r="LZU200" s="697"/>
      <c r="LZV200" s="697"/>
      <c r="LZW200" s="697"/>
      <c r="LZX200" s="697"/>
      <c r="LZY200" s="697"/>
      <c r="LZZ200" s="697"/>
      <c r="MAA200" s="697"/>
      <c r="MAB200" s="697"/>
      <c r="MAC200" s="697"/>
      <c r="MAD200" s="697"/>
      <c r="MAE200" s="697"/>
      <c r="MAF200" s="697"/>
      <c r="MAG200" s="697"/>
      <c r="MAH200" s="697"/>
      <c r="MAI200" s="697"/>
      <c r="MAJ200" s="697"/>
      <c r="MAK200" s="697"/>
      <c r="MAL200" s="697"/>
      <c r="MAM200" s="697"/>
      <c r="MAN200" s="697"/>
      <c r="MAO200" s="697"/>
      <c r="MAP200" s="697"/>
      <c r="MAQ200" s="697"/>
      <c r="MAR200" s="697"/>
      <c r="MAS200" s="697"/>
      <c r="MAT200" s="697"/>
      <c r="MAU200" s="697"/>
      <c r="MAV200" s="697"/>
      <c r="MAW200" s="697"/>
      <c r="MAX200" s="697"/>
      <c r="MAY200" s="697"/>
      <c r="MAZ200" s="697"/>
      <c r="MBA200" s="697"/>
      <c r="MBB200" s="697"/>
      <c r="MBC200" s="697"/>
      <c r="MBD200" s="697"/>
      <c r="MBE200" s="697"/>
      <c r="MBF200" s="697"/>
      <c r="MBG200" s="697"/>
      <c r="MBH200" s="697"/>
      <c r="MBI200" s="697"/>
      <c r="MBJ200" s="697"/>
      <c r="MBK200" s="697"/>
      <c r="MBL200" s="697"/>
      <c r="MBM200" s="697"/>
      <c r="MBN200" s="697"/>
      <c r="MBO200" s="697"/>
      <c r="MBP200" s="697"/>
      <c r="MBQ200" s="697"/>
      <c r="MBR200" s="697"/>
      <c r="MBS200" s="697"/>
      <c r="MBT200" s="697"/>
      <c r="MBU200" s="697"/>
      <c r="MBV200" s="697"/>
      <c r="MBW200" s="697"/>
      <c r="MBX200" s="697"/>
      <c r="MBY200" s="697"/>
      <c r="MBZ200" s="697"/>
      <c r="MCA200" s="697"/>
      <c r="MCB200" s="697"/>
      <c r="MCC200" s="697"/>
      <c r="MCD200" s="697"/>
      <c r="MCE200" s="697"/>
      <c r="MCF200" s="697"/>
      <c r="MCG200" s="697"/>
      <c r="MCH200" s="697"/>
      <c r="MCI200" s="697"/>
      <c r="MCJ200" s="697"/>
      <c r="MCK200" s="697"/>
      <c r="MCL200" s="697"/>
      <c r="MCM200" s="697"/>
      <c r="MCN200" s="697"/>
      <c r="MCO200" s="697"/>
      <c r="MCP200" s="697"/>
      <c r="MCQ200" s="697"/>
      <c r="MCR200" s="697"/>
      <c r="MCS200" s="697"/>
      <c r="MCT200" s="697"/>
      <c r="MCU200" s="697"/>
      <c r="MCV200" s="697"/>
      <c r="MCW200" s="697"/>
      <c r="MCX200" s="697"/>
      <c r="MCY200" s="697"/>
      <c r="MCZ200" s="697"/>
      <c r="MDA200" s="697"/>
      <c r="MDB200" s="697"/>
      <c r="MDC200" s="697"/>
      <c r="MDD200" s="697"/>
      <c r="MDE200" s="697"/>
      <c r="MDF200" s="697"/>
      <c r="MDG200" s="697"/>
      <c r="MDH200" s="697"/>
      <c r="MDI200" s="697"/>
      <c r="MDJ200" s="697"/>
      <c r="MDK200" s="697"/>
      <c r="MDL200" s="697"/>
      <c r="MDM200" s="697"/>
      <c r="MDN200" s="697"/>
      <c r="MDO200" s="697"/>
      <c r="MDP200" s="697"/>
      <c r="MDQ200" s="697"/>
      <c r="MDR200" s="697"/>
      <c r="MDS200" s="697"/>
      <c r="MDT200" s="697"/>
      <c r="MDU200" s="697"/>
      <c r="MDV200" s="697"/>
      <c r="MDW200" s="697"/>
      <c r="MDX200" s="697"/>
      <c r="MDY200" s="697"/>
      <c r="MDZ200" s="697"/>
      <c r="MEA200" s="697"/>
      <c r="MEB200" s="697"/>
      <c r="MEC200" s="697"/>
      <c r="MED200" s="697"/>
      <c r="MEE200" s="697"/>
      <c r="MEF200" s="697"/>
      <c r="MEG200" s="697"/>
      <c r="MEH200" s="697"/>
      <c r="MEI200" s="697"/>
      <c r="MEJ200" s="697"/>
      <c r="MEK200" s="697"/>
      <c r="MEL200" s="697"/>
      <c r="MEM200" s="697"/>
      <c r="MEN200" s="697"/>
      <c r="MEO200" s="697"/>
      <c r="MEP200" s="697"/>
      <c r="MEQ200" s="697"/>
      <c r="MER200" s="697"/>
      <c r="MES200" s="697"/>
      <c r="MET200" s="697"/>
      <c r="MEU200" s="697"/>
      <c r="MEV200" s="697"/>
      <c r="MEW200" s="697"/>
      <c r="MEX200" s="697"/>
      <c r="MEY200" s="697"/>
      <c r="MEZ200" s="697"/>
      <c r="MFA200" s="697"/>
      <c r="MFB200" s="697"/>
      <c r="MFC200" s="697"/>
      <c r="MFD200" s="697"/>
      <c r="MFE200" s="697"/>
      <c r="MFF200" s="697"/>
      <c r="MFG200" s="697"/>
      <c r="MFH200" s="697"/>
      <c r="MFI200" s="697"/>
      <c r="MFJ200" s="697"/>
      <c r="MFK200" s="697"/>
      <c r="MFL200" s="697"/>
      <c r="MFM200" s="697"/>
      <c r="MFN200" s="697"/>
      <c r="MFO200" s="697"/>
      <c r="MFP200" s="697"/>
      <c r="MFQ200" s="697"/>
      <c r="MFR200" s="697"/>
      <c r="MFS200" s="697"/>
      <c r="MFT200" s="697"/>
      <c r="MFU200" s="697"/>
      <c r="MFV200" s="697"/>
      <c r="MFW200" s="697"/>
      <c r="MFX200" s="697"/>
      <c r="MFY200" s="697"/>
      <c r="MFZ200" s="697"/>
      <c r="MGA200" s="697"/>
      <c r="MGB200" s="697"/>
      <c r="MGC200" s="697"/>
      <c r="MGD200" s="697"/>
      <c r="MGE200" s="697"/>
      <c r="MGF200" s="697"/>
      <c r="MGG200" s="697"/>
      <c r="MGH200" s="697"/>
      <c r="MGI200" s="697"/>
      <c r="MGJ200" s="697"/>
      <c r="MGK200" s="697"/>
      <c r="MGL200" s="697"/>
      <c r="MGM200" s="697"/>
      <c r="MGN200" s="697"/>
      <c r="MGO200" s="697"/>
      <c r="MGP200" s="697"/>
      <c r="MGQ200" s="697"/>
      <c r="MGR200" s="697"/>
      <c r="MGS200" s="697"/>
      <c r="MGT200" s="697"/>
      <c r="MGU200" s="697"/>
      <c r="MGV200" s="697"/>
      <c r="MGW200" s="697"/>
      <c r="MGX200" s="697"/>
      <c r="MGY200" s="697"/>
      <c r="MGZ200" s="697"/>
      <c r="MHA200" s="697"/>
      <c r="MHB200" s="697"/>
      <c r="MHC200" s="697"/>
      <c r="MHD200" s="697"/>
      <c r="MHE200" s="697"/>
      <c r="MHF200" s="697"/>
      <c r="MHG200" s="697"/>
      <c r="MHH200" s="697"/>
      <c r="MHI200" s="697"/>
      <c r="MHJ200" s="697"/>
      <c r="MHK200" s="697"/>
      <c r="MHL200" s="697"/>
      <c r="MHM200" s="697"/>
      <c r="MHN200" s="697"/>
      <c r="MHO200" s="697"/>
      <c r="MHP200" s="697"/>
      <c r="MHQ200" s="697"/>
      <c r="MHR200" s="697"/>
      <c r="MHS200" s="697"/>
      <c r="MHT200" s="697"/>
      <c r="MHU200" s="697"/>
      <c r="MHV200" s="697"/>
      <c r="MHW200" s="697"/>
      <c r="MHX200" s="697"/>
      <c r="MHY200" s="697"/>
      <c r="MHZ200" s="697"/>
      <c r="MIA200" s="697"/>
      <c r="MIB200" s="697"/>
      <c r="MIC200" s="697"/>
      <c r="MID200" s="697"/>
      <c r="MIE200" s="697"/>
      <c r="MIF200" s="697"/>
      <c r="MIG200" s="697"/>
      <c r="MIH200" s="697"/>
      <c r="MII200" s="697"/>
      <c r="MIJ200" s="697"/>
      <c r="MIK200" s="697"/>
      <c r="MIL200" s="697"/>
      <c r="MIM200" s="697"/>
      <c r="MIN200" s="697"/>
      <c r="MIO200" s="697"/>
      <c r="MIP200" s="697"/>
      <c r="MIQ200" s="697"/>
      <c r="MIR200" s="697"/>
      <c r="MIS200" s="697"/>
      <c r="MIT200" s="697"/>
      <c r="MIU200" s="697"/>
      <c r="MIV200" s="697"/>
      <c r="MIW200" s="697"/>
      <c r="MIX200" s="697"/>
      <c r="MIY200" s="697"/>
      <c r="MIZ200" s="697"/>
      <c r="MJA200" s="697"/>
      <c r="MJB200" s="697"/>
      <c r="MJC200" s="697"/>
      <c r="MJD200" s="697"/>
      <c r="MJE200" s="697"/>
      <c r="MJF200" s="697"/>
      <c r="MJG200" s="697"/>
      <c r="MJH200" s="697"/>
      <c r="MJI200" s="697"/>
      <c r="MJJ200" s="697"/>
      <c r="MJK200" s="697"/>
      <c r="MJL200" s="697"/>
      <c r="MJM200" s="697"/>
      <c r="MJN200" s="697"/>
      <c r="MJO200" s="697"/>
      <c r="MJP200" s="697"/>
      <c r="MJQ200" s="697"/>
      <c r="MJR200" s="697"/>
      <c r="MJS200" s="697"/>
      <c r="MJT200" s="697"/>
      <c r="MJU200" s="697"/>
      <c r="MJV200" s="697"/>
      <c r="MJW200" s="697"/>
      <c r="MJX200" s="697"/>
      <c r="MJY200" s="697"/>
      <c r="MJZ200" s="697"/>
      <c r="MKA200" s="697"/>
      <c r="MKB200" s="697"/>
      <c r="MKC200" s="697"/>
      <c r="MKD200" s="697"/>
      <c r="MKE200" s="697"/>
      <c r="MKF200" s="697"/>
      <c r="MKG200" s="697"/>
      <c r="MKH200" s="697"/>
      <c r="MKI200" s="697"/>
      <c r="MKJ200" s="697"/>
      <c r="MKK200" s="697"/>
      <c r="MKL200" s="697"/>
      <c r="MKM200" s="697"/>
      <c r="MKN200" s="697"/>
      <c r="MKO200" s="697"/>
      <c r="MKP200" s="697"/>
      <c r="MKQ200" s="697"/>
      <c r="MKR200" s="697"/>
      <c r="MKS200" s="697"/>
      <c r="MKT200" s="697"/>
      <c r="MKU200" s="697"/>
      <c r="MKV200" s="697"/>
      <c r="MKW200" s="697"/>
      <c r="MKX200" s="697"/>
      <c r="MKY200" s="697"/>
      <c r="MKZ200" s="697"/>
      <c r="MLA200" s="697"/>
      <c r="MLB200" s="697"/>
      <c r="MLC200" s="697"/>
      <c r="MLD200" s="697"/>
      <c r="MLE200" s="697"/>
      <c r="MLF200" s="697"/>
      <c r="MLG200" s="697"/>
      <c r="MLH200" s="697"/>
      <c r="MLI200" s="697"/>
      <c r="MLJ200" s="697"/>
      <c r="MLK200" s="697"/>
      <c r="MLL200" s="697"/>
      <c r="MLM200" s="697"/>
      <c r="MLN200" s="697"/>
      <c r="MLO200" s="697"/>
      <c r="MLP200" s="697"/>
      <c r="MLQ200" s="697"/>
      <c r="MLR200" s="697"/>
      <c r="MLS200" s="697"/>
      <c r="MLT200" s="697"/>
      <c r="MLU200" s="697"/>
      <c r="MLV200" s="697"/>
      <c r="MLW200" s="697"/>
      <c r="MLX200" s="697"/>
      <c r="MLY200" s="697"/>
      <c r="MLZ200" s="697"/>
      <c r="MMA200" s="697"/>
      <c r="MMB200" s="697"/>
      <c r="MMC200" s="697"/>
      <c r="MMD200" s="697"/>
      <c r="MME200" s="697"/>
      <c r="MMF200" s="697"/>
      <c r="MMG200" s="697"/>
      <c r="MMH200" s="697"/>
      <c r="MMI200" s="697"/>
      <c r="MMJ200" s="697"/>
      <c r="MMK200" s="697"/>
      <c r="MML200" s="697"/>
      <c r="MMM200" s="697"/>
      <c r="MMN200" s="697"/>
      <c r="MMO200" s="697"/>
      <c r="MMP200" s="697"/>
      <c r="MMQ200" s="697"/>
      <c r="MMR200" s="697"/>
      <c r="MMS200" s="697"/>
      <c r="MMT200" s="697"/>
      <c r="MMU200" s="697"/>
      <c r="MMV200" s="697"/>
      <c r="MMW200" s="697"/>
      <c r="MMX200" s="697"/>
      <c r="MMY200" s="697"/>
      <c r="MMZ200" s="697"/>
      <c r="MNA200" s="697"/>
      <c r="MNB200" s="697"/>
      <c r="MNC200" s="697"/>
      <c r="MND200" s="697"/>
      <c r="MNE200" s="697"/>
      <c r="MNF200" s="697"/>
      <c r="MNG200" s="697"/>
      <c r="MNH200" s="697"/>
      <c r="MNI200" s="697"/>
      <c r="MNJ200" s="697"/>
      <c r="MNK200" s="697"/>
      <c r="MNL200" s="697"/>
      <c r="MNM200" s="697"/>
      <c r="MNN200" s="697"/>
      <c r="MNO200" s="697"/>
      <c r="MNP200" s="697"/>
      <c r="MNQ200" s="697"/>
      <c r="MNR200" s="697"/>
      <c r="MNS200" s="697"/>
      <c r="MNT200" s="697"/>
      <c r="MNU200" s="697"/>
      <c r="MNV200" s="697"/>
      <c r="MNW200" s="697"/>
      <c r="MNX200" s="697"/>
      <c r="MNY200" s="697"/>
      <c r="MNZ200" s="697"/>
      <c r="MOA200" s="697"/>
      <c r="MOB200" s="697"/>
      <c r="MOC200" s="697"/>
      <c r="MOD200" s="697"/>
      <c r="MOE200" s="697"/>
      <c r="MOF200" s="697"/>
      <c r="MOG200" s="697"/>
      <c r="MOH200" s="697"/>
      <c r="MOI200" s="697"/>
      <c r="MOJ200" s="697"/>
      <c r="MOK200" s="697"/>
      <c r="MOL200" s="697"/>
      <c r="MOM200" s="697"/>
      <c r="MON200" s="697"/>
      <c r="MOO200" s="697"/>
      <c r="MOP200" s="697"/>
      <c r="MOQ200" s="697"/>
      <c r="MOR200" s="697"/>
      <c r="MOS200" s="697"/>
      <c r="MOT200" s="697"/>
      <c r="MOU200" s="697"/>
      <c r="MOV200" s="697"/>
      <c r="MOW200" s="697"/>
      <c r="MOX200" s="697"/>
      <c r="MOY200" s="697"/>
      <c r="MOZ200" s="697"/>
      <c r="MPA200" s="697"/>
      <c r="MPB200" s="697"/>
      <c r="MPC200" s="697"/>
      <c r="MPD200" s="697"/>
      <c r="MPE200" s="697"/>
      <c r="MPF200" s="697"/>
      <c r="MPG200" s="697"/>
      <c r="MPH200" s="697"/>
      <c r="MPI200" s="697"/>
      <c r="MPJ200" s="697"/>
      <c r="MPK200" s="697"/>
      <c r="MPL200" s="697"/>
      <c r="MPM200" s="697"/>
      <c r="MPN200" s="697"/>
      <c r="MPO200" s="697"/>
      <c r="MPP200" s="697"/>
      <c r="MPQ200" s="697"/>
      <c r="MPR200" s="697"/>
      <c r="MPS200" s="697"/>
      <c r="MPT200" s="697"/>
      <c r="MPU200" s="697"/>
      <c r="MPV200" s="697"/>
      <c r="MPW200" s="697"/>
      <c r="MPX200" s="697"/>
      <c r="MPY200" s="697"/>
      <c r="MPZ200" s="697"/>
      <c r="MQA200" s="697"/>
      <c r="MQB200" s="697"/>
      <c r="MQC200" s="697"/>
      <c r="MQD200" s="697"/>
      <c r="MQE200" s="697"/>
      <c r="MQF200" s="697"/>
      <c r="MQG200" s="697"/>
      <c r="MQH200" s="697"/>
      <c r="MQI200" s="697"/>
      <c r="MQJ200" s="697"/>
      <c r="MQK200" s="697"/>
      <c r="MQL200" s="697"/>
      <c r="MQM200" s="697"/>
      <c r="MQN200" s="697"/>
      <c r="MQO200" s="697"/>
      <c r="MQP200" s="697"/>
      <c r="MQQ200" s="697"/>
      <c r="MQR200" s="697"/>
      <c r="MQS200" s="697"/>
      <c r="MQT200" s="697"/>
      <c r="MQU200" s="697"/>
      <c r="MQV200" s="697"/>
      <c r="MQW200" s="697"/>
      <c r="MQX200" s="697"/>
      <c r="MQY200" s="697"/>
      <c r="MQZ200" s="697"/>
      <c r="MRA200" s="697"/>
      <c r="MRB200" s="697"/>
      <c r="MRC200" s="697"/>
      <c r="MRD200" s="697"/>
      <c r="MRE200" s="697"/>
      <c r="MRF200" s="697"/>
      <c r="MRG200" s="697"/>
      <c r="MRH200" s="697"/>
      <c r="MRI200" s="697"/>
      <c r="MRJ200" s="697"/>
      <c r="MRK200" s="697"/>
      <c r="MRL200" s="697"/>
      <c r="MRM200" s="697"/>
      <c r="MRN200" s="697"/>
      <c r="MRO200" s="697"/>
      <c r="MRP200" s="697"/>
      <c r="MRQ200" s="697"/>
      <c r="MRR200" s="697"/>
      <c r="MRS200" s="697"/>
      <c r="MRT200" s="697"/>
      <c r="MRU200" s="697"/>
      <c r="MRV200" s="697"/>
      <c r="MRW200" s="697"/>
      <c r="MRX200" s="697"/>
      <c r="MRY200" s="697"/>
      <c r="MRZ200" s="697"/>
      <c r="MSA200" s="697"/>
      <c r="MSB200" s="697"/>
      <c r="MSC200" s="697"/>
      <c r="MSD200" s="697"/>
      <c r="MSE200" s="697"/>
      <c r="MSF200" s="697"/>
      <c r="MSG200" s="697"/>
      <c r="MSH200" s="697"/>
      <c r="MSI200" s="697"/>
      <c r="MSJ200" s="697"/>
      <c r="MSK200" s="697"/>
      <c r="MSL200" s="697"/>
      <c r="MSM200" s="697"/>
      <c r="MSN200" s="697"/>
      <c r="MSO200" s="697"/>
      <c r="MSP200" s="697"/>
      <c r="MSQ200" s="697"/>
      <c r="MSR200" s="697"/>
      <c r="MSS200" s="697"/>
      <c r="MST200" s="697"/>
      <c r="MSU200" s="697"/>
      <c r="MSV200" s="697"/>
      <c r="MSW200" s="697"/>
      <c r="MSX200" s="697"/>
      <c r="MSY200" s="697"/>
      <c r="MSZ200" s="697"/>
      <c r="MTA200" s="697"/>
      <c r="MTB200" s="697"/>
      <c r="MTC200" s="697"/>
      <c r="MTD200" s="697"/>
      <c r="MTE200" s="697"/>
      <c r="MTF200" s="697"/>
      <c r="MTG200" s="697"/>
      <c r="MTH200" s="697"/>
      <c r="MTI200" s="697"/>
      <c r="MTJ200" s="697"/>
      <c r="MTK200" s="697"/>
      <c r="MTL200" s="697"/>
      <c r="MTM200" s="697"/>
      <c r="MTN200" s="697"/>
      <c r="MTO200" s="697"/>
      <c r="MTP200" s="697"/>
      <c r="MTQ200" s="697"/>
      <c r="MTR200" s="697"/>
      <c r="MTS200" s="697"/>
      <c r="MTT200" s="697"/>
      <c r="MTU200" s="697"/>
      <c r="MTV200" s="697"/>
      <c r="MTW200" s="697"/>
      <c r="MTX200" s="697"/>
      <c r="MTY200" s="697"/>
      <c r="MTZ200" s="697"/>
      <c r="MUA200" s="697"/>
      <c r="MUB200" s="697"/>
      <c r="MUC200" s="697"/>
      <c r="MUD200" s="697"/>
      <c r="MUE200" s="697"/>
      <c r="MUF200" s="697"/>
      <c r="MUG200" s="697"/>
      <c r="MUH200" s="697"/>
      <c r="MUI200" s="697"/>
      <c r="MUJ200" s="697"/>
      <c r="MUK200" s="697"/>
      <c r="MUL200" s="697"/>
      <c r="MUM200" s="697"/>
      <c r="MUN200" s="697"/>
      <c r="MUO200" s="697"/>
      <c r="MUP200" s="697"/>
      <c r="MUQ200" s="697"/>
      <c r="MUR200" s="697"/>
      <c r="MUS200" s="697"/>
      <c r="MUT200" s="697"/>
      <c r="MUU200" s="697"/>
      <c r="MUV200" s="697"/>
      <c r="MUW200" s="697"/>
      <c r="MUX200" s="697"/>
      <c r="MUY200" s="697"/>
      <c r="MUZ200" s="697"/>
      <c r="MVA200" s="697"/>
      <c r="MVB200" s="697"/>
      <c r="MVC200" s="697"/>
      <c r="MVD200" s="697"/>
      <c r="MVE200" s="697"/>
      <c r="MVF200" s="697"/>
      <c r="MVG200" s="697"/>
      <c r="MVH200" s="697"/>
      <c r="MVI200" s="697"/>
      <c r="MVJ200" s="697"/>
      <c r="MVK200" s="697"/>
      <c r="MVL200" s="697"/>
      <c r="MVM200" s="697"/>
      <c r="MVN200" s="697"/>
      <c r="MVO200" s="697"/>
      <c r="MVP200" s="697"/>
      <c r="MVQ200" s="697"/>
      <c r="MVR200" s="697"/>
      <c r="MVS200" s="697"/>
      <c r="MVT200" s="697"/>
      <c r="MVU200" s="697"/>
      <c r="MVV200" s="697"/>
      <c r="MVW200" s="697"/>
      <c r="MVX200" s="697"/>
      <c r="MVY200" s="697"/>
      <c r="MVZ200" s="697"/>
      <c r="MWA200" s="697"/>
      <c r="MWB200" s="697"/>
      <c r="MWC200" s="697"/>
      <c r="MWD200" s="697"/>
      <c r="MWE200" s="697"/>
      <c r="MWF200" s="697"/>
      <c r="MWG200" s="697"/>
      <c r="MWH200" s="697"/>
      <c r="MWI200" s="697"/>
      <c r="MWJ200" s="697"/>
      <c r="MWK200" s="697"/>
      <c r="MWL200" s="697"/>
      <c r="MWM200" s="697"/>
      <c r="MWN200" s="697"/>
      <c r="MWO200" s="697"/>
      <c r="MWP200" s="697"/>
      <c r="MWQ200" s="697"/>
      <c r="MWR200" s="697"/>
      <c r="MWS200" s="697"/>
      <c r="MWT200" s="697"/>
      <c r="MWU200" s="697"/>
      <c r="MWV200" s="697"/>
      <c r="MWW200" s="697"/>
      <c r="MWX200" s="697"/>
      <c r="MWY200" s="697"/>
      <c r="MWZ200" s="697"/>
      <c r="MXA200" s="697"/>
      <c r="MXB200" s="697"/>
      <c r="MXC200" s="697"/>
      <c r="MXD200" s="697"/>
      <c r="MXE200" s="697"/>
      <c r="MXF200" s="697"/>
      <c r="MXG200" s="697"/>
      <c r="MXH200" s="697"/>
      <c r="MXI200" s="697"/>
      <c r="MXJ200" s="697"/>
      <c r="MXK200" s="697"/>
      <c r="MXL200" s="697"/>
      <c r="MXM200" s="697"/>
      <c r="MXN200" s="697"/>
      <c r="MXO200" s="697"/>
      <c r="MXP200" s="697"/>
      <c r="MXQ200" s="697"/>
      <c r="MXR200" s="697"/>
      <c r="MXS200" s="697"/>
      <c r="MXT200" s="697"/>
      <c r="MXU200" s="697"/>
      <c r="MXV200" s="697"/>
      <c r="MXW200" s="697"/>
      <c r="MXX200" s="697"/>
      <c r="MXY200" s="697"/>
      <c r="MXZ200" s="697"/>
      <c r="MYA200" s="697"/>
      <c r="MYB200" s="697"/>
      <c r="MYC200" s="697"/>
      <c r="MYD200" s="697"/>
      <c r="MYE200" s="697"/>
      <c r="MYF200" s="697"/>
      <c r="MYG200" s="697"/>
      <c r="MYH200" s="697"/>
      <c r="MYI200" s="697"/>
      <c r="MYJ200" s="697"/>
      <c r="MYK200" s="697"/>
      <c r="MYL200" s="697"/>
      <c r="MYM200" s="697"/>
      <c r="MYN200" s="697"/>
      <c r="MYO200" s="697"/>
      <c r="MYP200" s="697"/>
      <c r="MYQ200" s="697"/>
      <c r="MYR200" s="697"/>
      <c r="MYS200" s="697"/>
      <c r="MYT200" s="697"/>
      <c r="MYU200" s="697"/>
      <c r="MYV200" s="697"/>
      <c r="MYW200" s="697"/>
      <c r="MYX200" s="697"/>
      <c r="MYY200" s="697"/>
      <c r="MYZ200" s="697"/>
      <c r="MZA200" s="697"/>
      <c r="MZB200" s="697"/>
      <c r="MZC200" s="697"/>
      <c r="MZD200" s="697"/>
      <c r="MZE200" s="697"/>
      <c r="MZF200" s="697"/>
      <c r="MZG200" s="697"/>
      <c r="MZH200" s="697"/>
      <c r="MZI200" s="697"/>
      <c r="MZJ200" s="697"/>
      <c r="MZK200" s="697"/>
      <c r="MZL200" s="697"/>
      <c r="MZM200" s="697"/>
      <c r="MZN200" s="697"/>
      <c r="MZO200" s="697"/>
      <c r="MZP200" s="697"/>
      <c r="MZQ200" s="697"/>
      <c r="MZR200" s="697"/>
      <c r="MZS200" s="697"/>
      <c r="MZT200" s="697"/>
      <c r="MZU200" s="697"/>
      <c r="MZV200" s="697"/>
      <c r="MZW200" s="697"/>
      <c r="MZX200" s="697"/>
      <c r="MZY200" s="697"/>
      <c r="MZZ200" s="697"/>
      <c r="NAA200" s="697"/>
      <c r="NAB200" s="697"/>
      <c r="NAC200" s="697"/>
      <c r="NAD200" s="697"/>
      <c r="NAE200" s="697"/>
      <c r="NAF200" s="697"/>
      <c r="NAG200" s="697"/>
      <c r="NAH200" s="697"/>
      <c r="NAI200" s="697"/>
      <c r="NAJ200" s="697"/>
      <c r="NAK200" s="697"/>
      <c r="NAL200" s="697"/>
      <c r="NAM200" s="697"/>
      <c r="NAN200" s="697"/>
      <c r="NAO200" s="697"/>
      <c r="NAP200" s="697"/>
      <c r="NAQ200" s="697"/>
      <c r="NAR200" s="697"/>
      <c r="NAS200" s="697"/>
      <c r="NAT200" s="697"/>
      <c r="NAU200" s="697"/>
      <c r="NAV200" s="697"/>
      <c r="NAW200" s="697"/>
      <c r="NAX200" s="697"/>
      <c r="NAY200" s="697"/>
      <c r="NAZ200" s="697"/>
      <c r="NBA200" s="697"/>
      <c r="NBB200" s="697"/>
      <c r="NBC200" s="697"/>
      <c r="NBD200" s="697"/>
      <c r="NBE200" s="697"/>
      <c r="NBF200" s="697"/>
      <c r="NBG200" s="697"/>
      <c r="NBH200" s="697"/>
      <c r="NBI200" s="697"/>
      <c r="NBJ200" s="697"/>
      <c r="NBK200" s="697"/>
      <c r="NBL200" s="697"/>
      <c r="NBM200" s="697"/>
      <c r="NBN200" s="697"/>
      <c r="NBO200" s="697"/>
      <c r="NBP200" s="697"/>
      <c r="NBQ200" s="697"/>
      <c r="NBR200" s="697"/>
      <c r="NBS200" s="697"/>
      <c r="NBT200" s="697"/>
      <c r="NBU200" s="697"/>
      <c r="NBV200" s="697"/>
      <c r="NBW200" s="697"/>
      <c r="NBX200" s="697"/>
      <c r="NBY200" s="697"/>
      <c r="NBZ200" s="697"/>
      <c r="NCA200" s="697"/>
      <c r="NCB200" s="697"/>
      <c r="NCC200" s="697"/>
      <c r="NCD200" s="697"/>
      <c r="NCE200" s="697"/>
      <c r="NCF200" s="697"/>
      <c r="NCG200" s="697"/>
      <c r="NCH200" s="697"/>
      <c r="NCI200" s="697"/>
      <c r="NCJ200" s="697"/>
      <c r="NCK200" s="697"/>
      <c r="NCL200" s="697"/>
      <c r="NCM200" s="697"/>
      <c r="NCN200" s="697"/>
      <c r="NCO200" s="697"/>
      <c r="NCP200" s="697"/>
      <c r="NCQ200" s="697"/>
      <c r="NCR200" s="697"/>
      <c r="NCS200" s="697"/>
      <c r="NCT200" s="697"/>
      <c r="NCU200" s="697"/>
      <c r="NCV200" s="697"/>
      <c r="NCW200" s="697"/>
      <c r="NCX200" s="697"/>
      <c r="NCY200" s="697"/>
      <c r="NCZ200" s="697"/>
      <c r="NDA200" s="697"/>
      <c r="NDB200" s="697"/>
      <c r="NDC200" s="697"/>
      <c r="NDD200" s="697"/>
      <c r="NDE200" s="697"/>
      <c r="NDF200" s="697"/>
      <c r="NDG200" s="697"/>
      <c r="NDH200" s="697"/>
      <c r="NDI200" s="697"/>
      <c r="NDJ200" s="697"/>
      <c r="NDK200" s="697"/>
      <c r="NDL200" s="697"/>
      <c r="NDM200" s="697"/>
      <c r="NDN200" s="697"/>
      <c r="NDO200" s="697"/>
      <c r="NDP200" s="697"/>
      <c r="NDQ200" s="697"/>
      <c r="NDR200" s="697"/>
      <c r="NDS200" s="697"/>
      <c r="NDT200" s="697"/>
      <c r="NDU200" s="697"/>
      <c r="NDV200" s="697"/>
      <c r="NDW200" s="697"/>
      <c r="NDX200" s="697"/>
      <c r="NDY200" s="697"/>
      <c r="NDZ200" s="697"/>
      <c r="NEA200" s="697"/>
      <c r="NEB200" s="697"/>
      <c r="NEC200" s="697"/>
      <c r="NED200" s="697"/>
      <c r="NEE200" s="697"/>
      <c r="NEF200" s="697"/>
      <c r="NEG200" s="697"/>
      <c r="NEH200" s="697"/>
      <c r="NEI200" s="697"/>
      <c r="NEJ200" s="697"/>
      <c r="NEK200" s="697"/>
      <c r="NEL200" s="697"/>
      <c r="NEM200" s="697"/>
      <c r="NEN200" s="697"/>
      <c r="NEO200" s="697"/>
      <c r="NEP200" s="697"/>
      <c r="NEQ200" s="697"/>
      <c r="NER200" s="697"/>
      <c r="NES200" s="697"/>
      <c r="NET200" s="697"/>
      <c r="NEU200" s="697"/>
      <c r="NEV200" s="697"/>
      <c r="NEW200" s="697"/>
      <c r="NEX200" s="697"/>
      <c r="NEY200" s="697"/>
      <c r="NEZ200" s="697"/>
      <c r="NFA200" s="697"/>
      <c r="NFB200" s="697"/>
      <c r="NFC200" s="697"/>
      <c r="NFD200" s="697"/>
      <c r="NFE200" s="697"/>
      <c r="NFF200" s="697"/>
      <c r="NFG200" s="697"/>
      <c r="NFH200" s="697"/>
      <c r="NFI200" s="697"/>
      <c r="NFJ200" s="697"/>
      <c r="NFK200" s="697"/>
      <c r="NFL200" s="697"/>
      <c r="NFM200" s="697"/>
      <c r="NFN200" s="697"/>
      <c r="NFO200" s="697"/>
      <c r="NFP200" s="697"/>
      <c r="NFQ200" s="697"/>
      <c r="NFR200" s="697"/>
      <c r="NFS200" s="697"/>
      <c r="NFT200" s="697"/>
      <c r="NFU200" s="697"/>
      <c r="NFV200" s="697"/>
      <c r="NFW200" s="697"/>
      <c r="NFX200" s="697"/>
      <c r="NFY200" s="697"/>
      <c r="NFZ200" s="697"/>
      <c r="NGA200" s="697"/>
      <c r="NGB200" s="697"/>
      <c r="NGC200" s="697"/>
      <c r="NGD200" s="697"/>
      <c r="NGE200" s="697"/>
      <c r="NGF200" s="697"/>
      <c r="NGG200" s="697"/>
      <c r="NGH200" s="697"/>
      <c r="NGI200" s="697"/>
      <c r="NGJ200" s="697"/>
      <c r="NGK200" s="697"/>
      <c r="NGL200" s="697"/>
      <c r="NGM200" s="697"/>
      <c r="NGN200" s="697"/>
      <c r="NGO200" s="697"/>
      <c r="NGP200" s="697"/>
      <c r="NGQ200" s="697"/>
      <c r="NGR200" s="697"/>
      <c r="NGS200" s="697"/>
      <c r="NGT200" s="697"/>
      <c r="NGU200" s="697"/>
      <c r="NGV200" s="697"/>
      <c r="NGW200" s="697"/>
      <c r="NGX200" s="697"/>
      <c r="NGY200" s="697"/>
      <c r="NGZ200" s="697"/>
      <c r="NHA200" s="697"/>
      <c r="NHB200" s="697"/>
      <c r="NHC200" s="697"/>
      <c r="NHD200" s="697"/>
      <c r="NHE200" s="697"/>
      <c r="NHF200" s="697"/>
      <c r="NHG200" s="697"/>
      <c r="NHH200" s="697"/>
      <c r="NHI200" s="697"/>
      <c r="NHJ200" s="697"/>
      <c r="NHK200" s="697"/>
      <c r="NHL200" s="697"/>
      <c r="NHM200" s="697"/>
      <c r="NHN200" s="697"/>
      <c r="NHO200" s="697"/>
      <c r="NHP200" s="697"/>
      <c r="NHQ200" s="697"/>
      <c r="NHR200" s="697"/>
      <c r="NHS200" s="697"/>
      <c r="NHT200" s="697"/>
      <c r="NHU200" s="697"/>
      <c r="NHV200" s="697"/>
      <c r="NHW200" s="697"/>
      <c r="NHX200" s="697"/>
      <c r="NHY200" s="697"/>
      <c r="NHZ200" s="697"/>
      <c r="NIA200" s="697"/>
      <c r="NIB200" s="697"/>
      <c r="NIC200" s="697"/>
      <c r="NID200" s="697"/>
      <c r="NIE200" s="697"/>
      <c r="NIF200" s="697"/>
      <c r="NIG200" s="697"/>
      <c r="NIH200" s="697"/>
      <c r="NII200" s="697"/>
      <c r="NIJ200" s="697"/>
      <c r="NIK200" s="697"/>
      <c r="NIL200" s="697"/>
      <c r="NIM200" s="697"/>
      <c r="NIN200" s="697"/>
      <c r="NIO200" s="697"/>
      <c r="NIP200" s="697"/>
      <c r="NIQ200" s="697"/>
      <c r="NIR200" s="697"/>
      <c r="NIS200" s="697"/>
      <c r="NIT200" s="697"/>
      <c r="NIU200" s="697"/>
      <c r="NIV200" s="697"/>
      <c r="NIW200" s="697"/>
      <c r="NIX200" s="697"/>
      <c r="NIY200" s="697"/>
      <c r="NIZ200" s="697"/>
      <c r="NJA200" s="697"/>
      <c r="NJB200" s="697"/>
      <c r="NJC200" s="697"/>
      <c r="NJD200" s="697"/>
      <c r="NJE200" s="697"/>
      <c r="NJF200" s="697"/>
      <c r="NJG200" s="697"/>
      <c r="NJH200" s="697"/>
      <c r="NJI200" s="697"/>
      <c r="NJJ200" s="697"/>
      <c r="NJK200" s="697"/>
      <c r="NJL200" s="697"/>
      <c r="NJM200" s="697"/>
      <c r="NJN200" s="697"/>
      <c r="NJO200" s="697"/>
      <c r="NJP200" s="697"/>
      <c r="NJQ200" s="697"/>
      <c r="NJR200" s="697"/>
      <c r="NJS200" s="697"/>
      <c r="NJT200" s="697"/>
      <c r="NJU200" s="697"/>
      <c r="NJV200" s="697"/>
      <c r="NJW200" s="697"/>
      <c r="NJX200" s="697"/>
      <c r="NJY200" s="697"/>
      <c r="NJZ200" s="697"/>
      <c r="NKA200" s="697"/>
      <c r="NKB200" s="697"/>
      <c r="NKC200" s="697"/>
      <c r="NKD200" s="697"/>
      <c r="NKE200" s="697"/>
      <c r="NKF200" s="697"/>
      <c r="NKG200" s="697"/>
      <c r="NKH200" s="697"/>
      <c r="NKI200" s="697"/>
      <c r="NKJ200" s="697"/>
      <c r="NKK200" s="697"/>
      <c r="NKL200" s="697"/>
      <c r="NKM200" s="697"/>
      <c r="NKN200" s="697"/>
      <c r="NKO200" s="697"/>
      <c r="NKP200" s="697"/>
      <c r="NKQ200" s="697"/>
      <c r="NKR200" s="697"/>
      <c r="NKS200" s="697"/>
      <c r="NKT200" s="697"/>
      <c r="NKU200" s="697"/>
      <c r="NKV200" s="697"/>
      <c r="NKW200" s="697"/>
      <c r="NKX200" s="697"/>
      <c r="NKY200" s="697"/>
      <c r="NKZ200" s="697"/>
      <c r="NLA200" s="697"/>
      <c r="NLB200" s="697"/>
      <c r="NLC200" s="697"/>
      <c r="NLD200" s="697"/>
      <c r="NLE200" s="697"/>
      <c r="NLF200" s="697"/>
      <c r="NLG200" s="697"/>
      <c r="NLH200" s="697"/>
      <c r="NLI200" s="697"/>
      <c r="NLJ200" s="697"/>
      <c r="NLK200" s="697"/>
      <c r="NLL200" s="697"/>
      <c r="NLM200" s="697"/>
      <c r="NLN200" s="697"/>
      <c r="NLO200" s="697"/>
      <c r="NLP200" s="697"/>
      <c r="NLQ200" s="697"/>
      <c r="NLR200" s="697"/>
      <c r="NLS200" s="697"/>
      <c r="NLT200" s="697"/>
      <c r="NLU200" s="697"/>
      <c r="NLV200" s="697"/>
      <c r="NLW200" s="697"/>
      <c r="NLX200" s="697"/>
      <c r="NLY200" s="697"/>
      <c r="NLZ200" s="697"/>
      <c r="NMA200" s="697"/>
      <c r="NMB200" s="697"/>
      <c r="NMC200" s="697"/>
      <c r="NMD200" s="697"/>
      <c r="NME200" s="697"/>
      <c r="NMF200" s="697"/>
      <c r="NMG200" s="697"/>
      <c r="NMH200" s="697"/>
      <c r="NMI200" s="697"/>
      <c r="NMJ200" s="697"/>
      <c r="NMK200" s="697"/>
      <c r="NML200" s="697"/>
      <c r="NMM200" s="697"/>
      <c r="NMN200" s="697"/>
      <c r="NMO200" s="697"/>
      <c r="NMP200" s="697"/>
      <c r="NMQ200" s="697"/>
      <c r="NMR200" s="697"/>
      <c r="NMS200" s="697"/>
      <c r="NMT200" s="697"/>
      <c r="NMU200" s="697"/>
      <c r="NMV200" s="697"/>
      <c r="NMW200" s="697"/>
      <c r="NMX200" s="697"/>
      <c r="NMY200" s="697"/>
      <c r="NMZ200" s="697"/>
      <c r="NNA200" s="697"/>
      <c r="NNB200" s="697"/>
      <c r="NNC200" s="697"/>
      <c r="NND200" s="697"/>
      <c r="NNE200" s="697"/>
      <c r="NNF200" s="697"/>
      <c r="NNG200" s="697"/>
      <c r="NNH200" s="697"/>
      <c r="NNI200" s="697"/>
      <c r="NNJ200" s="697"/>
      <c r="NNK200" s="697"/>
      <c r="NNL200" s="697"/>
      <c r="NNM200" s="697"/>
      <c r="NNN200" s="697"/>
      <c r="NNO200" s="697"/>
      <c r="NNP200" s="697"/>
      <c r="NNQ200" s="697"/>
      <c r="NNR200" s="697"/>
      <c r="NNS200" s="697"/>
      <c r="NNT200" s="697"/>
      <c r="NNU200" s="697"/>
      <c r="NNV200" s="697"/>
      <c r="NNW200" s="697"/>
      <c r="NNX200" s="697"/>
      <c r="NNY200" s="697"/>
      <c r="NNZ200" s="697"/>
      <c r="NOA200" s="697"/>
      <c r="NOB200" s="697"/>
      <c r="NOC200" s="697"/>
      <c r="NOD200" s="697"/>
      <c r="NOE200" s="697"/>
      <c r="NOF200" s="697"/>
      <c r="NOG200" s="697"/>
      <c r="NOH200" s="697"/>
      <c r="NOI200" s="697"/>
      <c r="NOJ200" s="697"/>
      <c r="NOK200" s="697"/>
      <c r="NOL200" s="697"/>
      <c r="NOM200" s="697"/>
      <c r="NON200" s="697"/>
      <c r="NOO200" s="697"/>
      <c r="NOP200" s="697"/>
      <c r="NOQ200" s="697"/>
      <c r="NOR200" s="697"/>
      <c r="NOS200" s="697"/>
      <c r="NOT200" s="697"/>
      <c r="NOU200" s="697"/>
      <c r="NOV200" s="697"/>
      <c r="NOW200" s="697"/>
      <c r="NOX200" s="697"/>
      <c r="NOY200" s="697"/>
      <c r="NOZ200" s="697"/>
      <c r="NPA200" s="697"/>
      <c r="NPB200" s="697"/>
      <c r="NPC200" s="697"/>
      <c r="NPD200" s="697"/>
      <c r="NPE200" s="697"/>
      <c r="NPF200" s="697"/>
      <c r="NPG200" s="697"/>
      <c r="NPH200" s="697"/>
      <c r="NPI200" s="697"/>
      <c r="NPJ200" s="697"/>
      <c r="NPK200" s="697"/>
      <c r="NPL200" s="697"/>
      <c r="NPM200" s="697"/>
      <c r="NPN200" s="697"/>
      <c r="NPO200" s="697"/>
      <c r="NPP200" s="697"/>
      <c r="NPQ200" s="697"/>
      <c r="NPR200" s="697"/>
      <c r="NPS200" s="697"/>
      <c r="NPT200" s="697"/>
      <c r="NPU200" s="697"/>
      <c r="NPV200" s="697"/>
      <c r="NPW200" s="697"/>
      <c r="NPX200" s="697"/>
      <c r="NPY200" s="697"/>
      <c r="NPZ200" s="697"/>
      <c r="NQA200" s="697"/>
      <c r="NQB200" s="697"/>
      <c r="NQC200" s="697"/>
      <c r="NQD200" s="697"/>
      <c r="NQE200" s="697"/>
      <c r="NQF200" s="697"/>
      <c r="NQG200" s="697"/>
      <c r="NQH200" s="697"/>
      <c r="NQI200" s="697"/>
      <c r="NQJ200" s="697"/>
      <c r="NQK200" s="697"/>
      <c r="NQL200" s="697"/>
      <c r="NQM200" s="697"/>
      <c r="NQN200" s="697"/>
      <c r="NQO200" s="697"/>
      <c r="NQP200" s="697"/>
      <c r="NQQ200" s="697"/>
      <c r="NQR200" s="697"/>
      <c r="NQS200" s="697"/>
      <c r="NQT200" s="697"/>
      <c r="NQU200" s="697"/>
      <c r="NQV200" s="697"/>
      <c r="NQW200" s="697"/>
      <c r="NQX200" s="697"/>
      <c r="NQY200" s="697"/>
      <c r="NQZ200" s="697"/>
      <c r="NRA200" s="697"/>
      <c r="NRB200" s="697"/>
      <c r="NRC200" s="697"/>
      <c r="NRD200" s="697"/>
      <c r="NRE200" s="697"/>
      <c r="NRF200" s="697"/>
      <c r="NRG200" s="697"/>
      <c r="NRH200" s="697"/>
      <c r="NRI200" s="697"/>
      <c r="NRJ200" s="697"/>
      <c r="NRK200" s="697"/>
      <c r="NRL200" s="697"/>
      <c r="NRM200" s="697"/>
      <c r="NRN200" s="697"/>
      <c r="NRO200" s="697"/>
      <c r="NRP200" s="697"/>
      <c r="NRQ200" s="697"/>
      <c r="NRR200" s="697"/>
      <c r="NRS200" s="697"/>
      <c r="NRT200" s="697"/>
      <c r="NRU200" s="697"/>
      <c r="NRV200" s="697"/>
      <c r="NRW200" s="697"/>
      <c r="NRX200" s="697"/>
      <c r="NRY200" s="697"/>
      <c r="NRZ200" s="697"/>
      <c r="NSA200" s="697"/>
      <c r="NSB200" s="697"/>
      <c r="NSC200" s="697"/>
      <c r="NSD200" s="697"/>
      <c r="NSE200" s="697"/>
      <c r="NSF200" s="697"/>
      <c r="NSG200" s="697"/>
      <c r="NSH200" s="697"/>
      <c r="NSI200" s="697"/>
      <c r="NSJ200" s="697"/>
      <c r="NSK200" s="697"/>
      <c r="NSL200" s="697"/>
      <c r="NSM200" s="697"/>
      <c r="NSN200" s="697"/>
      <c r="NSO200" s="697"/>
      <c r="NSP200" s="697"/>
      <c r="NSQ200" s="697"/>
      <c r="NSR200" s="697"/>
      <c r="NSS200" s="697"/>
      <c r="NST200" s="697"/>
      <c r="NSU200" s="697"/>
      <c r="NSV200" s="697"/>
      <c r="NSW200" s="697"/>
      <c r="NSX200" s="697"/>
      <c r="NSY200" s="697"/>
      <c r="NSZ200" s="697"/>
      <c r="NTA200" s="697"/>
      <c r="NTB200" s="697"/>
      <c r="NTC200" s="697"/>
      <c r="NTD200" s="697"/>
      <c r="NTE200" s="697"/>
      <c r="NTF200" s="697"/>
      <c r="NTG200" s="697"/>
      <c r="NTH200" s="697"/>
      <c r="NTI200" s="697"/>
      <c r="NTJ200" s="697"/>
      <c r="NTK200" s="697"/>
      <c r="NTL200" s="697"/>
      <c r="NTM200" s="697"/>
      <c r="NTN200" s="697"/>
      <c r="NTO200" s="697"/>
      <c r="NTP200" s="697"/>
      <c r="NTQ200" s="697"/>
      <c r="NTR200" s="697"/>
      <c r="NTS200" s="697"/>
      <c r="NTT200" s="697"/>
      <c r="NTU200" s="697"/>
      <c r="NTV200" s="697"/>
      <c r="NTW200" s="697"/>
      <c r="NTX200" s="697"/>
      <c r="NTY200" s="697"/>
      <c r="NTZ200" s="697"/>
      <c r="NUA200" s="697"/>
      <c r="NUB200" s="697"/>
      <c r="NUC200" s="697"/>
      <c r="NUD200" s="697"/>
      <c r="NUE200" s="697"/>
      <c r="NUF200" s="697"/>
      <c r="NUG200" s="697"/>
      <c r="NUH200" s="697"/>
      <c r="NUI200" s="697"/>
      <c r="NUJ200" s="697"/>
      <c r="NUK200" s="697"/>
      <c r="NUL200" s="697"/>
      <c r="NUM200" s="697"/>
      <c r="NUN200" s="697"/>
      <c r="NUO200" s="697"/>
      <c r="NUP200" s="697"/>
      <c r="NUQ200" s="697"/>
      <c r="NUR200" s="697"/>
      <c r="NUS200" s="697"/>
      <c r="NUT200" s="697"/>
      <c r="NUU200" s="697"/>
      <c r="NUV200" s="697"/>
      <c r="NUW200" s="697"/>
      <c r="NUX200" s="697"/>
      <c r="NUY200" s="697"/>
      <c r="NUZ200" s="697"/>
      <c r="NVA200" s="697"/>
      <c r="NVB200" s="697"/>
      <c r="NVC200" s="697"/>
      <c r="NVD200" s="697"/>
      <c r="NVE200" s="697"/>
      <c r="NVF200" s="697"/>
      <c r="NVG200" s="697"/>
      <c r="NVH200" s="697"/>
      <c r="NVI200" s="697"/>
      <c r="NVJ200" s="697"/>
      <c r="NVK200" s="697"/>
      <c r="NVL200" s="697"/>
      <c r="NVM200" s="697"/>
      <c r="NVN200" s="697"/>
      <c r="NVO200" s="697"/>
      <c r="NVP200" s="697"/>
      <c r="NVQ200" s="697"/>
      <c r="NVR200" s="697"/>
      <c r="NVS200" s="697"/>
      <c r="NVT200" s="697"/>
      <c r="NVU200" s="697"/>
      <c r="NVV200" s="697"/>
      <c r="NVW200" s="697"/>
      <c r="NVX200" s="697"/>
      <c r="NVY200" s="697"/>
      <c r="NVZ200" s="697"/>
      <c r="NWA200" s="697"/>
      <c r="NWB200" s="697"/>
      <c r="NWC200" s="697"/>
      <c r="NWD200" s="697"/>
      <c r="NWE200" s="697"/>
      <c r="NWF200" s="697"/>
      <c r="NWG200" s="697"/>
      <c r="NWH200" s="697"/>
      <c r="NWI200" s="697"/>
      <c r="NWJ200" s="697"/>
      <c r="NWK200" s="697"/>
      <c r="NWL200" s="697"/>
      <c r="NWM200" s="697"/>
      <c r="NWN200" s="697"/>
      <c r="NWO200" s="697"/>
      <c r="NWP200" s="697"/>
      <c r="NWQ200" s="697"/>
      <c r="NWR200" s="697"/>
      <c r="NWS200" s="697"/>
      <c r="NWT200" s="697"/>
      <c r="NWU200" s="697"/>
      <c r="NWV200" s="697"/>
      <c r="NWW200" s="697"/>
      <c r="NWX200" s="697"/>
      <c r="NWY200" s="697"/>
      <c r="NWZ200" s="697"/>
      <c r="NXA200" s="697"/>
      <c r="NXB200" s="697"/>
      <c r="NXC200" s="697"/>
      <c r="NXD200" s="697"/>
      <c r="NXE200" s="697"/>
      <c r="NXF200" s="697"/>
      <c r="NXG200" s="697"/>
      <c r="NXH200" s="697"/>
      <c r="NXI200" s="697"/>
      <c r="NXJ200" s="697"/>
      <c r="NXK200" s="697"/>
      <c r="NXL200" s="697"/>
      <c r="NXM200" s="697"/>
      <c r="NXN200" s="697"/>
      <c r="NXO200" s="697"/>
      <c r="NXP200" s="697"/>
      <c r="NXQ200" s="697"/>
      <c r="NXR200" s="697"/>
      <c r="NXS200" s="697"/>
      <c r="NXT200" s="697"/>
      <c r="NXU200" s="697"/>
      <c r="NXV200" s="697"/>
      <c r="NXW200" s="697"/>
      <c r="NXX200" s="697"/>
      <c r="NXY200" s="697"/>
      <c r="NXZ200" s="697"/>
      <c r="NYA200" s="697"/>
      <c r="NYB200" s="697"/>
      <c r="NYC200" s="697"/>
      <c r="NYD200" s="697"/>
      <c r="NYE200" s="697"/>
      <c r="NYF200" s="697"/>
      <c r="NYG200" s="697"/>
      <c r="NYH200" s="697"/>
      <c r="NYI200" s="697"/>
      <c r="NYJ200" s="697"/>
      <c r="NYK200" s="697"/>
      <c r="NYL200" s="697"/>
      <c r="NYM200" s="697"/>
      <c r="NYN200" s="697"/>
      <c r="NYO200" s="697"/>
      <c r="NYP200" s="697"/>
      <c r="NYQ200" s="697"/>
      <c r="NYR200" s="697"/>
      <c r="NYS200" s="697"/>
      <c r="NYT200" s="697"/>
      <c r="NYU200" s="697"/>
      <c r="NYV200" s="697"/>
      <c r="NYW200" s="697"/>
      <c r="NYX200" s="697"/>
      <c r="NYY200" s="697"/>
      <c r="NYZ200" s="697"/>
      <c r="NZA200" s="697"/>
      <c r="NZB200" s="697"/>
      <c r="NZC200" s="697"/>
      <c r="NZD200" s="697"/>
      <c r="NZE200" s="697"/>
      <c r="NZF200" s="697"/>
      <c r="NZG200" s="697"/>
      <c r="NZH200" s="697"/>
      <c r="NZI200" s="697"/>
      <c r="NZJ200" s="697"/>
      <c r="NZK200" s="697"/>
      <c r="NZL200" s="697"/>
      <c r="NZM200" s="697"/>
      <c r="NZN200" s="697"/>
      <c r="NZO200" s="697"/>
      <c r="NZP200" s="697"/>
      <c r="NZQ200" s="697"/>
      <c r="NZR200" s="697"/>
      <c r="NZS200" s="697"/>
      <c r="NZT200" s="697"/>
      <c r="NZU200" s="697"/>
      <c r="NZV200" s="697"/>
      <c r="NZW200" s="697"/>
      <c r="NZX200" s="697"/>
      <c r="NZY200" s="697"/>
      <c r="NZZ200" s="697"/>
      <c r="OAA200" s="697"/>
      <c r="OAB200" s="697"/>
      <c r="OAC200" s="697"/>
      <c r="OAD200" s="697"/>
      <c r="OAE200" s="697"/>
      <c r="OAF200" s="697"/>
      <c r="OAG200" s="697"/>
      <c r="OAH200" s="697"/>
      <c r="OAI200" s="697"/>
      <c r="OAJ200" s="697"/>
      <c r="OAK200" s="697"/>
      <c r="OAL200" s="697"/>
      <c r="OAM200" s="697"/>
      <c r="OAN200" s="697"/>
      <c r="OAO200" s="697"/>
      <c r="OAP200" s="697"/>
      <c r="OAQ200" s="697"/>
      <c r="OAR200" s="697"/>
      <c r="OAS200" s="697"/>
      <c r="OAT200" s="697"/>
      <c r="OAU200" s="697"/>
      <c r="OAV200" s="697"/>
      <c r="OAW200" s="697"/>
      <c r="OAX200" s="697"/>
      <c r="OAY200" s="697"/>
      <c r="OAZ200" s="697"/>
      <c r="OBA200" s="697"/>
      <c r="OBB200" s="697"/>
      <c r="OBC200" s="697"/>
      <c r="OBD200" s="697"/>
      <c r="OBE200" s="697"/>
      <c r="OBF200" s="697"/>
      <c r="OBG200" s="697"/>
      <c r="OBH200" s="697"/>
      <c r="OBI200" s="697"/>
      <c r="OBJ200" s="697"/>
      <c r="OBK200" s="697"/>
      <c r="OBL200" s="697"/>
      <c r="OBM200" s="697"/>
      <c r="OBN200" s="697"/>
      <c r="OBO200" s="697"/>
      <c r="OBP200" s="697"/>
      <c r="OBQ200" s="697"/>
      <c r="OBR200" s="697"/>
      <c r="OBS200" s="697"/>
      <c r="OBT200" s="697"/>
      <c r="OBU200" s="697"/>
      <c r="OBV200" s="697"/>
      <c r="OBW200" s="697"/>
      <c r="OBX200" s="697"/>
      <c r="OBY200" s="697"/>
      <c r="OBZ200" s="697"/>
      <c r="OCA200" s="697"/>
      <c r="OCB200" s="697"/>
      <c r="OCC200" s="697"/>
      <c r="OCD200" s="697"/>
      <c r="OCE200" s="697"/>
      <c r="OCF200" s="697"/>
      <c r="OCG200" s="697"/>
      <c r="OCH200" s="697"/>
      <c r="OCI200" s="697"/>
      <c r="OCJ200" s="697"/>
      <c r="OCK200" s="697"/>
      <c r="OCL200" s="697"/>
      <c r="OCM200" s="697"/>
      <c r="OCN200" s="697"/>
      <c r="OCO200" s="697"/>
      <c r="OCP200" s="697"/>
      <c r="OCQ200" s="697"/>
      <c r="OCR200" s="697"/>
      <c r="OCS200" s="697"/>
      <c r="OCT200" s="697"/>
      <c r="OCU200" s="697"/>
      <c r="OCV200" s="697"/>
      <c r="OCW200" s="697"/>
      <c r="OCX200" s="697"/>
      <c r="OCY200" s="697"/>
      <c r="OCZ200" s="697"/>
      <c r="ODA200" s="697"/>
      <c r="ODB200" s="697"/>
      <c r="ODC200" s="697"/>
      <c r="ODD200" s="697"/>
      <c r="ODE200" s="697"/>
      <c r="ODF200" s="697"/>
      <c r="ODG200" s="697"/>
      <c r="ODH200" s="697"/>
      <c r="ODI200" s="697"/>
      <c r="ODJ200" s="697"/>
      <c r="ODK200" s="697"/>
      <c r="ODL200" s="697"/>
      <c r="ODM200" s="697"/>
      <c r="ODN200" s="697"/>
      <c r="ODO200" s="697"/>
      <c r="ODP200" s="697"/>
      <c r="ODQ200" s="697"/>
      <c r="ODR200" s="697"/>
      <c r="ODS200" s="697"/>
      <c r="ODT200" s="697"/>
      <c r="ODU200" s="697"/>
      <c r="ODV200" s="697"/>
      <c r="ODW200" s="697"/>
      <c r="ODX200" s="697"/>
      <c r="ODY200" s="697"/>
      <c r="ODZ200" s="697"/>
      <c r="OEA200" s="697"/>
      <c r="OEB200" s="697"/>
      <c r="OEC200" s="697"/>
      <c r="OED200" s="697"/>
      <c r="OEE200" s="697"/>
      <c r="OEF200" s="697"/>
      <c r="OEG200" s="697"/>
      <c r="OEH200" s="697"/>
      <c r="OEI200" s="697"/>
      <c r="OEJ200" s="697"/>
      <c r="OEK200" s="697"/>
      <c r="OEL200" s="697"/>
      <c r="OEM200" s="697"/>
      <c r="OEN200" s="697"/>
      <c r="OEO200" s="697"/>
      <c r="OEP200" s="697"/>
      <c r="OEQ200" s="697"/>
      <c r="OER200" s="697"/>
      <c r="OES200" s="697"/>
      <c r="OET200" s="697"/>
      <c r="OEU200" s="697"/>
      <c r="OEV200" s="697"/>
      <c r="OEW200" s="697"/>
      <c r="OEX200" s="697"/>
      <c r="OEY200" s="697"/>
      <c r="OEZ200" s="697"/>
      <c r="OFA200" s="697"/>
      <c r="OFB200" s="697"/>
      <c r="OFC200" s="697"/>
      <c r="OFD200" s="697"/>
      <c r="OFE200" s="697"/>
      <c r="OFF200" s="697"/>
      <c r="OFG200" s="697"/>
      <c r="OFH200" s="697"/>
      <c r="OFI200" s="697"/>
      <c r="OFJ200" s="697"/>
      <c r="OFK200" s="697"/>
      <c r="OFL200" s="697"/>
      <c r="OFM200" s="697"/>
      <c r="OFN200" s="697"/>
      <c r="OFO200" s="697"/>
      <c r="OFP200" s="697"/>
      <c r="OFQ200" s="697"/>
      <c r="OFR200" s="697"/>
      <c r="OFS200" s="697"/>
      <c r="OFT200" s="697"/>
      <c r="OFU200" s="697"/>
      <c r="OFV200" s="697"/>
      <c r="OFW200" s="697"/>
      <c r="OFX200" s="697"/>
      <c r="OFY200" s="697"/>
      <c r="OFZ200" s="697"/>
      <c r="OGA200" s="697"/>
      <c r="OGB200" s="697"/>
      <c r="OGC200" s="697"/>
      <c r="OGD200" s="697"/>
      <c r="OGE200" s="697"/>
      <c r="OGF200" s="697"/>
      <c r="OGG200" s="697"/>
      <c r="OGH200" s="697"/>
      <c r="OGI200" s="697"/>
      <c r="OGJ200" s="697"/>
      <c r="OGK200" s="697"/>
      <c r="OGL200" s="697"/>
      <c r="OGM200" s="697"/>
      <c r="OGN200" s="697"/>
      <c r="OGO200" s="697"/>
      <c r="OGP200" s="697"/>
      <c r="OGQ200" s="697"/>
      <c r="OGR200" s="697"/>
      <c r="OGS200" s="697"/>
      <c r="OGT200" s="697"/>
      <c r="OGU200" s="697"/>
      <c r="OGV200" s="697"/>
      <c r="OGW200" s="697"/>
      <c r="OGX200" s="697"/>
      <c r="OGY200" s="697"/>
      <c r="OGZ200" s="697"/>
      <c r="OHA200" s="697"/>
      <c r="OHB200" s="697"/>
      <c r="OHC200" s="697"/>
      <c r="OHD200" s="697"/>
      <c r="OHE200" s="697"/>
      <c r="OHF200" s="697"/>
      <c r="OHG200" s="697"/>
      <c r="OHH200" s="697"/>
      <c r="OHI200" s="697"/>
      <c r="OHJ200" s="697"/>
      <c r="OHK200" s="697"/>
      <c r="OHL200" s="697"/>
      <c r="OHM200" s="697"/>
      <c r="OHN200" s="697"/>
      <c r="OHO200" s="697"/>
      <c r="OHP200" s="697"/>
      <c r="OHQ200" s="697"/>
      <c r="OHR200" s="697"/>
      <c r="OHS200" s="697"/>
      <c r="OHT200" s="697"/>
      <c r="OHU200" s="697"/>
      <c r="OHV200" s="697"/>
      <c r="OHW200" s="697"/>
      <c r="OHX200" s="697"/>
      <c r="OHY200" s="697"/>
      <c r="OHZ200" s="697"/>
      <c r="OIA200" s="697"/>
      <c r="OIB200" s="697"/>
      <c r="OIC200" s="697"/>
      <c r="OID200" s="697"/>
      <c r="OIE200" s="697"/>
      <c r="OIF200" s="697"/>
      <c r="OIG200" s="697"/>
      <c r="OIH200" s="697"/>
      <c r="OII200" s="697"/>
      <c r="OIJ200" s="697"/>
      <c r="OIK200" s="697"/>
      <c r="OIL200" s="697"/>
      <c r="OIM200" s="697"/>
      <c r="OIN200" s="697"/>
      <c r="OIO200" s="697"/>
      <c r="OIP200" s="697"/>
      <c r="OIQ200" s="697"/>
      <c r="OIR200" s="697"/>
      <c r="OIS200" s="697"/>
      <c r="OIT200" s="697"/>
      <c r="OIU200" s="697"/>
      <c r="OIV200" s="697"/>
      <c r="OIW200" s="697"/>
      <c r="OIX200" s="697"/>
      <c r="OIY200" s="697"/>
      <c r="OIZ200" s="697"/>
      <c r="OJA200" s="697"/>
      <c r="OJB200" s="697"/>
      <c r="OJC200" s="697"/>
      <c r="OJD200" s="697"/>
      <c r="OJE200" s="697"/>
      <c r="OJF200" s="697"/>
      <c r="OJG200" s="697"/>
      <c r="OJH200" s="697"/>
      <c r="OJI200" s="697"/>
      <c r="OJJ200" s="697"/>
      <c r="OJK200" s="697"/>
      <c r="OJL200" s="697"/>
      <c r="OJM200" s="697"/>
      <c r="OJN200" s="697"/>
      <c r="OJO200" s="697"/>
      <c r="OJP200" s="697"/>
      <c r="OJQ200" s="697"/>
      <c r="OJR200" s="697"/>
      <c r="OJS200" s="697"/>
      <c r="OJT200" s="697"/>
      <c r="OJU200" s="697"/>
      <c r="OJV200" s="697"/>
      <c r="OJW200" s="697"/>
      <c r="OJX200" s="697"/>
      <c r="OJY200" s="697"/>
      <c r="OJZ200" s="697"/>
      <c r="OKA200" s="697"/>
      <c r="OKB200" s="697"/>
      <c r="OKC200" s="697"/>
      <c r="OKD200" s="697"/>
      <c r="OKE200" s="697"/>
      <c r="OKF200" s="697"/>
      <c r="OKG200" s="697"/>
      <c r="OKH200" s="697"/>
      <c r="OKI200" s="697"/>
      <c r="OKJ200" s="697"/>
      <c r="OKK200" s="697"/>
      <c r="OKL200" s="697"/>
      <c r="OKM200" s="697"/>
      <c r="OKN200" s="697"/>
      <c r="OKO200" s="697"/>
      <c r="OKP200" s="697"/>
      <c r="OKQ200" s="697"/>
      <c r="OKR200" s="697"/>
      <c r="OKS200" s="697"/>
      <c r="OKT200" s="697"/>
      <c r="OKU200" s="697"/>
      <c r="OKV200" s="697"/>
      <c r="OKW200" s="697"/>
      <c r="OKX200" s="697"/>
      <c r="OKY200" s="697"/>
      <c r="OKZ200" s="697"/>
      <c r="OLA200" s="697"/>
      <c r="OLB200" s="697"/>
      <c r="OLC200" s="697"/>
      <c r="OLD200" s="697"/>
      <c r="OLE200" s="697"/>
      <c r="OLF200" s="697"/>
      <c r="OLG200" s="697"/>
      <c r="OLH200" s="697"/>
      <c r="OLI200" s="697"/>
      <c r="OLJ200" s="697"/>
      <c r="OLK200" s="697"/>
      <c r="OLL200" s="697"/>
      <c r="OLM200" s="697"/>
      <c r="OLN200" s="697"/>
      <c r="OLO200" s="697"/>
      <c r="OLP200" s="697"/>
      <c r="OLQ200" s="697"/>
      <c r="OLR200" s="697"/>
      <c r="OLS200" s="697"/>
      <c r="OLT200" s="697"/>
      <c r="OLU200" s="697"/>
      <c r="OLV200" s="697"/>
      <c r="OLW200" s="697"/>
      <c r="OLX200" s="697"/>
      <c r="OLY200" s="697"/>
      <c r="OLZ200" s="697"/>
      <c r="OMA200" s="697"/>
      <c r="OMB200" s="697"/>
      <c r="OMC200" s="697"/>
      <c r="OMD200" s="697"/>
      <c r="OME200" s="697"/>
      <c r="OMF200" s="697"/>
      <c r="OMG200" s="697"/>
      <c r="OMH200" s="697"/>
      <c r="OMI200" s="697"/>
      <c r="OMJ200" s="697"/>
      <c r="OMK200" s="697"/>
      <c r="OML200" s="697"/>
      <c r="OMM200" s="697"/>
      <c r="OMN200" s="697"/>
      <c r="OMO200" s="697"/>
      <c r="OMP200" s="697"/>
      <c r="OMQ200" s="697"/>
      <c r="OMR200" s="697"/>
      <c r="OMS200" s="697"/>
      <c r="OMT200" s="697"/>
      <c r="OMU200" s="697"/>
      <c r="OMV200" s="697"/>
      <c r="OMW200" s="697"/>
      <c r="OMX200" s="697"/>
      <c r="OMY200" s="697"/>
      <c r="OMZ200" s="697"/>
      <c r="ONA200" s="697"/>
      <c r="ONB200" s="697"/>
      <c r="ONC200" s="697"/>
      <c r="OND200" s="697"/>
      <c r="ONE200" s="697"/>
      <c r="ONF200" s="697"/>
      <c r="ONG200" s="697"/>
      <c r="ONH200" s="697"/>
      <c r="ONI200" s="697"/>
      <c r="ONJ200" s="697"/>
      <c r="ONK200" s="697"/>
      <c r="ONL200" s="697"/>
      <c r="ONM200" s="697"/>
      <c r="ONN200" s="697"/>
      <c r="ONO200" s="697"/>
      <c r="ONP200" s="697"/>
      <c r="ONQ200" s="697"/>
      <c r="ONR200" s="697"/>
      <c r="ONS200" s="697"/>
      <c r="ONT200" s="697"/>
      <c r="ONU200" s="697"/>
      <c r="ONV200" s="697"/>
      <c r="ONW200" s="697"/>
      <c r="ONX200" s="697"/>
      <c r="ONY200" s="697"/>
      <c r="ONZ200" s="697"/>
      <c r="OOA200" s="697"/>
      <c r="OOB200" s="697"/>
      <c r="OOC200" s="697"/>
      <c r="OOD200" s="697"/>
      <c r="OOE200" s="697"/>
      <c r="OOF200" s="697"/>
      <c r="OOG200" s="697"/>
      <c r="OOH200" s="697"/>
      <c r="OOI200" s="697"/>
      <c r="OOJ200" s="697"/>
      <c r="OOK200" s="697"/>
      <c r="OOL200" s="697"/>
      <c r="OOM200" s="697"/>
      <c r="OON200" s="697"/>
      <c r="OOO200" s="697"/>
      <c r="OOP200" s="697"/>
      <c r="OOQ200" s="697"/>
      <c r="OOR200" s="697"/>
      <c r="OOS200" s="697"/>
      <c r="OOT200" s="697"/>
      <c r="OOU200" s="697"/>
      <c r="OOV200" s="697"/>
      <c r="OOW200" s="697"/>
      <c r="OOX200" s="697"/>
      <c r="OOY200" s="697"/>
      <c r="OOZ200" s="697"/>
      <c r="OPA200" s="697"/>
      <c r="OPB200" s="697"/>
      <c r="OPC200" s="697"/>
      <c r="OPD200" s="697"/>
      <c r="OPE200" s="697"/>
      <c r="OPF200" s="697"/>
      <c r="OPG200" s="697"/>
      <c r="OPH200" s="697"/>
      <c r="OPI200" s="697"/>
      <c r="OPJ200" s="697"/>
      <c r="OPK200" s="697"/>
      <c r="OPL200" s="697"/>
      <c r="OPM200" s="697"/>
      <c r="OPN200" s="697"/>
      <c r="OPO200" s="697"/>
      <c r="OPP200" s="697"/>
      <c r="OPQ200" s="697"/>
      <c r="OPR200" s="697"/>
      <c r="OPS200" s="697"/>
      <c r="OPT200" s="697"/>
      <c r="OPU200" s="697"/>
      <c r="OPV200" s="697"/>
      <c r="OPW200" s="697"/>
      <c r="OPX200" s="697"/>
      <c r="OPY200" s="697"/>
      <c r="OPZ200" s="697"/>
      <c r="OQA200" s="697"/>
      <c r="OQB200" s="697"/>
      <c r="OQC200" s="697"/>
      <c r="OQD200" s="697"/>
      <c r="OQE200" s="697"/>
      <c r="OQF200" s="697"/>
      <c r="OQG200" s="697"/>
      <c r="OQH200" s="697"/>
      <c r="OQI200" s="697"/>
      <c r="OQJ200" s="697"/>
      <c r="OQK200" s="697"/>
      <c r="OQL200" s="697"/>
      <c r="OQM200" s="697"/>
      <c r="OQN200" s="697"/>
      <c r="OQO200" s="697"/>
      <c r="OQP200" s="697"/>
      <c r="OQQ200" s="697"/>
      <c r="OQR200" s="697"/>
      <c r="OQS200" s="697"/>
      <c r="OQT200" s="697"/>
      <c r="OQU200" s="697"/>
      <c r="OQV200" s="697"/>
      <c r="OQW200" s="697"/>
      <c r="OQX200" s="697"/>
      <c r="OQY200" s="697"/>
      <c r="OQZ200" s="697"/>
      <c r="ORA200" s="697"/>
      <c r="ORB200" s="697"/>
      <c r="ORC200" s="697"/>
      <c r="ORD200" s="697"/>
      <c r="ORE200" s="697"/>
      <c r="ORF200" s="697"/>
      <c r="ORG200" s="697"/>
      <c r="ORH200" s="697"/>
      <c r="ORI200" s="697"/>
      <c r="ORJ200" s="697"/>
      <c r="ORK200" s="697"/>
      <c r="ORL200" s="697"/>
      <c r="ORM200" s="697"/>
      <c r="ORN200" s="697"/>
      <c r="ORO200" s="697"/>
      <c r="ORP200" s="697"/>
      <c r="ORQ200" s="697"/>
      <c r="ORR200" s="697"/>
      <c r="ORS200" s="697"/>
      <c r="ORT200" s="697"/>
      <c r="ORU200" s="697"/>
      <c r="ORV200" s="697"/>
      <c r="ORW200" s="697"/>
      <c r="ORX200" s="697"/>
      <c r="ORY200" s="697"/>
      <c r="ORZ200" s="697"/>
      <c r="OSA200" s="697"/>
      <c r="OSB200" s="697"/>
      <c r="OSC200" s="697"/>
      <c r="OSD200" s="697"/>
      <c r="OSE200" s="697"/>
      <c r="OSF200" s="697"/>
      <c r="OSG200" s="697"/>
      <c r="OSH200" s="697"/>
      <c r="OSI200" s="697"/>
      <c r="OSJ200" s="697"/>
      <c r="OSK200" s="697"/>
      <c r="OSL200" s="697"/>
      <c r="OSM200" s="697"/>
      <c r="OSN200" s="697"/>
      <c r="OSO200" s="697"/>
      <c r="OSP200" s="697"/>
      <c r="OSQ200" s="697"/>
      <c r="OSR200" s="697"/>
      <c r="OSS200" s="697"/>
      <c r="OST200" s="697"/>
      <c r="OSU200" s="697"/>
      <c r="OSV200" s="697"/>
      <c r="OSW200" s="697"/>
      <c r="OSX200" s="697"/>
      <c r="OSY200" s="697"/>
      <c r="OSZ200" s="697"/>
      <c r="OTA200" s="697"/>
      <c r="OTB200" s="697"/>
      <c r="OTC200" s="697"/>
      <c r="OTD200" s="697"/>
      <c r="OTE200" s="697"/>
      <c r="OTF200" s="697"/>
      <c r="OTG200" s="697"/>
      <c r="OTH200" s="697"/>
      <c r="OTI200" s="697"/>
      <c r="OTJ200" s="697"/>
      <c r="OTK200" s="697"/>
      <c r="OTL200" s="697"/>
      <c r="OTM200" s="697"/>
      <c r="OTN200" s="697"/>
      <c r="OTO200" s="697"/>
      <c r="OTP200" s="697"/>
      <c r="OTQ200" s="697"/>
      <c r="OTR200" s="697"/>
      <c r="OTS200" s="697"/>
      <c r="OTT200" s="697"/>
      <c r="OTU200" s="697"/>
      <c r="OTV200" s="697"/>
      <c r="OTW200" s="697"/>
      <c r="OTX200" s="697"/>
      <c r="OTY200" s="697"/>
      <c r="OTZ200" s="697"/>
      <c r="OUA200" s="697"/>
      <c r="OUB200" s="697"/>
      <c r="OUC200" s="697"/>
      <c r="OUD200" s="697"/>
      <c r="OUE200" s="697"/>
      <c r="OUF200" s="697"/>
      <c r="OUG200" s="697"/>
      <c r="OUH200" s="697"/>
      <c r="OUI200" s="697"/>
      <c r="OUJ200" s="697"/>
      <c r="OUK200" s="697"/>
      <c r="OUL200" s="697"/>
      <c r="OUM200" s="697"/>
      <c r="OUN200" s="697"/>
      <c r="OUO200" s="697"/>
      <c r="OUP200" s="697"/>
      <c r="OUQ200" s="697"/>
      <c r="OUR200" s="697"/>
      <c r="OUS200" s="697"/>
      <c r="OUT200" s="697"/>
      <c r="OUU200" s="697"/>
      <c r="OUV200" s="697"/>
      <c r="OUW200" s="697"/>
      <c r="OUX200" s="697"/>
      <c r="OUY200" s="697"/>
      <c r="OUZ200" s="697"/>
      <c r="OVA200" s="697"/>
      <c r="OVB200" s="697"/>
      <c r="OVC200" s="697"/>
      <c r="OVD200" s="697"/>
      <c r="OVE200" s="697"/>
      <c r="OVF200" s="697"/>
      <c r="OVG200" s="697"/>
      <c r="OVH200" s="697"/>
      <c r="OVI200" s="697"/>
      <c r="OVJ200" s="697"/>
      <c r="OVK200" s="697"/>
      <c r="OVL200" s="697"/>
      <c r="OVM200" s="697"/>
      <c r="OVN200" s="697"/>
      <c r="OVO200" s="697"/>
      <c r="OVP200" s="697"/>
      <c r="OVQ200" s="697"/>
      <c r="OVR200" s="697"/>
      <c r="OVS200" s="697"/>
      <c r="OVT200" s="697"/>
      <c r="OVU200" s="697"/>
      <c r="OVV200" s="697"/>
      <c r="OVW200" s="697"/>
      <c r="OVX200" s="697"/>
      <c r="OVY200" s="697"/>
      <c r="OVZ200" s="697"/>
      <c r="OWA200" s="697"/>
      <c r="OWB200" s="697"/>
      <c r="OWC200" s="697"/>
      <c r="OWD200" s="697"/>
      <c r="OWE200" s="697"/>
      <c r="OWF200" s="697"/>
      <c r="OWG200" s="697"/>
      <c r="OWH200" s="697"/>
      <c r="OWI200" s="697"/>
      <c r="OWJ200" s="697"/>
      <c r="OWK200" s="697"/>
      <c r="OWL200" s="697"/>
      <c r="OWM200" s="697"/>
      <c r="OWN200" s="697"/>
      <c r="OWO200" s="697"/>
      <c r="OWP200" s="697"/>
      <c r="OWQ200" s="697"/>
      <c r="OWR200" s="697"/>
      <c r="OWS200" s="697"/>
      <c r="OWT200" s="697"/>
      <c r="OWU200" s="697"/>
      <c r="OWV200" s="697"/>
      <c r="OWW200" s="697"/>
      <c r="OWX200" s="697"/>
      <c r="OWY200" s="697"/>
      <c r="OWZ200" s="697"/>
      <c r="OXA200" s="697"/>
      <c r="OXB200" s="697"/>
      <c r="OXC200" s="697"/>
      <c r="OXD200" s="697"/>
      <c r="OXE200" s="697"/>
      <c r="OXF200" s="697"/>
      <c r="OXG200" s="697"/>
      <c r="OXH200" s="697"/>
      <c r="OXI200" s="697"/>
      <c r="OXJ200" s="697"/>
      <c r="OXK200" s="697"/>
      <c r="OXL200" s="697"/>
      <c r="OXM200" s="697"/>
      <c r="OXN200" s="697"/>
      <c r="OXO200" s="697"/>
      <c r="OXP200" s="697"/>
      <c r="OXQ200" s="697"/>
      <c r="OXR200" s="697"/>
      <c r="OXS200" s="697"/>
      <c r="OXT200" s="697"/>
      <c r="OXU200" s="697"/>
      <c r="OXV200" s="697"/>
      <c r="OXW200" s="697"/>
      <c r="OXX200" s="697"/>
      <c r="OXY200" s="697"/>
      <c r="OXZ200" s="697"/>
      <c r="OYA200" s="697"/>
      <c r="OYB200" s="697"/>
      <c r="OYC200" s="697"/>
      <c r="OYD200" s="697"/>
      <c r="OYE200" s="697"/>
      <c r="OYF200" s="697"/>
      <c r="OYG200" s="697"/>
      <c r="OYH200" s="697"/>
      <c r="OYI200" s="697"/>
      <c r="OYJ200" s="697"/>
      <c r="OYK200" s="697"/>
      <c r="OYL200" s="697"/>
      <c r="OYM200" s="697"/>
      <c r="OYN200" s="697"/>
      <c r="OYO200" s="697"/>
      <c r="OYP200" s="697"/>
      <c r="OYQ200" s="697"/>
      <c r="OYR200" s="697"/>
      <c r="OYS200" s="697"/>
      <c r="OYT200" s="697"/>
      <c r="OYU200" s="697"/>
      <c r="OYV200" s="697"/>
      <c r="OYW200" s="697"/>
      <c r="OYX200" s="697"/>
      <c r="OYY200" s="697"/>
      <c r="OYZ200" s="697"/>
      <c r="OZA200" s="697"/>
      <c r="OZB200" s="697"/>
      <c r="OZC200" s="697"/>
      <c r="OZD200" s="697"/>
      <c r="OZE200" s="697"/>
      <c r="OZF200" s="697"/>
      <c r="OZG200" s="697"/>
      <c r="OZH200" s="697"/>
      <c r="OZI200" s="697"/>
      <c r="OZJ200" s="697"/>
      <c r="OZK200" s="697"/>
      <c r="OZL200" s="697"/>
      <c r="OZM200" s="697"/>
      <c r="OZN200" s="697"/>
      <c r="OZO200" s="697"/>
      <c r="OZP200" s="697"/>
      <c r="OZQ200" s="697"/>
      <c r="OZR200" s="697"/>
      <c r="OZS200" s="697"/>
      <c r="OZT200" s="697"/>
      <c r="OZU200" s="697"/>
      <c r="OZV200" s="697"/>
      <c r="OZW200" s="697"/>
      <c r="OZX200" s="697"/>
      <c r="OZY200" s="697"/>
      <c r="OZZ200" s="697"/>
      <c r="PAA200" s="697"/>
      <c r="PAB200" s="697"/>
      <c r="PAC200" s="697"/>
      <c r="PAD200" s="697"/>
      <c r="PAE200" s="697"/>
      <c r="PAF200" s="697"/>
      <c r="PAG200" s="697"/>
      <c r="PAH200" s="697"/>
      <c r="PAI200" s="697"/>
      <c r="PAJ200" s="697"/>
      <c r="PAK200" s="697"/>
      <c r="PAL200" s="697"/>
      <c r="PAM200" s="697"/>
      <c r="PAN200" s="697"/>
      <c r="PAO200" s="697"/>
      <c r="PAP200" s="697"/>
      <c r="PAQ200" s="697"/>
      <c r="PAR200" s="697"/>
      <c r="PAS200" s="697"/>
      <c r="PAT200" s="697"/>
      <c r="PAU200" s="697"/>
      <c r="PAV200" s="697"/>
      <c r="PAW200" s="697"/>
      <c r="PAX200" s="697"/>
      <c r="PAY200" s="697"/>
      <c r="PAZ200" s="697"/>
      <c r="PBA200" s="697"/>
      <c r="PBB200" s="697"/>
      <c r="PBC200" s="697"/>
      <c r="PBD200" s="697"/>
      <c r="PBE200" s="697"/>
      <c r="PBF200" s="697"/>
      <c r="PBG200" s="697"/>
      <c r="PBH200" s="697"/>
      <c r="PBI200" s="697"/>
      <c r="PBJ200" s="697"/>
      <c r="PBK200" s="697"/>
      <c r="PBL200" s="697"/>
      <c r="PBM200" s="697"/>
      <c r="PBN200" s="697"/>
      <c r="PBO200" s="697"/>
      <c r="PBP200" s="697"/>
      <c r="PBQ200" s="697"/>
      <c r="PBR200" s="697"/>
      <c r="PBS200" s="697"/>
      <c r="PBT200" s="697"/>
      <c r="PBU200" s="697"/>
      <c r="PBV200" s="697"/>
      <c r="PBW200" s="697"/>
      <c r="PBX200" s="697"/>
      <c r="PBY200" s="697"/>
      <c r="PBZ200" s="697"/>
      <c r="PCA200" s="697"/>
      <c r="PCB200" s="697"/>
      <c r="PCC200" s="697"/>
      <c r="PCD200" s="697"/>
      <c r="PCE200" s="697"/>
      <c r="PCF200" s="697"/>
      <c r="PCG200" s="697"/>
      <c r="PCH200" s="697"/>
      <c r="PCI200" s="697"/>
      <c r="PCJ200" s="697"/>
      <c r="PCK200" s="697"/>
      <c r="PCL200" s="697"/>
      <c r="PCM200" s="697"/>
      <c r="PCN200" s="697"/>
      <c r="PCO200" s="697"/>
      <c r="PCP200" s="697"/>
      <c r="PCQ200" s="697"/>
      <c r="PCR200" s="697"/>
      <c r="PCS200" s="697"/>
      <c r="PCT200" s="697"/>
      <c r="PCU200" s="697"/>
      <c r="PCV200" s="697"/>
      <c r="PCW200" s="697"/>
      <c r="PCX200" s="697"/>
      <c r="PCY200" s="697"/>
      <c r="PCZ200" s="697"/>
      <c r="PDA200" s="697"/>
      <c r="PDB200" s="697"/>
      <c r="PDC200" s="697"/>
      <c r="PDD200" s="697"/>
      <c r="PDE200" s="697"/>
      <c r="PDF200" s="697"/>
      <c r="PDG200" s="697"/>
      <c r="PDH200" s="697"/>
      <c r="PDI200" s="697"/>
      <c r="PDJ200" s="697"/>
      <c r="PDK200" s="697"/>
      <c r="PDL200" s="697"/>
      <c r="PDM200" s="697"/>
      <c r="PDN200" s="697"/>
      <c r="PDO200" s="697"/>
      <c r="PDP200" s="697"/>
      <c r="PDQ200" s="697"/>
      <c r="PDR200" s="697"/>
      <c r="PDS200" s="697"/>
      <c r="PDT200" s="697"/>
      <c r="PDU200" s="697"/>
      <c r="PDV200" s="697"/>
      <c r="PDW200" s="697"/>
      <c r="PDX200" s="697"/>
      <c r="PDY200" s="697"/>
      <c r="PDZ200" s="697"/>
      <c r="PEA200" s="697"/>
      <c r="PEB200" s="697"/>
      <c r="PEC200" s="697"/>
      <c r="PED200" s="697"/>
      <c r="PEE200" s="697"/>
      <c r="PEF200" s="697"/>
      <c r="PEG200" s="697"/>
      <c r="PEH200" s="697"/>
      <c r="PEI200" s="697"/>
      <c r="PEJ200" s="697"/>
      <c r="PEK200" s="697"/>
      <c r="PEL200" s="697"/>
      <c r="PEM200" s="697"/>
      <c r="PEN200" s="697"/>
      <c r="PEO200" s="697"/>
      <c r="PEP200" s="697"/>
      <c r="PEQ200" s="697"/>
      <c r="PER200" s="697"/>
      <c r="PES200" s="697"/>
      <c r="PET200" s="697"/>
      <c r="PEU200" s="697"/>
      <c r="PEV200" s="697"/>
      <c r="PEW200" s="697"/>
      <c r="PEX200" s="697"/>
      <c r="PEY200" s="697"/>
      <c r="PEZ200" s="697"/>
      <c r="PFA200" s="697"/>
      <c r="PFB200" s="697"/>
      <c r="PFC200" s="697"/>
      <c r="PFD200" s="697"/>
      <c r="PFE200" s="697"/>
      <c r="PFF200" s="697"/>
      <c r="PFG200" s="697"/>
      <c r="PFH200" s="697"/>
      <c r="PFI200" s="697"/>
      <c r="PFJ200" s="697"/>
      <c r="PFK200" s="697"/>
      <c r="PFL200" s="697"/>
      <c r="PFM200" s="697"/>
      <c r="PFN200" s="697"/>
      <c r="PFO200" s="697"/>
      <c r="PFP200" s="697"/>
      <c r="PFQ200" s="697"/>
      <c r="PFR200" s="697"/>
      <c r="PFS200" s="697"/>
      <c r="PFT200" s="697"/>
      <c r="PFU200" s="697"/>
      <c r="PFV200" s="697"/>
      <c r="PFW200" s="697"/>
      <c r="PFX200" s="697"/>
      <c r="PFY200" s="697"/>
      <c r="PFZ200" s="697"/>
      <c r="PGA200" s="697"/>
      <c r="PGB200" s="697"/>
      <c r="PGC200" s="697"/>
      <c r="PGD200" s="697"/>
      <c r="PGE200" s="697"/>
      <c r="PGF200" s="697"/>
      <c r="PGG200" s="697"/>
      <c r="PGH200" s="697"/>
      <c r="PGI200" s="697"/>
      <c r="PGJ200" s="697"/>
      <c r="PGK200" s="697"/>
      <c r="PGL200" s="697"/>
      <c r="PGM200" s="697"/>
      <c r="PGN200" s="697"/>
      <c r="PGO200" s="697"/>
      <c r="PGP200" s="697"/>
      <c r="PGQ200" s="697"/>
      <c r="PGR200" s="697"/>
      <c r="PGS200" s="697"/>
      <c r="PGT200" s="697"/>
      <c r="PGU200" s="697"/>
      <c r="PGV200" s="697"/>
      <c r="PGW200" s="697"/>
      <c r="PGX200" s="697"/>
      <c r="PGY200" s="697"/>
      <c r="PGZ200" s="697"/>
      <c r="PHA200" s="697"/>
      <c r="PHB200" s="697"/>
      <c r="PHC200" s="697"/>
      <c r="PHD200" s="697"/>
      <c r="PHE200" s="697"/>
      <c r="PHF200" s="697"/>
      <c r="PHG200" s="697"/>
      <c r="PHH200" s="697"/>
      <c r="PHI200" s="697"/>
      <c r="PHJ200" s="697"/>
      <c r="PHK200" s="697"/>
      <c r="PHL200" s="697"/>
      <c r="PHM200" s="697"/>
      <c r="PHN200" s="697"/>
      <c r="PHO200" s="697"/>
      <c r="PHP200" s="697"/>
      <c r="PHQ200" s="697"/>
      <c r="PHR200" s="697"/>
      <c r="PHS200" s="697"/>
      <c r="PHT200" s="697"/>
      <c r="PHU200" s="697"/>
      <c r="PHV200" s="697"/>
      <c r="PHW200" s="697"/>
      <c r="PHX200" s="697"/>
      <c r="PHY200" s="697"/>
      <c r="PHZ200" s="697"/>
      <c r="PIA200" s="697"/>
      <c r="PIB200" s="697"/>
      <c r="PIC200" s="697"/>
      <c r="PID200" s="697"/>
      <c r="PIE200" s="697"/>
      <c r="PIF200" s="697"/>
      <c r="PIG200" s="697"/>
      <c r="PIH200" s="697"/>
      <c r="PII200" s="697"/>
      <c r="PIJ200" s="697"/>
      <c r="PIK200" s="697"/>
      <c r="PIL200" s="697"/>
      <c r="PIM200" s="697"/>
      <c r="PIN200" s="697"/>
      <c r="PIO200" s="697"/>
      <c r="PIP200" s="697"/>
      <c r="PIQ200" s="697"/>
      <c r="PIR200" s="697"/>
      <c r="PIS200" s="697"/>
      <c r="PIT200" s="697"/>
      <c r="PIU200" s="697"/>
      <c r="PIV200" s="697"/>
      <c r="PIW200" s="697"/>
      <c r="PIX200" s="697"/>
      <c r="PIY200" s="697"/>
      <c r="PIZ200" s="697"/>
      <c r="PJA200" s="697"/>
      <c r="PJB200" s="697"/>
      <c r="PJC200" s="697"/>
      <c r="PJD200" s="697"/>
      <c r="PJE200" s="697"/>
      <c r="PJF200" s="697"/>
      <c r="PJG200" s="697"/>
      <c r="PJH200" s="697"/>
      <c r="PJI200" s="697"/>
      <c r="PJJ200" s="697"/>
      <c r="PJK200" s="697"/>
      <c r="PJL200" s="697"/>
      <c r="PJM200" s="697"/>
      <c r="PJN200" s="697"/>
      <c r="PJO200" s="697"/>
      <c r="PJP200" s="697"/>
      <c r="PJQ200" s="697"/>
      <c r="PJR200" s="697"/>
      <c r="PJS200" s="697"/>
      <c r="PJT200" s="697"/>
      <c r="PJU200" s="697"/>
      <c r="PJV200" s="697"/>
      <c r="PJW200" s="697"/>
      <c r="PJX200" s="697"/>
      <c r="PJY200" s="697"/>
      <c r="PJZ200" s="697"/>
      <c r="PKA200" s="697"/>
      <c r="PKB200" s="697"/>
      <c r="PKC200" s="697"/>
      <c r="PKD200" s="697"/>
      <c r="PKE200" s="697"/>
      <c r="PKF200" s="697"/>
      <c r="PKG200" s="697"/>
      <c r="PKH200" s="697"/>
      <c r="PKI200" s="697"/>
      <c r="PKJ200" s="697"/>
      <c r="PKK200" s="697"/>
      <c r="PKL200" s="697"/>
      <c r="PKM200" s="697"/>
      <c r="PKN200" s="697"/>
      <c r="PKO200" s="697"/>
      <c r="PKP200" s="697"/>
      <c r="PKQ200" s="697"/>
      <c r="PKR200" s="697"/>
      <c r="PKS200" s="697"/>
      <c r="PKT200" s="697"/>
      <c r="PKU200" s="697"/>
      <c r="PKV200" s="697"/>
      <c r="PKW200" s="697"/>
      <c r="PKX200" s="697"/>
      <c r="PKY200" s="697"/>
      <c r="PKZ200" s="697"/>
      <c r="PLA200" s="697"/>
      <c r="PLB200" s="697"/>
      <c r="PLC200" s="697"/>
      <c r="PLD200" s="697"/>
      <c r="PLE200" s="697"/>
      <c r="PLF200" s="697"/>
      <c r="PLG200" s="697"/>
      <c r="PLH200" s="697"/>
      <c r="PLI200" s="697"/>
      <c r="PLJ200" s="697"/>
      <c r="PLK200" s="697"/>
      <c r="PLL200" s="697"/>
      <c r="PLM200" s="697"/>
      <c r="PLN200" s="697"/>
      <c r="PLO200" s="697"/>
      <c r="PLP200" s="697"/>
      <c r="PLQ200" s="697"/>
      <c r="PLR200" s="697"/>
      <c r="PLS200" s="697"/>
      <c r="PLT200" s="697"/>
      <c r="PLU200" s="697"/>
      <c r="PLV200" s="697"/>
      <c r="PLW200" s="697"/>
      <c r="PLX200" s="697"/>
      <c r="PLY200" s="697"/>
      <c r="PLZ200" s="697"/>
      <c r="PMA200" s="697"/>
      <c r="PMB200" s="697"/>
      <c r="PMC200" s="697"/>
      <c r="PMD200" s="697"/>
      <c r="PME200" s="697"/>
      <c r="PMF200" s="697"/>
      <c r="PMG200" s="697"/>
      <c r="PMH200" s="697"/>
      <c r="PMI200" s="697"/>
      <c r="PMJ200" s="697"/>
      <c r="PMK200" s="697"/>
      <c r="PML200" s="697"/>
      <c r="PMM200" s="697"/>
      <c r="PMN200" s="697"/>
      <c r="PMO200" s="697"/>
      <c r="PMP200" s="697"/>
      <c r="PMQ200" s="697"/>
      <c r="PMR200" s="697"/>
      <c r="PMS200" s="697"/>
      <c r="PMT200" s="697"/>
      <c r="PMU200" s="697"/>
      <c r="PMV200" s="697"/>
      <c r="PMW200" s="697"/>
      <c r="PMX200" s="697"/>
      <c r="PMY200" s="697"/>
      <c r="PMZ200" s="697"/>
      <c r="PNA200" s="697"/>
      <c r="PNB200" s="697"/>
      <c r="PNC200" s="697"/>
      <c r="PND200" s="697"/>
      <c r="PNE200" s="697"/>
      <c r="PNF200" s="697"/>
      <c r="PNG200" s="697"/>
      <c r="PNH200" s="697"/>
      <c r="PNI200" s="697"/>
      <c r="PNJ200" s="697"/>
      <c r="PNK200" s="697"/>
      <c r="PNL200" s="697"/>
      <c r="PNM200" s="697"/>
      <c r="PNN200" s="697"/>
      <c r="PNO200" s="697"/>
      <c r="PNP200" s="697"/>
      <c r="PNQ200" s="697"/>
      <c r="PNR200" s="697"/>
      <c r="PNS200" s="697"/>
      <c r="PNT200" s="697"/>
      <c r="PNU200" s="697"/>
      <c r="PNV200" s="697"/>
      <c r="PNW200" s="697"/>
      <c r="PNX200" s="697"/>
      <c r="PNY200" s="697"/>
      <c r="PNZ200" s="697"/>
      <c r="POA200" s="697"/>
      <c r="POB200" s="697"/>
      <c r="POC200" s="697"/>
      <c r="POD200" s="697"/>
      <c r="POE200" s="697"/>
      <c r="POF200" s="697"/>
      <c r="POG200" s="697"/>
      <c r="POH200" s="697"/>
      <c r="POI200" s="697"/>
      <c r="POJ200" s="697"/>
      <c r="POK200" s="697"/>
      <c r="POL200" s="697"/>
      <c r="POM200" s="697"/>
      <c r="PON200" s="697"/>
      <c r="POO200" s="697"/>
      <c r="POP200" s="697"/>
      <c r="POQ200" s="697"/>
      <c r="POR200" s="697"/>
      <c r="POS200" s="697"/>
      <c r="POT200" s="697"/>
      <c r="POU200" s="697"/>
      <c r="POV200" s="697"/>
      <c r="POW200" s="697"/>
      <c r="POX200" s="697"/>
      <c r="POY200" s="697"/>
      <c r="POZ200" s="697"/>
      <c r="PPA200" s="697"/>
      <c r="PPB200" s="697"/>
      <c r="PPC200" s="697"/>
      <c r="PPD200" s="697"/>
      <c r="PPE200" s="697"/>
      <c r="PPF200" s="697"/>
      <c r="PPG200" s="697"/>
      <c r="PPH200" s="697"/>
      <c r="PPI200" s="697"/>
      <c r="PPJ200" s="697"/>
      <c r="PPK200" s="697"/>
      <c r="PPL200" s="697"/>
      <c r="PPM200" s="697"/>
      <c r="PPN200" s="697"/>
      <c r="PPO200" s="697"/>
      <c r="PPP200" s="697"/>
      <c r="PPQ200" s="697"/>
      <c r="PPR200" s="697"/>
      <c r="PPS200" s="697"/>
      <c r="PPT200" s="697"/>
      <c r="PPU200" s="697"/>
      <c r="PPV200" s="697"/>
      <c r="PPW200" s="697"/>
      <c r="PPX200" s="697"/>
      <c r="PPY200" s="697"/>
      <c r="PPZ200" s="697"/>
      <c r="PQA200" s="697"/>
      <c r="PQB200" s="697"/>
      <c r="PQC200" s="697"/>
      <c r="PQD200" s="697"/>
      <c r="PQE200" s="697"/>
      <c r="PQF200" s="697"/>
      <c r="PQG200" s="697"/>
      <c r="PQH200" s="697"/>
      <c r="PQI200" s="697"/>
      <c r="PQJ200" s="697"/>
      <c r="PQK200" s="697"/>
      <c r="PQL200" s="697"/>
      <c r="PQM200" s="697"/>
      <c r="PQN200" s="697"/>
      <c r="PQO200" s="697"/>
      <c r="PQP200" s="697"/>
      <c r="PQQ200" s="697"/>
      <c r="PQR200" s="697"/>
      <c r="PQS200" s="697"/>
      <c r="PQT200" s="697"/>
      <c r="PQU200" s="697"/>
      <c r="PQV200" s="697"/>
      <c r="PQW200" s="697"/>
      <c r="PQX200" s="697"/>
      <c r="PQY200" s="697"/>
      <c r="PQZ200" s="697"/>
      <c r="PRA200" s="697"/>
      <c r="PRB200" s="697"/>
      <c r="PRC200" s="697"/>
      <c r="PRD200" s="697"/>
      <c r="PRE200" s="697"/>
      <c r="PRF200" s="697"/>
      <c r="PRG200" s="697"/>
      <c r="PRH200" s="697"/>
      <c r="PRI200" s="697"/>
      <c r="PRJ200" s="697"/>
      <c r="PRK200" s="697"/>
      <c r="PRL200" s="697"/>
      <c r="PRM200" s="697"/>
      <c r="PRN200" s="697"/>
      <c r="PRO200" s="697"/>
      <c r="PRP200" s="697"/>
      <c r="PRQ200" s="697"/>
      <c r="PRR200" s="697"/>
      <c r="PRS200" s="697"/>
      <c r="PRT200" s="697"/>
      <c r="PRU200" s="697"/>
      <c r="PRV200" s="697"/>
      <c r="PRW200" s="697"/>
      <c r="PRX200" s="697"/>
      <c r="PRY200" s="697"/>
      <c r="PRZ200" s="697"/>
      <c r="PSA200" s="697"/>
      <c r="PSB200" s="697"/>
      <c r="PSC200" s="697"/>
      <c r="PSD200" s="697"/>
      <c r="PSE200" s="697"/>
      <c r="PSF200" s="697"/>
      <c r="PSG200" s="697"/>
      <c r="PSH200" s="697"/>
      <c r="PSI200" s="697"/>
      <c r="PSJ200" s="697"/>
      <c r="PSK200" s="697"/>
      <c r="PSL200" s="697"/>
      <c r="PSM200" s="697"/>
      <c r="PSN200" s="697"/>
      <c r="PSO200" s="697"/>
      <c r="PSP200" s="697"/>
      <c r="PSQ200" s="697"/>
      <c r="PSR200" s="697"/>
      <c r="PSS200" s="697"/>
      <c r="PST200" s="697"/>
      <c r="PSU200" s="697"/>
      <c r="PSV200" s="697"/>
      <c r="PSW200" s="697"/>
      <c r="PSX200" s="697"/>
      <c r="PSY200" s="697"/>
      <c r="PSZ200" s="697"/>
      <c r="PTA200" s="697"/>
      <c r="PTB200" s="697"/>
      <c r="PTC200" s="697"/>
      <c r="PTD200" s="697"/>
      <c r="PTE200" s="697"/>
      <c r="PTF200" s="697"/>
      <c r="PTG200" s="697"/>
      <c r="PTH200" s="697"/>
      <c r="PTI200" s="697"/>
      <c r="PTJ200" s="697"/>
      <c r="PTK200" s="697"/>
      <c r="PTL200" s="697"/>
      <c r="PTM200" s="697"/>
      <c r="PTN200" s="697"/>
      <c r="PTO200" s="697"/>
      <c r="PTP200" s="697"/>
      <c r="PTQ200" s="697"/>
      <c r="PTR200" s="697"/>
      <c r="PTS200" s="697"/>
      <c r="PTT200" s="697"/>
      <c r="PTU200" s="697"/>
      <c r="PTV200" s="697"/>
      <c r="PTW200" s="697"/>
      <c r="PTX200" s="697"/>
      <c r="PTY200" s="697"/>
      <c r="PTZ200" s="697"/>
      <c r="PUA200" s="697"/>
      <c r="PUB200" s="697"/>
      <c r="PUC200" s="697"/>
      <c r="PUD200" s="697"/>
      <c r="PUE200" s="697"/>
      <c r="PUF200" s="697"/>
      <c r="PUG200" s="697"/>
      <c r="PUH200" s="697"/>
      <c r="PUI200" s="697"/>
      <c r="PUJ200" s="697"/>
      <c r="PUK200" s="697"/>
      <c r="PUL200" s="697"/>
      <c r="PUM200" s="697"/>
      <c r="PUN200" s="697"/>
      <c r="PUO200" s="697"/>
      <c r="PUP200" s="697"/>
      <c r="PUQ200" s="697"/>
      <c r="PUR200" s="697"/>
      <c r="PUS200" s="697"/>
      <c r="PUT200" s="697"/>
      <c r="PUU200" s="697"/>
      <c r="PUV200" s="697"/>
      <c r="PUW200" s="697"/>
      <c r="PUX200" s="697"/>
      <c r="PUY200" s="697"/>
      <c r="PUZ200" s="697"/>
      <c r="PVA200" s="697"/>
      <c r="PVB200" s="697"/>
      <c r="PVC200" s="697"/>
      <c r="PVD200" s="697"/>
      <c r="PVE200" s="697"/>
      <c r="PVF200" s="697"/>
      <c r="PVG200" s="697"/>
      <c r="PVH200" s="697"/>
      <c r="PVI200" s="697"/>
      <c r="PVJ200" s="697"/>
      <c r="PVK200" s="697"/>
      <c r="PVL200" s="697"/>
      <c r="PVM200" s="697"/>
      <c r="PVN200" s="697"/>
      <c r="PVO200" s="697"/>
      <c r="PVP200" s="697"/>
      <c r="PVQ200" s="697"/>
      <c r="PVR200" s="697"/>
      <c r="PVS200" s="697"/>
      <c r="PVT200" s="697"/>
      <c r="PVU200" s="697"/>
      <c r="PVV200" s="697"/>
      <c r="PVW200" s="697"/>
      <c r="PVX200" s="697"/>
      <c r="PVY200" s="697"/>
      <c r="PVZ200" s="697"/>
      <c r="PWA200" s="697"/>
      <c r="PWB200" s="697"/>
      <c r="PWC200" s="697"/>
      <c r="PWD200" s="697"/>
      <c r="PWE200" s="697"/>
      <c r="PWF200" s="697"/>
      <c r="PWG200" s="697"/>
      <c r="PWH200" s="697"/>
      <c r="PWI200" s="697"/>
      <c r="PWJ200" s="697"/>
      <c r="PWK200" s="697"/>
      <c r="PWL200" s="697"/>
      <c r="PWM200" s="697"/>
      <c r="PWN200" s="697"/>
      <c r="PWO200" s="697"/>
      <c r="PWP200" s="697"/>
      <c r="PWQ200" s="697"/>
      <c r="PWR200" s="697"/>
      <c r="PWS200" s="697"/>
      <c r="PWT200" s="697"/>
      <c r="PWU200" s="697"/>
      <c r="PWV200" s="697"/>
      <c r="PWW200" s="697"/>
      <c r="PWX200" s="697"/>
      <c r="PWY200" s="697"/>
      <c r="PWZ200" s="697"/>
      <c r="PXA200" s="697"/>
      <c r="PXB200" s="697"/>
      <c r="PXC200" s="697"/>
      <c r="PXD200" s="697"/>
      <c r="PXE200" s="697"/>
      <c r="PXF200" s="697"/>
      <c r="PXG200" s="697"/>
      <c r="PXH200" s="697"/>
      <c r="PXI200" s="697"/>
      <c r="PXJ200" s="697"/>
      <c r="PXK200" s="697"/>
      <c r="PXL200" s="697"/>
      <c r="PXM200" s="697"/>
      <c r="PXN200" s="697"/>
      <c r="PXO200" s="697"/>
      <c r="PXP200" s="697"/>
      <c r="PXQ200" s="697"/>
      <c r="PXR200" s="697"/>
      <c r="PXS200" s="697"/>
      <c r="PXT200" s="697"/>
      <c r="PXU200" s="697"/>
      <c r="PXV200" s="697"/>
      <c r="PXW200" s="697"/>
      <c r="PXX200" s="697"/>
      <c r="PXY200" s="697"/>
      <c r="PXZ200" s="697"/>
      <c r="PYA200" s="697"/>
      <c r="PYB200" s="697"/>
      <c r="PYC200" s="697"/>
      <c r="PYD200" s="697"/>
      <c r="PYE200" s="697"/>
      <c r="PYF200" s="697"/>
      <c r="PYG200" s="697"/>
      <c r="PYH200" s="697"/>
      <c r="PYI200" s="697"/>
      <c r="PYJ200" s="697"/>
      <c r="PYK200" s="697"/>
      <c r="PYL200" s="697"/>
      <c r="PYM200" s="697"/>
      <c r="PYN200" s="697"/>
      <c r="PYO200" s="697"/>
      <c r="PYP200" s="697"/>
      <c r="PYQ200" s="697"/>
      <c r="PYR200" s="697"/>
      <c r="PYS200" s="697"/>
      <c r="PYT200" s="697"/>
      <c r="PYU200" s="697"/>
      <c r="PYV200" s="697"/>
      <c r="PYW200" s="697"/>
      <c r="PYX200" s="697"/>
      <c r="PYY200" s="697"/>
      <c r="PYZ200" s="697"/>
      <c r="PZA200" s="697"/>
      <c r="PZB200" s="697"/>
      <c r="PZC200" s="697"/>
      <c r="PZD200" s="697"/>
      <c r="PZE200" s="697"/>
      <c r="PZF200" s="697"/>
      <c r="PZG200" s="697"/>
      <c r="PZH200" s="697"/>
      <c r="PZI200" s="697"/>
      <c r="PZJ200" s="697"/>
      <c r="PZK200" s="697"/>
      <c r="PZL200" s="697"/>
      <c r="PZM200" s="697"/>
      <c r="PZN200" s="697"/>
      <c r="PZO200" s="697"/>
      <c r="PZP200" s="697"/>
      <c r="PZQ200" s="697"/>
      <c r="PZR200" s="697"/>
      <c r="PZS200" s="697"/>
      <c r="PZT200" s="697"/>
      <c r="PZU200" s="697"/>
      <c r="PZV200" s="697"/>
      <c r="PZW200" s="697"/>
      <c r="PZX200" s="697"/>
      <c r="PZY200" s="697"/>
      <c r="PZZ200" s="697"/>
      <c r="QAA200" s="697"/>
      <c r="QAB200" s="697"/>
      <c r="QAC200" s="697"/>
      <c r="QAD200" s="697"/>
      <c r="QAE200" s="697"/>
      <c r="QAF200" s="697"/>
      <c r="QAG200" s="697"/>
      <c r="QAH200" s="697"/>
      <c r="QAI200" s="697"/>
      <c r="QAJ200" s="697"/>
      <c r="QAK200" s="697"/>
      <c r="QAL200" s="697"/>
      <c r="QAM200" s="697"/>
      <c r="QAN200" s="697"/>
      <c r="QAO200" s="697"/>
      <c r="QAP200" s="697"/>
      <c r="QAQ200" s="697"/>
      <c r="QAR200" s="697"/>
      <c r="QAS200" s="697"/>
      <c r="QAT200" s="697"/>
      <c r="QAU200" s="697"/>
      <c r="QAV200" s="697"/>
      <c r="QAW200" s="697"/>
      <c r="QAX200" s="697"/>
      <c r="QAY200" s="697"/>
      <c r="QAZ200" s="697"/>
      <c r="QBA200" s="697"/>
      <c r="QBB200" s="697"/>
      <c r="QBC200" s="697"/>
      <c r="QBD200" s="697"/>
      <c r="QBE200" s="697"/>
      <c r="QBF200" s="697"/>
      <c r="QBG200" s="697"/>
      <c r="QBH200" s="697"/>
      <c r="QBI200" s="697"/>
      <c r="QBJ200" s="697"/>
      <c r="QBK200" s="697"/>
      <c r="QBL200" s="697"/>
      <c r="QBM200" s="697"/>
      <c r="QBN200" s="697"/>
      <c r="QBO200" s="697"/>
      <c r="QBP200" s="697"/>
      <c r="QBQ200" s="697"/>
      <c r="QBR200" s="697"/>
      <c r="QBS200" s="697"/>
      <c r="QBT200" s="697"/>
      <c r="QBU200" s="697"/>
      <c r="QBV200" s="697"/>
      <c r="QBW200" s="697"/>
      <c r="QBX200" s="697"/>
      <c r="QBY200" s="697"/>
      <c r="QBZ200" s="697"/>
      <c r="QCA200" s="697"/>
      <c r="QCB200" s="697"/>
      <c r="QCC200" s="697"/>
      <c r="QCD200" s="697"/>
      <c r="QCE200" s="697"/>
      <c r="QCF200" s="697"/>
      <c r="QCG200" s="697"/>
      <c r="QCH200" s="697"/>
      <c r="QCI200" s="697"/>
      <c r="QCJ200" s="697"/>
      <c r="QCK200" s="697"/>
      <c r="QCL200" s="697"/>
      <c r="QCM200" s="697"/>
      <c r="QCN200" s="697"/>
      <c r="QCO200" s="697"/>
      <c r="QCP200" s="697"/>
      <c r="QCQ200" s="697"/>
      <c r="QCR200" s="697"/>
      <c r="QCS200" s="697"/>
      <c r="QCT200" s="697"/>
      <c r="QCU200" s="697"/>
      <c r="QCV200" s="697"/>
      <c r="QCW200" s="697"/>
      <c r="QCX200" s="697"/>
      <c r="QCY200" s="697"/>
      <c r="QCZ200" s="697"/>
      <c r="QDA200" s="697"/>
      <c r="QDB200" s="697"/>
      <c r="QDC200" s="697"/>
      <c r="QDD200" s="697"/>
      <c r="QDE200" s="697"/>
      <c r="QDF200" s="697"/>
      <c r="QDG200" s="697"/>
      <c r="QDH200" s="697"/>
      <c r="QDI200" s="697"/>
      <c r="QDJ200" s="697"/>
      <c r="QDK200" s="697"/>
      <c r="QDL200" s="697"/>
      <c r="QDM200" s="697"/>
      <c r="QDN200" s="697"/>
      <c r="QDO200" s="697"/>
      <c r="QDP200" s="697"/>
      <c r="QDQ200" s="697"/>
      <c r="QDR200" s="697"/>
      <c r="QDS200" s="697"/>
      <c r="QDT200" s="697"/>
      <c r="QDU200" s="697"/>
      <c r="QDV200" s="697"/>
      <c r="QDW200" s="697"/>
      <c r="QDX200" s="697"/>
      <c r="QDY200" s="697"/>
      <c r="QDZ200" s="697"/>
      <c r="QEA200" s="697"/>
      <c r="QEB200" s="697"/>
      <c r="QEC200" s="697"/>
      <c r="QED200" s="697"/>
      <c r="QEE200" s="697"/>
      <c r="QEF200" s="697"/>
      <c r="QEG200" s="697"/>
      <c r="QEH200" s="697"/>
      <c r="QEI200" s="697"/>
      <c r="QEJ200" s="697"/>
      <c r="QEK200" s="697"/>
      <c r="QEL200" s="697"/>
      <c r="QEM200" s="697"/>
      <c r="QEN200" s="697"/>
      <c r="QEO200" s="697"/>
      <c r="QEP200" s="697"/>
      <c r="QEQ200" s="697"/>
      <c r="QER200" s="697"/>
      <c r="QES200" s="697"/>
      <c r="QET200" s="697"/>
      <c r="QEU200" s="697"/>
      <c r="QEV200" s="697"/>
      <c r="QEW200" s="697"/>
      <c r="QEX200" s="697"/>
      <c r="QEY200" s="697"/>
      <c r="QEZ200" s="697"/>
      <c r="QFA200" s="697"/>
      <c r="QFB200" s="697"/>
      <c r="QFC200" s="697"/>
      <c r="QFD200" s="697"/>
      <c r="QFE200" s="697"/>
      <c r="QFF200" s="697"/>
      <c r="QFG200" s="697"/>
      <c r="QFH200" s="697"/>
      <c r="QFI200" s="697"/>
      <c r="QFJ200" s="697"/>
      <c r="QFK200" s="697"/>
      <c r="QFL200" s="697"/>
      <c r="QFM200" s="697"/>
      <c r="QFN200" s="697"/>
      <c r="QFO200" s="697"/>
      <c r="QFP200" s="697"/>
      <c r="QFQ200" s="697"/>
      <c r="QFR200" s="697"/>
      <c r="QFS200" s="697"/>
      <c r="QFT200" s="697"/>
      <c r="QFU200" s="697"/>
      <c r="QFV200" s="697"/>
      <c r="QFW200" s="697"/>
      <c r="QFX200" s="697"/>
      <c r="QFY200" s="697"/>
      <c r="QFZ200" s="697"/>
      <c r="QGA200" s="697"/>
      <c r="QGB200" s="697"/>
      <c r="QGC200" s="697"/>
      <c r="QGD200" s="697"/>
      <c r="QGE200" s="697"/>
      <c r="QGF200" s="697"/>
      <c r="QGG200" s="697"/>
      <c r="QGH200" s="697"/>
      <c r="QGI200" s="697"/>
      <c r="QGJ200" s="697"/>
      <c r="QGK200" s="697"/>
      <c r="QGL200" s="697"/>
      <c r="QGM200" s="697"/>
      <c r="QGN200" s="697"/>
      <c r="QGO200" s="697"/>
      <c r="QGP200" s="697"/>
      <c r="QGQ200" s="697"/>
      <c r="QGR200" s="697"/>
      <c r="QGS200" s="697"/>
      <c r="QGT200" s="697"/>
      <c r="QGU200" s="697"/>
      <c r="QGV200" s="697"/>
      <c r="QGW200" s="697"/>
      <c r="QGX200" s="697"/>
      <c r="QGY200" s="697"/>
      <c r="QGZ200" s="697"/>
      <c r="QHA200" s="697"/>
      <c r="QHB200" s="697"/>
      <c r="QHC200" s="697"/>
      <c r="QHD200" s="697"/>
      <c r="QHE200" s="697"/>
      <c r="QHF200" s="697"/>
      <c r="QHG200" s="697"/>
      <c r="QHH200" s="697"/>
      <c r="QHI200" s="697"/>
      <c r="QHJ200" s="697"/>
      <c r="QHK200" s="697"/>
      <c r="QHL200" s="697"/>
      <c r="QHM200" s="697"/>
      <c r="QHN200" s="697"/>
      <c r="QHO200" s="697"/>
      <c r="QHP200" s="697"/>
      <c r="QHQ200" s="697"/>
      <c r="QHR200" s="697"/>
      <c r="QHS200" s="697"/>
      <c r="QHT200" s="697"/>
      <c r="QHU200" s="697"/>
      <c r="QHV200" s="697"/>
      <c r="QHW200" s="697"/>
      <c r="QHX200" s="697"/>
      <c r="QHY200" s="697"/>
      <c r="QHZ200" s="697"/>
      <c r="QIA200" s="697"/>
      <c r="QIB200" s="697"/>
      <c r="QIC200" s="697"/>
      <c r="QID200" s="697"/>
      <c r="QIE200" s="697"/>
      <c r="QIF200" s="697"/>
      <c r="QIG200" s="697"/>
      <c r="QIH200" s="697"/>
      <c r="QII200" s="697"/>
      <c r="QIJ200" s="697"/>
      <c r="QIK200" s="697"/>
      <c r="QIL200" s="697"/>
      <c r="QIM200" s="697"/>
      <c r="QIN200" s="697"/>
      <c r="QIO200" s="697"/>
      <c r="QIP200" s="697"/>
      <c r="QIQ200" s="697"/>
      <c r="QIR200" s="697"/>
      <c r="QIS200" s="697"/>
      <c r="QIT200" s="697"/>
      <c r="QIU200" s="697"/>
      <c r="QIV200" s="697"/>
      <c r="QIW200" s="697"/>
      <c r="QIX200" s="697"/>
      <c r="QIY200" s="697"/>
      <c r="QIZ200" s="697"/>
      <c r="QJA200" s="697"/>
      <c r="QJB200" s="697"/>
      <c r="QJC200" s="697"/>
      <c r="QJD200" s="697"/>
      <c r="QJE200" s="697"/>
      <c r="QJF200" s="697"/>
      <c r="QJG200" s="697"/>
      <c r="QJH200" s="697"/>
      <c r="QJI200" s="697"/>
      <c r="QJJ200" s="697"/>
      <c r="QJK200" s="697"/>
      <c r="QJL200" s="697"/>
      <c r="QJM200" s="697"/>
      <c r="QJN200" s="697"/>
      <c r="QJO200" s="697"/>
      <c r="QJP200" s="697"/>
      <c r="QJQ200" s="697"/>
      <c r="QJR200" s="697"/>
      <c r="QJS200" s="697"/>
      <c r="QJT200" s="697"/>
      <c r="QJU200" s="697"/>
      <c r="QJV200" s="697"/>
      <c r="QJW200" s="697"/>
      <c r="QJX200" s="697"/>
      <c r="QJY200" s="697"/>
      <c r="QJZ200" s="697"/>
      <c r="QKA200" s="697"/>
      <c r="QKB200" s="697"/>
      <c r="QKC200" s="697"/>
      <c r="QKD200" s="697"/>
      <c r="QKE200" s="697"/>
      <c r="QKF200" s="697"/>
      <c r="QKG200" s="697"/>
      <c r="QKH200" s="697"/>
      <c r="QKI200" s="697"/>
      <c r="QKJ200" s="697"/>
      <c r="QKK200" s="697"/>
      <c r="QKL200" s="697"/>
      <c r="QKM200" s="697"/>
      <c r="QKN200" s="697"/>
      <c r="QKO200" s="697"/>
      <c r="QKP200" s="697"/>
      <c r="QKQ200" s="697"/>
      <c r="QKR200" s="697"/>
      <c r="QKS200" s="697"/>
      <c r="QKT200" s="697"/>
      <c r="QKU200" s="697"/>
      <c r="QKV200" s="697"/>
      <c r="QKW200" s="697"/>
      <c r="QKX200" s="697"/>
      <c r="QKY200" s="697"/>
      <c r="QKZ200" s="697"/>
      <c r="QLA200" s="697"/>
      <c r="QLB200" s="697"/>
      <c r="QLC200" s="697"/>
      <c r="QLD200" s="697"/>
      <c r="QLE200" s="697"/>
      <c r="QLF200" s="697"/>
      <c r="QLG200" s="697"/>
      <c r="QLH200" s="697"/>
      <c r="QLI200" s="697"/>
      <c r="QLJ200" s="697"/>
      <c r="QLK200" s="697"/>
      <c r="QLL200" s="697"/>
      <c r="QLM200" s="697"/>
      <c r="QLN200" s="697"/>
      <c r="QLO200" s="697"/>
      <c r="QLP200" s="697"/>
      <c r="QLQ200" s="697"/>
      <c r="QLR200" s="697"/>
      <c r="QLS200" s="697"/>
      <c r="QLT200" s="697"/>
      <c r="QLU200" s="697"/>
      <c r="QLV200" s="697"/>
      <c r="QLW200" s="697"/>
      <c r="QLX200" s="697"/>
      <c r="QLY200" s="697"/>
      <c r="QLZ200" s="697"/>
      <c r="QMA200" s="697"/>
      <c r="QMB200" s="697"/>
      <c r="QMC200" s="697"/>
      <c r="QMD200" s="697"/>
      <c r="QME200" s="697"/>
      <c r="QMF200" s="697"/>
      <c r="QMG200" s="697"/>
      <c r="QMH200" s="697"/>
      <c r="QMI200" s="697"/>
      <c r="QMJ200" s="697"/>
      <c r="QMK200" s="697"/>
      <c r="QML200" s="697"/>
      <c r="QMM200" s="697"/>
      <c r="QMN200" s="697"/>
      <c r="QMO200" s="697"/>
      <c r="QMP200" s="697"/>
      <c r="QMQ200" s="697"/>
      <c r="QMR200" s="697"/>
      <c r="QMS200" s="697"/>
      <c r="QMT200" s="697"/>
      <c r="QMU200" s="697"/>
      <c r="QMV200" s="697"/>
      <c r="QMW200" s="697"/>
      <c r="QMX200" s="697"/>
      <c r="QMY200" s="697"/>
      <c r="QMZ200" s="697"/>
      <c r="QNA200" s="697"/>
      <c r="QNB200" s="697"/>
      <c r="QNC200" s="697"/>
      <c r="QND200" s="697"/>
      <c r="QNE200" s="697"/>
      <c r="QNF200" s="697"/>
      <c r="QNG200" s="697"/>
      <c r="QNH200" s="697"/>
      <c r="QNI200" s="697"/>
      <c r="QNJ200" s="697"/>
      <c r="QNK200" s="697"/>
      <c r="QNL200" s="697"/>
      <c r="QNM200" s="697"/>
      <c r="QNN200" s="697"/>
      <c r="QNO200" s="697"/>
      <c r="QNP200" s="697"/>
      <c r="QNQ200" s="697"/>
      <c r="QNR200" s="697"/>
      <c r="QNS200" s="697"/>
      <c r="QNT200" s="697"/>
      <c r="QNU200" s="697"/>
      <c r="QNV200" s="697"/>
      <c r="QNW200" s="697"/>
      <c r="QNX200" s="697"/>
      <c r="QNY200" s="697"/>
      <c r="QNZ200" s="697"/>
      <c r="QOA200" s="697"/>
      <c r="QOB200" s="697"/>
      <c r="QOC200" s="697"/>
      <c r="QOD200" s="697"/>
      <c r="QOE200" s="697"/>
      <c r="QOF200" s="697"/>
      <c r="QOG200" s="697"/>
      <c r="QOH200" s="697"/>
      <c r="QOI200" s="697"/>
      <c r="QOJ200" s="697"/>
      <c r="QOK200" s="697"/>
      <c r="QOL200" s="697"/>
      <c r="QOM200" s="697"/>
      <c r="QON200" s="697"/>
      <c r="QOO200" s="697"/>
      <c r="QOP200" s="697"/>
      <c r="QOQ200" s="697"/>
      <c r="QOR200" s="697"/>
      <c r="QOS200" s="697"/>
      <c r="QOT200" s="697"/>
      <c r="QOU200" s="697"/>
      <c r="QOV200" s="697"/>
      <c r="QOW200" s="697"/>
      <c r="QOX200" s="697"/>
      <c r="QOY200" s="697"/>
      <c r="QOZ200" s="697"/>
      <c r="QPA200" s="697"/>
      <c r="QPB200" s="697"/>
      <c r="QPC200" s="697"/>
      <c r="QPD200" s="697"/>
      <c r="QPE200" s="697"/>
      <c r="QPF200" s="697"/>
      <c r="QPG200" s="697"/>
      <c r="QPH200" s="697"/>
      <c r="QPI200" s="697"/>
      <c r="QPJ200" s="697"/>
      <c r="QPK200" s="697"/>
      <c r="QPL200" s="697"/>
      <c r="QPM200" s="697"/>
      <c r="QPN200" s="697"/>
      <c r="QPO200" s="697"/>
      <c r="QPP200" s="697"/>
      <c r="QPQ200" s="697"/>
      <c r="QPR200" s="697"/>
      <c r="QPS200" s="697"/>
      <c r="QPT200" s="697"/>
      <c r="QPU200" s="697"/>
      <c r="QPV200" s="697"/>
      <c r="QPW200" s="697"/>
      <c r="QPX200" s="697"/>
      <c r="QPY200" s="697"/>
      <c r="QPZ200" s="697"/>
      <c r="QQA200" s="697"/>
      <c r="QQB200" s="697"/>
      <c r="QQC200" s="697"/>
      <c r="QQD200" s="697"/>
      <c r="QQE200" s="697"/>
      <c r="QQF200" s="697"/>
      <c r="QQG200" s="697"/>
      <c r="QQH200" s="697"/>
      <c r="QQI200" s="697"/>
      <c r="QQJ200" s="697"/>
      <c r="QQK200" s="697"/>
      <c r="QQL200" s="697"/>
      <c r="QQM200" s="697"/>
      <c r="QQN200" s="697"/>
      <c r="QQO200" s="697"/>
      <c r="QQP200" s="697"/>
      <c r="QQQ200" s="697"/>
      <c r="QQR200" s="697"/>
      <c r="QQS200" s="697"/>
      <c r="QQT200" s="697"/>
      <c r="QQU200" s="697"/>
      <c r="QQV200" s="697"/>
      <c r="QQW200" s="697"/>
      <c r="QQX200" s="697"/>
      <c r="QQY200" s="697"/>
      <c r="QQZ200" s="697"/>
      <c r="QRA200" s="697"/>
      <c r="QRB200" s="697"/>
      <c r="QRC200" s="697"/>
      <c r="QRD200" s="697"/>
      <c r="QRE200" s="697"/>
      <c r="QRF200" s="697"/>
      <c r="QRG200" s="697"/>
      <c r="QRH200" s="697"/>
      <c r="QRI200" s="697"/>
      <c r="QRJ200" s="697"/>
      <c r="QRK200" s="697"/>
      <c r="QRL200" s="697"/>
      <c r="QRM200" s="697"/>
      <c r="QRN200" s="697"/>
      <c r="QRO200" s="697"/>
      <c r="QRP200" s="697"/>
      <c r="QRQ200" s="697"/>
      <c r="QRR200" s="697"/>
      <c r="QRS200" s="697"/>
      <c r="QRT200" s="697"/>
      <c r="QRU200" s="697"/>
      <c r="QRV200" s="697"/>
      <c r="QRW200" s="697"/>
      <c r="QRX200" s="697"/>
      <c r="QRY200" s="697"/>
      <c r="QRZ200" s="697"/>
      <c r="QSA200" s="697"/>
      <c r="QSB200" s="697"/>
      <c r="QSC200" s="697"/>
      <c r="QSD200" s="697"/>
      <c r="QSE200" s="697"/>
      <c r="QSF200" s="697"/>
      <c r="QSG200" s="697"/>
      <c r="QSH200" s="697"/>
      <c r="QSI200" s="697"/>
      <c r="QSJ200" s="697"/>
      <c r="QSK200" s="697"/>
      <c r="QSL200" s="697"/>
      <c r="QSM200" s="697"/>
      <c r="QSN200" s="697"/>
      <c r="QSO200" s="697"/>
      <c r="QSP200" s="697"/>
      <c r="QSQ200" s="697"/>
      <c r="QSR200" s="697"/>
      <c r="QSS200" s="697"/>
      <c r="QST200" s="697"/>
      <c r="QSU200" s="697"/>
      <c r="QSV200" s="697"/>
      <c r="QSW200" s="697"/>
      <c r="QSX200" s="697"/>
      <c r="QSY200" s="697"/>
      <c r="QSZ200" s="697"/>
      <c r="QTA200" s="697"/>
      <c r="QTB200" s="697"/>
      <c r="QTC200" s="697"/>
      <c r="QTD200" s="697"/>
      <c r="QTE200" s="697"/>
      <c r="QTF200" s="697"/>
      <c r="QTG200" s="697"/>
      <c r="QTH200" s="697"/>
      <c r="QTI200" s="697"/>
      <c r="QTJ200" s="697"/>
      <c r="QTK200" s="697"/>
      <c r="QTL200" s="697"/>
      <c r="QTM200" s="697"/>
      <c r="QTN200" s="697"/>
      <c r="QTO200" s="697"/>
      <c r="QTP200" s="697"/>
      <c r="QTQ200" s="697"/>
      <c r="QTR200" s="697"/>
      <c r="QTS200" s="697"/>
      <c r="QTT200" s="697"/>
      <c r="QTU200" s="697"/>
      <c r="QTV200" s="697"/>
      <c r="QTW200" s="697"/>
      <c r="QTX200" s="697"/>
      <c r="QTY200" s="697"/>
      <c r="QTZ200" s="697"/>
      <c r="QUA200" s="697"/>
      <c r="QUB200" s="697"/>
      <c r="QUC200" s="697"/>
      <c r="QUD200" s="697"/>
      <c r="QUE200" s="697"/>
      <c r="QUF200" s="697"/>
      <c r="QUG200" s="697"/>
      <c r="QUH200" s="697"/>
      <c r="QUI200" s="697"/>
      <c r="QUJ200" s="697"/>
      <c r="QUK200" s="697"/>
      <c r="QUL200" s="697"/>
      <c r="QUM200" s="697"/>
      <c r="QUN200" s="697"/>
      <c r="QUO200" s="697"/>
      <c r="QUP200" s="697"/>
      <c r="QUQ200" s="697"/>
      <c r="QUR200" s="697"/>
      <c r="QUS200" s="697"/>
      <c r="QUT200" s="697"/>
      <c r="QUU200" s="697"/>
      <c r="QUV200" s="697"/>
      <c r="QUW200" s="697"/>
      <c r="QUX200" s="697"/>
      <c r="QUY200" s="697"/>
      <c r="QUZ200" s="697"/>
      <c r="QVA200" s="697"/>
      <c r="QVB200" s="697"/>
      <c r="QVC200" s="697"/>
      <c r="QVD200" s="697"/>
      <c r="QVE200" s="697"/>
      <c r="QVF200" s="697"/>
      <c r="QVG200" s="697"/>
      <c r="QVH200" s="697"/>
      <c r="QVI200" s="697"/>
      <c r="QVJ200" s="697"/>
      <c r="QVK200" s="697"/>
      <c r="QVL200" s="697"/>
      <c r="QVM200" s="697"/>
      <c r="QVN200" s="697"/>
      <c r="QVO200" s="697"/>
      <c r="QVP200" s="697"/>
      <c r="QVQ200" s="697"/>
      <c r="QVR200" s="697"/>
      <c r="QVS200" s="697"/>
      <c r="QVT200" s="697"/>
      <c r="QVU200" s="697"/>
      <c r="QVV200" s="697"/>
      <c r="QVW200" s="697"/>
      <c r="QVX200" s="697"/>
      <c r="QVY200" s="697"/>
      <c r="QVZ200" s="697"/>
      <c r="QWA200" s="697"/>
      <c r="QWB200" s="697"/>
      <c r="QWC200" s="697"/>
      <c r="QWD200" s="697"/>
      <c r="QWE200" s="697"/>
      <c r="QWF200" s="697"/>
      <c r="QWG200" s="697"/>
      <c r="QWH200" s="697"/>
      <c r="QWI200" s="697"/>
      <c r="QWJ200" s="697"/>
      <c r="QWK200" s="697"/>
      <c r="QWL200" s="697"/>
      <c r="QWM200" s="697"/>
      <c r="QWN200" s="697"/>
      <c r="QWO200" s="697"/>
      <c r="QWP200" s="697"/>
      <c r="QWQ200" s="697"/>
      <c r="QWR200" s="697"/>
      <c r="QWS200" s="697"/>
      <c r="QWT200" s="697"/>
      <c r="QWU200" s="697"/>
      <c r="QWV200" s="697"/>
      <c r="QWW200" s="697"/>
      <c r="QWX200" s="697"/>
      <c r="QWY200" s="697"/>
      <c r="QWZ200" s="697"/>
      <c r="QXA200" s="697"/>
      <c r="QXB200" s="697"/>
      <c r="QXC200" s="697"/>
      <c r="QXD200" s="697"/>
      <c r="QXE200" s="697"/>
      <c r="QXF200" s="697"/>
      <c r="QXG200" s="697"/>
      <c r="QXH200" s="697"/>
      <c r="QXI200" s="697"/>
      <c r="QXJ200" s="697"/>
      <c r="QXK200" s="697"/>
      <c r="QXL200" s="697"/>
      <c r="QXM200" s="697"/>
      <c r="QXN200" s="697"/>
      <c r="QXO200" s="697"/>
      <c r="QXP200" s="697"/>
      <c r="QXQ200" s="697"/>
      <c r="QXR200" s="697"/>
      <c r="QXS200" s="697"/>
      <c r="QXT200" s="697"/>
      <c r="QXU200" s="697"/>
      <c r="QXV200" s="697"/>
      <c r="QXW200" s="697"/>
      <c r="QXX200" s="697"/>
      <c r="QXY200" s="697"/>
      <c r="QXZ200" s="697"/>
      <c r="QYA200" s="697"/>
      <c r="QYB200" s="697"/>
      <c r="QYC200" s="697"/>
      <c r="QYD200" s="697"/>
      <c r="QYE200" s="697"/>
      <c r="QYF200" s="697"/>
      <c r="QYG200" s="697"/>
      <c r="QYH200" s="697"/>
      <c r="QYI200" s="697"/>
      <c r="QYJ200" s="697"/>
      <c r="QYK200" s="697"/>
      <c r="QYL200" s="697"/>
      <c r="QYM200" s="697"/>
      <c r="QYN200" s="697"/>
      <c r="QYO200" s="697"/>
      <c r="QYP200" s="697"/>
      <c r="QYQ200" s="697"/>
      <c r="QYR200" s="697"/>
      <c r="QYS200" s="697"/>
      <c r="QYT200" s="697"/>
      <c r="QYU200" s="697"/>
      <c r="QYV200" s="697"/>
      <c r="QYW200" s="697"/>
      <c r="QYX200" s="697"/>
      <c r="QYY200" s="697"/>
      <c r="QYZ200" s="697"/>
      <c r="QZA200" s="697"/>
      <c r="QZB200" s="697"/>
      <c r="QZC200" s="697"/>
      <c r="QZD200" s="697"/>
      <c r="QZE200" s="697"/>
      <c r="QZF200" s="697"/>
      <c r="QZG200" s="697"/>
      <c r="QZH200" s="697"/>
      <c r="QZI200" s="697"/>
      <c r="QZJ200" s="697"/>
      <c r="QZK200" s="697"/>
      <c r="QZL200" s="697"/>
      <c r="QZM200" s="697"/>
      <c r="QZN200" s="697"/>
      <c r="QZO200" s="697"/>
      <c r="QZP200" s="697"/>
      <c r="QZQ200" s="697"/>
      <c r="QZR200" s="697"/>
      <c r="QZS200" s="697"/>
      <c r="QZT200" s="697"/>
      <c r="QZU200" s="697"/>
      <c r="QZV200" s="697"/>
      <c r="QZW200" s="697"/>
      <c r="QZX200" s="697"/>
      <c r="QZY200" s="697"/>
      <c r="QZZ200" s="697"/>
      <c r="RAA200" s="697"/>
      <c r="RAB200" s="697"/>
      <c r="RAC200" s="697"/>
      <c r="RAD200" s="697"/>
      <c r="RAE200" s="697"/>
      <c r="RAF200" s="697"/>
      <c r="RAG200" s="697"/>
      <c r="RAH200" s="697"/>
      <c r="RAI200" s="697"/>
      <c r="RAJ200" s="697"/>
      <c r="RAK200" s="697"/>
      <c r="RAL200" s="697"/>
      <c r="RAM200" s="697"/>
      <c r="RAN200" s="697"/>
      <c r="RAO200" s="697"/>
      <c r="RAP200" s="697"/>
      <c r="RAQ200" s="697"/>
      <c r="RAR200" s="697"/>
      <c r="RAS200" s="697"/>
      <c r="RAT200" s="697"/>
      <c r="RAU200" s="697"/>
      <c r="RAV200" s="697"/>
      <c r="RAW200" s="697"/>
      <c r="RAX200" s="697"/>
      <c r="RAY200" s="697"/>
      <c r="RAZ200" s="697"/>
      <c r="RBA200" s="697"/>
      <c r="RBB200" s="697"/>
      <c r="RBC200" s="697"/>
      <c r="RBD200" s="697"/>
      <c r="RBE200" s="697"/>
      <c r="RBF200" s="697"/>
      <c r="RBG200" s="697"/>
      <c r="RBH200" s="697"/>
      <c r="RBI200" s="697"/>
      <c r="RBJ200" s="697"/>
      <c r="RBK200" s="697"/>
      <c r="RBL200" s="697"/>
      <c r="RBM200" s="697"/>
      <c r="RBN200" s="697"/>
      <c r="RBO200" s="697"/>
      <c r="RBP200" s="697"/>
      <c r="RBQ200" s="697"/>
      <c r="RBR200" s="697"/>
      <c r="RBS200" s="697"/>
      <c r="RBT200" s="697"/>
      <c r="RBU200" s="697"/>
      <c r="RBV200" s="697"/>
      <c r="RBW200" s="697"/>
      <c r="RBX200" s="697"/>
      <c r="RBY200" s="697"/>
      <c r="RBZ200" s="697"/>
      <c r="RCA200" s="697"/>
      <c r="RCB200" s="697"/>
      <c r="RCC200" s="697"/>
      <c r="RCD200" s="697"/>
      <c r="RCE200" s="697"/>
      <c r="RCF200" s="697"/>
      <c r="RCG200" s="697"/>
      <c r="RCH200" s="697"/>
      <c r="RCI200" s="697"/>
      <c r="RCJ200" s="697"/>
      <c r="RCK200" s="697"/>
      <c r="RCL200" s="697"/>
      <c r="RCM200" s="697"/>
      <c r="RCN200" s="697"/>
      <c r="RCO200" s="697"/>
      <c r="RCP200" s="697"/>
      <c r="RCQ200" s="697"/>
      <c r="RCR200" s="697"/>
      <c r="RCS200" s="697"/>
      <c r="RCT200" s="697"/>
      <c r="RCU200" s="697"/>
      <c r="RCV200" s="697"/>
      <c r="RCW200" s="697"/>
      <c r="RCX200" s="697"/>
      <c r="RCY200" s="697"/>
      <c r="RCZ200" s="697"/>
      <c r="RDA200" s="697"/>
      <c r="RDB200" s="697"/>
      <c r="RDC200" s="697"/>
      <c r="RDD200" s="697"/>
      <c r="RDE200" s="697"/>
      <c r="RDF200" s="697"/>
      <c r="RDG200" s="697"/>
      <c r="RDH200" s="697"/>
      <c r="RDI200" s="697"/>
      <c r="RDJ200" s="697"/>
      <c r="RDK200" s="697"/>
      <c r="RDL200" s="697"/>
      <c r="RDM200" s="697"/>
      <c r="RDN200" s="697"/>
      <c r="RDO200" s="697"/>
      <c r="RDP200" s="697"/>
      <c r="RDQ200" s="697"/>
      <c r="RDR200" s="697"/>
      <c r="RDS200" s="697"/>
      <c r="RDT200" s="697"/>
      <c r="RDU200" s="697"/>
      <c r="RDV200" s="697"/>
      <c r="RDW200" s="697"/>
      <c r="RDX200" s="697"/>
      <c r="RDY200" s="697"/>
      <c r="RDZ200" s="697"/>
      <c r="REA200" s="697"/>
      <c r="REB200" s="697"/>
      <c r="REC200" s="697"/>
      <c r="RED200" s="697"/>
      <c r="REE200" s="697"/>
      <c r="REF200" s="697"/>
      <c r="REG200" s="697"/>
      <c r="REH200" s="697"/>
      <c r="REI200" s="697"/>
      <c r="REJ200" s="697"/>
      <c r="REK200" s="697"/>
      <c r="REL200" s="697"/>
      <c r="REM200" s="697"/>
      <c r="REN200" s="697"/>
      <c r="REO200" s="697"/>
      <c r="REP200" s="697"/>
      <c r="REQ200" s="697"/>
      <c r="RER200" s="697"/>
      <c r="RES200" s="697"/>
      <c r="RET200" s="697"/>
      <c r="REU200" s="697"/>
      <c r="REV200" s="697"/>
      <c r="REW200" s="697"/>
      <c r="REX200" s="697"/>
      <c r="REY200" s="697"/>
      <c r="REZ200" s="697"/>
      <c r="RFA200" s="697"/>
      <c r="RFB200" s="697"/>
      <c r="RFC200" s="697"/>
      <c r="RFD200" s="697"/>
      <c r="RFE200" s="697"/>
      <c r="RFF200" s="697"/>
      <c r="RFG200" s="697"/>
      <c r="RFH200" s="697"/>
      <c r="RFI200" s="697"/>
      <c r="RFJ200" s="697"/>
      <c r="RFK200" s="697"/>
      <c r="RFL200" s="697"/>
      <c r="RFM200" s="697"/>
      <c r="RFN200" s="697"/>
      <c r="RFO200" s="697"/>
      <c r="RFP200" s="697"/>
      <c r="RFQ200" s="697"/>
      <c r="RFR200" s="697"/>
      <c r="RFS200" s="697"/>
      <c r="RFT200" s="697"/>
      <c r="RFU200" s="697"/>
      <c r="RFV200" s="697"/>
      <c r="RFW200" s="697"/>
      <c r="RFX200" s="697"/>
      <c r="RFY200" s="697"/>
      <c r="RFZ200" s="697"/>
      <c r="RGA200" s="697"/>
      <c r="RGB200" s="697"/>
      <c r="RGC200" s="697"/>
      <c r="RGD200" s="697"/>
      <c r="RGE200" s="697"/>
      <c r="RGF200" s="697"/>
      <c r="RGG200" s="697"/>
      <c r="RGH200" s="697"/>
      <c r="RGI200" s="697"/>
      <c r="RGJ200" s="697"/>
      <c r="RGK200" s="697"/>
      <c r="RGL200" s="697"/>
      <c r="RGM200" s="697"/>
      <c r="RGN200" s="697"/>
      <c r="RGO200" s="697"/>
      <c r="RGP200" s="697"/>
      <c r="RGQ200" s="697"/>
      <c r="RGR200" s="697"/>
      <c r="RGS200" s="697"/>
      <c r="RGT200" s="697"/>
      <c r="RGU200" s="697"/>
      <c r="RGV200" s="697"/>
      <c r="RGW200" s="697"/>
      <c r="RGX200" s="697"/>
      <c r="RGY200" s="697"/>
      <c r="RGZ200" s="697"/>
      <c r="RHA200" s="697"/>
      <c r="RHB200" s="697"/>
      <c r="RHC200" s="697"/>
      <c r="RHD200" s="697"/>
      <c r="RHE200" s="697"/>
      <c r="RHF200" s="697"/>
      <c r="RHG200" s="697"/>
      <c r="RHH200" s="697"/>
      <c r="RHI200" s="697"/>
      <c r="RHJ200" s="697"/>
      <c r="RHK200" s="697"/>
      <c r="RHL200" s="697"/>
      <c r="RHM200" s="697"/>
      <c r="RHN200" s="697"/>
      <c r="RHO200" s="697"/>
      <c r="RHP200" s="697"/>
      <c r="RHQ200" s="697"/>
      <c r="RHR200" s="697"/>
      <c r="RHS200" s="697"/>
      <c r="RHT200" s="697"/>
      <c r="RHU200" s="697"/>
      <c r="RHV200" s="697"/>
      <c r="RHW200" s="697"/>
      <c r="RHX200" s="697"/>
      <c r="RHY200" s="697"/>
      <c r="RHZ200" s="697"/>
      <c r="RIA200" s="697"/>
      <c r="RIB200" s="697"/>
      <c r="RIC200" s="697"/>
      <c r="RID200" s="697"/>
      <c r="RIE200" s="697"/>
      <c r="RIF200" s="697"/>
      <c r="RIG200" s="697"/>
      <c r="RIH200" s="697"/>
      <c r="RII200" s="697"/>
      <c r="RIJ200" s="697"/>
      <c r="RIK200" s="697"/>
      <c r="RIL200" s="697"/>
      <c r="RIM200" s="697"/>
      <c r="RIN200" s="697"/>
      <c r="RIO200" s="697"/>
      <c r="RIP200" s="697"/>
      <c r="RIQ200" s="697"/>
      <c r="RIR200" s="697"/>
      <c r="RIS200" s="697"/>
      <c r="RIT200" s="697"/>
      <c r="RIU200" s="697"/>
      <c r="RIV200" s="697"/>
      <c r="RIW200" s="697"/>
      <c r="RIX200" s="697"/>
      <c r="RIY200" s="697"/>
      <c r="RIZ200" s="697"/>
      <c r="RJA200" s="697"/>
      <c r="RJB200" s="697"/>
      <c r="RJC200" s="697"/>
      <c r="RJD200" s="697"/>
      <c r="RJE200" s="697"/>
      <c r="RJF200" s="697"/>
      <c r="RJG200" s="697"/>
      <c r="RJH200" s="697"/>
      <c r="RJI200" s="697"/>
      <c r="RJJ200" s="697"/>
      <c r="RJK200" s="697"/>
      <c r="RJL200" s="697"/>
      <c r="RJM200" s="697"/>
      <c r="RJN200" s="697"/>
      <c r="RJO200" s="697"/>
      <c r="RJP200" s="697"/>
      <c r="RJQ200" s="697"/>
      <c r="RJR200" s="697"/>
      <c r="RJS200" s="697"/>
      <c r="RJT200" s="697"/>
      <c r="RJU200" s="697"/>
      <c r="RJV200" s="697"/>
      <c r="RJW200" s="697"/>
      <c r="RJX200" s="697"/>
      <c r="RJY200" s="697"/>
      <c r="RJZ200" s="697"/>
      <c r="RKA200" s="697"/>
      <c r="RKB200" s="697"/>
      <c r="RKC200" s="697"/>
      <c r="RKD200" s="697"/>
      <c r="RKE200" s="697"/>
      <c r="RKF200" s="697"/>
      <c r="RKG200" s="697"/>
      <c r="RKH200" s="697"/>
      <c r="RKI200" s="697"/>
      <c r="RKJ200" s="697"/>
      <c r="RKK200" s="697"/>
      <c r="RKL200" s="697"/>
      <c r="RKM200" s="697"/>
      <c r="RKN200" s="697"/>
      <c r="RKO200" s="697"/>
      <c r="RKP200" s="697"/>
      <c r="RKQ200" s="697"/>
      <c r="RKR200" s="697"/>
      <c r="RKS200" s="697"/>
      <c r="RKT200" s="697"/>
      <c r="RKU200" s="697"/>
      <c r="RKV200" s="697"/>
      <c r="RKW200" s="697"/>
      <c r="RKX200" s="697"/>
      <c r="RKY200" s="697"/>
      <c r="RKZ200" s="697"/>
      <c r="RLA200" s="697"/>
      <c r="RLB200" s="697"/>
      <c r="RLC200" s="697"/>
      <c r="RLD200" s="697"/>
      <c r="RLE200" s="697"/>
      <c r="RLF200" s="697"/>
      <c r="RLG200" s="697"/>
      <c r="RLH200" s="697"/>
      <c r="RLI200" s="697"/>
      <c r="RLJ200" s="697"/>
      <c r="RLK200" s="697"/>
      <c r="RLL200" s="697"/>
      <c r="RLM200" s="697"/>
      <c r="RLN200" s="697"/>
      <c r="RLO200" s="697"/>
      <c r="RLP200" s="697"/>
      <c r="RLQ200" s="697"/>
      <c r="RLR200" s="697"/>
      <c r="RLS200" s="697"/>
      <c r="RLT200" s="697"/>
      <c r="RLU200" s="697"/>
      <c r="RLV200" s="697"/>
      <c r="RLW200" s="697"/>
      <c r="RLX200" s="697"/>
      <c r="RLY200" s="697"/>
      <c r="RLZ200" s="697"/>
      <c r="RMA200" s="697"/>
      <c r="RMB200" s="697"/>
      <c r="RMC200" s="697"/>
      <c r="RMD200" s="697"/>
      <c r="RME200" s="697"/>
      <c r="RMF200" s="697"/>
      <c r="RMG200" s="697"/>
      <c r="RMH200" s="697"/>
      <c r="RMI200" s="697"/>
      <c r="RMJ200" s="697"/>
      <c r="RMK200" s="697"/>
      <c r="RML200" s="697"/>
      <c r="RMM200" s="697"/>
      <c r="RMN200" s="697"/>
      <c r="RMO200" s="697"/>
      <c r="RMP200" s="697"/>
      <c r="RMQ200" s="697"/>
      <c r="RMR200" s="697"/>
      <c r="RMS200" s="697"/>
      <c r="RMT200" s="697"/>
      <c r="RMU200" s="697"/>
      <c r="RMV200" s="697"/>
      <c r="RMW200" s="697"/>
      <c r="RMX200" s="697"/>
      <c r="RMY200" s="697"/>
      <c r="RMZ200" s="697"/>
      <c r="RNA200" s="697"/>
      <c r="RNB200" s="697"/>
      <c r="RNC200" s="697"/>
      <c r="RND200" s="697"/>
      <c r="RNE200" s="697"/>
      <c r="RNF200" s="697"/>
      <c r="RNG200" s="697"/>
      <c r="RNH200" s="697"/>
      <c r="RNI200" s="697"/>
      <c r="RNJ200" s="697"/>
      <c r="RNK200" s="697"/>
      <c r="RNL200" s="697"/>
      <c r="RNM200" s="697"/>
      <c r="RNN200" s="697"/>
      <c r="RNO200" s="697"/>
      <c r="RNP200" s="697"/>
      <c r="RNQ200" s="697"/>
      <c r="RNR200" s="697"/>
      <c r="RNS200" s="697"/>
      <c r="RNT200" s="697"/>
      <c r="RNU200" s="697"/>
      <c r="RNV200" s="697"/>
      <c r="RNW200" s="697"/>
      <c r="RNX200" s="697"/>
      <c r="RNY200" s="697"/>
      <c r="RNZ200" s="697"/>
      <c r="ROA200" s="697"/>
      <c r="ROB200" s="697"/>
      <c r="ROC200" s="697"/>
      <c r="ROD200" s="697"/>
      <c r="ROE200" s="697"/>
      <c r="ROF200" s="697"/>
      <c r="ROG200" s="697"/>
      <c r="ROH200" s="697"/>
      <c r="ROI200" s="697"/>
      <c r="ROJ200" s="697"/>
      <c r="ROK200" s="697"/>
      <c r="ROL200" s="697"/>
      <c r="ROM200" s="697"/>
      <c r="RON200" s="697"/>
      <c r="ROO200" s="697"/>
      <c r="ROP200" s="697"/>
      <c r="ROQ200" s="697"/>
      <c r="ROR200" s="697"/>
      <c r="ROS200" s="697"/>
      <c r="ROT200" s="697"/>
      <c r="ROU200" s="697"/>
      <c r="ROV200" s="697"/>
      <c r="ROW200" s="697"/>
      <c r="ROX200" s="697"/>
      <c r="ROY200" s="697"/>
      <c r="ROZ200" s="697"/>
      <c r="RPA200" s="697"/>
      <c r="RPB200" s="697"/>
      <c r="RPC200" s="697"/>
      <c r="RPD200" s="697"/>
      <c r="RPE200" s="697"/>
      <c r="RPF200" s="697"/>
      <c r="RPG200" s="697"/>
      <c r="RPH200" s="697"/>
      <c r="RPI200" s="697"/>
      <c r="RPJ200" s="697"/>
      <c r="RPK200" s="697"/>
      <c r="RPL200" s="697"/>
      <c r="RPM200" s="697"/>
      <c r="RPN200" s="697"/>
      <c r="RPO200" s="697"/>
      <c r="RPP200" s="697"/>
      <c r="RPQ200" s="697"/>
      <c r="RPR200" s="697"/>
      <c r="RPS200" s="697"/>
      <c r="RPT200" s="697"/>
      <c r="RPU200" s="697"/>
      <c r="RPV200" s="697"/>
      <c r="RPW200" s="697"/>
      <c r="RPX200" s="697"/>
      <c r="RPY200" s="697"/>
      <c r="RPZ200" s="697"/>
      <c r="RQA200" s="697"/>
      <c r="RQB200" s="697"/>
      <c r="RQC200" s="697"/>
      <c r="RQD200" s="697"/>
      <c r="RQE200" s="697"/>
      <c r="RQF200" s="697"/>
      <c r="RQG200" s="697"/>
      <c r="RQH200" s="697"/>
      <c r="RQI200" s="697"/>
      <c r="RQJ200" s="697"/>
      <c r="RQK200" s="697"/>
      <c r="RQL200" s="697"/>
      <c r="RQM200" s="697"/>
      <c r="RQN200" s="697"/>
      <c r="RQO200" s="697"/>
      <c r="RQP200" s="697"/>
      <c r="RQQ200" s="697"/>
      <c r="RQR200" s="697"/>
      <c r="RQS200" s="697"/>
      <c r="RQT200" s="697"/>
      <c r="RQU200" s="697"/>
      <c r="RQV200" s="697"/>
      <c r="RQW200" s="697"/>
      <c r="RQX200" s="697"/>
      <c r="RQY200" s="697"/>
      <c r="RQZ200" s="697"/>
      <c r="RRA200" s="697"/>
      <c r="RRB200" s="697"/>
      <c r="RRC200" s="697"/>
      <c r="RRD200" s="697"/>
      <c r="RRE200" s="697"/>
      <c r="RRF200" s="697"/>
      <c r="RRG200" s="697"/>
      <c r="RRH200" s="697"/>
      <c r="RRI200" s="697"/>
      <c r="RRJ200" s="697"/>
      <c r="RRK200" s="697"/>
      <c r="RRL200" s="697"/>
      <c r="RRM200" s="697"/>
      <c r="RRN200" s="697"/>
      <c r="RRO200" s="697"/>
      <c r="RRP200" s="697"/>
      <c r="RRQ200" s="697"/>
      <c r="RRR200" s="697"/>
      <c r="RRS200" s="697"/>
      <c r="RRT200" s="697"/>
      <c r="RRU200" s="697"/>
      <c r="RRV200" s="697"/>
      <c r="RRW200" s="697"/>
      <c r="RRX200" s="697"/>
      <c r="RRY200" s="697"/>
      <c r="RRZ200" s="697"/>
      <c r="RSA200" s="697"/>
      <c r="RSB200" s="697"/>
      <c r="RSC200" s="697"/>
      <c r="RSD200" s="697"/>
      <c r="RSE200" s="697"/>
      <c r="RSF200" s="697"/>
      <c r="RSG200" s="697"/>
      <c r="RSH200" s="697"/>
      <c r="RSI200" s="697"/>
      <c r="RSJ200" s="697"/>
      <c r="RSK200" s="697"/>
      <c r="RSL200" s="697"/>
      <c r="RSM200" s="697"/>
      <c r="RSN200" s="697"/>
      <c r="RSO200" s="697"/>
      <c r="RSP200" s="697"/>
      <c r="RSQ200" s="697"/>
      <c r="RSR200" s="697"/>
      <c r="RSS200" s="697"/>
      <c r="RST200" s="697"/>
      <c r="RSU200" s="697"/>
      <c r="RSV200" s="697"/>
      <c r="RSW200" s="697"/>
      <c r="RSX200" s="697"/>
      <c r="RSY200" s="697"/>
      <c r="RSZ200" s="697"/>
      <c r="RTA200" s="697"/>
      <c r="RTB200" s="697"/>
      <c r="RTC200" s="697"/>
      <c r="RTD200" s="697"/>
      <c r="RTE200" s="697"/>
      <c r="RTF200" s="697"/>
      <c r="RTG200" s="697"/>
      <c r="RTH200" s="697"/>
      <c r="RTI200" s="697"/>
      <c r="RTJ200" s="697"/>
      <c r="RTK200" s="697"/>
      <c r="RTL200" s="697"/>
      <c r="RTM200" s="697"/>
      <c r="RTN200" s="697"/>
      <c r="RTO200" s="697"/>
      <c r="RTP200" s="697"/>
      <c r="RTQ200" s="697"/>
      <c r="RTR200" s="697"/>
      <c r="RTS200" s="697"/>
      <c r="RTT200" s="697"/>
      <c r="RTU200" s="697"/>
      <c r="RTV200" s="697"/>
      <c r="RTW200" s="697"/>
      <c r="RTX200" s="697"/>
      <c r="RTY200" s="697"/>
      <c r="RTZ200" s="697"/>
      <c r="RUA200" s="697"/>
      <c r="RUB200" s="697"/>
      <c r="RUC200" s="697"/>
      <c r="RUD200" s="697"/>
      <c r="RUE200" s="697"/>
      <c r="RUF200" s="697"/>
      <c r="RUG200" s="697"/>
      <c r="RUH200" s="697"/>
      <c r="RUI200" s="697"/>
      <c r="RUJ200" s="697"/>
      <c r="RUK200" s="697"/>
      <c r="RUL200" s="697"/>
      <c r="RUM200" s="697"/>
      <c r="RUN200" s="697"/>
      <c r="RUO200" s="697"/>
      <c r="RUP200" s="697"/>
      <c r="RUQ200" s="697"/>
      <c r="RUR200" s="697"/>
      <c r="RUS200" s="697"/>
      <c r="RUT200" s="697"/>
      <c r="RUU200" s="697"/>
      <c r="RUV200" s="697"/>
      <c r="RUW200" s="697"/>
      <c r="RUX200" s="697"/>
      <c r="RUY200" s="697"/>
      <c r="RUZ200" s="697"/>
      <c r="RVA200" s="697"/>
      <c r="RVB200" s="697"/>
      <c r="RVC200" s="697"/>
      <c r="RVD200" s="697"/>
      <c r="RVE200" s="697"/>
      <c r="RVF200" s="697"/>
      <c r="RVG200" s="697"/>
      <c r="RVH200" s="697"/>
      <c r="RVI200" s="697"/>
      <c r="RVJ200" s="697"/>
      <c r="RVK200" s="697"/>
      <c r="RVL200" s="697"/>
      <c r="RVM200" s="697"/>
      <c r="RVN200" s="697"/>
      <c r="RVO200" s="697"/>
      <c r="RVP200" s="697"/>
      <c r="RVQ200" s="697"/>
      <c r="RVR200" s="697"/>
      <c r="RVS200" s="697"/>
      <c r="RVT200" s="697"/>
      <c r="RVU200" s="697"/>
      <c r="RVV200" s="697"/>
      <c r="RVW200" s="697"/>
      <c r="RVX200" s="697"/>
      <c r="RVY200" s="697"/>
      <c r="RVZ200" s="697"/>
      <c r="RWA200" s="697"/>
      <c r="RWB200" s="697"/>
      <c r="RWC200" s="697"/>
      <c r="RWD200" s="697"/>
      <c r="RWE200" s="697"/>
      <c r="RWF200" s="697"/>
      <c r="RWG200" s="697"/>
      <c r="RWH200" s="697"/>
      <c r="RWI200" s="697"/>
      <c r="RWJ200" s="697"/>
      <c r="RWK200" s="697"/>
      <c r="RWL200" s="697"/>
      <c r="RWM200" s="697"/>
      <c r="RWN200" s="697"/>
      <c r="RWO200" s="697"/>
      <c r="RWP200" s="697"/>
      <c r="RWQ200" s="697"/>
      <c r="RWR200" s="697"/>
      <c r="RWS200" s="697"/>
      <c r="RWT200" s="697"/>
      <c r="RWU200" s="697"/>
      <c r="RWV200" s="697"/>
      <c r="RWW200" s="697"/>
      <c r="RWX200" s="697"/>
      <c r="RWY200" s="697"/>
      <c r="RWZ200" s="697"/>
      <c r="RXA200" s="697"/>
      <c r="RXB200" s="697"/>
      <c r="RXC200" s="697"/>
      <c r="RXD200" s="697"/>
      <c r="RXE200" s="697"/>
      <c r="RXF200" s="697"/>
      <c r="RXG200" s="697"/>
      <c r="RXH200" s="697"/>
      <c r="RXI200" s="697"/>
      <c r="RXJ200" s="697"/>
      <c r="RXK200" s="697"/>
      <c r="RXL200" s="697"/>
      <c r="RXM200" s="697"/>
      <c r="RXN200" s="697"/>
      <c r="RXO200" s="697"/>
      <c r="RXP200" s="697"/>
      <c r="RXQ200" s="697"/>
      <c r="RXR200" s="697"/>
      <c r="RXS200" s="697"/>
      <c r="RXT200" s="697"/>
      <c r="RXU200" s="697"/>
      <c r="RXV200" s="697"/>
      <c r="RXW200" s="697"/>
      <c r="RXX200" s="697"/>
      <c r="RXY200" s="697"/>
      <c r="RXZ200" s="697"/>
      <c r="RYA200" s="697"/>
      <c r="RYB200" s="697"/>
      <c r="RYC200" s="697"/>
      <c r="RYD200" s="697"/>
      <c r="RYE200" s="697"/>
      <c r="RYF200" s="697"/>
      <c r="RYG200" s="697"/>
      <c r="RYH200" s="697"/>
      <c r="RYI200" s="697"/>
      <c r="RYJ200" s="697"/>
      <c r="RYK200" s="697"/>
      <c r="RYL200" s="697"/>
      <c r="RYM200" s="697"/>
      <c r="RYN200" s="697"/>
      <c r="RYO200" s="697"/>
      <c r="RYP200" s="697"/>
      <c r="RYQ200" s="697"/>
      <c r="RYR200" s="697"/>
      <c r="RYS200" s="697"/>
      <c r="RYT200" s="697"/>
      <c r="RYU200" s="697"/>
      <c r="RYV200" s="697"/>
      <c r="RYW200" s="697"/>
      <c r="RYX200" s="697"/>
      <c r="RYY200" s="697"/>
      <c r="RYZ200" s="697"/>
      <c r="RZA200" s="697"/>
      <c r="RZB200" s="697"/>
      <c r="RZC200" s="697"/>
      <c r="RZD200" s="697"/>
      <c r="RZE200" s="697"/>
      <c r="RZF200" s="697"/>
      <c r="RZG200" s="697"/>
      <c r="RZH200" s="697"/>
      <c r="RZI200" s="697"/>
      <c r="RZJ200" s="697"/>
      <c r="RZK200" s="697"/>
      <c r="RZL200" s="697"/>
      <c r="RZM200" s="697"/>
      <c r="RZN200" s="697"/>
      <c r="RZO200" s="697"/>
      <c r="RZP200" s="697"/>
      <c r="RZQ200" s="697"/>
      <c r="RZR200" s="697"/>
      <c r="RZS200" s="697"/>
      <c r="RZT200" s="697"/>
      <c r="RZU200" s="697"/>
      <c r="RZV200" s="697"/>
      <c r="RZW200" s="697"/>
      <c r="RZX200" s="697"/>
      <c r="RZY200" s="697"/>
      <c r="RZZ200" s="697"/>
      <c r="SAA200" s="697"/>
      <c r="SAB200" s="697"/>
      <c r="SAC200" s="697"/>
      <c r="SAD200" s="697"/>
      <c r="SAE200" s="697"/>
      <c r="SAF200" s="697"/>
      <c r="SAG200" s="697"/>
      <c r="SAH200" s="697"/>
      <c r="SAI200" s="697"/>
      <c r="SAJ200" s="697"/>
      <c r="SAK200" s="697"/>
      <c r="SAL200" s="697"/>
      <c r="SAM200" s="697"/>
      <c r="SAN200" s="697"/>
      <c r="SAO200" s="697"/>
      <c r="SAP200" s="697"/>
      <c r="SAQ200" s="697"/>
      <c r="SAR200" s="697"/>
      <c r="SAS200" s="697"/>
      <c r="SAT200" s="697"/>
      <c r="SAU200" s="697"/>
      <c r="SAV200" s="697"/>
      <c r="SAW200" s="697"/>
      <c r="SAX200" s="697"/>
      <c r="SAY200" s="697"/>
      <c r="SAZ200" s="697"/>
      <c r="SBA200" s="697"/>
      <c r="SBB200" s="697"/>
      <c r="SBC200" s="697"/>
      <c r="SBD200" s="697"/>
      <c r="SBE200" s="697"/>
      <c r="SBF200" s="697"/>
      <c r="SBG200" s="697"/>
      <c r="SBH200" s="697"/>
      <c r="SBI200" s="697"/>
      <c r="SBJ200" s="697"/>
      <c r="SBK200" s="697"/>
      <c r="SBL200" s="697"/>
      <c r="SBM200" s="697"/>
      <c r="SBN200" s="697"/>
      <c r="SBO200" s="697"/>
      <c r="SBP200" s="697"/>
      <c r="SBQ200" s="697"/>
      <c r="SBR200" s="697"/>
      <c r="SBS200" s="697"/>
      <c r="SBT200" s="697"/>
      <c r="SBU200" s="697"/>
      <c r="SBV200" s="697"/>
      <c r="SBW200" s="697"/>
      <c r="SBX200" s="697"/>
      <c r="SBY200" s="697"/>
      <c r="SBZ200" s="697"/>
      <c r="SCA200" s="697"/>
      <c r="SCB200" s="697"/>
      <c r="SCC200" s="697"/>
      <c r="SCD200" s="697"/>
      <c r="SCE200" s="697"/>
      <c r="SCF200" s="697"/>
      <c r="SCG200" s="697"/>
      <c r="SCH200" s="697"/>
      <c r="SCI200" s="697"/>
      <c r="SCJ200" s="697"/>
      <c r="SCK200" s="697"/>
      <c r="SCL200" s="697"/>
      <c r="SCM200" s="697"/>
      <c r="SCN200" s="697"/>
      <c r="SCO200" s="697"/>
      <c r="SCP200" s="697"/>
      <c r="SCQ200" s="697"/>
      <c r="SCR200" s="697"/>
      <c r="SCS200" s="697"/>
      <c r="SCT200" s="697"/>
      <c r="SCU200" s="697"/>
      <c r="SCV200" s="697"/>
      <c r="SCW200" s="697"/>
      <c r="SCX200" s="697"/>
      <c r="SCY200" s="697"/>
      <c r="SCZ200" s="697"/>
      <c r="SDA200" s="697"/>
      <c r="SDB200" s="697"/>
      <c r="SDC200" s="697"/>
      <c r="SDD200" s="697"/>
      <c r="SDE200" s="697"/>
      <c r="SDF200" s="697"/>
      <c r="SDG200" s="697"/>
      <c r="SDH200" s="697"/>
      <c r="SDI200" s="697"/>
      <c r="SDJ200" s="697"/>
      <c r="SDK200" s="697"/>
      <c r="SDL200" s="697"/>
      <c r="SDM200" s="697"/>
      <c r="SDN200" s="697"/>
      <c r="SDO200" s="697"/>
      <c r="SDP200" s="697"/>
      <c r="SDQ200" s="697"/>
      <c r="SDR200" s="697"/>
      <c r="SDS200" s="697"/>
      <c r="SDT200" s="697"/>
      <c r="SDU200" s="697"/>
      <c r="SDV200" s="697"/>
      <c r="SDW200" s="697"/>
      <c r="SDX200" s="697"/>
      <c r="SDY200" s="697"/>
      <c r="SDZ200" s="697"/>
      <c r="SEA200" s="697"/>
      <c r="SEB200" s="697"/>
      <c r="SEC200" s="697"/>
      <c r="SED200" s="697"/>
      <c r="SEE200" s="697"/>
      <c r="SEF200" s="697"/>
      <c r="SEG200" s="697"/>
      <c r="SEH200" s="697"/>
      <c r="SEI200" s="697"/>
      <c r="SEJ200" s="697"/>
      <c r="SEK200" s="697"/>
      <c r="SEL200" s="697"/>
      <c r="SEM200" s="697"/>
      <c r="SEN200" s="697"/>
      <c r="SEO200" s="697"/>
      <c r="SEP200" s="697"/>
      <c r="SEQ200" s="697"/>
      <c r="SER200" s="697"/>
      <c r="SES200" s="697"/>
      <c r="SET200" s="697"/>
      <c r="SEU200" s="697"/>
      <c r="SEV200" s="697"/>
      <c r="SEW200" s="697"/>
      <c r="SEX200" s="697"/>
      <c r="SEY200" s="697"/>
      <c r="SEZ200" s="697"/>
      <c r="SFA200" s="697"/>
      <c r="SFB200" s="697"/>
      <c r="SFC200" s="697"/>
      <c r="SFD200" s="697"/>
      <c r="SFE200" s="697"/>
      <c r="SFF200" s="697"/>
      <c r="SFG200" s="697"/>
      <c r="SFH200" s="697"/>
      <c r="SFI200" s="697"/>
      <c r="SFJ200" s="697"/>
      <c r="SFK200" s="697"/>
      <c r="SFL200" s="697"/>
      <c r="SFM200" s="697"/>
      <c r="SFN200" s="697"/>
      <c r="SFO200" s="697"/>
      <c r="SFP200" s="697"/>
      <c r="SFQ200" s="697"/>
      <c r="SFR200" s="697"/>
      <c r="SFS200" s="697"/>
      <c r="SFT200" s="697"/>
      <c r="SFU200" s="697"/>
      <c r="SFV200" s="697"/>
      <c r="SFW200" s="697"/>
      <c r="SFX200" s="697"/>
      <c r="SFY200" s="697"/>
      <c r="SFZ200" s="697"/>
      <c r="SGA200" s="697"/>
      <c r="SGB200" s="697"/>
      <c r="SGC200" s="697"/>
      <c r="SGD200" s="697"/>
      <c r="SGE200" s="697"/>
      <c r="SGF200" s="697"/>
      <c r="SGG200" s="697"/>
      <c r="SGH200" s="697"/>
      <c r="SGI200" s="697"/>
      <c r="SGJ200" s="697"/>
      <c r="SGK200" s="697"/>
      <c r="SGL200" s="697"/>
      <c r="SGM200" s="697"/>
      <c r="SGN200" s="697"/>
      <c r="SGO200" s="697"/>
      <c r="SGP200" s="697"/>
      <c r="SGQ200" s="697"/>
      <c r="SGR200" s="697"/>
      <c r="SGS200" s="697"/>
      <c r="SGT200" s="697"/>
      <c r="SGU200" s="697"/>
      <c r="SGV200" s="697"/>
      <c r="SGW200" s="697"/>
      <c r="SGX200" s="697"/>
      <c r="SGY200" s="697"/>
      <c r="SGZ200" s="697"/>
      <c r="SHA200" s="697"/>
      <c r="SHB200" s="697"/>
      <c r="SHC200" s="697"/>
      <c r="SHD200" s="697"/>
      <c r="SHE200" s="697"/>
      <c r="SHF200" s="697"/>
      <c r="SHG200" s="697"/>
      <c r="SHH200" s="697"/>
      <c r="SHI200" s="697"/>
      <c r="SHJ200" s="697"/>
      <c r="SHK200" s="697"/>
      <c r="SHL200" s="697"/>
      <c r="SHM200" s="697"/>
      <c r="SHN200" s="697"/>
      <c r="SHO200" s="697"/>
      <c r="SHP200" s="697"/>
      <c r="SHQ200" s="697"/>
      <c r="SHR200" s="697"/>
      <c r="SHS200" s="697"/>
      <c r="SHT200" s="697"/>
      <c r="SHU200" s="697"/>
      <c r="SHV200" s="697"/>
      <c r="SHW200" s="697"/>
      <c r="SHX200" s="697"/>
      <c r="SHY200" s="697"/>
      <c r="SHZ200" s="697"/>
      <c r="SIA200" s="697"/>
      <c r="SIB200" s="697"/>
      <c r="SIC200" s="697"/>
      <c r="SID200" s="697"/>
      <c r="SIE200" s="697"/>
      <c r="SIF200" s="697"/>
      <c r="SIG200" s="697"/>
      <c r="SIH200" s="697"/>
      <c r="SII200" s="697"/>
      <c r="SIJ200" s="697"/>
      <c r="SIK200" s="697"/>
      <c r="SIL200" s="697"/>
      <c r="SIM200" s="697"/>
      <c r="SIN200" s="697"/>
      <c r="SIO200" s="697"/>
      <c r="SIP200" s="697"/>
      <c r="SIQ200" s="697"/>
      <c r="SIR200" s="697"/>
      <c r="SIS200" s="697"/>
      <c r="SIT200" s="697"/>
      <c r="SIU200" s="697"/>
      <c r="SIV200" s="697"/>
      <c r="SIW200" s="697"/>
      <c r="SIX200" s="697"/>
      <c r="SIY200" s="697"/>
      <c r="SIZ200" s="697"/>
      <c r="SJA200" s="697"/>
      <c r="SJB200" s="697"/>
      <c r="SJC200" s="697"/>
      <c r="SJD200" s="697"/>
      <c r="SJE200" s="697"/>
      <c r="SJF200" s="697"/>
      <c r="SJG200" s="697"/>
      <c r="SJH200" s="697"/>
      <c r="SJI200" s="697"/>
      <c r="SJJ200" s="697"/>
      <c r="SJK200" s="697"/>
      <c r="SJL200" s="697"/>
      <c r="SJM200" s="697"/>
      <c r="SJN200" s="697"/>
      <c r="SJO200" s="697"/>
      <c r="SJP200" s="697"/>
      <c r="SJQ200" s="697"/>
      <c r="SJR200" s="697"/>
      <c r="SJS200" s="697"/>
      <c r="SJT200" s="697"/>
      <c r="SJU200" s="697"/>
      <c r="SJV200" s="697"/>
      <c r="SJW200" s="697"/>
      <c r="SJX200" s="697"/>
      <c r="SJY200" s="697"/>
      <c r="SJZ200" s="697"/>
      <c r="SKA200" s="697"/>
      <c r="SKB200" s="697"/>
      <c r="SKC200" s="697"/>
      <c r="SKD200" s="697"/>
      <c r="SKE200" s="697"/>
      <c r="SKF200" s="697"/>
      <c r="SKG200" s="697"/>
      <c r="SKH200" s="697"/>
      <c r="SKI200" s="697"/>
      <c r="SKJ200" s="697"/>
      <c r="SKK200" s="697"/>
      <c r="SKL200" s="697"/>
      <c r="SKM200" s="697"/>
      <c r="SKN200" s="697"/>
      <c r="SKO200" s="697"/>
      <c r="SKP200" s="697"/>
      <c r="SKQ200" s="697"/>
      <c r="SKR200" s="697"/>
      <c r="SKS200" s="697"/>
      <c r="SKT200" s="697"/>
      <c r="SKU200" s="697"/>
      <c r="SKV200" s="697"/>
      <c r="SKW200" s="697"/>
      <c r="SKX200" s="697"/>
      <c r="SKY200" s="697"/>
      <c r="SKZ200" s="697"/>
      <c r="SLA200" s="697"/>
      <c r="SLB200" s="697"/>
      <c r="SLC200" s="697"/>
      <c r="SLD200" s="697"/>
      <c r="SLE200" s="697"/>
      <c r="SLF200" s="697"/>
      <c r="SLG200" s="697"/>
      <c r="SLH200" s="697"/>
      <c r="SLI200" s="697"/>
      <c r="SLJ200" s="697"/>
      <c r="SLK200" s="697"/>
      <c r="SLL200" s="697"/>
      <c r="SLM200" s="697"/>
      <c r="SLN200" s="697"/>
      <c r="SLO200" s="697"/>
      <c r="SLP200" s="697"/>
      <c r="SLQ200" s="697"/>
      <c r="SLR200" s="697"/>
      <c r="SLS200" s="697"/>
      <c r="SLT200" s="697"/>
      <c r="SLU200" s="697"/>
      <c r="SLV200" s="697"/>
      <c r="SLW200" s="697"/>
      <c r="SLX200" s="697"/>
      <c r="SLY200" s="697"/>
      <c r="SLZ200" s="697"/>
      <c r="SMA200" s="697"/>
      <c r="SMB200" s="697"/>
      <c r="SMC200" s="697"/>
      <c r="SMD200" s="697"/>
      <c r="SME200" s="697"/>
      <c r="SMF200" s="697"/>
      <c r="SMG200" s="697"/>
      <c r="SMH200" s="697"/>
      <c r="SMI200" s="697"/>
      <c r="SMJ200" s="697"/>
      <c r="SMK200" s="697"/>
      <c r="SML200" s="697"/>
      <c r="SMM200" s="697"/>
      <c r="SMN200" s="697"/>
      <c r="SMO200" s="697"/>
      <c r="SMP200" s="697"/>
      <c r="SMQ200" s="697"/>
      <c r="SMR200" s="697"/>
      <c r="SMS200" s="697"/>
      <c r="SMT200" s="697"/>
      <c r="SMU200" s="697"/>
      <c r="SMV200" s="697"/>
      <c r="SMW200" s="697"/>
      <c r="SMX200" s="697"/>
      <c r="SMY200" s="697"/>
      <c r="SMZ200" s="697"/>
      <c r="SNA200" s="697"/>
      <c r="SNB200" s="697"/>
      <c r="SNC200" s="697"/>
      <c r="SND200" s="697"/>
      <c r="SNE200" s="697"/>
      <c r="SNF200" s="697"/>
      <c r="SNG200" s="697"/>
      <c r="SNH200" s="697"/>
      <c r="SNI200" s="697"/>
      <c r="SNJ200" s="697"/>
      <c r="SNK200" s="697"/>
      <c r="SNL200" s="697"/>
      <c r="SNM200" s="697"/>
      <c r="SNN200" s="697"/>
      <c r="SNO200" s="697"/>
      <c r="SNP200" s="697"/>
      <c r="SNQ200" s="697"/>
      <c r="SNR200" s="697"/>
      <c r="SNS200" s="697"/>
      <c r="SNT200" s="697"/>
      <c r="SNU200" s="697"/>
      <c r="SNV200" s="697"/>
      <c r="SNW200" s="697"/>
      <c r="SNX200" s="697"/>
      <c r="SNY200" s="697"/>
      <c r="SNZ200" s="697"/>
      <c r="SOA200" s="697"/>
      <c r="SOB200" s="697"/>
      <c r="SOC200" s="697"/>
      <c r="SOD200" s="697"/>
      <c r="SOE200" s="697"/>
      <c r="SOF200" s="697"/>
      <c r="SOG200" s="697"/>
      <c r="SOH200" s="697"/>
      <c r="SOI200" s="697"/>
      <c r="SOJ200" s="697"/>
      <c r="SOK200" s="697"/>
      <c r="SOL200" s="697"/>
      <c r="SOM200" s="697"/>
      <c r="SON200" s="697"/>
      <c r="SOO200" s="697"/>
      <c r="SOP200" s="697"/>
      <c r="SOQ200" s="697"/>
      <c r="SOR200" s="697"/>
      <c r="SOS200" s="697"/>
      <c r="SOT200" s="697"/>
      <c r="SOU200" s="697"/>
      <c r="SOV200" s="697"/>
      <c r="SOW200" s="697"/>
      <c r="SOX200" s="697"/>
      <c r="SOY200" s="697"/>
      <c r="SOZ200" s="697"/>
      <c r="SPA200" s="697"/>
      <c r="SPB200" s="697"/>
      <c r="SPC200" s="697"/>
      <c r="SPD200" s="697"/>
      <c r="SPE200" s="697"/>
      <c r="SPF200" s="697"/>
      <c r="SPG200" s="697"/>
      <c r="SPH200" s="697"/>
      <c r="SPI200" s="697"/>
      <c r="SPJ200" s="697"/>
      <c r="SPK200" s="697"/>
      <c r="SPL200" s="697"/>
      <c r="SPM200" s="697"/>
      <c r="SPN200" s="697"/>
      <c r="SPO200" s="697"/>
      <c r="SPP200" s="697"/>
      <c r="SPQ200" s="697"/>
      <c r="SPR200" s="697"/>
      <c r="SPS200" s="697"/>
      <c r="SPT200" s="697"/>
      <c r="SPU200" s="697"/>
      <c r="SPV200" s="697"/>
      <c r="SPW200" s="697"/>
      <c r="SPX200" s="697"/>
      <c r="SPY200" s="697"/>
      <c r="SPZ200" s="697"/>
      <c r="SQA200" s="697"/>
      <c r="SQB200" s="697"/>
      <c r="SQC200" s="697"/>
      <c r="SQD200" s="697"/>
      <c r="SQE200" s="697"/>
      <c r="SQF200" s="697"/>
      <c r="SQG200" s="697"/>
      <c r="SQH200" s="697"/>
      <c r="SQI200" s="697"/>
      <c r="SQJ200" s="697"/>
      <c r="SQK200" s="697"/>
      <c r="SQL200" s="697"/>
      <c r="SQM200" s="697"/>
      <c r="SQN200" s="697"/>
      <c r="SQO200" s="697"/>
      <c r="SQP200" s="697"/>
      <c r="SQQ200" s="697"/>
      <c r="SQR200" s="697"/>
      <c r="SQS200" s="697"/>
      <c r="SQT200" s="697"/>
      <c r="SQU200" s="697"/>
      <c r="SQV200" s="697"/>
      <c r="SQW200" s="697"/>
      <c r="SQX200" s="697"/>
      <c r="SQY200" s="697"/>
      <c r="SQZ200" s="697"/>
      <c r="SRA200" s="697"/>
      <c r="SRB200" s="697"/>
      <c r="SRC200" s="697"/>
      <c r="SRD200" s="697"/>
      <c r="SRE200" s="697"/>
      <c r="SRF200" s="697"/>
      <c r="SRG200" s="697"/>
      <c r="SRH200" s="697"/>
      <c r="SRI200" s="697"/>
      <c r="SRJ200" s="697"/>
      <c r="SRK200" s="697"/>
      <c r="SRL200" s="697"/>
      <c r="SRM200" s="697"/>
      <c r="SRN200" s="697"/>
      <c r="SRO200" s="697"/>
      <c r="SRP200" s="697"/>
      <c r="SRQ200" s="697"/>
      <c r="SRR200" s="697"/>
      <c r="SRS200" s="697"/>
      <c r="SRT200" s="697"/>
      <c r="SRU200" s="697"/>
      <c r="SRV200" s="697"/>
      <c r="SRW200" s="697"/>
      <c r="SRX200" s="697"/>
      <c r="SRY200" s="697"/>
      <c r="SRZ200" s="697"/>
      <c r="SSA200" s="697"/>
      <c r="SSB200" s="697"/>
      <c r="SSC200" s="697"/>
      <c r="SSD200" s="697"/>
      <c r="SSE200" s="697"/>
      <c r="SSF200" s="697"/>
      <c r="SSG200" s="697"/>
      <c r="SSH200" s="697"/>
      <c r="SSI200" s="697"/>
      <c r="SSJ200" s="697"/>
      <c r="SSK200" s="697"/>
      <c r="SSL200" s="697"/>
      <c r="SSM200" s="697"/>
      <c r="SSN200" s="697"/>
      <c r="SSO200" s="697"/>
      <c r="SSP200" s="697"/>
      <c r="SSQ200" s="697"/>
      <c r="SSR200" s="697"/>
      <c r="SSS200" s="697"/>
      <c r="SST200" s="697"/>
      <c r="SSU200" s="697"/>
      <c r="SSV200" s="697"/>
      <c r="SSW200" s="697"/>
      <c r="SSX200" s="697"/>
      <c r="SSY200" s="697"/>
      <c r="SSZ200" s="697"/>
      <c r="STA200" s="697"/>
      <c r="STB200" s="697"/>
      <c r="STC200" s="697"/>
      <c r="STD200" s="697"/>
      <c r="STE200" s="697"/>
      <c r="STF200" s="697"/>
      <c r="STG200" s="697"/>
      <c r="STH200" s="697"/>
      <c r="STI200" s="697"/>
      <c r="STJ200" s="697"/>
      <c r="STK200" s="697"/>
      <c r="STL200" s="697"/>
      <c r="STM200" s="697"/>
      <c r="STN200" s="697"/>
      <c r="STO200" s="697"/>
      <c r="STP200" s="697"/>
      <c r="STQ200" s="697"/>
      <c r="STR200" s="697"/>
      <c r="STS200" s="697"/>
      <c r="STT200" s="697"/>
      <c r="STU200" s="697"/>
      <c r="STV200" s="697"/>
      <c r="STW200" s="697"/>
      <c r="STX200" s="697"/>
      <c r="STY200" s="697"/>
      <c r="STZ200" s="697"/>
      <c r="SUA200" s="697"/>
      <c r="SUB200" s="697"/>
      <c r="SUC200" s="697"/>
      <c r="SUD200" s="697"/>
      <c r="SUE200" s="697"/>
      <c r="SUF200" s="697"/>
      <c r="SUG200" s="697"/>
      <c r="SUH200" s="697"/>
      <c r="SUI200" s="697"/>
      <c r="SUJ200" s="697"/>
      <c r="SUK200" s="697"/>
      <c r="SUL200" s="697"/>
      <c r="SUM200" s="697"/>
      <c r="SUN200" s="697"/>
      <c r="SUO200" s="697"/>
      <c r="SUP200" s="697"/>
      <c r="SUQ200" s="697"/>
      <c r="SUR200" s="697"/>
      <c r="SUS200" s="697"/>
      <c r="SUT200" s="697"/>
      <c r="SUU200" s="697"/>
      <c r="SUV200" s="697"/>
      <c r="SUW200" s="697"/>
      <c r="SUX200" s="697"/>
      <c r="SUY200" s="697"/>
      <c r="SUZ200" s="697"/>
      <c r="SVA200" s="697"/>
      <c r="SVB200" s="697"/>
      <c r="SVC200" s="697"/>
      <c r="SVD200" s="697"/>
      <c r="SVE200" s="697"/>
      <c r="SVF200" s="697"/>
      <c r="SVG200" s="697"/>
      <c r="SVH200" s="697"/>
      <c r="SVI200" s="697"/>
      <c r="SVJ200" s="697"/>
      <c r="SVK200" s="697"/>
      <c r="SVL200" s="697"/>
      <c r="SVM200" s="697"/>
      <c r="SVN200" s="697"/>
      <c r="SVO200" s="697"/>
      <c r="SVP200" s="697"/>
      <c r="SVQ200" s="697"/>
      <c r="SVR200" s="697"/>
      <c r="SVS200" s="697"/>
      <c r="SVT200" s="697"/>
      <c r="SVU200" s="697"/>
      <c r="SVV200" s="697"/>
      <c r="SVW200" s="697"/>
      <c r="SVX200" s="697"/>
      <c r="SVY200" s="697"/>
      <c r="SVZ200" s="697"/>
      <c r="SWA200" s="697"/>
      <c r="SWB200" s="697"/>
      <c r="SWC200" s="697"/>
      <c r="SWD200" s="697"/>
      <c r="SWE200" s="697"/>
      <c r="SWF200" s="697"/>
      <c r="SWG200" s="697"/>
      <c r="SWH200" s="697"/>
      <c r="SWI200" s="697"/>
      <c r="SWJ200" s="697"/>
      <c r="SWK200" s="697"/>
      <c r="SWL200" s="697"/>
      <c r="SWM200" s="697"/>
      <c r="SWN200" s="697"/>
      <c r="SWO200" s="697"/>
      <c r="SWP200" s="697"/>
      <c r="SWQ200" s="697"/>
      <c r="SWR200" s="697"/>
      <c r="SWS200" s="697"/>
      <c r="SWT200" s="697"/>
      <c r="SWU200" s="697"/>
      <c r="SWV200" s="697"/>
      <c r="SWW200" s="697"/>
      <c r="SWX200" s="697"/>
      <c r="SWY200" s="697"/>
      <c r="SWZ200" s="697"/>
      <c r="SXA200" s="697"/>
      <c r="SXB200" s="697"/>
      <c r="SXC200" s="697"/>
      <c r="SXD200" s="697"/>
      <c r="SXE200" s="697"/>
      <c r="SXF200" s="697"/>
      <c r="SXG200" s="697"/>
      <c r="SXH200" s="697"/>
      <c r="SXI200" s="697"/>
      <c r="SXJ200" s="697"/>
      <c r="SXK200" s="697"/>
      <c r="SXL200" s="697"/>
      <c r="SXM200" s="697"/>
      <c r="SXN200" s="697"/>
      <c r="SXO200" s="697"/>
      <c r="SXP200" s="697"/>
      <c r="SXQ200" s="697"/>
      <c r="SXR200" s="697"/>
      <c r="SXS200" s="697"/>
      <c r="SXT200" s="697"/>
      <c r="SXU200" s="697"/>
      <c r="SXV200" s="697"/>
      <c r="SXW200" s="697"/>
      <c r="SXX200" s="697"/>
      <c r="SXY200" s="697"/>
      <c r="SXZ200" s="697"/>
      <c r="SYA200" s="697"/>
      <c r="SYB200" s="697"/>
      <c r="SYC200" s="697"/>
      <c r="SYD200" s="697"/>
      <c r="SYE200" s="697"/>
      <c r="SYF200" s="697"/>
      <c r="SYG200" s="697"/>
      <c r="SYH200" s="697"/>
      <c r="SYI200" s="697"/>
      <c r="SYJ200" s="697"/>
      <c r="SYK200" s="697"/>
      <c r="SYL200" s="697"/>
      <c r="SYM200" s="697"/>
      <c r="SYN200" s="697"/>
      <c r="SYO200" s="697"/>
      <c r="SYP200" s="697"/>
      <c r="SYQ200" s="697"/>
      <c r="SYR200" s="697"/>
      <c r="SYS200" s="697"/>
      <c r="SYT200" s="697"/>
      <c r="SYU200" s="697"/>
      <c r="SYV200" s="697"/>
      <c r="SYW200" s="697"/>
      <c r="SYX200" s="697"/>
      <c r="SYY200" s="697"/>
      <c r="SYZ200" s="697"/>
      <c r="SZA200" s="697"/>
      <c r="SZB200" s="697"/>
      <c r="SZC200" s="697"/>
      <c r="SZD200" s="697"/>
      <c r="SZE200" s="697"/>
      <c r="SZF200" s="697"/>
      <c r="SZG200" s="697"/>
      <c r="SZH200" s="697"/>
      <c r="SZI200" s="697"/>
      <c r="SZJ200" s="697"/>
      <c r="SZK200" s="697"/>
      <c r="SZL200" s="697"/>
      <c r="SZM200" s="697"/>
      <c r="SZN200" s="697"/>
      <c r="SZO200" s="697"/>
      <c r="SZP200" s="697"/>
      <c r="SZQ200" s="697"/>
      <c r="SZR200" s="697"/>
      <c r="SZS200" s="697"/>
      <c r="SZT200" s="697"/>
      <c r="SZU200" s="697"/>
      <c r="SZV200" s="697"/>
      <c r="SZW200" s="697"/>
      <c r="SZX200" s="697"/>
      <c r="SZY200" s="697"/>
      <c r="SZZ200" s="697"/>
      <c r="TAA200" s="697"/>
      <c r="TAB200" s="697"/>
      <c r="TAC200" s="697"/>
      <c r="TAD200" s="697"/>
      <c r="TAE200" s="697"/>
      <c r="TAF200" s="697"/>
      <c r="TAG200" s="697"/>
      <c r="TAH200" s="697"/>
      <c r="TAI200" s="697"/>
      <c r="TAJ200" s="697"/>
      <c r="TAK200" s="697"/>
      <c r="TAL200" s="697"/>
      <c r="TAM200" s="697"/>
      <c r="TAN200" s="697"/>
      <c r="TAO200" s="697"/>
      <c r="TAP200" s="697"/>
      <c r="TAQ200" s="697"/>
      <c r="TAR200" s="697"/>
      <c r="TAS200" s="697"/>
      <c r="TAT200" s="697"/>
      <c r="TAU200" s="697"/>
      <c r="TAV200" s="697"/>
      <c r="TAW200" s="697"/>
      <c r="TAX200" s="697"/>
      <c r="TAY200" s="697"/>
      <c r="TAZ200" s="697"/>
      <c r="TBA200" s="697"/>
      <c r="TBB200" s="697"/>
      <c r="TBC200" s="697"/>
      <c r="TBD200" s="697"/>
      <c r="TBE200" s="697"/>
      <c r="TBF200" s="697"/>
      <c r="TBG200" s="697"/>
      <c r="TBH200" s="697"/>
      <c r="TBI200" s="697"/>
      <c r="TBJ200" s="697"/>
      <c r="TBK200" s="697"/>
      <c r="TBL200" s="697"/>
      <c r="TBM200" s="697"/>
      <c r="TBN200" s="697"/>
      <c r="TBO200" s="697"/>
      <c r="TBP200" s="697"/>
      <c r="TBQ200" s="697"/>
      <c r="TBR200" s="697"/>
      <c r="TBS200" s="697"/>
      <c r="TBT200" s="697"/>
      <c r="TBU200" s="697"/>
      <c r="TBV200" s="697"/>
      <c r="TBW200" s="697"/>
      <c r="TBX200" s="697"/>
      <c r="TBY200" s="697"/>
      <c r="TBZ200" s="697"/>
      <c r="TCA200" s="697"/>
      <c r="TCB200" s="697"/>
      <c r="TCC200" s="697"/>
      <c r="TCD200" s="697"/>
      <c r="TCE200" s="697"/>
      <c r="TCF200" s="697"/>
      <c r="TCG200" s="697"/>
      <c r="TCH200" s="697"/>
      <c r="TCI200" s="697"/>
      <c r="TCJ200" s="697"/>
      <c r="TCK200" s="697"/>
      <c r="TCL200" s="697"/>
      <c r="TCM200" s="697"/>
      <c r="TCN200" s="697"/>
      <c r="TCO200" s="697"/>
      <c r="TCP200" s="697"/>
      <c r="TCQ200" s="697"/>
      <c r="TCR200" s="697"/>
      <c r="TCS200" s="697"/>
      <c r="TCT200" s="697"/>
      <c r="TCU200" s="697"/>
      <c r="TCV200" s="697"/>
      <c r="TCW200" s="697"/>
      <c r="TCX200" s="697"/>
      <c r="TCY200" s="697"/>
      <c r="TCZ200" s="697"/>
      <c r="TDA200" s="697"/>
      <c r="TDB200" s="697"/>
      <c r="TDC200" s="697"/>
      <c r="TDD200" s="697"/>
      <c r="TDE200" s="697"/>
      <c r="TDF200" s="697"/>
      <c r="TDG200" s="697"/>
      <c r="TDH200" s="697"/>
      <c r="TDI200" s="697"/>
      <c r="TDJ200" s="697"/>
      <c r="TDK200" s="697"/>
      <c r="TDL200" s="697"/>
      <c r="TDM200" s="697"/>
      <c r="TDN200" s="697"/>
      <c r="TDO200" s="697"/>
      <c r="TDP200" s="697"/>
      <c r="TDQ200" s="697"/>
      <c r="TDR200" s="697"/>
      <c r="TDS200" s="697"/>
      <c r="TDT200" s="697"/>
      <c r="TDU200" s="697"/>
      <c r="TDV200" s="697"/>
      <c r="TDW200" s="697"/>
      <c r="TDX200" s="697"/>
      <c r="TDY200" s="697"/>
      <c r="TDZ200" s="697"/>
      <c r="TEA200" s="697"/>
      <c r="TEB200" s="697"/>
      <c r="TEC200" s="697"/>
      <c r="TED200" s="697"/>
      <c r="TEE200" s="697"/>
      <c r="TEF200" s="697"/>
      <c r="TEG200" s="697"/>
      <c r="TEH200" s="697"/>
      <c r="TEI200" s="697"/>
      <c r="TEJ200" s="697"/>
      <c r="TEK200" s="697"/>
      <c r="TEL200" s="697"/>
      <c r="TEM200" s="697"/>
      <c r="TEN200" s="697"/>
      <c r="TEO200" s="697"/>
      <c r="TEP200" s="697"/>
      <c r="TEQ200" s="697"/>
      <c r="TER200" s="697"/>
      <c r="TES200" s="697"/>
      <c r="TET200" s="697"/>
      <c r="TEU200" s="697"/>
      <c r="TEV200" s="697"/>
      <c r="TEW200" s="697"/>
      <c r="TEX200" s="697"/>
      <c r="TEY200" s="697"/>
      <c r="TEZ200" s="697"/>
      <c r="TFA200" s="697"/>
      <c r="TFB200" s="697"/>
      <c r="TFC200" s="697"/>
      <c r="TFD200" s="697"/>
      <c r="TFE200" s="697"/>
      <c r="TFF200" s="697"/>
      <c r="TFG200" s="697"/>
      <c r="TFH200" s="697"/>
      <c r="TFI200" s="697"/>
      <c r="TFJ200" s="697"/>
      <c r="TFK200" s="697"/>
      <c r="TFL200" s="697"/>
      <c r="TFM200" s="697"/>
      <c r="TFN200" s="697"/>
      <c r="TFO200" s="697"/>
      <c r="TFP200" s="697"/>
      <c r="TFQ200" s="697"/>
      <c r="TFR200" s="697"/>
      <c r="TFS200" s="697"/>
      <c r="TFT200" s="697"/>
      <c r="TFU200" s="697"/>
      <c r="TFV200" s="697"/>
      <c r="TFW200" s="697"/>
      <c r="TFX200" s="697"/>
      <c r="TFY200" s="697"/>
      <c r="TFZ200" s="697"/>
      <c r="TGA200" s="697"/>
      <c r="TGB200" s="697"/>
      <c r="TGC200" s="697"/>
      <c r="TGD200" s="697"/>
      <c r="TGE200" s="697"/>
      <c r="TGF200" s="697"/>
      <c r="TGG200" s="697"/>
      <c r="TGH200" s="697"/>
      <c r="TGI200" s="697"/>
      <c r="TGJ200" s="697"/>
      <c r="TGK200" s="697"/>
      <c r="TGL200" s="697"/>
      <c r="TGM200" s="697"/>
      <c r="TGN200" s="697"/>
      <c r="TGO200" s="697"/>
      <c r="TGP200" s="697"/>
      <c r="TGQ200" s="697"/>
      <c r="TGR200" s="697"/>
      <c r="TGS200" s="697"/>
      <c r="TGT200" s="697"/>
      <c r="TGU200" s="697"/>
      <c r="TGV200" s="697"/>
      <c r="TGW200" s="697"/>
      <c r="TGX200" s="697"/>
      <c r="TGY200" s="697"/>
      <c r="TGZ200" s="697"/>
      <c r="THA200" s="697"/>
      <c r="THB200" s="697"/>
      <c r="THC200" s="697"/>
      <c r="THD200" s="697"/>
      <c r="THE200" s="697"/>
      <c r="THF200" s="697"/>
      <c r="THG200" s="697"/>
      <c r="THH200" s="697"/>
      <c r="THI200" s="697"/>
      <c r="THJ200" s="697"/>
      <c r="THK200" s="697"/>
      <c r="THL200" s="697"/>
      <c r="THM200" s="697"/>
      <c r="THN200" s="697"/>
      <c r="THO200" s="697"/>
      <c r="THP200" s="697"/>
      <c r="THQ200" s="697"/>
      <c r="THR200" s="697"/>
      <c r="THS200" s="697"/>
      <c r="THT200" s="697"/>
      <c r="THU200" s="697"/>
      <c r="THV200" s="697"/>
      <c r="THW200" s="697"/>
      <c r="THX200" s="697"/>
      <c r="THY200" s="697"/>
      <c r="THZ200" s="697"/>
      <c r="TIA200" s="697"/>
      <c r="TIB200" s="697"/>
      <c r="TIC200" s="697"/>
      <c r="TID200" s="697"/>
      <c r="TIE200" s="697"/>
      <c r="TIF200" s="697"/>
      <c r="TIG200" s="697"/>
      <c r="TIH200" s="697"/>
      <c r="TII200" s="697"/>
      <c r="TIJ200" s="697"/>
      <c r="TIK200" s="697"/>
      <c r="TIL200" s="697"/>
      <c r="TIM200" s="697"/>
      <c r="TIN200" s="697"/>
      <c r="TIO200" s="697"/>
      <c r="TIP200" s="697"/>
      <c r="TIQ200" s="697"/>
      <c r="TIR200" s="697"/>
      <c r="TIS200" s="697"/>
      <c r="TIT200" s="697"/>
      <c r="TIU200" s="697"/>
      <c r="TIV200" s="697"/>
      <c r="TIW200" s="697"/>
      <c r="TIX200" s="697"/>
      <c r="TIY200" s="697"/>
      <c r="TIZ200" s="697"/>
      <c r="TJA200" s="697"/>
      <c r="TJB200" s="697"/>
      <c r="TJC200" s="697"/>
      <c r="TJD200" s="697"/>
      <c r="TJE200" s="697"/>
      <c r="TJF200" s="697"/>
      <c r="TJG200" s="697"/>
      <c r="TJH200" s="697"/>
      <c r="TJI200" s="697"/>
      <c r="TJJ200" s="697"/>
      <c r="TJK200" s="697"/>
      <c r="TJL200" s="697"/>
      <c r="TJM200" s="697"/>
      <c r="TJN200" s="697"/>
      <c r="TJO200" s="697"/>
      <c r="TJP200" s="697"/>
      <c r="TJQ200" s="697"/>
      <c r="TJR200" s="697"/>
      <c r="TJS200" s="697"/>
      <c r="TJT200" s="697"/>
      <c r="TJU200" s="697"/>
      <c r="TJV200" s="697"/>
      <c r="TJW200" s="697"/>
      <c r="TJX200" s="697"/>
      <c r="TJY200" s="697"/>
      <c r="TJZ200" s="697"/>
      <c r="TKA200" s="697"/>
      <c r="TKB200" s="697"/>
      <c r="TKC200" s="697"/>
      <c r="TKD200" s="697"/>
      <c r="TKE200" s="697"/>
      <c r="TKF200" s="697"/>
      <c r="TKG200" s="697"/>
      <c r="TKH200" s="697"/>
      <c r="TKI200" s="697"/>
      <c r="TKJ200" s="697"/>
      <c r="TKK200" s="697"/>
      <c r="TKL200" s="697"/>
      <c r="TKM200" s="697"/>
      <c r="TKN200" s="697"/>
      <c r="TKO200" s="697"/>
      <c r="TKP200" s="697"/>
      <c r="TKQ200" s="697"/>
      <c r="TKR200" s="697"/>
      <c r="TKS200" s="697"/>
      <c r="TKT200" s="697"/>
      <c r="TKU200" s="697"/>
      <c r="TKV200" s="697"/>
      <c r="TKW200" s="697"/>
      <c r="TKX200" s="697"/>
      <c r="TKY200" s="697"/>
      <c r="TKZ200" s="697"/>
      <c r="TLA200" s="697"/>
      <c r="TLB200" s="697"/>
      <c r="TLC200" s="697"/>
      <c r="TLD200" s="697"/>
      <c r="TLE200" s="697"/>
      <c r="TLF200" s="697"/>
      <c r="TLG200" s="697"/>
      <c r="TLH200" s="697"/>
      <c r="TLI200" s="697"/>
      <c r="TLJ200" s="697"/>
      <c r="TLK200" s="697"/>
      <c r="TLL200" s="697"/>
      <c r="TLM200" s="697"/>
      <c r="TLN200" s="697"/>
      <c r="TLO200" s="697"/>
      <c r="TLP200" s="697"/>
      <c r="TLQ200" s="697"/>
      <c r="TLR200" s="697"/>
      <c r="TLS200" s="697"/>
      <c r="TLT200" s="697"/>
      <c r="TLU200" s="697"/>
      <c r="TLV200" s="697"/>
      <c r="TLW200" s="697"/>
      <c r="TLX200" s="697"/>
      <c r="TLY200" s="697"/>
      <c r="TLZ200" s="697"/>
      <c r="TMA200" s="697"/>
      <c r="TMB200" s="697"/>
      <c r="TMC200" s="697"/>
      <c r="TMD200" s="697"/>
      <c r="TME200" s="697"/>
      <c r="TMF200" s="697"/>
      <c r="TMG200" s="697"/>
      <c r="TMH200" s="697"/>
      <c r="TMI200" s="697"/>
      <c r="TMJ200" s="697"/>
      <c r="TMK200" s="697"/>
      <c r="TML200" s="697"/>
      <c r="TMM200" s="697"/>
      <c r="TMN200" s="697"/>
      <c r="TMO200" s="697"/>
      <c r="TMP200" s="697"/>
      <c r="TMQ200" s="697"/>
      <c r="TMR200" s="697"/>
      <c r="TMS200" s="697"/>
      <c r="TMT200" s="697"/>
      <c r="TMU200" s="697"/>
      <c r="TMV200" s="697"/>
      <c r="TMW200" s="697"/>
      <c r="TMX200" s="697"/>
      <c r="TMY200" s="697"/>
      <c r="TMZ200" s="697"/>
      <c r="TNA200" s="697"/>
      <c r="TNB200" s="697"/>
      <c r="TNC200" s="697"/>
      <c r="TND200" s="697"/>
      <c r="TNE200" s="697"/>
      <c r="TNF200" s="697"/>
      <c r="TNG200" s="697"/>
      <c r="TNH200" s="697"/>
      <c r="TNI200" s="697"/>
      <c r="TNJ200" s="697"/>
      <c r="TNK200" s="697"/>
      <c r="TNL200" s="697"/>
      <c r="TNM200" s="697"/>
      <c r="TNN200" s="697"/>
      <c r="TNO200" s="697"/>
      <c r="TNP200" s="697"/>
      <c r="TNQ200" s="697"/>
      <c r="TNR200" s="697"/>
      <c r="TNS200" s="697"/>
      <c r="TNT200" s="697"/>
      <c r="TNU200" s="697"/>
      <c r="TNV200" s="697"/>
      <c r="TNW200" s="697"/>
      <c r="TNX200" s="697"/>
      <c r="TNY200" s="697"/>
      <c r="TNZ200" s="697"/>
      <c r="TOA200" s="697"/>
      <c r="TOB200" s="697"/>
      <c r="TOC200" s="697"/>
      <c r="TOD200" s="697"/>
      <c r="TOE200" s="697"/>
      <c r="TOF200" s="697"/>
      <c r="TOG200" s="697"/>
      <c r="TOH200" s="697"/>
      <c r="TOI200" s="697"/>
      <c r="TOJ200" s="697"/>
      <c r="TOK200" s="697"/>
      <c r="TOL200" s="697"/>
      <c r="TOM200" s="697"/>
      <c r="TON200" s="697"/>
      <c r="TOO200" s="697"/>
      <c r="TOP200" s="697"/>
      <c r="TOQ200" s="697"/>
      <c r="TOR200" s="697"/>
      <c r="TOS200" s="697"/>
      <c r="TOT200" s="697"/>
      <c r="TOU200" s="697"/>
      <c r="TOV200" s="697"/>
      <c r="TOW200" s="697"/>
      <c r="TOX200" s="697"/>
      <c r="TOY200" s="697"/>
      <c r="TOZ200" s="697"/>
      <c r="TPA200" s="697"/>
      <c r="TPB200" s="697"/>
      <c r="TPC200" s="697"/>
      <c r="TPD200" s="697"/>
      <c r="TPE200" s="697"/>
      <c r="TPF200" s="697"/>
      <c r="TPG200" s="697"/>
      <c r="TPH200" s="697"/>
      <c r="TPI200" s="697"/>
      <c r="TPJ200" s="697"/>
      <c r="TPK200" s="697"/>
      <c r="TPL200" s="697"/>
      <c r="TPM200" s="697"/>
      <c r="TPN200" s="697"/>
      <c r="TPO200" s="697"/>
      <c r="TPP200" s="697"/>
      <c r="TPQ200" s="697"/>
      <c r="TPR200" s="697"/>
      <c r="TPS200" s="697"/>
      <c r="TPT200" s="697"/>
      <c r="TPU200" s="697"/>
      <c r="TPV200" s="697"/>
      <c r="TPW200" s="697"/>
      <c r="TPX200" s="697"/>
      <c r="TPY200" s="697"/>
      <c r="TPZ200" s="697"/>
      <c r="TQA200" s="697"/>
      <c r="TQB200" s="697"/>
      <c r="TQC200" s="697"/>
      <c r="TQD200" s="697"/>
      <c r="TQE200" s="697"/>
      <c r="TQF200" s="697"/>
      <c r="TQG200" s="697"/>
      <c r="TQH200" s="697"/>
      <c r="TQI200" s="697"/>
      <c r="TQJ200" s="697"/>
      <c r="TQK200" s="697"/>
      <c r="TQL200" s="697"/>
      <c r="TQM200" s="697"/>
      <c r="TQN200" s="697"/>
      <c r="TQO200" s="697"/>
      <c r="TQP200" s="697"/>
      <c r="TQQ200" s="697"/>
      <c r="TQR200" s="697"/>
      <c r="TQS200" s="697"/>
      <c r="TQT200" s="697"/>
      <c r="TQU200" s="697"/>
      <c r="TQV200" s="697"/>
      <c r="TQW200" s="697"/>
      <c r="TQX200" s="697"/>
      <c r="TQY200" s="697"/>
      <c r="TQZ200" s="697"/>
      <c r="TRA200" s="697"/>
      <c r="TRB200" s="697"/>
      <c r="TRC200" s="697"/>
      <c r="TRD200" s="697"/>
      <c r="TRE200" s="697"/>
      <c r="TRF200" s="697"/>
      <c r="TRG200" s="697"/>
      <c r="TRH200" s="697"/>
      <c r="TRI200" s="697"/>
      <c r="TRJ200" s="697"/>
      <c r="TRK200" s="697"/>
      <c r="TRL200" s="697"/>
      <c r="TRM200" s="697"/>
      <c r="TRN200" s="697"/>
      <c r="TRO200" s="697"/>
      <c r="TRP200" s="697"/>
      <c r="TRQ200" s="697"/>
      <c r="TRR200" s="697"/>
      <c r="TRS200" s="697"/>
      <c r="TRT200" s="697"/>
      <c r="TRU200" s="697"/>
      <c r="TRV200" s="697"/>
      <c r="TRW200" s="697"/>
      <c r="TRX200" s="697"/>
      <c r="TRY200" s="697"/>
      <c r="TRZ200" s="697"/>
      <c r="TSA200" s="697"/>
      <c r="TSB200" s="697"/>
      <c r="TSC200" s="697"/>
      <c r="TSD200" s="697"/>
      <c r="TSE200" s="697"/>
      <c r="TSF200" s="697"/>
      <c r="TSG200" s="697"/>
      <c r="TSH200" s="697"/>
      <c r="TSI200" s="697"/>
      <c r="TSJ200" s="697"/>
      <c r="TSK200" s="697"/>
      <c r="TSL200" s="697"/>
      <c r="TSM200" s="697"/>
      <c r="TSN200" s="697"/>
      <c r="TSO200" s="697"/>
      <c r="TSP200" s="697"/>
      <c r="TSQ200" s="697"/>
      <c r="TSR200" s="697"/>
      <c r="TSS200" s="697"/>
      <c r="TST200" s="697"/>
      <c r="TSU200" s="697"/>
      <c r="TSV200" s="697"/>
      <c r="TSW200" s="697"/>
      <c r="TSX200" s="697"/>
      <c r="TSY200" s="697"/>
      <c r="TSZ200" s="697"/>
      <c r="TTA200" s="697"/>
      <c r="TTB200" s="697"/>
      <c r="TTC200" s="697"/>
      <c r="TTD200" s="697"/>
      <c r="TTE200" s="697"/>
      <c r="TTF200" s="697"/>
      <c r="TTG200" s="697"/>
      <c r="TTH200" s="697"/>
      <c r="TTI200" s="697"/>
      <c r="TTJ200" s="697"/>
      <c r="TTK200" s="697"/>
      <c r="TTL200" s="697"/>
      <c r="TTM200" s="697"/>
      <c r="TTN200" s="697"/>
      <c r="TTO200" s="697"/>
      <c r="TTP200" s="697"/>
      <c r="TTQ200" s="697"/>
      <c r="TTR200" s="697"/>
      <c r="TTS200" s="697"/>
      <c r="TTT200" s="697"/>
      <c r="TTU200" s="697"/>
      <c r="TTV200" s="697"/>
      <c r="TTW200" s="697"/>
      <c r="TTX200" s="697"/>
      <c r="TTY200" s="697"/>
      <c r="TTZ200" s="697"/>
      <c r="TUA200" s="697"/>
      <c r="TUB200" s="697"/>
      <c r="TUC200" s="697"/>
      <c r="TUD200" s="697"/>
      <c r="TUE200" s="697"/>
      <c r="TUF200" s="697"/>
      <c r="TUG200" s="697"/>
      <c r="TUH200" s="697"/>
      <c r="TUI200" s="697"/>
      <c r="TUJ200" s="697"/>
      <c r="TUK200" s="697"/>
      <c r="TUL200" s="697"/>
      <c r="TUM200" s="697"/>
      <c r="TUN200" s="697"/>
      <c r="TUO200" s="697"/>
      <c r="TUP200" s="697"/>
      <c r="TUQ200" s="697"/>
      <c r="TUR200" s="697"/>
      <c r="TUS200" s="697"/>
      <c r="TUT200" s="697"/>
      <c r="TUU200" s="697"/>
      <c r="TUV200" s="697"/>
      <c r="TUW200" s="697"/>
      <c r="TUX200" s="697"/>
      <c r="TUY200" s="697"/>
      <c r="TUZ200" s="697"/>
      <c r="TVA200" s="697"/>
      <c r="TVB200" s="697"/>
      <c r="TVC200" s="697"/>
      <c r="TVD200" s="697"/>
      <c r="TVE200" s="697"/>
      <c r="TVF200" s="697"/>
      <c r="TVG200" s="697"/>
      <c r="TVH200" s="697"/>
      <c r="TVI200" s="697"/>
      <c r="TVJ200" s="697"/>
      <c r="TVK200" s="697"/>
      <c r="TVL200" s="697"/>
      <c r="TVM200" s="697"/>
      <c r="TVN200" s="697"/>
      <c r="TVO200" s="697"/>
      <c r="TVP200" s="697"/>
      <c r="TVQ200" s="697"/>
      <c r="TVR200" s="697"/>
      <c r="TVS200" s="697"/>
      <c r="TVT200" s="697"/>
      <c r="TVU200" s="697"/>
      <c r="TVV200" s="697"/>
      <c r="TVW200" s="697"/>
      <c r="TVX200" s="697"/>
      <c r="TVY200" s="697"/>
      <c r="TVZ200" s="697"/>
      <c r="TWA200" s="697"/>
      <c r="TWB200" s="697"/>
      <c r="TWC200" s="697"/>
      <c r="TWD200" s="697"/>
      <c r="TWE200" s="697"/>
      <c r="TWF200" s="697"/>
      <c r="TWG200" s="697"/>
      <c r="TWH200" s="697"/>
      <c r="TWI200" s="697"/>
      <c r="TWJ200" s="697"/>
      <c r="TWK200" s="697"/>
      <c r="TWL200" s="697"/>
      <c r="TWM200" s="697"/>
      <c r="TWN200" s="697"/>
      <c r="TWO200" s="697"/>
      <c r="TWP200" s="697"/>
      <c r="TWQ200" s="697"/>
      <c r="TWR200" s="697"/>
      <c r="TWS200" s="697"/>
      <c r="TWT200" s="697"/>
      <c r="TWU200" s="697"/>
      <c r="TWV200" s="697"/>
      <c r="TWW200" s="697"/>
      <c r="TWX200" s="697"/>
      <c r="TWY200" s="697"/>
      <c r="TWZ200" s="697"/>
      <c r="TXA200" s="697"/>
      <c r="TXB200" s="697"/>
      <c r="TXC200" s="697"/>
      <c r="TXD200" s="697"/>
      <c r="TXE200" s="697"/>
      <c r="TXF200" s="697"/>
      <c r="TXG200" s="697"/>
      <c r="TXH200" s="697"/>
      <c r="TXI200" s="697"/>
      <c r="TXJ200" s="697"/>
      <c r="TXK200" s="697"/>
      <c r="TXL200" s="697"/>
      <c r="TXM200" s="697"/>
      <c r="TXN200" s="697"/>
      <c r="TXO200" s="697"/>
      <c r="TXP200" s="697"/>
      <c r="TXQ200" s="697"/>
      <c r="TXR200" s="697"/>
      <c r="TXS200" s="697"/>
      <c r="TXT200" s="697"/>
      <c r="TXU200" s="697"/>
      <c r="TXV200" s="697"/>
      <c r="TXW200" s="697"/>
      <c r="TXX200" s="697"/>
      <c r="TXY200" s="697"/>
      <c r="TXZ200" s="697"/>
      <c r="TYA200" s="697"/>
      <c r="TYB200" s="697"/>
      <c r="TYC200" s="697"/>
      <c r="TYD200" s="697"/>
      <c r="TYE200" s="697"/>
      <c r="TYF200" s="697"/>
      <c r="TYG200" s="697"/>
      <c r="TYH200" s="697"/>
      <c r="TYI200" s="697"/>
      <c r="TYJ200" s="697"/>
      <c r="TYK200" s="697"/>
      <c r="TYL200" s="697"/>
      <c r="TYM200" s="697"/>
      <c r="TYN200" s="697"/>
      <c r="TYO200" s="697"/>
      <c r="TYP200" s="697"/>
      <c r="TYQ200" s="697"/>
      <c r="TYR200" s="697"/>
      <c r="TYS200" s="697"/>
      <c r="TYT200" s="697"/>
      <c r="TYU200" s="697"/>
      <c r="TYV200" s="697"/>
      <c r="TYW200" s="697"/>
      <c r="TYX200" s="697"/>
      <c r="TYY200" s="697"/>
      <c r="TYZ200" s="697"/>
      <c r="TZA200" s="697"/>
      <c r="TZB200" s="697"/>
      <c r="TZC200" s="697"/>
      <c r="TZD200" s="697"/>
      <c r="TZE200" s="697"/>
      <c r="TZF200" s="697"/>
      <c r="TZG200" s="697"/>
      <c r="TZH200" s="697"/>
      <c r="TZI200" s="697"/>
      <c r="TZJ200" s="697"/>
      <c r="TZK200" s="697"/>
      <c r="TZL200" s="697"/>
      <c r="TZM200" s="697"/>
      <c r="TZN200" s="697"/>
      <c r="TZO200" s="697"/>
      <c r="TZP200" s="697"/>
      <c r="TZQ200" s="697"/>
      <c r="TZR200" s="697"/>
      <c r="TZS200" s="697"/>
      <c r="TZT200" s="697"/>
      <c r="TZU200" s="697"/>
      <c r="TZV200" s="697"/>
      <c r="TZW200" s="697"/>
      <c r="TZX200" s="697"/>
      <c r="TZY200" s="697"/>
      <c r="TZZ200" s="697"/>
      <c r="UAA200" s="697"/>
      <c r="UAB200" s="697"/>
      <c r="UAC200" s="697"/>
      <c r="UAD200" s="697"/>
      <c r="UAE200" s="697"/>
      <c r="UAF200" s="697"/>
      <c r="UAG200" s="697"/>
      <c r="UAH200" s="697"/>
      <c r="UAI200" s="697"/>
      <c r="UAJ200" s="697"/>
      <c r="UAK200" s="697"/>
      <c r="UAL200" s="697"/>
      <c r="UAM200" s="697"/>
      <c r="UAN200" s="697"/>
      <c r="UAO200" s="697"/>
      <c r="UAP200" s="697"/>
      <c r="UAQ200" s="697"/>
      <c r="UAR200" s="697"/>
      <c r="UAS200" s="697"/>
      <c r="UAT200" s="697"/>
      <c r="UAU200" s="697"/>
      <c r="UAV200" s="697"/>
      <c r="UAW200" s="697"/>
      <c r="UAX200" s="697"/>
      <c r="UAY200" s="697"/>
      <c r="UAZ200" s="697"/>
      <c r="UBA200" s="697"/>
      <c r="UBB200" s="697"/>
      <c r="UBC200" s="697"/>
      <c r="UBD200" s="697"/>
      <c r="UBE200" s="697"/>
      <c r="UBF200" s="697"/>
      <c r="UBG200" s="697"/>
      <c r="UBH200" s="697"/>
      <c r="UBI200" s="697"/>
      <c r="UBJ200" s="697"/>
      <c r="UBK200" s="697"/>
      <c r="UBL200" s="697"/>
      <c r="UBM200" s="697"/>
      <c r="UBN200" s="697"/>
      <c r="UBO200" s="697"/>
      <c r="UBP200" s="697"/>
      <c r="UBQ200" s="697"/>
      <c r="UBR200" s="697"/>
      <c r="UBS200" s="697"/>
      <c r="UBT200" s="697"/>
      <c r="UBU200" s="697"/>
      <c r="UBV200" s="697"/>
      <c r="UBW200" s="697"/>
      <c r="UBX200" s="697"/>
      <c r="UBY200" s="697"/>
      <c r="UBZ200" s="697"/>
      <c r="UCA200" s="697"/>
      <c r="UCB200" s="697"/>
      <c r="UCC200" s="697"/>
      <c r="UCD200" s="697"/>
      <c r="UCE200" s="697"/>
      <c r="UCF200" s="697"/>
      <c r="UCG200" s="697"/>
      <c r="UCH200" s="697"/>
      <c r="UCI200" s="697"/>
      <c r="UCJ200" s="697"/>
      <c r="UCK200" s="697"/>
      <c r="UCL200" s="697"/>
      <c r="UCM200" s="697"/>
      <c r="UCN200" s="697"/>
      <c r="UCO200" s="697"/>
      <c r="UCP200" s="697"/>
      <c r="UCQ200" s="697"/>
      <c r="UCR200" s="697"/>
      <c r="UCS200" s="697"/>
      <c r="UCT200" s="697"/>
      <c r="UCU200" s="697"/>
      <c r="UCV200" s="697"/>
      <c r="UCW200" s="697"/>
      <c r="UCX200" s="697"/>
      <c r="UCY200" s="697"/>
      <c r="UCZ200" s="697"/>
      <c r="UDA200" s="697"/>
      <c r="UDB200" s="697"/>
      <c r="UDC200" s="697"/>
      <c r="UDD200" s="697"/>
      <c r="UDE200" s="697"/>
      <c r="UDF200" s="697"/>
      <c r="UDG200" s="697"/>
      <c r="UDH200" s="697"/>
      <c r="UDI200" s="697"/>
      <c r="UDJ200" s="697"/>
      <c r="UDK200" s="697"/>
      <c r="UDL200" s="697"/>
      <c r="UDM200" s="697"/>
      <c r="UDN200" s="697"/>
      <c r="UDO200" s="697"/>
      <c r="UDP200" s="697"/>
      <c r="UDQ200" s="697"/>
      <c r="UDR200" s="697"/>
      <c r="UDS200" s="697"/>
      <c r="UDT200" s="697"/>
      <c r="UDU200" s="697"/>
      <c r="UDV200" s="697"/>
      <c r="UDW200" s="697"/>
      <c r="UDX200" s="697"/>
      <c r="UDY200" s="697"/>
      <c r="UDZ200" s="697"/>
      <c r="UEA200" s="697"/>
      <c r="UEB200" s="697"/>
      <c r="UEC200" s="697"/>
      <c r="UED200" s="697"/>
      <c r="UEE200" s="697"/>
      <c r="UEF200" s="697"/>
      <c r="UEG200" s="697"/>
      <c r="UEH200" s="697"/>
      <c r="UEI200" s="697"/>
      <c r="UEJ200" s="697"/>
      <c r="UEK200" s="697"/>
      <c r="UEL200" s="697"/>
      <c r="UEM200" s="697"/>
      <c r="UEN200" s="697"/>
      <c r="UEO200" s="697"/>
      <c r="UEP200" s="697"/>
      <c r="UEQ200" s="697"/>
      <c r="UER200" s="697"/>
      <c r="UES200" s="697"/>
      <c r="UET200" s="697"/>
      <c r="UEU200" s="697"/>
      <c r="UEV200" s="697"/>
      <c r="UEW200" s="697"/>
      <c r="UEX200" s="697"/>
      <c r="UEY200" s="697"/>
      <c r="UEZ200" s="697"/>
      <c r="UFA200" s="697"/>
      <c r="UFB200" s="697"/>
      <c r="UFC200" s="697"/>
      <c r="UFD200" s="697"/>
      <c r="UFE200" s="697"/>
      <c r="UFF200" s="697"/>
      <c r="UFG200" s="697"/>
      <c r="UFH200" s="697"/>
      <c r="UFI200" s="697"/>
      <c r="UFJ200" s="697"/>
      <c r="UFK200" s="697"/>
      <c r="UFL200" s="697"/>
      <c r="UFM200" s="697"/>
      <c r="UFN200" s="697"/>
      <c r="UFO200" s="697"/>
      <c r="UFP200" s="697"/>
      <c r="UFQ200" s="697"/>
      <c r="UFR200" s="697"/>
      <c r="UFS200" s="697"/>
      <c r="UFT200" s="697"/>
      <c r="UFU200" s="697"/>
      <c r="UFV200" s="697"/>
      <c r="UFW200" s="697"/>
      <c r="UFX200" s="697"/>
      <c r="UFY200" s="697"/>
      <c r="UFZ200" s="697"/>
      <c r="UGA200" s="697"/>
      <c r="UGB200" s="697"/>
      <c r="UGC200" s="697"/>
      <c r="UGD200" s="697"/>
      <c r="UGE200" s="697"/>
      <c r="UGF200" s="697"/>
      <c r="UGG200" s="697"/>
      <c r="UGH200" s="697"/>
      <c r="UGI200" s="697"/>
      <c r="UGJ200" s="697"/>
      <c r="UGK200" s="697"/>
      <c r="UGL200" s="697"/>
      <c r="UGM200" s="697"/>
      <c r="UGN200" s="697"/>
      <c r="UGO200" s="697"/>
      <c r="UGP200" s="697"/>
      <c r="UGQ200" s="697"/>
      <c r="UGR200" s="697"/>
      <c r="UGS200" s="697"/>
      <c r="UGT200" s="697"/>
      <c r="UGU200" s="697"/>
      <c r="UGV200" s="697"/>
      <c r="UGW200" s="697"/>
      <c r="UGX200" s="697"/>
      <c r="UGY200" s="697"/>
      <c r="UGZ200" s="697"/>
      <c r="UHA200" s="697"/>
      <c r="UHB200" s="697"/>
      <c r="UHC200" s="697"/>
      <c r="UHD200" s="697"/>
      <c r="UHE200" s="697"/>
      <c r="UHF200" s="697"/>
      <c r="UHG200" s="697"/>
      <c r="UHH200" s="697"/>
      <c r="UHI200" s="697"/>
      <c r="UHJ200" s="697"/>
      <c r="UHK200" s="697"/>
      <c r="UHL200" s="697"/>
      <c r="UHM200" s="697"/>
      <c r="UHN200" s="697"/>
      <c r="UHO200" s="697"/>
      <c r="UHP200" s="697"/>
      <c r="UHQ200" s="697"/>
      <c r="UHR200" s="697"/>
      <c r="UHS200" s="697"/>
      <c r="UHT200" s="697"/>
      <c r="UHU200" s="697"/>
      <c r="UHV200" s="697"/>
      <c r="UHW200" s="697"/>
      <c r="UHX200" s="697"/>
      <c r="UHY200" s="697"/>
      <c r="UHZ200" s="697"/>
      <c r="UIA200" s="697"/>
      <c r="UIB200" s="697"/>
      <c r="UIC200" s="697"/>
      <c r="UID200" s="697"/>
      <c r="UIE200" s="697"/>
      <c r="UIF200" s="697"/>
      <c r="UIG200" s="697"/>
      <c r="UIH200" s="697"/>
      <c r="UII200" s="697"/>
      <c r="UIJ200" s="697"/>
      <c r="UIK200" s="697"/>
      <c r="UIL200" s="697"/>
      <c r="UIM200" s="697"/>
      <c r="UIN200" s="697"/>
      <c r="UIO200" s="697"/>
      <c r="UIP200" s="697"/>
      <c r="UIQ200" s="697"/>
      <c r="UIR200" s="697"/>
      <c r="UIS200" s="697"/>
      <c r="UIT200" s="697"/>
      <c r="UIU200" s="697"/>
      <c r="UIV200" s="697"/>
      <c r="UIW200" s="697"/>
      <c r="UIX200" s="697"/>
      <c r="UIY200" s="697"/>
      <c r="UIZ200" s="697"/>
      <c r="UJA200" s="697"/>
      <c r="UJB200" s="697"/>
      <c r="UJC200" s="697"/>
      <c r="UJD200" s="697"/>
      <c r="UJE200" s="697"/>
      <c r="UJF200" s="697"/>
      <c r="UJG200" s="697"/>
      <c r="UJH200" s="697"/>
      <c r="UJI200" s="697"/>
      <c r="UJJ200" s="697"/>
      <c r="UJK200" s="697"/>
      <c r="UJL200" s="697"/>
      <c r="UJM200" s="697"/>
      <c r="UJN200" s="697"/>
      <c r="UJO200" s="697"/>
      <c r="UJP200" s="697"/>
      <c r="UJQ200" s="697"/>
      <c r="UJR200" s="697"/>
      <c r="UJS200" s="697"/>
      <c r="UJT200" s="697"/>
      <c r="UJU200" s="697"/>
      <c r="UJV200" s="697"/>
      <c r="UJW200" s="697"/>
      <c r="UJX200" s="697"/>
      <c r="UJY200" s="697"/>
      <c r="UJZ200" s="697"/>
      <c r="UKA200" s="697"/>
      <c r="UKB200" s="697"/>
      <c r="UKC200" s="697"/>
      <c r="UKD200" s="697"/>
      <c r="UKE200" s="697"/>
      <c r="UKF200" s="697"/>
      <c r="UKG200" s="697"/>
      <c r="UKH200" s="697"/>
      <c r="UKI200" s="697"/>
      <c r="UKJ200" s="697"/>
      <c r="UKK200" s="697"/>
      <c r="UKL200" s="697"/>
      <c r="UKM200" s="697"/>
      <c r="UKN200" s="697"/>
      <c r="UKO200" s="697"/>
      <c r="UKP200" s="697"/>
      <c r="UKQ200" s="697"/>
      <c r="UKR200" s="697"/>
      <c r="UKS200" s="697"/>
      <c r="UKT200" s="697"/>
      <c r="UKU200" s="697"/>
      <c r="UKV200" s="697"/>
      <c r="UKW200" s="697"/>
      <c r="UKX200" s="697"/>
      <c r="UKY200" s="697"/>
      <c r="UKZ200" s="697"/>
      <c r="ULA200" s="697"/>
      <c r="ULB200" s="697"/>
      <c r="ULC200" s="697"/>
      <c r="ULD200" s="697"/>
      <c r="ULE200" s="697"/>
      <c r="ULF200" s="697"/>
      <c r="ULG200" s="697"/>
      <c r="ULH200" s="697"/>
      <c r="ULI200" s="697"/>
      <c r="ULJ200" s="697"/>
      <c r="ULK200" s="697"/>
      <c r="ULL200" s="697"/>
      <c r="ULM200" s="697"/>
      <c r="ULN200" s="697"/>
      <c r="ULO200" s="697"/>
      <c r="ULP200" s="697"/>
      <c r="ULQ200" s="697"/>
      <c r="ULR200" s="697"/>
      <c r="ULS200" s="697"/>
      <c r="ULT200" s="697"/>
      <c r="ULU200" s="697"/>
      <c r="ULV200" s="697"/>
      <c r="ULW200" s="697"/>
      <c r="ULX200" s="697"/>
      <c r="ULY200" s="697"/>
      <c r="ULZ200" s="697"/>
      <c r="UMA200" s="697"/>
      <c r="UMB200" s="697"/>
      <c r="UMC200" s="697"/>
      <c r="UMD200" s="697"/>
      <c r="UME200" s="697"/>
      <c r="UMF200" s="697"/>
      <c r="UMG200" s="697"/>
      <c r="UMH200" s="697"/>
      <c r="UMI200" s="697"/>
      <c r="UMJ200" s="697"/>
      <c r="UMK200" s="697"/>
      <c r="UML200" s="697"/>
      <c r="UMM200" s="697"/>
      <c r="UMN200" s="697"/>
      <c r="UMO200" s="697"/>
      <c r="UMP200" s="697"/>
      <c r="UMQ200" s="697"/>
      <c r="UMR200" s="697"/>
      <c r="UMS200" s="697"/>
      <c r="UMT200" s="697"/>
      <c r="UMU200" s="697"/>
      <c r="UMV200" s="697"/>
      <c r="UMW200" s="697"/>
      <c r="UMX200" s="697"/>
      <c r="UMY200" s="697"/>
      <c r="UMZ200" s="697"/>
      <c r="UNA200" s="697"/>
      <c r="UNB200" s="697"/>
      <c r="UNC200" s="697"/>
      <c r="UND200" s="697"/>
      <c r="UNE200" s="697"/>
      <c r="UNF200" s="697"/>
      <c r="UNG200" s="697"/>
      <c r="UNH200" s="697"/>
      <c r="UNI200" s="697"/>
      <c r="UNJ200" s="697"/>
      <c r="UNK200" s="697"/>
      <c r="UNL200" s="697"/>
      <c r="UNM200" s="697"/>
      <c r="UNN200" s="697"/>
      <c r="UNO200" s="697"/>
      <c r="UNP200" s="697"/>
      <c r="UNQ200" s="697"/>
      <c r="UNR200" s="697"/>
      <c r="UNS200" s="697"/>
      <c r="UNT200" s="697"/>
      <c r="UNU200" s="697"/>
      <c r="UNV200" s="697"/>
      <c r="UNW200" s="697"/>
      <c r="UNX200" s="697"/>
      <c r="UNY200" s="697"/>
      <c r="UNZ200" s="697"/>
      <c r="UOA200" s="697"/>
      <c r="UOB200" s="697"/>
      <c r="UOC200" s="697"/>
      <c r="UOD200" s="697"/>
      <c r="UOE200" s="697"/>
      <c r="UOF200" s="697"/>
      <c r="UOG200" s="697"/>
      <c r="UOH200" s="697"/>
      <c r="UOI200" s="697"/>
      <c r="UOJ200" s="697"/>
      <c r="UOK200" s="697"/>
      <c r="UOL200" s="697"/>
      <c r="UOM200" s="697"/>
      <c r="UON200" s="697"/>
      <c r="UOO200" s="697"/>
      <c r="UOP200" s="697"/>
      <c r="UOQ200" s="697"/>
      <c r="UOR200" s="697"/>
      <c r="UOS200" s="697"/>
      <c r="UOT200" s="697"/>
      <c r="UOU200" s="697"/>
      <c r="UOV200" s="697"/>
      <c r="UOW200" s="697"/>
      <c r="UOX200" s="697"/>
      <c r="UOY200" s="697"/>
      <c r="UOZ200" s="697"/>
      <c r="UPA200" s="697"/>
      <c r="UPB200" s="697"/>
      <c r="UPC200" s="697"/>
      <c r="UPD200" s="697"/>
      <c r="UPE200" s="697"/>
      <c r="UPF200" s="697"/>
      <c r="UPG200" s="697"/>
      <c r="UPH200" s="697"/>
      <c r="UPI200" s="697"/>
      <c r="UPJ200" s="697"/>
      <c r="UPK200" s="697"/>
      <c r="UPL200" s="697"/>
      <c r="UPM200" s="697"/>
      <c r="UPN200" s="697"/>
      <c r="UPO200" s="697"/>
      <c r="UPP200" s="697"/>
      <c r="UPQ200" s="697"/>
      <c r="UPR200" s="697"/>
      <c r="UPS200" s="697"/>
      <c r="UPT200" s="697"/>
      <c r="UPU200" s="697"/>
      <c r="UPV200" s="697"/>
      <c r="UPW200" s="697"/>
      <c r="UPX200" s="697"/>
      <c r="UPY200" s="697"/>
      <c r="UPZ200" s="697"/>
      <c r="UQA200" s="697"/>
      <c r="UQB200" s="697"/>
      <c r="UQC200" s="697"/>
      <c r="UQD200" s="697"/>
      <c r="UQE200" s="697"/>
      <c r="UQF200" s="697"/>
      <c r="UQG200" s="697"/>
      <c r="UQH200" s="697"/>
      <c r="UQI200" s="697"/>
      <c r="UQJ200" s="697"/>
      <c r="UQK200" s="697"/>
      <c r="UQL200" s="697"/>
      <c r="UQM200" s="697"/>
      <c r="UQN200" s="697"/>
      <c r="UQO200" s="697"/>
      <c r="UQP200" s="697"/>
      <c r="UQQ200" s="697"/>
      <c r="UQR200" s="697"/>
      <c r="UQS200" s="697"/>
      <c r="UQT200" s="697"/>
      <c r="UQU200" s="697"/>
      <c r="UQV200" s="697"/>
      <c r="UQW200" s="697"/>
      <c r="UQX200" s="697"/>
      <c r="UQY200" s="697"/>
      <c r="UQZ200" s="697"/>
      <c r="URA200" s="697"/>
      <c r="URB200" s="697"/>
      <c r="URC200" s="697"/>
      <c r="URD200" s="697"/>
      <c r="URE200" s="697"/>
      <c r="URF200" s="697"/>
      <c r="URG200" s="697"/>
      <c r="URH200" s="697"/>
      <c r="URI200" s="697"/>
      <c r="URJ200" s="697"/>
      <c r="URK200" s="697"/>
      <c r="URL200" s="697"/>
      <c r="URM200" s="697"/>
      <c r="URN200" s="697"/>
      <c r="URO200" s="697"/>
      <c r="URP200" s="697"/>
      <c r="URQ200" s="697"/>
      <c r="URR200" s="697"/>
      <c r="URS200" s="697"/>
      <c r="URT200" s="697"/>
      <c r="URU200" s="697"/>
      <c r="URV200" s="697"/>
      <c r="URW200" s="697"/>
      <c r="URX200" s="697"/>
      <c r="URY200" s="697"/>
      <c r="URZ200" s="697"/>
      <c r="USA200" s="697"/>
      <c r="USB200" s="697"/>
      <c r="USC200" s="697"/>
      <c r="USD200" s="697"/>
      <c r="USE200" s="697"/>
      <c r="USF200" s="697"/>
      <c r="USG200" s="697"/>
      <c r="USH200" s="697"/>
      <c r="USI200" s="697"/>
      <c r="USJ200" s="697"/>
      <c r="USK200" s="697"/>
      <c r="USL200" s="697"/>
      <c r="USM200" s="697"/>
      <c r="USN200" s="697"/>
      <c r="USO200" s="697"/>
      <c r="USP200" s="697"/>
      <c r="USQ200" s="697"/>
      <c r="USR200" s="697"/>
      <c r="USS200" s="697"/>
      <c r="UST200" s="697"/>
      <c r="USU200" s="697"/>
      <c r="USV200" s="697"/>
      <c r="USW200" s="697"/>
      <c r="USX200" s="697"/>
      <c r="USY200" s="697"/>
      <c r="USZ200" s="697"/>
      <c r="UTA200" s="697"/>
      <c r="UTB200" s="697"/>
      <c r="UTC200" s="697"/>
      <c r="UTD200" s="697"/>
      <c r="UTE200" s="697"/>
      <c r="UTF200" s="697"/>
      <c r="UTG200" s="697"/>
      <c r="UTH200" s="697"/>
      <c r="UTI200" s="697"/>
      <c r="UTJ200" s="697"/>
      <c r="UTK200" s="697"/>
      <c r="UTL200" s="697"/>
      <c r="UTM200" s="697"/>
      <c r="UTN200" s="697"/>
      <c r="UTO200" s="697"/>
      <c r="UTP200" s="697"/>
      <c r="UTQ200" s="697"/>
      <c r="UTR200" s="697"/>
      <c r="UTS200" s="697"/>
      <c r="UTT200" s="697"/>
      <c r="UTU200" s="697"/>
      <c r="UTV200" s="697"/>
      <c r="UTW200" s="697"/>
      <c r="UTX200" s="697"/>
      <c r="UTY200" s="697"/>
      <c r="UTZ200" s="697"/>
      <c r="UUA200" s="697"/>
      <c r="UUB200" s="697"/>
      <c r="UUC200" s="697"/>
      <c r="UUD200" s="697"/>
      <c r="UUE200" s="697"/>
      <c r="UUF200" s="697"/>
      <c r="UUG200" s="697"/>
      <c r="UUH200" s="697"/>
      <c r="UUI200" s="697"/>
      <c r="UUJ200" s="697"/>
      <c r="UUK200" s="697"/>
      <c r="UUL200" s="697"/>
      <c r="UUM200" s="697"/>
      <c r="UUN200" s="697"/>
      <c r="UUO200" s="697"/>
      <c r="UUP200" s="697"/>
      <c r="UUQ200" s="697"/>
      <c r="UUR200" s="697"/>
      <c r="UUS200" s="697"/>
      <c r="UUT200" s="697"/>
      <c r="UUU200" s="697"/>
      <c r="UUV200" s="697"/>
      <c r="UUW200" s="697"/>
      <c r="UUX200" s="697"/>
      <c r="UUY200" s="697"/>
      <c r="UUZ200" s="697"/>
      <c r="UVA200" s="697"/>
      <c r="UVB200" s="697"/>
      <c r="UVC200" s="697"/>
      <c r="UVD200" s="697"/>
      <c r="UVE200" s="697"/>
      <c r="UVF200" s="697"/>
      <c r="UVG200" s="697"/>
      <c r="UVH200" s="697"/>
      <c r="UVI200" s="697"/>
      <c r="UVJ200" s="697"/>
      <c r="UVK200" s="697"/>
      <c r="UVL200" s="697"/>
      <c r="UVM200" s="697"/>
      <c r="UVN200" s="697"/>
      <c r="UVO200" s="697"/>
      <c r="UVP200" s="697"/>
      <c r="UVQ200" s="697"/>
      <c r="UVR200" s="697"/>
      <c r="UVS200" s="697"/>
      <c r="UVT200" s="697"/>
      <c r="UVU200" s="697"/>
      <c r="UVV200" s="697"/>
      <c r="UVW200" s="697"/>
      <c r="UVX200" s="697"/>
      <c r="UVY200" s="697"/>
      <c r="UVZ200" s="697"/>
      <c r="UWA200" s="697"/>
      <c r="UWB200" s="697"/>
      <c r="UWC200" s="697"/>
      <c r="UWD200" s="697"/>
      <c r="UWE200" s="697"/>
      <c r="UWF200" s="697"/>
      <c r="UWG200" s="697"/>
      <c r="UWH200" s="697"/>
      <c r="UWI200" s="697"/>
      <c r="UWJ200" s="697"/>
      <c r="UWK200" s="697"/>
      <c r="UWL200" s="697"/>
      <c r="UWM200" s="697"/>
      <c r="UWN200" s="697"/>
      <c r="UWO200" s="697"/>
      <c r="UWP200" s="697"/>
      <c r="UWQ200" s="697"/>
      <c r="UWR200" s="697"/>
      <c r="UWS200" s="697"/>
      <c r="UWT200" s="697"/>
      <c r="UWU200" s="697"/>
      <c r="UWV200" s="697"/>
      <c r="UWW200" s="697"/>
      <c r="UWX200" s="697"/>
      <c r="UWY200" s="697"/>
      <c r="UWZ200" s="697"/>
      <c r="UXA200" s="697"/>
      <c r="UXB200" s="697"/>
      <c r="UXC200" s="697"/>
      <c r="UXD200" s="697"/>
      <c r="UXE200" s="697"/>
      <c r="UXF200" s="697"/>
      <c r="UXG200" s="697"/>
      <c r="UXH200" s="697"/>
      <c r="UXI200" s="697"/>
      <c r="UXJ200" s="697"/>
      <c r="UXK200" s="697"/>
      <c r="UXL200" s="697"/>
      <c r="UXM200" s="697"/>
      <c r="UXN200" s="697"/>
      <c r="UXO200" s="697"/>
      <c r="UXP200" s="697"/>
      <c r="UXQ200" s="697"/>
      <c r="UXR200" s="697"/>
      <c r="UXS200" s="697"/>
      <c r="UXT200" s="697"/>
      <c r="UXU200" s="697"/>
      <c r="UXV200" s="697"/>
      <c r="UXW200" s="697"/>
      <c r="UXX200" s="697"/>
      <c r="UXY200" s="697"/>
      <c r="UXZ200" s="697"/>
      <c r="UYA200" s="697"/>
      <c r="UYB200" s="697"/>
      <c r="UYC200" s="697"/>
      <c r="UYD200" s="697"/>
      <c r="UYE200" s="697"/>
      <c r="UYF200" s="697"/>
      <c r="UYG200" s="697"/>
      <c r="UYH200" s="697"/>
      <c r="UYI200" s="697"/>
      <c r="UYJ200" s="697"/>
      <c r="UYK200" s="697"/>
      <c r="UYL200" s="697"/>
      <c r="UYM200" s="697"/>
      <c r="UYN200" s="697"/>
      <c r="UYO200" s="697"/>
      <c r="UYP200" s="697"/>
      <c r="UYQ200" s="697"/>
      <c r="UYR200" s="697"/>
      <c r="UYS200" s="697"/>
      <c r="UYT200" s="697"/>
      <c r="UYU200" s="697"/>
      <c r="UYV200" s="697"/>
      <c r="UYW200" s="697"/>
      <c r="UYX200" s="697"/>
      <c r="UYY200" s="697"/>
      <c r="UYZ200" s="697"/>
      <c r="UZA200" s="697"/>
      <c r="UZB200" s="697"/>
      <c r="UZC200" s="697"/>
      <c r="UZD200" s="697"/>
      <c r="UZE200" s="697"/>
      <c r="UZF200" s="697"/>
      <c r="UZG200" s="697"/>
      <c r="UZH200" s="697"/>
      <c r="UZI200" s="697"/>
      <c r="UZJ200" s="697"/>
      <c r="UZK200" s="697"/>
      <c r="UZL200" s="697"/>
      <c r="UZM200" s="697"/>
      <c r="UZN200" s="697"/>
      <c r="UZO200" s="697"/>
      <c r="UZP200" s="697"/>
      <c r="UZQ200" s="697"/>
      <c r="UZR200" s="697"/>
      <c r="UZS200" s="697"/>
      <c r="UZT200" s="697"/>
      <c r="UZU200" s="697"/>
      <c r="UZV200" s="697"/>
      <c r="UZW200" s="697"/>
      <c r="UZX200" s="697"/>
      <c r="UZY200" s="697"/>
      <c r="UZZ200" s="697"/>
      <c r="VAA200" s="697"/>
      <c r="VAB200" s="697"/>
      <c r="VAC200" s="697"/>
      <c r="VAD200" s="697"/>
      <c r="VAE200" s="697"/>
      <c r="VAF200" s="697"/>
      <c r="VAG200" s="697"/>
      <c r="VAH200" s="697"/>
      <c r="VAI200" s="697"/>
      <c r="VAJ200" s="697"/>
      <c r="VAK200" s="697"/>
      <c r="VAL200" s="697"/>
      <c r="VAM200" s="697"/>
      <c r="VAN200" s="697"/>
      <c r="VAO200" s="697"/>
      <c r="VAP200" s="697"/>
      <c r="VAQ200" s="697"/>
      <c r="VAR200" s="697"/>
      <c r="VAS200" s="697"/>
      <c r="VAT200" s="697"/>
      <c r="VAU200" s="697"/>
      <c r="VAV200" s="697"/>
      <c r="VAW200" s="697"/>
      <c r="VAX200" s="697"/>
      <c r="VAY200" s="697"/>
      <c r="VAZ200" s="697"/>
      <c r="VBA200" s="697"/>
      <c r="VBB200" s="697"/>
      <c r="VBC200" s="697"/>
      <c r="VBD200" s="697"/>
      <c r="VBE200" s="697"/>
      <c r="VBF200" s="697"/>
      <c r="VBG200" s="697"/>
      <c r="VBH200" s="697"/>
      <c r="VBI200" s="697"/>
      <c r="VBJ200" s="697"/>
      <c r="VBK200" s="697"/>
      <c r="VBL200" s="697"/>
      <c r="VBM200" s="697"/>
      <c r="VBN200" s="697"/>
      <c r="VBO200" s="697"/>
      <c r="VBP200" s="697"/>
      <c r="VBQ200" s="697"/>
      <c r="VBR200" s="697"/>
      <c r="VBS200" s="697"/>
      <c r="VBT200" s="697"/>
      <c r="VBU200" s="697"/>
      <c r="VBV200" s="697"/>
      <c r="VBW200" s="697"/>
      <c r="VBX200" s="697"/>
      <c r="VBY200" s="697"/>
      <c r="VBZ200" s="697"/>
      <c r="VCA200" s="697"/>
      <c r="VCB200" s="697"/>
      <c r="VCC200" s="697"/>
      <c r="VCD200" s="697"/>
      <c r="VCE200" s="697"/>
      <c r="VCF200" s="697"/>
      <c r="VCG200" s="697"/>
      <c r="VCH200" s="697"/>
      <c r="VCI200" s="697"/>
      <c r="VCJ200" s="697"/>
      <c r="VCK200" s="697"/>
      <c r="VCL200" s="697"/>
      <c r="VCM200" s="697"/>
      <c r="VCN200" s="697"/>
      <c r="VCO200" s="697"/>
      <c r="VCP200" s="697"/>
      <c r="VCQ200" s="697"/>
      <c r="VCR200" s="697"/>
      <c r="VCS200" s="697"/>
      <c r="VCT200" s="697"/>
      <c r="VCU200" s="697"/>
      <c r="VCV200" s="697"/>
      <c r="VCW200" s="697"/>
      <c r="VCX200" s="697"/>
      <c r="VCY200" s="697"/>
      <c r="VCZ200" s="697"/>
      <c r="VDA200" s="697"/>
      <c r="VDB200" s="697"/>
      <c r="VDC200" s="697"/>
      <c r="VDD200" s="697"/>
      <c r="VDE200" s="697"/>
      <c r="VDF200" s="697"/>
      <c r="VDG200" s="697"/>
      <c r="VDH200" s="697"/>
      <c r="VDI200" s="697"/>
      <c r="VDJ200" s="697"/>
      <c r="VDK200" s="697"/>
      <c r="VDL200" s="697"/>
      <c r="VDM200" s="697"/>
      <c r="VDN200" s="697"/>
      <c r="VDO200" s="697"/>
      <c r="VDP200" s="697"/>
      <c r="VDQ200" s="697"/>
      <c r="VDR200" s="697"/>
      <c r="VDS200" s="697"/>
      <c r="VDT200" s="697"/>
      <c r="VDU200" s="697"/>
      <c r="VDV200" s="697"/>
      <c r="VDW200" s="697"/>
      <c r="VDX200" s="697"/>
      <c r="VDY200" s="697"/>
      <c r="VDZ200" s="697"/>
      <c r="VEA200" s="697"/>
      <c r="VEB200" s="697"/>
      <c r="VEC200" s="697"/>
      <c r="VED200" s="697"/>
      <c r="VEE200" s="697"/>
      <c r="VEF200" s="697"/>
      <c r="VEG200" s="697"/>
      <c r="VEH200" s="697"/>
      <c r="VEI200" s="697"/>
      <c r="VEJ200" s="697"/>
      <c r="VEK200" s="697"/>
      <c r="VEL200" s="697"/>
      <c r="VEM200" s="697"/>
      <c r="VEN200" s="697"/>
      <c r="VEO200" s="697"/>
      <c r="VEP200" s="697"/>
      <c r="VEQ200" s="697"/>
      <c r="VER200" s="697"/>
      <c r="VES200" s="697"/>
      <c r="VET200" s="697"/>
      <c r="VEU200" s="697"/>
      <c r="VEV200" s="697"/>
      <c r="VEW200" s="697"/>
      <c r="VEX200" s="697"/>
      <c r="VEY200" s="697"/>
      <c r="VEZ200" s="697"/>
      <c r="VFA200" s="697"/>
      <c r="VFB200" s="697"/>
      <c r="VFC200" s="697"/>
      <c r="VFD200" s="697"/>
      <c r="VFE200" s="697"/>
      <c r="VFF200" s="697"/>
      <c r="VFG200" s="697"/>
      <c r="VFH200" s="697"/>
      <c r="VFI200" s="697"/>
      <c r="VFJ200" s="697"/>
      <c r="VFK200" s="697"/>
      <c r="VFL200" s="697"/>
      <c r="VFM200" s="697"/>
      <c r="VFN200" s="697"/>
      <c r="VFO200" s="697"/>
      <c r="VFP200" s="697"/>
      <c r="VFQ200" s="697"/>
      <c r="VFR200" s="697"/>
      <c r="VFS200" s="697"/>
      <c r="VFT200" s="697"/>
      <c r="VFU200" s="697"/>
      <c r="VFV200" s="697"/>
      <c r="VFW200" s="697"/>
      <c r="VFX200" s="697"/>
      <c r="VFY200" s="697"/>
      <c r="VFZ200" s="697"/>
      <c r="VGA200" s="697"/>
      <c r="VGB200" s="697"/>
      <c r="VGC200" s="697"/>
      <c r="VGD200" s="697"/>
      <c r="VGE200" s="697"/>
      <c r="VGF200" s="697"/>
      <c r="VGG200" s="697"/>
      <c r="VGH200" s="697"/>
      <c r="VGI200" s="697"/>
      <c r="VGJ200" s="697"/>
      <c r="VGK200" s="697"/>
      <c r="VGL200" s="697"/>
      <c r="VGM200" s="697"/>
      <c r="VGN200" s="697"/>
      <c r="VGO200" s="697"/>
      <c r="VGP200" s="697"/>
      <c r="VGQ200" s="697"/>
      <c r="VGR200" s="697"/>
      <c r="VGS200" s="697"/>
      <c r="VGT200" s="697"/>
      <c r="VGU200" s="697"/>
      <c r="VGV200" s="697"/>
      <c r="VGW200" s="697"/>
      <c r="VGX200" s="697"/>
      <c r="VGY200" s="697"/>
      <c r="VGZ200" s="697"/>
      <c r="VHA200" s="697"/>
      <c r="VHB200" s="697"/>
      <c r="VHC200" s="697"/>
      <c r="VHD200" s="697"/>
      <c r="VHE200" s="697"/>
      <c r="VHF200" s="697"/>
      <c r="VHG200" s="697"/>
      <c r="VHH200" s="697"/>
      <c r="VHI200" s="697"/>
      <c r="VHJ200" s="697"/>
      <c r="VHK200" s="697"/>
      <c r="VHL200" s="697"/>
      <c r="VHM200" s="697"/>
      <c r="VHN200" s="697"/>
      <c r="VHO200" s="697"/>
      <c r="VHP200" s="697"/>
      <c r="VHQ200" s="697"/>
      <c r="VHR200" s="697"/>
      <c r="VHS200" s="697"/>
      <c r="VHT200" s="697"/>
      <c r="VHU200" s="697"/>
      <c r="VHV200" s="697"/>
      <c r="VHW200" s="697"/>
      <c r="VHX200" s="697"/>
      <c r="VHY200" s="697"/>
      <c r="VHZ200" s="697"/>
      <c r="VIA200" s="697"/>
      <c r="VIB200" s="697"/>
      <c r="VIC200" s="697"/>
      <c r="VID200" s="697"/>
      <c r="VIE200" s="697"/>
      <c r="VIF200" s="697"/>
      <c r="VIG200" s="697"/>
      <c r="VIH200" s="697"/>
      <c r="VII200" s="697"/>
      <c r="VIJ200" s="697"/>
      <c r="VIK200" s="697"/>
      <c r="VIL200" s="697"/>
      <c r="VIM200" s="697"/>
      <c r="VIN200" s="697"/>
      <c r="VIO200" s="697"/>
      <c r="VIP200" s="697"/>
      <c r="VIQ200" s="697"/>
      <c r="VIR200" s="697"/>
      <c r="VIS200" s="697"/>
      <c r="VIT200" s="697"/>
      <c r="VIU200" s="697"/>
      <c r="VIV200" s="697"/>
      <c r="VIW200" s="697"/>
      <c r="VIX200" s="697"/>
      <c r="VIY200" s="697"/>
      <c r="VIZ200" s="697"/>
      <c r="VJA200" s="697"/>
      <c r="VJB200" s="697"/>
      <c r="VJC200" s="697"/>
      <c r="VJD200" s="697"/>
      <c r="VJE200" s="697"/>
      <c r="VJF200" s="697"/>
      <c r="VJG200" s="697"/>
      <c r="VJH200" s="697"/>
      <c r="VJI200" s="697"/>
      <c r="VJJ200" s="697"/>
      <c r="VJK200" s="697"/>
      <c r="VJL200" s="697"/>
      <c r="VJM200" s="697"/>
      <c r="VJN200" s="697"/>
      <c r="VJO200" s="697"/>
      <c r="VJP200" s="697"/>
      <c r="VJQ200" s="697"/>
      <c r="VJR200" s="697"/>
      <c r="VJS200" s="697"/>
      <c r="VJT200" s="697"/>
      <c r="VJU200" s="697"/>
      <c r="VJV200" s="697"/>
      <c r="VJW200" s="697"/>
      <c r="VJX200" s="697"/>
      <c r="VJY200" s="697"/>
      <c r="VJZ200" s="697"/>
      <c r="VKA200" s="697"/>
      <c r="VKB200" s="697"/>
      <c r="VKC200" s="697"/>
      <c r="VKD200" s="697"/>
      <c r="VKE200" s="697"/>
      <c r="VKF200" s="697"/>
      <c r="VKG200" s="697"/>
      <c r="VKH200" s="697"/>
      <c r="VKI200" s="697"/>
      <c r="VKJ200" s="697"/>
      <c r="VKK200" s="697"/>
      <c r="VKL200" s="697"/>
      <c r="VKM200" s="697"/>
      <c r="VKN200" s="697"/>
      <c r="VKO200" s="697"/>
      <c r="VKP200" s="697"/>
      <c r="VKQ200" s="697"/>
      <c r="VKR200" s="697"/>
      <c r="VKS200" s="697"/>
      <c r="VKT200" s="697"/>
      <c r="VKU200" s="697"/>
      <c r="VKV200" s="697"/>
      <c r="VKW200" s="697"/>
      <c r="VKX200" s="697"/>
      <c r="VKY200" s="697"/>
      <c r="VKZ200" s="697"/>
      <c r="VLA200" s="697"/>
      <c r="VLB200" s="697"/>
      <c r="VLC200" s="697"/>
      <c r="VLD200" s="697"/>
      <c r="VLE200" s="697"/>
      <c r="VLF200" s="697"/>
      <c r="VLG200" s="697"/>
      <c r="VLH200" s="697"/>
      <c r="VLI200" s="697"/>
      <c r="VLJ200" s="697"/>
      <c r="VLK200" s="697"/>
      <c r="VLL200" s="697"/>
      <c r="VLM200" s="697"/>
      <c r="VLN200" s="697"/>
      <c r="VLO200" s="697"/>
      <c r="VLP200" s="697"/>
      <c r="VLQ200" s="697"/>
      <c r="VLR200" s="697"/>
      <c r="VLS200" s="697"/>
      <c r="VLT200" s="697"/>
      <c r="VLU200" s="697"/>
      <c r="VLV200" s="697"/>
      <c r="VLW200" s="697"/>
      <c r="VLX200" s="697"/>
      <c r="VLY200" s="697"/>
      <c r="VLZ200" s="697"/>
      <c r="VMA200" s="697"/>
      <c r="VMB200" s="697"/>
      <c r="VMC200" s="697"/>
      <c r="VMD200" s="697"/>
      <c r="VME200" s="697"/>
      <c r="VMF200" s="697"/>
      <c r="VMG200" s="697"/>
      <c r="VMH200" s="697"/>
      <c r="VMI200" s="697"/>
      <c r="VMJ200" s="697"/>
      <c r="VMK200" s="697"/>
      <c r="VML200" s="697"/>
      <c r="VMM200" s="697"/>
      <c r="VMN200" s="697"/>
      <c r="VMO200" s="697"/>
      <c r="VMP200" s="697"/>
      <c r="VMQ200" s="697"/>
      <c r="VMR200" s="697"/>
      <c r="VMS200" s="697"/>
      <c r="VMT200" s="697"/>
      <c r="VMU200" s="697"/>
      <c r="VMV200" s="697"/>
      <c r="VMW200" s="697"/>
      <c r="VMX200" s="697"/>
      <c r="VMY200" s="697"/>
      <c r="VMZ200" s="697"/>
      <c r="VNA200" s="697"/>
      <c r="VNB200" s="697"/>
      <c r="VNC200" s="697"/>
      <c r="VND200" s="697"/>
      <c r="VNE200" s="697"/>
      <c r="VNF200" s="697"/>
      <c r="VNG200" s="697"/>
      <c r="VNH200" s="697"/>
      <c r="VNI200" s="697"/>
      <c r="VNJ200" s="697"/>
      <c r="VNK200" s="697"/>
      <c r="VNL200" s="697"/>
      <c r="VNM200" s="697"/>
      <c r="VNN200" s="697"/>
      <c r="VNO200" s="697"/>
      <c r="VNP200" s="697"/>
      <c r="VNQ200" s="697"/>
      <c r="VNR200" s="697"/>
      <c r="VNS200" s="697"/>
      <c r="VNT200" s="697"/>
      <c r="VNU200" s="697"/>
      <c r="VNV200" s="697"/>
      <c r="VNW200" s="697"/>
      <c r="VNX200" s="697"/>
      <c r="VNY200" s="697"/>
      <c r="VNZ200" s="697"/>
      <c r="VOA200" s="697"/>
      <c r="VOB200" s="697"/>
      <c r="VOC200" s="697"/>
      <c r="VOD200" s="697"/>
      <c r="VOE200" s="697"/>
      <c r="VOF200" s="697"/>
      <c r="VOG200" s="697"/>
      <c r="VOH200" s="697"/>
      <c r="VOI200" s="697"/>
      <c r="VOJ200" s="697"/>
      <c r="VOK200" s="697"/>
      <c r="VOL200" s="697"/>
      <c r="VOM200" s="697"/>
      <c r="VON200" s="697"/>
      <c r="VOO200" s="697"/>
      <c r="VOP200" s="697"/>
      <c r="VOQ200" s="697"/>
      <c r="VOR200" s="697"/>
      <c r="VOS200" s="697"/>
      <c r="VOT200" s="697"/>
      <c r="VOU200" s="697"/>
      <c r="VOV200" s="697"/>
      <c r="VOW200" s="697"/>
      <c r="VOX200" s="697"/>
      <c r="VOY200" s="697"/>
      <c r="VOZ200" s="697"/>
      <c r="VPA200" s="697"/>
      <c r="VPB200" s="697"/>
      <c r="VPC200" s="697"/>
      <c r="VPD200" s="697"/>
      <c r="VPE200" s="697"/>
      <c r="VPF200" s="697"/>
      <c r="VPG200" s="697"/>
      <c r="VPH200" s="697"/>
      <c r="VPI200" s="697"/>
      <c r="VPJ200" s="697"/>
      <c r="VPK200" s="697"/>
      <c r="VPL200" s="697"/>
      <c r="VPM200" s="697"/>
      <c r="VPN200" s="697"/>
      <c r="VPO200" s="697"/>
      <c r="VPP200" s="697"/>
      <c r="VPQ200" s="697"/>
      <c r="VPR200" s="697"/>
      <c r="VPS200" s="697"/>
      <c r="VPT200" s="697"/>
      <c r="VPU200" s="697"/>
      <c r="VPV200" s="697"/>
      <c r="VPW200" s="697"/>
      <c r="VPX200" s="697"/>
      <c r="VPY200" s="697"/>
      <c r="VPZ200" s="697"/>
      <c r="VQA200" s="697"/>
      <c r="VQB200" s="697"/>
      <c r="VQC200" s="697"/>
      <c r="VQD200" s="697"/>
      <c r="VQE200" s="697"/>
      <c r="VQF200" s="697"/>
      <c r="VQG200" s="697"/>
      <c r="VQH200" s="697"/>
      <c r="VQI200" s="697"/>
      <c r="VQJ200" s="697"/>
      <c r="VQK200" s="697"/>
      <c r="VQL200" s="697"/>
      <c r="VQM200" s="697"/>
      <c r="VQN200" s="697"/>
      <c r="VQO200" s="697"/>
      <c r="VQP200" s="697"/>
      <c r="VQQ200" s="697"/>
      <c r="VQR200" s="697"/>
      <c r="VQS200" s="697"/>
      <c r="VQT200" s="697"/>
      <c r="VQU200" s="697"/>
      <c r="VQV200" s="697"/>
      <c r="VQW200" s="697"/>
      <c r="VQX200" s="697"/>
      <c r="VQY200" s="697"/>
      <c r="VQZ200" s="697"/>
      <c r="VRA200" s="697"/>
      <c r="VRB200" s="697"/>
      <c r="VRC200" s="697"/>
      <c r="VRD200" s="697"/>
      <c r="VRE200" s="697"/>
      <c r="VRF200" s="697"/>
      <c r="VRG200" s="697"/>
      <c r="VRH200" s="697"/>
      <c r="VRI200" s="697"/>
      <c r="VRJ200" s="697"/>
      <c r="VRK200" s="697"/>
      <c r="VRL200" s="697"/>
      <c r="VRM200" s="697"/>
      <c r="VRN200" s="697"/>
      <c r="VRO200" s="697"/>
      <c r="VRP200" s="697"/>
      <c r="VRQ200" s="697"/>
      <c r="VRR200" s="697"/>
      <c r="VRS200" s="697"/>
      <c r="VRT200" s="697"/>
      <c r="VRU200" s="697"/>
      <c r="VRV200" s="697"/>
      <c r="VRW200" s="697"/>
      <c r="VRX200" s="697"/>
      <c r="VRY200" s="697"/>
      <c r="VRZ200" s="697"/>
      <c r="VSA200" s="697"/>
      <c r="VSB200" s="697"/>
      <c r="VSC200" s="697"/>
      <c r="VSD200" s="697"/>
      <c r="VSE200" s="697"/>
      <c r="VSF200" s="697"/>
      <c r="VSG200" s="697"/>
      <c r="VSH200" s="697"/>
      <c r="VSI200" s="697"/>
      <c r="VSJ200" s="697"/>
      <c r="VSK200" s="697"/>
      <c r="VSL200" s="697"/>
      <c r="VSM200" s="697"/>
      <c r="VSN200" s="697"/>
      <c r="VSO200" s="697"/>
      <c r="VSP200" s="697"/>
      <c r="VSQ200" s="697"/>
      <c r="VSR200" s="697"/>
      <c r="VSS200" s="697"/>
      <c r="VST200" s="697"/>
      <c r="VSU200" s="697"/>
      <c r="VSV200" s="697"/>
      <c r="VSW200" s="697"/>
      <c r="VSX200" s="697"/>
      <c r="VSY200" s="697"/>
      <c r="VSZ200" s="697"/>
      <c r="VTA200" s="697"/>
      <c r="VTB200" s="697"/>
      <c r="VTC200" s="697"/>
      <c r="VTD200" s="697"/>
      <c r="VTE200" s="697"/>
      <c r="VTF200" s="697"/>
      <c r="VTG200" s="697"/>
      <c r="VTH200" s="697"/>
      <c r="VTI200" s="697"/>
      <c r="VTJ200" s="697"/>
      <c r="VTK200" s="697"/>
      <c r="VTL200" s="697"/>
      <c r="VTM200" s="697"/>
      <c r="VTN200" s="697"/>
      <c r="VTO200" s="697"/>
      <c r="VTP200" s="697"/>
      <c r="VTQ200" s="697"/>
      <c r="VTR200" s="697"/>
      <c r="VTS200" s="697"/>
      <c r="VTT200" s="697"/>
      <c r="VTU200" s="697"/>
      <c r="VTV200" s="697"/>
      <c r="VTW200" s="697"/>
      <c r="VTX200" s="697"/>
      <c r="VTY200" s="697"/>
      <c r="VTZ200" s="697"/>
      <c r="VUA200" s="697"/>
      <c r="VUB200" s="697"/>
      <c r="VUC200" s="697"/>
      <c r="VUD200" s="697"/>
      <c r="VUE200" s="697"/>
      <c r="VUF200" s="697"/>
      <c r="VUG200" s="697"/>
      <c r="VUH200" s="697"/>
      <c r="VUI200" s="697"/>
      <c r="VUJ200" s="697"/>
      <c r="VUK200" s="697"/>
      <c r="VUL200" s="697"/>
      <c r="VUM200" s="697"/>
      <c r="VUN200" s="697"/>
      <c r="VUO200" s="697"/>
      <c r="VUP200" s="697"/>
      <c r="VUQ200" s="697"/>
      <c r="VUR200" s="697"/>
      <c r="VUS200" s="697"/>
      <c r="VUT200" s="697"/>
      <c r="VUU200" s="697"/>
      <c r="VUV200" s="697"/>
      <c r="VUW200" s="697"/>
      <c r="VUX200" s="697"/>
      <c r="VUY200" s="697"/>
      <c r="VUZ200" s="697"/>
      <c r="VVA200" s="697"/>
      <c r="VVB200" s="697"/>
      <c r="VVC200" s="697"/>
      <c r="VVD200" s="697"/>
      <c r="VVE200" s="697"/>
      <c r="VVF200" s="697"/>
      <c r="VVG200" s="697"/>
      <c r="VVH200" s="697"/>
      <c r="VVI200" s="697"/>
      <c r="VVJ200" s="697"/>
      <c r="VVK200" s="697"/>
      <c r="VVL200" s="697"/>
      <c r="VVM200" s="697"/>
      <c r="VVN200" s="697"/>
      <c r="VVO200" s="697"/>
      <c r="VVP200" s="697"/>
      <c r="VVQ200" s="697"/>
      <c r="VVR200" s="697"/>
      <c r="VVS200" s="697"/>
      <c r="VVT200" s="697"/>
      <c r="VVU200" s="697"/>
      <c r="VVV200" s="697"/>
      <c r="VVW200" s="697"/>
      <c r="VVX200" s="697"/>
      <c r="VVY200" s="697"/>
      <c r="VVZ200" s="697"/>
      <c r="VWA200" s="697"/>
      <c r="VWB200" s="697"/>
      <c r="VWC200" s="697"/>
      <c r="VWD200" s="697"/>
      <c r="VWE200" s="697"/>
      <c r="VWF200" s="697"/>
      <c r="VWG200" s="697"/>
      <c r="VWH200" s="697"/>
      <c r="VWI200" s="697"/>
      <c r="VWJ200" s="697"/>
      <c r="VWK200" s="697"/>
      <c r="VWL200" s="697"/>
      <c r="VWM200" s="697"/>
      <c r="VWN200" s="697"/>
      <c r="VWO200" s="697"/>
      <c r="VWP200" s="697"/>
      <c r="VWQ200" s="697"/>
      <c r="VWR200" s="697"/>
      <c r="VWS200" s="697"/>
      <c r="VWT200" s="697"/>
      <c r="VWU200" s="697"/>
      <c r="VWV200" s="697"/>
      <c r="VWW200" s="697"/>
      <c r="VWX200" s="697"/>
      <c r="VWY200" s="697"/>
      <c r="VWZ200" s="697"/>
      <c r="VXA200" s="697"/>
      <c r="VXB200" s="697"/>
      <c r="VXC200" s="697"/>
      <c r="VXD200" s="697"/>
      <c r="VXE200" s="697"/>
      <c r="VXF200" s="697"/>
      <c r="VXG200" s="697"/>
      <c r="VXH200" s="697"/>
      <c r="VXI200" s="697"/>
      <c r="VXJ200" s="697"/>
      <c r="VXK200" s="697"/>
      <c r="VXL200" s="697"/>
      <c r="VXM200" s="697"/>
      <c r="VXN200" s="697"/>
      <c r="VXO200" s="697"/>
      <c r="VXP200" s="697"/>
      <c r="VXQ200" s="697"/>
      <c r="VXR200" s="697"/>
      <c r="VXS200" s="697"/>
      <c r="VXT200" s="697"/>
      <c r="VXU200" s="697"/>
      <c r="VXV200" s="697"/>
      <c r="VXW200" s="697"/>
      <c r="VXX200" s="697"/>
      <c r="VXY200" s="697"/>
      <c r="VXZ200" s="697"/>
      <c r="VYA200" s="697"/>
      <c r="VYB200" s="697"/>
      <c r="VYC200" s="697"/>
      <c r="VYD200" s="697"/>
      <c r="VYE200" s="697"/>
      <c r="VYF200" s="697"/>
      <c r="VYG200" s="697"/>
      <c r="VYH200" s="697"/>
      <c r="VYI200" s="697"/>
      <c r="VYJ200" s="697"/>
      <c r="VYK200" s="697"/>
      <c r="VYL200" s="697"/>
      <c r="VYM200" s="697"/>
      <c r="VYN200" s="697"/>
      <c r="VYO200" s="697"/>
      <c r="VYP200" s="697"/>
      <c r="VYQ200" s="697"/>
      <c r="VYR200" s="697"/>
      <c r="VYS200" s="697"/>
      <c r="VYT200" s="697"/>
      <c r="VYU200" s="697"/>
      <c r="VYV200" s="697"/>
      <c r="VYW200" s="697"/>
      <c r="VYX200" s="697"/>
      <c r="VYY200" s="697"/>
      <c r="VYZ200" s="697"/>
      <c r="VZA200" s="697"/>
      <c r="VZB200" s="697"/>
      <c r="VZC200" s="697"/>
      <c r="VZD200" s="697"/>
      <c r="VZE200" s="697"/>
      <c r="VZF200" s="697"/>
      <c r="VZG200" s="697"/>
      <c r="VZH200" s="697"/>
      <c r="VZI200" s="697"/>
      <c r="VZJ200" s="697"/>
      <c r="VZK200" s="697"/>
      <c r="VZL200" s="697"/>
      <c r="VZM200" s="697"/>
      <c r="VZN200" s="697"/>
      <c r="VZO200" s="697"/>
      <c r="VZP200" s="697"/>
      <c r="VZQ200" s="697"/>
      <c r="VZR200" s="697"/>
      <c r="VZS200" s="697"/>
      <c r="VZT200" s="697"/>
      <c r="VZU200" s="697"/>
      <c r="VZV200" s="697"/>
      <c r="VZW200" s="697"/>
      <c r="VZX200" s="697"/>
      <c r="VZY200" s="697"/>
      <c r="VZZ200" s="697"/>
      <c r="WAA200" s="697"/>
      <c r="WAB200" s="697"/>
      <c r="WAC200" s="697"/>
      <c r="WAD200" s="697"/>
      <c r="WAE200" s="697"/>
      <c r="WAF200" s="697"/>
      <c r="WAG200" s="697"/>
      <c r="WAH200" s="697"/>
      <c r="WAI200" s="697"/>
      <c r="WAJ200" s="697"/>
      <c r="WAK200" s="697"/>
      <c r="WAL200" s="697"/>
      <c r="WAM200" s="697"/>
      <c r="WAN200" s="697"/>
      <c r="WAO200" s="697"/>
      <c r="WAP200" s="697"/>
      <c r="WAQ200" s="697"/>
      <c r="WAR200" s="697"/>
      <c r="WAS200" s="697"/>
      <c r="WAT200" s="697"/>
      <c r="WAU200" s="697"/>
      <c r="WAV200" s="697"/>
      <c r="WAW200" s="697"/>
      <c r="WAX200" s="697"/>
      <c r="WAY200" s="697"/>
      <c r="WAZ200" s="697"/>
      <c r="WBA200" s="697"/>
      <c r="WBB200" s="697"/>
      <c r="WBC200" s="697"/>
      <c r="WBD200" s="697"/>
      <c r="WBE200" s="697"/>
      <c r="WBF200" s="697"/>
      <c r="WBG200" s="697"/>
      <c r="WBH200" s="697"/>
      <c r="WBI200" s="697"/>
      <c r="WBJ200" s="697"/>
      <c r="WBK200" s="697"/>
      <c r="WBL200" s="697"/>
      <c r="WBM200" s="697"/>
      <c r="WBN200" s="697"/>
      <c r="WBO200" s="697"/>
      <c r="WBP200" s="697"/>
      <c r="WBQ200" s="697"/>
      <c r="WBR200" s="697"/>
      <c r="WBS200" s="697"/>
      <c r="WBT200" s="697"/>
      <c r="WBU200" s="697"/>
      <c r="WBV200" s="697"/>
      <c r="WBW200" s="697"/>
      <c r="WBX200" s="697"/>
      <c r="WBY200" s="697"/>
      <c r="WBZ200" s="697"/>
      <c r="WCA200" s="697"/>
      <c r="WCB200" s="697"/>
      <c r="WCC200" s="697"/>
      <c r="WCD200" s="697"/>
      <c r="WCE200" s="697"/>
      <c r="WCF200" s="697"/>
      <c r="WCG200" s="697"/>
      <c r="WCH200" s="697"/>
      <c r="WCI200" s="697"/>
      <c r="WCJ200" s="697"/>
      <c r="WCK200" s="697"/>
      <c r="WCL200" s="697"/>
      <c r="WCM200" s="697"/>
      <c r="WCN200" s="697"/>
      <c r="WCO200" s="697"/>
      <c r="WCP200" s="697"/>
      <c r="WCQ200" s="697"/>
      <c r="WCR200" s="697"/>
      <c r="WCS200" s="697"/>
      <c r="WCT200" s="697"/>
      <c r="WCU200" s="697"/>
      <c r="WCV200" s="697"/>
      <c r="WCW200" s="697"/>
      <c r="WCX200" s="697"/>
      <c r="WCY200" s="697"/>
      <c r="WCZ200" s="697"/>
      <c r="WDA200" s="697"/>
      <c r="WDB200" s="697"/>
      <c r="WDC200" s="697"/>
      <c r="WDD200" s="697"/>
      <c r="WDE200" s="697"/>
      <c r="WDF200" s="697"/>
      <c r="WDG200" s="697"/>
      <c r="WDH200" s="697"/>
      <c r="WDI200" s="697"/>
      <c r="WDJ200" s="697"/>
      <c r="WDK200" s="697"/>
      <c r="WDL200" s="697"/>
      <c r="WDM200" s="697"/>
      <c r="WDN200" s="697"/>
      <c r="WDO200" s="697"/>
      <c r="WDP200" s="697"/>
      <c r="WDQ200" s="697"/>
      <c r="WDR200" s="697"/>
      <c r="WDS200" s="697"/>
      <c r="WDT200" s="697"/>
      <c r="WDU200" s="697"/>
      <c r="WDV200" s="697"/>
      <c r="WDW200" s="697"/>
      <c r="WDX200" s="697"/>
      <c r="WDY200" s="697"/>
      <c r="WDZ200" s="697"/>
      <c r="WEA200" s="697"/>
      <c r="WEB200" s="697"/>
      <c r="WEC200" s="697"/>
      <c r="WED200" s="697"/>
      <c r="WEE200" s="697"/>
      <c r="WEF200" s="697"/>
      <c r="WEG200" s="697"/>
      <c r="WEH200" s="697"/>
      <c r="WEI200" s="697"/>
      <c r="WEJ200" s="697"/>
      <c r="WEK200" s="697"/>
      <c r="WEL200" s="697"/>
      <c r="WEM200" s="697"/>
      <c r="WEN200" s="697"/>
      <c r="WEO200" s="697"/>
      <c r="WEP200" s="697"/>
      <c r="WEQ200" s="697"/>
      <c r="WER200" s="697"/>
      <c r="WES200" s="697"/>
      <c r="WET200" s="697"/>
      <c r="WEU200" s="697"/>
      <c r="WEV200" s="697"/>
      <c r="WEW200" s="697"/>
      <c r="WEX200" s="697"/>
      <c r="WEY200" s="697"/>
      <c r="WEZ200" s="697"/>
      <c r="WFA200" s="697"/>
      <c r="WFB200" s="697"/>
      <c r="WFC200" s="697"/>
      <c r="WFD200" s="697"/>
      <c r="WFE200" s="697"/>
      <c r="WFF200" s="697"/>
      <c r="WFG200" s="697"/>
      <c r="WFH200" s="697"/>
      <c r="WFI200" s="697"/>
      <c r="WFJ200" s="697"/>
      <c r="WFK200" s="697"/>
      <c r="WFL200" s="697"/>
      <c r="WFM200" s="697"/>
      <c r="WFN200" s="697"/>
      <c r="WFO200" s="697"/>
      <c r="WFP200" s="697"/>
      <c r="WFQ200" s="697"/>
      <c r="WFR200" s="697"/>
      <c r="WFS200" s="697"/>
      <c r="WFT200" s="697"/>
      <c r="WFU200" s="697"/>
      <c r="WFV200" s="697"/>
      <c r="WFW200" s="697"/>
      <c r="WFX200" s="697"/>
      <c r="WFY200" s="697"/>
      <c r="WFZ200" s="697"/>
      <c r="WGA200" s="697"/>
      <c r="WGB200" s="697"/>
      <c r="WGC200" s="697"/>
      <c r="WGD200" s="697"/>
      <c r="WGE200" s="697"/>
      <c r="WGF200" s="697"/>
      <c r="WGG200" s="697"/>
      <c r="WGH200" s="697"/>
      <c r="WGI200" s="697"/>
      <c r="WGJ200" s="697"/>
      <c r="WGK200" s="697"/>
      <c r="WGL200" s="697"/>
      <c r="WGM200" s="697"/>
      <c r="WGN200" s="697"/>
      <c r="WGO200" s="697"/>
      <c r="WGP200" s="697"/>
      <c r="WGQ200" s="697"/>
      <c r="WGR200" s="697"/>
      <c r="WGS200" s="697"/>
      <c r="WGT200" s="697"/>
      <c r="WGU200" s="697"/>
      <c r="WGV200" s="697"/>
      <c r="WGW200" s="697"/>
      <c r="WGX200" s="697"/>
      <c r="WGY200" s="697"/>
      <c r="WGZ200" s="697"/>
      <c r="WHA200" s="697"/>
      <c r="WHB200" s="697"/>
      <c r="WHC200" s="697"/>
      <c r="WHD200" s="697"/>
      <c r="WHE200" s="697"/>
      <c r="WHF200" s="697"/>
      <c r="WHG200" s="697"/>
      <c r="WHH200" s="697"/>
      <c r="WHI200" s="697"/>
      <c r="WHJ200" s="697"/>
      <c r="WHK200" s="697"/>
      <c r="WHL200" s="697"/>
      <c r="WHM200" s="697"/>
      <c r="WHN200" s="697"/>
      <c r="WHO200" s="697"/>
      <c r="WHP200" s="697"/>
      <c r="WHQ200" s="697"/>
      <c r="WHR200" s="697"/>
      <c r="WHS200" s="697"/>
      <c r="WHT200" s="697"/>
      <c r="WHU200" s="697"/>
      <c r="WHV200" s="697"/>
      <c r="WHW200" s="697"/>
      <c r="WHX200" s="697"/>
      <c r="WHY200" s="697"/>
      <c r="WHZ200" s="697"/>
      <c r="WIA200" s="697"/>
      <c r="WIB200" s="697"/>
      <c r="WIC200" s="697"/>
      <c r="WID200" s="697"/>
      <c r="WIE200" s="697"/>
      <c r="WIF200" s="697"/>
      <c r="WIG200" s="697"/>
      <c r="WIH200" s="697"/>
      <c r="WII200" s="697"/>
      <c r="WIJ200" s="697"/>
      <c r="WIK200" s="697"/>
      <c r="WIL200" s="697"/>
      <c r="WIM200" s="697"/>
      <c r="WIN200" s="697"/>
      <c r="WIO200" s="697"/>
      <c r="WIP200" s="697"/>
      <c r="WIQ200" s="697"/>
      <c r="WIR200" s="697"/>
      <c r="WIS200" s="697"/>
      <c r="WIT200" s="697"/>
      <c r="WIU200" s="697"/>
      <c r="WIV200" s="697"/>
      <c r="WIW200" s="697"/>
      <c r="WIX200" s="697"/>
      <c r="WIY200" s="697"/>
      <c r="WIZ200" s="697"/>
      <c r="WJA200" s="697"/>
      <c r="WJB200" s="697"/>
      <c r="WJC200" s="697"/>
      <c r="WJD200" s="697"/>
      <c r="WJE200" s="697"/>
      <c r="WJF200" s="697"/>
      <c r="WJG200" s="697"/>
      <c r="WJH200" s="697"/>
      <c r="WJI200" s="697"/>
      <c r="WJJ200" s="697"/>
      <c r="WJK200" s="697"/>
      <c r="WJL200" s="697"/>
      <c r="WJM200" s="697"/>
      <c r="WJN200" s="697"/>
      <c r="WJO200" s="697"/>
      <c r="WJP200" s="697"/>
      <c r="WJQ200" s="697"/>
      <c r="WJR200" s="697"/>
      <c r="WJS200" s="697"/>
      <c r="WJT200" s="697"/>
      <c r="WJU200" s="697"/>
      <c r="WJV200" s="697"/>
      <c r="WJW200" s="697"/>
      <c r="WJX200" s="697"/>
      <c r="WJY200" s="697"/>
      <c r="WJZ200" s="697"/>
      <c r="WKA200" s="697"/>
      <c r="WKB200" s="697"/>
      <c r="WKC200" s="697"/>
      <c r="WKD200" s="697"/>
      <c r="WKE200" s="697"/>
      <c r="WKF200" s="697"/>
      <c r="WKG200" s="697"/>
      <c r="WKH200" s="697"/>
      <c r="WKI200" s="697"/>
      <c r="WKJ200" s="697"/>
      <c r="WKK200" s="697"/>
      <c r="WKL200" s="697"/>
      <c r="WKM200" s="697"/>
      <c r="WKN200" s="697"/>
      <c r="WKO200" s="697"/>
      <c r="WKP200" s="697"/>
      <c r="WKQ200" s="697"/>
      <c r="WKR200" s="697"/>
      <c r="WKS200" s="697"/>
      <c r="WKT200" s="697"/>
      <c r="WKU200" s="697"/>
      <c r="WKV200" s="697"/>
      <c r="WKW200" s="697"/>
      <c r="WKX200" s="697"/>
      <c r="WKY200" s="697"/>
      <c r="WKZ200" s="697"/>
      <c r="WLA200" s="697"/>
      <c r="WLB200" s="697"/>
      <c r="WLC200" s="697"/>
      <c r="WLD200" s="697"/>
      <c r="WLE200" s="697"/>
      <c r="WLF200" s="697"/>
      <c r="WLG200" s="697"/>
      <c r="WLH200" s="697"/>
      <c r="WLI200" s="697"/>
      <c r="WLJ200" s="697"/>
      <c r="WLK200" s="697"/>
      <c r="WLL200" s="697"/>
      <c r="WLM200" s="697"/>
      <c r="WLN200" s="697"/>
      <c r="WLO200" s="697"/>
      <c r="WLP200" s="697"/>
      <c r="WLQ200" s="697"/>
      <c r="WLR200" s="697"/>
      <c r="WLS200" s="697"/>
      <c r="WLT200" s="697"/>
      <c r="WLU200" s="697"/>
      <c r="WLV200" s="697"/>
      <c r="WLW200" s="697"/>
      <c r="WLX200" s="697"/>
      <c r="WLY200" s="697"/>
      <c r="WLZ200" s="697"/>
      <c r="WMA200" s="697"/>
      <c r="WMB200" s="697"/>
      <c r="WMC200" s="697"/>
      <c r="WMD200" s="697"/>
      <c r="WME200" s="697"/>
      <c r="WMF200" s="697"/>
      <c r="WMG200" s="697"/>
      <c r="WMH200" s="697"/>
      <c r="WMI200" s="697"/>
      <c r="WMJ200" s="697"/>
      <c r="WMK200" s="697"/>
      <c r="WML200" s="697"/>
      <c r="WMM200" s="697"/>
      <c r="WMN200" s="697"/>
      <c r="WMO200" s="697"/>
      <c r="WMP200" s="697"/>
      <c r="WMQ200" s="697"/>
      <c r="WMR200" s="697"/>
      <c r="WMS200" s="697"/>
      <c r="WMT200" s="697"/>
      <c r="WMU200" s="697"/>
      <c r="WMV200" s="697"/>
      <c r="WMW200" s="697"/>
      <c r="WMX200" s="697"/>
      <c r="WMY200" s="697"/>
      <c r="WMZ200" s="697"/>
      <c r="WNA200" s="697"/>
      <c r="WNB200" s="697"/>
      <c r="WNC200" s="697"/>
      <c r="WND200" s="697"/>
      <c r="WNE200" s="697"/>
      <c r="WNF200" s="697"/>
      <c r="WNG200" s="697"/>
      <c r="WNH200" s="697"/>
      <c r="WNI200" s="697"/>
      <c r="WNJ200" s="697"/>
      <c r="WNK200" s="697"/>
      <c r="WNL200" s="697"/>
      <c r="WNM200" s="697"/>
      <c r="WNN200" s="697"/>
      <c r="WNO200" s="697"/>
      <c r="WNP200" s="697"/>
      <c r="WNQ200" s="697"/>
      <c r="WNR200" s="697"/>
      <c r="WNS200" s="697"/>
      <c r="WNT200" s="697"/>
      <c r="WNU200" s="697"/>
      <c r="WNV200" s="697"/>
      <c r="WNW200" s="697"/>
      <c r="WNX200" s="697"/>
      <c r="WNY200" s="697"/>
      <c r="WNZ200" s="697"/>
      <c r="WOA200" s="697"/>
      <c r="WOB200" s="697"/>
      <c r="WOC200" s="697"/>
      <c r="WOD200" s="697"/>
      <c r="WOE200" s="697"/>
      <c r="WOF200" s="697"/>
      <c r="WOG200" s="697"/>
      <c r="WOH200" s="697"/>
      <c r="WOI200" s="697"/>
      <c r="WOJ200" s="697"/>
      <c r="WOK200" s="697"/>
      <c r="WOL200" s="697"/>
      <c r="WOM200" s="697"/>
      <c r="WON200" s="697"/>
      <c r="WOO200" s="697"/>
      <c r="WOP200" s="697"/>
      <c r="WOQ200" s="697"/>
      <c r="WOR200" s="697"/>
      <c r="WOS200" s="697"/>
      <c r="WOT200" s="697"/>
      <c r="WOU200" s="697"/>
      <c r="WOV200" s="697"/>
      <c r="WOW200" s="697"/>
      <c r="WOX200" s="697"/>
      <c r="WOY200" s="697"/>
      <c r="WOZ200" s="697"/>
      <c r="WPA200" s="697"/>
      <c r="WPB200" s="697"/>
      <c r="WPC200" s="697"/>
      <c r="WPD200" s="697"/>
      <c r="WPE200" s="697"/>
      <c r="WPF200" s="697"/>
      <c r="WPG200" s="697"/>
      <c r="WPH200" s="697"/>
      <c r="WPI200" s="697"/>
      <c r="WPJ200" s="697"/>
      <c r="WPK200" s="697"/>
      <c r="WPL200" s="697"/>
      <c r="WPM200" s="697"/>
      <c r="WPN200" s="697"/>
      <c r="WPO200" s="697"/>
      <c r="WPP200" s="697"/>
      <c r="WPQ200" s="697"/>
      <c r="WPR200" s="697"/>
      <c r="WPS200" s="697"/>
      <c r="WPT200" s="697"/>
      <c r="WPU200" s="697"/>
      <c r="WPV200" s="697"/>
      <c r="WPW200" s="697"/>
      <c r="WPX200" s="697"/>
      <c r="WPY200" s="697"/>
      <c r="WPZ200" s="697"/>
      <c r="WQA200" s="697"/>
      <c r="WQB200" s="697"/>
      <c r="WQC200" s="697"/>
      <c r="WQD200" s="697"/>
      <c r="WQE200" s="697"/>
      <c r="WQF200" s="697"/>
      <c r="WQG200" s="697"/>
      <c r="WQH200" s="697"/>
      <c r="WQI200" s="697"/>
      <c r="WQJ200" s="697"/>
      <c r="WQK200" s="697"/>
      <c r="WQL200" s="697"/>
      <c r="WQM200" s="697"/>
      <c r="WQN200" s="697"/>
      <c r="WQO200" s="697"/>
      <c r="WQP200" s="697"/>
      <c r="WQQ200" s="697"/>
      <c r="WQR200" s="697"/>
      <c r="WQS200" s="697"/>
      <c r="WQT200" s="697"/>
      <c r="WQU200" s="697"/>
      <c r="WQV200" s="697"/>
      <c r="WQW200" s="697"/>
      <c r="WQX200" s="697"/>
      <c r="WQY200" s="697"/>
      <c r="WQZ200" s="697"/>
      <c r="WRA200" s="697"/>
      <c r="WRB200" s="697"/>
      <c r="WRC200" s="697"/>
      <c r="WRD200" s="697"/>
      <c r="WRE200" s="697"/>
      <c r="WRF200" s="697"/>
      <c r="WRG200" s="697"/>
      <c r="WRH200" s="697"/>
      <c r="WRI200" s="697"/>
      <c r="WRJ200" s="697"/>
      <c r="WRK200" s="697"/>
      <c r="WRL200" s="697"/>
      <c r="WRM200" s="697"/>
      <c r="WRN200" s="697"/>
      <c r="WRO200" s="697"/>
      <c r="WRP200" s="697"/>
      <c r="WRQ200" s="697"/>
      <c r="WRR200" s="697"/>
      <c r="WRS200" s="697"/>
      <c r="WRT200" s="697"/>
      <c r="WRU200" s="697"/>
      <c r="WRV200" s="697"/>
      <c r="WRW200" s="697"/>
      <c r="WRX200" s="697"/>
      <c r="WRY200" s="697"/>
      <c r="WRZ200" s="697"/>
      <c r="WSA200" s="697"/>
      <c r="WSB200" s="697"/>
      <c r="WSC200" s="697"/>
      <c r="WSD200" s="697"/>
      <c r="WSE200" s="697"/>
      <c r="WSF200" s="697"/>
      <c r="WSG200" s="697"/>
      <c r="WSH200" s="697"/>
      <c r="WSI200" s="697"/>
      <c r="WSJ200" s="697"/>
      <c r="WSK200" s="697"/>
      <c r="WSL200" s="697"/>
      <c r="WSM200" s="697"/>
      <c r="WSN200" s="697"/>
      <c r="WSO200" s="697"/>
      <c r="WSP200" s="697"/>
      <c r="WSQ200" s="697"/>
      <c r="WSR200" s="697"/>
      <c r="WSS200" s="697"/>
      <c r="WST200" s="697"/>
      <c r="WSU200" s="697"/>
      <c r="WSV200" s="697"/>
      <c r="WSW200" s="697"/>
      <c r="WSX200" s="697"/>
      <c r="WSY200" s="697"/>
      <c r="WSZ200" s="697"/>
      <c r="WTA200" s="697"/>
      <c r="WTB200" s="697"/>
      <c r="WTC200" s="697"/>
      <c r="WTD200" s="697"/>
      <c r="WTE200" s="697"/>
      <c r="WTF200" s="697"/>
      <c r="WTG200" s="697"/>
      <c r="WTH200" s="697"/>
      <c r="WTI200" s="697"/>
      <c r="WTJ200" s="697"/>
      <c r="WTK200" s="697"/>
      <c r="WTL200" s="697"/>
      <c r="WTM200" s="697"/>
      <c r="WTN200" s="697"/>
      <c r="WTO200" s="697"/>
      <c r="WTP200" s="697"/>
      <c r="WTQ200" s="697"/>
      <c r="WTR200" s="697"/>
      <c r="WTS200" s="697"/>
      <c r="WTT200" s="697"/>
      <c r="WTU200" s="697"/>
      <c r="WTV200" s="697"/>
      <c r="WTW200" s="697"/>
      <c r="WTX200" s="697"/>
      <c r="WTY200" s="697"/>
      <c r="WTZ200" s="697"/>
      <c r="WUA200" s="697"/>
      <c r="WUB200" s="697"/>
      <c r="WUC200" s="697"/>
      <c r="WUD200" s="697"/>
      <c r="WUE200" s="697"/>
      <c r="WUF200" s="697"/>
      <c r="WUG200" s="697"/>
      <c r="WUH200" s="697"/>
      <c r="WUI200" s="697"/>
      <c r="WUJ200" s="697"/>
      <c r="WUK200" s="697"/>
      <c r="WUL200" s="697"/>
      <c r="WUM200" s="697"/>
      <c r="WUN200" s="697"/>
      <c r="WUO200" s="697"/>
      <c r="WUP200" s="697"/>
      <c r="WUQ200" s="697"/>
      <c r="WUR200" s="697"/>
      <c r="WUS200" s="697"/>
      <c r="WUT200" s="697"/>
      <c r="WUU200" s="697"/>
      <c r="WUV200" s="697"/>
      <c r="WUW200" s="697"/>
      <c r="WUX200" s="697"/>
      <c r="WUY200" s="697"/>
      <c r="WUZ200" s="697"/>
      <c r="WVA200" s="697"/>
      <c r="WVB200" s="697"/>
      <c r="WVC200" s="697"/>
      <c r="WVD200" s="697"/>
      <c r="WVE200" s="697"/>
      <c r="WVF200" s="697"/>
      <c r="WVG200" s="697"/>
      <c r="WVH200" s="697"/>
      <c r="WVI200" s="697"/>
      <c r="WVJ200" s="697"/>
      <c r="WVK200" s="697"/>
      <c r="WVL200" s="697"/>
      <c r="WVM200" s="697"/>
      <c r="WVN200" s="697"/>
      <c r="WVO200" s="697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1" manualBreakCount="1">
    <brk id="155" max="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8</vt:i4>
      </vt:variant>
    </vt:vector>
  </HeadingPairs>
  <TitlesOfParts>
    <vt:vector size="16" baseType="lpstr">
      <vt:lpstr>Zał.Nr1</vt:lpstr>
      <vt:lpstr>Zał.Nr2</vt:lpstr>
      <vt:lpstr>Zał.Nr3</vt:lpstr>
      <vt:lpstr>Zał.Nr4</vt:lpstr>
      <vt:lpstr>Zał.Nr5</vt:lpstr>
      <vt:lpstr>Zał.Nr6</vt:lpstr>
      <vt:lpstr>Zał.Nr7</vt:lpstr>
      <vt:lpstr>Arkusz1</vt:lpstr>
      <vt:lpstr>Zał.Nr1!Obszar_wydruku</vt:lpstr>
      <vt:lpstr>Zał.Nr7!Obszar_wydruku</vt:lpstr>
      <vt:lpstr>Zał.Nr1!Tytuły_wydruku</vt:lpstr>
      <vt:lpstr>Zał.Nr2!Tytuły_wydruku</vt:lpstr>
      <vt:lpstr>Zał.Nr3!Tytuły_wydruku</vt:lpstr>
      <vt:lpstr>Zał.Nr4!Tytuły_wydruku</vt:lpstr>
      <vt:lpstr>Zał.Nr5!Tytuły_wydruku</vt:lpstr>
      <vt:lpstr>Zał.Nr7!Tytuły_wydruku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298/2025 PREZYDENTA MIASTA WŁOCŁAWEK z dnia 30 września 2025 r.</dc:title>
  <dc:creator>Monika Szubska</dc:creator>
  <cp:keywords>Załącznik do Zarządzenia PREZYDENTA MIASTA WŁOCŁAWEK </cp:keywords>
  <cp:lastModifiedBy>Karolina Budziszewska</cp:lastModifiedBy>
  <cp:lastPrinted>2025-10-06T10:07:15Z</cp:lastPrinted>
  <dcterms:created xsi:type="dcterms:W3CDTF">2015-06-05T18:19:34Z</dcterms:created>
  <dcterms:modified xsi:type="dcterms:W3CDTF">2025-10-06T12:11:42Z</dcterms:modified>
</cp:coreProperties>
</file>