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Do_BIP\"/>
    </mc:Choice>
  </mc:AlternateContent>
  <xr:revisionPtr revIDLastSave="0" documentId="13_ncr:1_{EFCD372D-7608-41C8-9F8F-11D87AB06E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11" r:id="rId1"/>
    <sheet name="Zał.Nr2" sheetId="13" r:id="rId2"/>
    <sheet name="Zał.Nr3" sheetId="12" r:id="rId3"/>
    <sheet name="Zał.Nr4" sheetId="14" r:id="rId4"/>
    <sheet name="Zał.Nr5" sheetId="15" r:id="rId5"/>
    <sheet name="Zał.Nr6" sheetId="16" r:id="rId6"/>
    <sheet name="Zał.Nr7" sheetId="17" r:id="rId7"/>
  </sheets>
  <definedNames>
    <definedName name="_xlnm._FilterDatabase" localSheetId="0" hidden="1">Zał.Nr1!$A$33:$H$157</definedName>
    <definedName name="_xlnm.Print_Area" localSheetId="0">Zał.Nr1!$A$1:$H$354</definedName>
    <definedName name="_xlnm.Print_Titles" localSheetId="0">Zał.Nr1!$7:$9</definedName>
    <definedName name="_xlnm.Print_Titles" localSheetId="3">Zał.Nr4!$10:$11</definedName>
    <definedName name="_xlnm.Print_Titles" localSheetId="4">Zał.Nr5!$35:$35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7" l="1"/>
  <c r="E16" i="17"/>
  <c r="E23" i="17" s="1"/>
  <c r="G37" i="16"/>
  <c r="F37" i="16"/>
  <c r="E37" i="16"/>
  <c r="D37" i="16"/>
  <c r="G20" i="16"/>
  <c r="G38" i="16" s="1"/>
  <c r="F20" i="16"/>
  <c r="F38" i="16" s="1"/>
  <c r="E20" i="16"/>
  <c r="E38" i="16" s="1"/>
  <c r="D20" i="16"/>
  <c r="D38" i="16" s="1"/>
  <c r="F137" i="15"/>
  <c r="F135" i="15"/>
  <c r="F125" i="15"/>
  <c r="F123" i="15"/>
  <c r="F121" i="15"/>
  <c r="F113" i="15"/>
  <c r="F110" i="15"/>
  <c r="F104" i="15"/>
  <c r="F89" i="15"/>
  <c r="F82" i="15"/>
  <c r="F77" i="15"/>
  <c r="F74" i="15"/>
  <c r="F63" i="15"/>
  <c r="F61" i="15"/>
  <c r="F59" i="15"/>
  <c r="F44" i="15"/>
  <c r="F42" i="15"/>
  <c r="F36" i="15"/>
  <c r="F139" i="15" s="1"/>
  <c r="F32" i="15"/>
  <c r="F30" i="15"/>
  <c r="F29" i="15"/>
  <c r="F27" i="15"/>
  <c r="F26" i="15"/>
  <c r="F25" i="15"/>
  <c r="F24" i="15"/>
  <c r="F23" i="15"/>
  <c r="F22" i="15" s="1"/>
  <c r="F21" i="15"/>
  <c r="F19" i="15"/>
  <c r="F18" i="15"/>
  <c r="F17" i="15"/>
  <c r="F16" i="15"/>
  <c r="F15" i="15"/>
  <c r="F14" i="15"/>
  <c r="F13" i="15"/>
  <c r="F12" i="15"/>
  <c r="F33" i="15" s="1"/>
  <c r="F140" i="15" s="1"/>
  <c r="F11" i="15"/>
  <c r="F45" i="14"/>
  <c r="F43" i="14"/>
  <c r="F41" i="14"/>
  <c r="F39" i="14"/>
  <c r="F37" i="14"/>
  <c r="F47" i="14" s="1"/>
  <c r="F33" i="14"/>
  <c r="F31" i="14"/>
  <c r="F29" i="14"/>
  <c r="F27" i="14"/>
  <c r="F26" i="14"/>
  <c r="F25" i="14"/>
  <c r="F23" i="14"/>
  <c r="F21" i="14"/>
  <c r="F35" i="14" s="1"/>
  <c r="F48" i="14" s="1"/>
  <c r="F19" i="14"/>
  <c r="F17" i="14"/>
  <c r="F16" i="14"/>
  <c r="I18" i="12" l="1"/>
  <c r="H18" i="12"/>
  <c r="F18" i="12"/>
  <c r="D18" i="12"/>
  <c r="E17" i="12"/>
  <c r="G16" i="12"/>
  <c r="E16" i="12"/>
  <c r="E18" i="12" s="1"/>
  <c r="G15" i="12"/>
  <c r="G18" i="12" s="1"/>
  <c r="E15" i="12"/>
  <c r="E14" i="12"/>
  <c r="H353" i="11"/>
  <c r="H352" i="11"/>
  <c r="G351" i="11"/>
  <c r="G350" i="11" s="1"/>
  <c r="G349" i="11" s="1"/>
  <c r="F351" i="11"/>
  <c r="F350" i="11" s="1"/>
  <c r="H348" i="11"/>
  <c r="F347" i="11"/>
  <c r="H347" i="11" s="1"/>
  <c r="H346" i="11"/>
  <c r="G345" i="11"/>
  <c r="G344" i="11"/>
  <c r="G343" i="11" s="1"/>
  <c r="H341" i="11"/>
  <c r="H340" i="11"/>
  <c r="G339" i="11"/>
  <c r="G338" i="11" s="1"/>
  <c r="F339" i="11"/>
  <c r="F338" i="11" s="1"/>
  <c r="H338" i="11" s="1"/>
  <c r="H337" i="11"/>
  <c r="H336" i="11"/>
  <c r="G335" i="11"/>
  <c r="G334" i="11" s="1"/>
  <c r="F335" i="11"/>
  <c r="F334" i="11" s="1"/>
  <c r="H332" i="11"/>
  <c r="H331" i="11"/>
  <c r="G330" i="11"/>
  <c r="F330" i="11"/>
  <c r="G329" i="11"/>
  <c r="G328" i="11" s="1"/>
  <c r="G327" i="11" s="1"/>
  <c r="H326" i="11"/>
  <c r="H325" i="11"/>
  <c r="H324" i="11"/>
  <c r="G323" i="11"/>
  <c r="G322" i="11" s="1"/>
  <c r="G321" i="11" s="1"/>
  <c r="F323" i="11"/>
  <c r="F322" i="11"/>
  <c r="H320" i="11"/>
  <c r="H319" i="11"/>
  <c r="G318" i="11"/>
  <c r="F318" i="11"/>
  <c r="H318" i="11" s="1"/>
  <c r="H317" i="11"/>
  <c r="H316" i="11"/>
  <c r="G315" i="11"/>
  <c r="F315" i="11"/>
  <c r="H315" i="11" s="1"/>
  <c r="H314" i="11"/>
  <c r="H313" i="11"/>
  <c r="G312" i="11"/>
  <c r="F312" i="11"/>
  <c r="H312" i="11" s="1"/>
  <c r="H310" i="11"/>
  <c r="H309" i="11"/>
  <c r="H308" i="11"/>
  <c r="G308" i="11"/>
  <c r="G306" i="11" s="1"/>
  <c r="F308" i="11"/>
  <c r="F306" i="11" s="1"/>
  <c r="H304" i="11"/>
  <c r="H303" i="11"/>
  <c r="H302" i="11"/>
  <c r="H301" i="11"/>
  <c r="G301" i="11"/>
  <c r="G300" i="11" s="1"/>
  <c r="F301" i="11"/>
  <c r="F300" i="11" s="1"/>
  <c r="H299" i="11"/>
  <c r="H298" i="11"/>
  <c r="H297" i="11"/>
  <c r="G296" i="11"/>
  <c r="F296" i="11"/>
  <c r="F295" i="11" s="1"/>
  <c r="H293" i="11"/>
  <c r="H292" i="11"/>
  <c r="H291" i="11"/>
  <c r="H290" i="11"/>
  <c r="G289" i="11"/>
  <c r="G281" i="11" s="1"/>
  <c r="F289" i="11"/>
  <c r="H288" i="11"/>
  <c r="H287" i="11"/>
  <c r="H286" i="11"/>
  <c r="H285" i="11"/>
  <c r="H284" i="11"/>
  <c r="H283" i="11"/>
  <c r="G282" i="11"/>
  <c r="F282" i="11"/>
  <c r="F281" i="11" s="1"/>
  <c r="H280" i="11"/>
  <c r="H279" i="11"/>
  <c r="H278" i="11"/>
  <c r="G277" i="11"/>
  <c r="H277" i="11" s="1"/>
  <c r="F277" i="11"/>
  <c r="F276" i="11"/>
  <c r="G268" i="11"/>
  <c r="F267" i="11"/>
  <c r="F260" i="11" s="1"/>
  <c r="H266" i="11"/>
  <c r="H265" i="11"/>
  <c r="H264" i="11"/>
  <c r="H263" i="11"/>
  <c r="H262" i="11"/>
  <c r="G261" i="11"/>
  <c r="H261" i="11" s="1"/>
  <c r="F261" i="11"/>
  <c r="H259" i="11"/>
  <c r="H258" i="11"/>
  <c r="H257" i="11"/>
  <c r="H256" i="11"/>
  <c r="H255" i="11"/>
  <c r="H254" i="11"/>
  <c r="G253" i="11"/>
  <c r="F253" i="11"/>
  <c r="F252" i="11" s="1"/>
  <c r="H251" i="11"/>
  <c r="H250" i="11"/>
  <c r="H249" i="11"/>
  <c r="H248" i="11"/>
  <c r="H247" i="11"/>
  <c r="G246" i="11"/>
  <c r="G245" i="11" s="1"/>
  <c r="F246" i="11"/>
  <c r="F245" i="11" s="1"/>
  <c r="H244" i="11"/>
  <c r="H243" i="11"/>
  <c r="H242" i="11"/>
  <c r="H241" i="11"/>
  <c r="H240" i="11"/>
  <c r="G239" i="11"/>
  <c r="G238" i="11" s="1"/>
  <c r="F239" i="11"/>
  <c r="F238" i="11"/>
  <c r="H237" i="11"/>
  <c r="H236" i="11"/>
  <c r="G235" i="11"/>
  <c r="G234" i="11" s="1"/>
  <c r="F235" i="11"/>
  <c r="H235" i="11" s="1"/>
  <c r="H232" i="11"/>
  <c r="H231" i="11"/>
  <c r="H230" i="11"/>
  <c r="H229" i="11"/>
  <c r="H228" i="11"/>
  <c r="G227" i="11"/>
  <c r="G226" i="11" s="1"/>
  <c r="G225" i="11" s="1"/>
  <c r="F227" i="11"/>
  <c r="H223" i="11"/>
  <c r="H222" i="11"/>
  <c r="G221" i="11"/>
  <c r="F221" i="11"/>
  <c r="F220" i="11" s="1"/>
  <c r="F219" i="11" s="1"/>
  <c r="H219" i="11" s="1"/>
  <c r="G220" i="11"/>
  <c r="G219" i="11" s="1"/>
  <c r="H218" i="11"/>
  <c r="H217" i="11"/>
  <c r="G216" i="11"/>
  <c r="F216" i="11"/>
  <c r="F215" i="11" s="1"/>
  <c r="H214" i="11"/>
  <c r="G213" i="11"/>
  <c r="G212" i="11" s="1"/>
  <c r="F213" i="11"/>
  <c r="H211" i="11"/>
  <c r="G210" i="11"/>
  <c r="G209" i="11" s="1"/>
  <c r="F210" i="11"/>
  <c r="H210" i="11" s="1"/>
  <c r="F209" i="11"/>
  <c r="H209" i="11" s="1"/>
  <c r="H207" i="11"/>
  <c r="H206" i="11"/>
  <c r="G205" i="11"/>
  <c r="G204" i="11" s="1"/>
  <c r="F205" i="11"/>
  <c r="F204" i="11" s="1"/>
  <c r="H203" i="11"/>
  <c r="H202" i="11"/>
  <c r="H201" i="11"/>
  <c r="H200" i="11"/>
  <c r="G199" i="11"/>
  <c r="F199" i="11"/>
  <c r="G198" i="11"/>
  <c r="H197" i="11"/>
  <c r="G196" i="11"/>
  <c r="F196" i="11"/>
  <c r="H196" i="11" s="1"/>
  <c r="H195" i="11"/>
  <c r="G194" i="11"/>
  <c r="G193" i="11" s="1"/>
  <c r="F194" i="11"/>
  <c r="H194" i="11" s="1"/>
  <c r="F193" i="11"/>
  <c r="H191" i="11"/>
  <c r="G190" i="11"/>
  <c r="F190" i="11"/>
  <c r="F188" i="11" s="1"/>
  <c r="H188" i="11" s="1"/>
  <c r="G188" i="11"/>
  <c r="H187" i="11"/>
  <c r="G186" i="11"/>
  <c r="F186" i="11"/>
  <c r="F185" i="11" s="1"/>
  <c r="H181" i="11"/>
  <c r="G180" i="11"/>
  <c r="G179" i="11" s="1"/>
  <c r="F180" i="11"/>
  <c r="H180" i="11" s="1"/>
  <c r="G178" i="11"/>
  <c r="H177" i="11"/>
  <c r="H176" i="11"/>
  <c r="G175" i="11"/>
  <c r="F175" i="11"/>
  <c r="H175" i="11" s="1"/>
  <c r="H172" i="11"/>
  <c r="H171" i="11"/>
  <c r="G170" i="11"/>
  <c r="G169" i="11" s="1"/>
  <c r="F170" i="11"/>
  <c r="H170" i="11" s="1"/>
  <c r="F169" i="11"/>
  <c r="H168" i="11"/>
  <c r="H167" i="11"/>
  <c r="H166" i="11"/>
  <c r="G165" i="11"/>
  <c r="G163" i="11" s="1"/>
  <c r="F165" i="11"/>
  <c r="H161" i="11"/>
  <c r="H160" i="11"/>
  <c r="G159" i="11"/>
  <c r="F159" i="11"/>
  <c r="G158" i="11"/>
  <c r="H157" i="11"/>
  <c r="H156" i="11"/>
  <c r="H155" i="11"/>
  <c r="G154" i="11"/>
  <c r="F154" i="11"/>
  <c r="F153" i="11" s="1"/>
  <c r="H151" i="11"/>
  <c r="H150" i="11"/>
  <c r="H149" i="11"/>
  <c r="G148" i="11"/>
  <c r="F148" i="11"/>
  <c r="H148" i="11" s="1"/>
  <c r="H147" i="11"/>
  <c r="G146" i="11"/>
  <c r="F146" i="11"/>
  <c r="H146" i="11" s="1"/>
  <c r="G145" i="11"/>
  <c r="G144" i="11"/>
  <c r="H144" i="11" s="1"/>
  <c r="H143" i="11"/>
  <c r="F142" i="11"/>
  <c r="F141" i="11" s="1"/>
  <c r="H139" i="11"/>
  <c r="G138" i="11"/>
  <c r="F138" i="11"/>
  <c r="G137" i="11"/>
  <c r="H136" i="11"/>
  <c r="H135" i="11"/>
  <c r="G134" i="11"/>
  <c r="F134" i="11"/>
  <c r="G133" i="11"/>
  <c r="H130" i="11"/>
  <c r="H129" i="11"/>
  <c r="H128" i="11"/>
  <c r="H127" i="11"/>
  <c r="H126" i="11"/>
  <c r="G125" i="11"/>
  <c r="F125" i="11"/>
  <c r="H125" i="11" s="1"/>
  <c r="H124" i="11"/>
  <c r="H123" i="11"/>
  <c r="G122" i="11"/>
  <c r="F122" i="11"/>
  <c r="G121" i="11"/>
  <c r="H117" i="11"/>
  <c r="G116" i="11"/>
  <c r="G115" i="11" s="1"/>
  <c r="F116" i="11"/>
  <c r="H116" i="11" s="1"/>
  <c r="F115" i="11"/>
  <c r="H114" i="11"/>
  <c r="G113" i="11"/>
  <c r="F113" i="11"/>
  <c r="H113" i="11" s="1"/>
  <c r="H112" i="11"/>
  <c r="H111" i="11"/>
  <c r="H110" i="11"/>
  <c r="G109" i="11"/>
  <c r="G108" i="11" s="1"/>
  <c r="F109" i="11"/>
  <c r="H107" i="11"/>
  <c r="G106" i="11"/>
  <c r="G105" i="11" s="1"/>
  <c r="F106" i="11"/>
  <c r="H104" i="11"/>
  <c r="G103" i="11"/>
  <c r="G102" i="11" s="1"/>
  <c r="H102" i="11" s="1"/>
  <c r="F103" i="11"/>
  <c r="F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G89" i="11"/>
  <c r="F89" i="11"/>
  <c r="F88" i="11" s="1"/>
  <c r="H87" i="11"/>
  <c r="H86" i="11"/>
  <c r="H85" i="11"/>
  <c r="H84" i="11"/>
  <c r="H83" i="11"/>
  <c r="G82" i="11"/>
  <c r="G81" i="11" s="1"/>
  <c r="F82" i="11"/>
  <c r="H82" i="11" s="1"/>
  <c r="H79" i="11"/>
  <c r="H78" i="11"/>
  <c r="H77" i="11"/>
  <c r="H76" i="11"/>
  <c r="H75" i="11"/>
  <c r="H74" i="11"/>
  <c r="H73" i="11"/>
  <c r="G72" i="11"/>
  <c r="F72" i="11"/>
  <c r="F71" i="11"/>
  <c r="H69" i="11"/>
  <c r="H68" i="11"/>
  <c r="G67" i="11"/>
  <c r="F67" i="11"/>
  <c r="G66" i="11"/>
  <c r="G65" i="11" s="1"/>
  <c r="H64" i="11"/>
  <c r="H63" i="11"/>
  <c r="H62" i="11"/>
  <c r="H61" i="11"/>
  <c r="H60" i="11"/>
  <c r="G59" i="11"/>
  <c r="G58" i="11" s="1"/>
  <c r="F59" i="11"/>
  <c r="H59" i="11" s="1"/>
  <c r="G57" i="11"/>
  <c r="H56" i="11"/>
  <c r="G55" i="11"/>
  <c r="F55" i="11"/>
  <c r="F54" i="11" s="1"/>
  <c r="H53" i="11"/>
  <c r="H52" i="11"/>
  <c r="H51" i="11"/>
  <c r="H50" i="11"/>
  <c r="H49" i="11"/>
  <c r="H48" i="11"/>
  <c r="H47" i="11"/>
  <c r="H46" i="11"/>
  <c r="H45" i="11"/>
  <c r="H44" i="11"/>
  <c r="G43" i="11"/>
  <c r="F43" i="11"/>
  <c r="F42" i="11"/>
  <c r="H40" i="11"/>
  <c r="H39" i="11"/>
  <c r="H38" i="11"/>
  <c r="G37" i="11"/>
  <c r="F37" i="11"/>
  <c r="F36" i="11"/>
  <c r="F35" i="11"/>
  <c r="H32" i="11"/>
  <c r="G31" i="11"/>
  <c r="F31" i="11"/>
  <c r="H31" i="11" s="1"/>
  <c r="G30" i="11"/>
  <c r="G29" i="11" s="1"/>
  <c r="G28" i="11" s="1"/>
  <c r="F30" i="11"/>
  <c r="H27" i="11"/>
  <c r="G26" i="11"/>
  <c r="G25" i="11" s="1"/>
  <c r="H25" i="11" s="1"/>
  <c r="F26" i="11"/>
  <c r="F25" i="11" s="1"/>
  <c r="H24" i="11"/>
  <c r="G23" i="11"/>
  <c r="H23" i="11" s="1"/>
  <c r="F23" i="11"/>
  <c r="F22" i="11" s="1"/>
  <c r="F21" i="11" s="1"/>
  <c r="H20" i="11"/>
  <c r="G19" i="11"/>
  <c r="G18" i="11" s="1"/>
  <c r="G17" i="11" s="1"/>
  <c r="G16" i="11" s="1"/>
  <c r="F19" i="11"/>
  <c r="H19" i="11" s="1"/>
  <c r="H15" i="11"/>
  <c r="G14" i="11"/>
  <c r="F14" i="11"/>
  <c r="F13" i="11" s="1"/>
  <c r="G13" i="11"/>
  <c r="G12" i="11" s="1"/>
  <c r="G11" i="11" s="1"/>
  <c r="G10" i="11" l="1"/>
  <c r="H26" i="11"/>
  <c r="H179" i="11"/>
  <c r="H205" i="11"/>
  <c r="F234" i="11"/>
  <c r="H246" i="11"/>
  <c r="H253" i="11"/>
  <c r="H296" i="11"/>
  <c r="G311" i="11"/>
  <c r="H323" i="11"/>
  <c r="F345" i="11"/>
  <c r="H351" i="11"/>
  <c r="F58" i="11"/>
  <c r="H115" i="11"/>
  <c r="H169" i="11"/>
  <c r="H190" i="11"/>
  <c r="G192" i="11"/>
  <c r="H221" i="11"/>
  <c r="H238" i="11"/>
  <c r="H282" i="11"/>
  <c r="H335" i="11"/>
  <c r="H30" i="11"/>
  <c r="F81" i="11"/>
  <c r="H103" i="11"/>
  <c r="H109" i="11"/>
  <c r="F179" i="11"/>
  <c r="F178" i="11" s="1"/>
  <c r="H239" i="11"/>
  <c r="F311" i="11"/>
  <c r="F305" i="11" s="1"/>
  <c r="G333" i="11"/>
  <c r="H339" i="11"/>
  <c r="F12" i="11"/>
  <c r="H13" i="11"/>
  <c r="H55" i="11"/>
  <c r="G54" i="11"/>
  <c r="H54" i="11" s="1"/>
  <c r="H89" i="11"/>
  <c r="G88" i="11"/>
  <c r="H88" i="11" s="1"/>
  <c r="H138" i="11"/>
  <c r="F137" i="11"/>
  <c r="H137" i="11" s="1"/>
  <c r="H159" i="11"/>
  <c r="F158" i="11"/>
  <c r="H330" i="11"/>
  <c r="F329" i="11"/>
  <c r="H334" i="11"/>
  <c r="F333" i="11"/>
  <c r="H333" i="11" s="1"/>
  <c r="G80" i="11"/>
  <c r="H145" i="11"/>
  <c r="H165" i="11"/>
  <c r="F163" i="11"/>
  <c r="H163" i="11" s="1"/>
  <c r="H186" i="11"/>
  <c r="G185" i="11"/>
  <c r="G182" i="11" s="1"/>
  <c r="H204" i="11"/>
  <c r="H213" i="11"/>
  <c r="F212" i="11"/>
  <c r="H212" i="11" s="1"/>
  <c r="G267" i="11"/>
  <c r="H267" i="11" s="1"/>
  <c r="H268" i="11"/>
  <c r="G305" i="11"/>
  <c r="H14" i="11"/>
  <c r="F29" i="11"/>
  <c r="H37" i="11"/>
  <c r="G36" i="11"/>
  <c r="H43" i="11"/>
  <c r="G42" i="11"/>
  <c r="F108" i="11"/>
  <c r="H178" i="11"/>
  <c r="H193" i="11"/>
  <c r="H199" i="11"/>
  <c r="F198" i="11"/>
  <c r="H216" i="11"/>
  <c r="G215" i="11"/>
  <c r="G208" i="11" s="1"/>
  <c r="F233" i="11"/>
  <c r="H281" i="11"/>
  <c r="F294" i="11"/>
  <c r="H300" i="11"/>
  <c r="H306" i="11"/>
  <c r="H72" i="11"/>
  <c r="G71" i="11"/>
  <c r="G70" i="11" s="1"/>
  <c r="H245" i="11"/>
  <c r="H322" i="11"/>
  <c r="F321" i="11"/>
  <c r="H321" i="11" s="1"/>
  <c r="F18" i="11"/>
  <c r="G22" i="11"/>
  <c r="F41" i="11"/>
  <c r="H67" i="11"/>
  <c r="F66" i="11"/>
  <c r="F70" i="11"/>
  <c r="H81" i="11"/>
  <c r="H106" i="11"/>
  <c r="F105" i="11"/>
  <c r="H105" i="11" s="1"/>
  <c r="H122" i="11"/>
  <c r="F121" i="11"/>
  <c r="H121" i="11" s="1"/>
  <c r="H134" i="11"/>
  <c r="F133" i="11"/>
  <c r="H133" i="11" s="1"/>
  <c r="F140" i="11"/>
  <c r="H154" i="11"/>
  <c r="G153" i="11"/>
  <c r="G152" i="11" s="1"/>
  <c r="F182" i="11"/>
  <c r="H220" i="11"/>
  <c r="H227" i="11"/>
  <c r="F226" i="11"/>
  <c r="H234" i="11"/>
  <c r="H289" i="11"/>
  <c r="G342" i="11"/>
  <c r="H350" i="11"/>
  <c r="F349" i="11"/>
  <c r="H349" i="11" s="1"/>
  <c r="G142" i="11"/>
  <c r="G252" i="11"/>
  <c r="H252" i="11" s="1"/>
  <c r="G276" i="11"/>
  <c r="H276" i="11" s="1"/>
  <c r="G295" i="11"/>
  <c r="H70" i="11" l="1"/>
  <c r="H345" i="11"/>
  <c r="F344" i="11"/>
  <c r="H185" i="11"/>
  <c r="H71" i="11"/>
  <c r="H305" i="11"/>
  <c r="H311" i="11"/>
  <c r="F57" i="11"/>
  <c r="H57" i="11" s="1"/>
  <c r="H58" i="11"/>
  <c r="H142" i="11"/>
  <c r="G141" i="11"/>
  <c r="H108" i="11"/>
  <c r="F80" i="11"/>
  <c r="H198" i="11"/>
  <c r="F192" i="11"/>
  <c r="H66" i="11"/>
  <c r="H65" i="11" s="1"/>
  <c r="F65" i="11"/>
  <c r="H22" i="11"/>
  <c r="G21" i="11"/>
  <c r="H21" i="11" s="1"/>
  <c r="G35" i="11"/>
  <c r="H36" i="11"/>
  <c r="G260" i="11"/>
  <c r="F208" i="11"/>
  <c r="H208" i="11" s="1"/>
  <c r="F17" i="11"/>
  <c r="H18" i="11"/>
  <c r="H153" i="11"/>
  <c r="H329" i="11"/>
  <c r="F328" i="11"/>
  <c r="H215" i="11"/>
  <c r="H12" i="11"/>
  <c r="F11" i="11"/>
  <c r="G294" i="11"/>
  <c r="H295" i="11"/>
  <c r="H226" i="11"/>
  <c r="F225" i="11"/>
  <c r="H182" i="11"/>
  <c r="H294" i="11"/>
  <c r="G41" i="11"/>
  <c r="H41" i="11" s="1"/>
  <c r="H42" i="11"/>
  <c r="H29" i="11"/>
  <c r="F28" i="11"/>
  <c r="H158" i="11"/>
  <c r="F152" i="11"/>
  <c r="F343" i="11" l="1"/>
  <c r="H344" i="11"/>
  <c r="H28" i="11"/>
  <c r="F224" i="11"/>
  <c r="H225" i="11"/>
  <c r="H152" i="11"/>
  <c r="H192" i="11"/>
  <c r="F34" i="11"/>
  <c r="H11" i="11"/>
  <c r="H260" i="11"/>
  <c r="G233" i="11"/>
  <c r="H328" i="11"/>
  <c r="F327" i="11"/>
  <c r="H17" i="11"/>
  <c r="F16" i="11"/>
  <c r="G34" i="11"/>
  <c r="H35" i="11"/>
  <c r="G140" i="11"/>
  <c r="H140" i="11" s="1"/>
  <c r="H141" i="11"/>
  <c r="H80" i="11"/>
  <c r="F342" i="11" l="1"/>
  <c r="H342" i="11" s="1"/>
  <c r="H343" i="11"/>
  <c r="G224" i="11"/>
  <c r="G33" i="11" s="1"/>
  <c r="H233" i="11"/>
  <c r="H327" i="11"/>
  <c r="H16" i="11"/>
  <c r="F10" i="11"/>
  <c r="H34" i="11"/>
  <c r="F33" i="11"/>
  <c r="H10" i="11" l="1"/>
  <c r="H224" i="11"/>
  <c r="H33" i="11"/>
</calcChain>
</file>

<file path=xl/sharedStrings.xml><?xml version="1.0" encoding="utf-8"?>
<sst xmlns="http://schemas.openxmlformats.org/spreadsheetml/2006/main" count="738" uniqueCount="387">
  <si>
    <t>Załącznik Nr 1</t>
  </si>
  <si>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</si>
  <si>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</si>
  <si>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</si>
  <si>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</si>
  <si>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</si>
  <si>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</si>
  <si>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</si>
  <si>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</si>
  <si>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</si>
  <si>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</si>
  <si>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</si>
  <si>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</si>
  <si>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Załącznik Nr 2</t>
  </si>
  <si>
    <t>Lp.</t>
  </si>
  <si>
    <t>Zmiany w budżecie miasta Włocławek na 2026 rok</t>
  </si>
  <si>
    <t>Wydatki na zadania własne gminy:</t>
  </si>
  <si>
    <t>Pozostała działalność</t>
  </si>
  <si>
    <t>Rodzina</t>
  </si>
  <si>
    <t>Wydatki na zadania własne powiatu:</t>
  </si>
  <si>
    <t>Rozdział</t>
  </si>
  <si>
    <t>Nazwa zadania</t>
  </si>
  <si>
    <t>Działalność placówek opiekuńczo - wychowawczych</t>
  </si>
  <si>
    <t>Ogółem:</t>
  </si>
  <si>
    <t>DOCHODY OGÓŁEM:</t>
  </si>
  <si>
    <t>Dochody na zadania własne gminy:</t>
  </si>
  <si>
    <t>852</t>
  </si>
  <si>
    <t>Pomoc społeczna</t>
  </si>
  <si>
    <t>1.</t>
  </si>
  <si>
    <t>2.</t>
  </si>
  <si>
    <t>3.</t>
  </si>
  <si>
    <t>Miejski Ośrodek Pomocy Rodzinie</t>
  </si>
  <si>
    <t>4.</t>
  </si>
  <si>
    <t>5.</t>
  </si>
  <si>
    <t>6.</t>
  </si>
  <si>
    <t xml:space="preserve">Placówka Opiekuńczo - Wychowawcza Nr 2 "Calineczka" </t>
  </si>
  <si>
    <t>Oświata i wychowanie</t>
  </si>
  <si>
    <t>Organ - program pn. "Cyfrowy nauczyciel" (z KPO)</t>
  </si>
  <si>
    <t>2057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</si>
  <si>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</si>
  <si>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Dochody na zadania zlecone gminie:</t>
  </si>
  <si>
    <t>010</t>
  </si>
  <si>
    <t>Rolnictwo i łowiectwo</t>
  </si>
  <si>
    <t>01095</t>
  </si>
  <si>
    <t xml:space="preserve">Pozostała działalność </t>
  </si>
  <si>
    <t>Organ</t>
  </si>
  <si>
    <t>2010</t>
  </si>
  <si>
    <t xml:space="preserve">dotacja celowa otrzymana z budżetu państwa na realizację zadań bieżących z zakresu administracji rządowej oraz innych zadań zleconych gminie (związkom gmin, związkom powiatowo-gminnym) ustawami </t>
  </si>
  <si>
    <t>Ośrodki pomocy społecznej</t>
  </si>
  <si>
    <t xml:space="preserve">dotacje celowe otrzymane z budżetu państwa na realizację zadań bieżących z zakresu administracji rządowej oraz innych zadań zleconych gminie (związkom gmin, związkom powiatowo-gminnym) ustawami </t>
  </si>
  <si>
    <t>Pomoc dla cudzoziemców</t>
  </si>
  <si>
    <t>Dochody na zadania rządowe powiatu:</t>
  </si>
  <si>
    <t>Bezpieczeństwo publiczne i ochrona przeciwpożarowa</t>
  </si>
  <si>
    <t>Komendy powiatowe Państwowej Straży Pożarnej</t>
  </si>
  <si>
    <t>dotacje celowe otrzymane z budżetu państwa na zadania bieżące z zakresu administracji rządowej oraz inne zadania zlecone ustawami realizowane przez powiat</t>
  </si>
  <si>
    <t>Turystyka</t>
  </si>
  <si>
    <t>Zadania w zakresie upowszechniania turystyki</t>
  </si>
  <si>
    <t>Ośrodek Sportu i Rekreacji</t>
  </si>
  <si>
    <t>dodatkowe wynagrodzenie roczne</t>
  </si>
  <si>
    <t>zakup usług zdrowotnych</t>
  </si>
  <si>
    <t xml:space="preserve">szkolenia pracowników niebędących członkami korpusu służby cywilnej </t>
  </si>
  <si>
    <t>Gospodarka mieszkaniowa</t>
  </si>
  <si>
    <t>Gospodarowanie mieszkaniowym zasobem gminy</t>
  </si>
  <si>
    <t>Wydział Gospodarowania Mieniem Komunalnym - projekt pn. "Społeczna Agencja Najmu szansą dla mieszkańców Włocławka na bezpieczny i stabilny najem"</t>
  </si>
  <si>
    <t>wynagrodzenia osobowe pracowników</t>
  </si>
  <si>
    <t>składki na ubezpieczenia społeczne</t>
  </si>
  <si>
    <t xml:space="preserve">składki na Fundusz Pracy oraz Fundusz Solidarnościowy </t>
  </si>
  <si>
    <t>wpłaty na PPK finansowane przez podmiot zatrudniający</t>
  </si>
  <si>
    <t>zakup usług pozostałych</t>
  </si>
  <si>
    <t>Wydział Inwestycji i Zamówień Publicznych</t>
  </si>
  <si>
    <t>Działalność usługowa</t>
  </si>
  <si>
    <t>Miejski Ośrodek Dokumentacji Geodezyjnej i Kartograficznej</t>
  </si>
  <si>
    <t xml:space="preserve">zakup materiałów i wyposażenia </t>
  </si>
  <si>
    <t>zakup usług remontowych</t>
  </si>
  <si>
    <t xml:space="preserve">podróże służbowe krajowe </t>
  </si>
  <si>
    <t>szkolenia pracowników niebędących członkami korpusu służby cywilnej</t>
  </si>
  <si>
    <t>Administracja publiczna</t>
  </si>
  <si>
    <t>75095</t>
  </si>
  <si>
    <t>Wydział Rewitalizacji</t>
  </si>
  <si>
    <t>4210</t>
  </si>
  <si>
    <t>zakup materiałów i wyposażenia</t>
  </si>
  <si>
    <t>Straż gminna (miejska)</t>
  </si>
  <si>
    <t>Straż Miejska</t>
  </si>
  <si>
    <t>opłaty z tytułu zakupu usług telekomunikacyjnych</t>
  </si>
  <si>
    <t>podróże służbowe krajowe</t>
  </si>
  <si>
    <t xml:space="preserve">różne opłaty i składki </t>
  </si>
  <si>
    <t>podatek od nieruchomości</t>
  </si>
  <si>
    <t>Szkoły podstawowe</t>
  </si>
  <si>
    <t>Jednostki oświatowe zbiorczo</t>
  </si>
  <si>
    <t>dodatkowe wynagrodzenie roczne nauczycieli</t>
  </si>
  <si>
    <t>Przedszkola</t>
  </si>
  <si>
    <t>wydatki osobowe niezaliczone do wynagrodzeń</t>
  </si>
  <si>
    <t>zakup środków dydaktycznych i książek</t>
  </si>
  <si>
    <t>zakup energii</t>
  </si>
  <si>
    <t>wynagrodzenie osobowe nauczycieli</t>
  </si>
  <si>
    <t>Świetlice szkolne</t>
  </si>
  <si>
    <t>Dowożenie uczniów do szkół</t>
  </si>
  <si>
    <t>opłaty za administrowanie i czynsze za budynki, lokale i pomieszczenia garażowe</t>
  </si>
  <si>
    <t>Dokształcanie i doskonalenie nauczycieli</t>
  </si>
  <si>
    <t xml:space="preserve">szkolenia pracowników  niebędących członkami korpusu służby cywilnej </t>
  </si>
  <si>
    <t xml:space="preserve">Wydział Edukacji, Zdrowia i Polityki Społecznej 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</si>
  <si>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</si>
  <si>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</si>
  <si>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</si>
  <si>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</si>
  <si>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</si>
  <si>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2540</t>
  </si>
  <si>
    <t>dotacja podmiotowa z budżetu dla niepublicznej jednostki systemu oświaty</t>
  </si>
  <si>
    <t>2590</t>
  </si>
  <si>
    <t>dotacja podmiotowa z budżetu dla publicznej jednostki systemu oświaty prowadzonej przez osobę prawną inną niż jednostka samorządu terytorialnego lub przez osobę fizyczną</t>
  </si>
  <si>
    <t xml:space="preserve">składki na ubezpieczenia społeczne </t>
  </si>
  <si>
    <t>organizacji nauki i metod pracy dla dzieci i młodzieży</t>
  </si>
  <si>
    <t>w szkołach podstawowych</t>
  </si>
  <si>
    <t>Jednostki oświatowe zbiorczo - program  pn. "Cyfrowy nauczyciel" (z KPO)</t>
  </si>
  <si>
    <t>851</t>
  </si>
  <si>
    <t>Ochrona zdrowia</t>
  </si>
  <si>
    <t>Przeciwdziałanie alkoholizmowi</t>
  </si>
  <si>
    <t>Wydział Edukacji, Zdrowia i Polityki Społecznej</t>
  </si>
  <si>
    <t>2360</t>
  </si>
  <si>
    <t>dotacja celowa z budżetu jednostki samorządu terytorialnego, udzielona w trybie art. 221 ustawy, na finansowanie lub dofinansowanie zadań zleconych do realizacji organizacjom prowadzącym działalność pożytku publicznego</t>
  </si>
  <si>
    <t xml:space="preserve">Miejski Ośrodek Pomocy Rodzinie </t>
  </si>
  <si>
    <t>Dom Pomocy Społecznej ul. Nowomiejska 19</t>
  </si>
  <si>
    <t>wynagrodzenia bezosobowe</t>
  </si>
  <si>
    <t>85205</t>
  </si>
  <si>
    <t>Zadania w zakresie przeciwdziałania przemocy domowej</t>
  </si>
  <si>
    <t>4110</t>
  </si>
  <si>
    <t>wpłaty na Państwowy Fundusz Rehabilitacji Osób Niepełnosprawnych</t>
  </si>
  <si>
    <t>odpisy na zakładowy fundusz świadczeń socjalnych</t>
  </si>
  <si>
    <t>Jednostki specjalistycznego poradnictwa, mieszkania</t>
  </si>
  <si>
    <t>chronione i ośrodki interwencji kryzysowej</t>
  </si>
  <si>
    <t xml:space="preserve">Miejski Ośrodek Pomocy Rodzinie - Sekcja Interwencji Kryzysowej </t>
  </si>
  <si>
    <t>i Poradnictwa Specjalistycznego</t>
  </si>
  <si>
    <t xml:space="preserve">Miejski Ośrodek Pomocy Rodzinie - projekt pn. "Usługi </t>
  </si>
  <si>
    <t xml:space="preserve">indywidualnego transportu door-to-door - dla </t>
  </si>
  <si>
    <t xml:space="preserve">mieszkańców Miasta Włocławka" </t>
  </si>
  <si>
    <t>Edukacyjna opieka wychowawcza</t>
  </si>
  <si>
    <t>Świadczenia rodzinne, świadczenia z funduszu</t>
  </si>
  <si>
    <t>alimentacyjnego oraz składki na ubezpieczenia emerytalne</t>
  </si>
  <si>
    <t>i rentowe z ubezpieczenia społecznego</t>
  </si>
  <si>
    <t>Wspieranie rodziny</t>
  </si>
  <si>
    <t>Miejski Ośrodek Pomocy Rodzinie - placówki wsparcia</t>
  </si>
  <si>
    <t>dziennego</t>
  </si>
  <si>
    <t>Gospodarka komunalna i ochrona środowiska</t>
  </si>
  <si>
    <t>Utrzymanie zieleni w miastach i gminach</t>
  </si>
  <si>
    <t>Wydział Nadzoru Właścicielskiego i Gospodarki Komunalnej</t>
  </si>
  <si>
    <t xml:space="preserve">Miejski Zarząd Dróg i Zieleni </t>
  </si>
  <si>
    <t>Ochrona powietrza atmosferycznego i klimatu</t>
  </si>
  <si>
    <t xml:space="preserve">Kultura i ochrona dziedzictwa narodowego </t>
  </si>
  <si>
    <t>Galerie i biura wystaw artystycznych</t>
  </si>
  <si>
    <t>Wydział Kultury, Turystyki i Promocji</t>
  </si>
  <si>
    <t>dotacja celowa z budżetu dla pozostałych jednostek zaliczanych do sektora finansów publicznych</t>
  </si>
  <si>
    <t>Centra kultury i sztuki</t>
  </si>
  <si>
    <t>Kultura fizyczna</t>
  </si>
  <si>
    <t>Instytucje kultury fizycznej</t>
  </si>
  <si>
    <t>Technika</t>
  </si>
  <si>
    <t>Branżowe szkoły I stopnia</t>
  </si>
  <si>
    <t>Szkoły artystyczne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</si>
  <si>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</si>
  <si>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</si>
  <si>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</si>
  <si>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</si>
  <si>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</si>
  <si>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</si>
  <si>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Zespół Szkół Nr 3 - projekt pn. "Budowa skoordynowanego systemu pomocy specjalistycznej opartego na Specjalistycznych Centrach Wspierających Edukację Włączającą - I edycja"</t>
  </si>
  <si>
    <t>4217</t>
  </si>
  <si>
    <t>4219</t>
  </si>
  <si>
    <t>zakup środków żywności</t>
  </si>
  <si>
    <t>Zespół Szkół Samochodowych - Erasmus+ Akcja KA1 pn. "Międzynarodowe Praktyki Uczniów Szansą Rozwoju Zawodowego"</t>
  </si>
  <si>
    <t>Internaty i bursy szkolne</t>
  </si>
  <si>
    <t>Rodziny zastępcze</t>
  </si>
  <si>
    <t>Miejski Ośrodek Pomocy Rodzinie - Zespół ds. pieczy</t>
  </si>
  <si>
    <t>zastępczej</t>
  </si>
  <si>
    <t xml:space="preserve">Placówka Opiekuńczo - Wychowawcza Nr 1 "Maluch" </t>
  </si>
  <si>
    <t>Placówka Opiekuńczo - Wychowawcza nr 6 "Nibylandia"</t>
  </si>
  <si>
    <t>Obiekty sportowe</t>
  </si>
  <si>
    <t>Wydatki na zadania zlecone gminie:</t>
  </si>
  <si>
    <t>Wydział Finansów</t>
  </si>
  <si>
    <t>różne opłaty i składki</t>
  </si>
  <si>
    <t>świadczenia społeczne</t>
  </si>
  <si>
    <t>Wydatki na zadania rządowe powiatu:</t>
  </si>
  <si>
    <t>Komenda Miejska Państwowej Straży Pożarnej</t>
  </si>
  <si>
    <t>uposażenia żołnierzy zawodowych oraz funkcjonariuszy</t>
  </si>
  <si>
    <t>inne należności żołnierzy zawodowych oraz funkcjonariuszy zaliczane do wynagrodzeń</t>
  </si>
  <si>
    <t>Zadania w zakresie przeciwdziałania przemocy w rodzinie</t>
  </si>
  <si>
    <t>Miejski Ośrodek Pomocy Rodzinie - Specjalistyczny Ośrodek Wsparcia</t>
  </si>
  <si>
    <t>do Zarządzenia NR 169/2026</t>
  </si>
  <si>
    <t>z dnia 30 kwietnia 2026 r.</t>
  </si>
  <si>
    <t>Załącznik Nr 3</t>
  </si>
  <si>
    <t>Dochody i wydatki związane z realizacją zadań z zakresu administracji rządowej wykonywanych na podstawie porozumień z organami administracji rządowej na 2026 rok</t>
  </si>
  <si>
    <t>z tego:</t>
  </si>
  <si>
    <t>Dział</t>
  </si>
  <si>
    <t>Dotacje
ogółem</t>
  </si>
  <si>
    <t>Wydatki
ogółem
(6+9)</t>
  </si>
  <si>
    <t>w tym:</t>
  </si>
  <si>
    <t>Wydatki
bieżące</t>
  </si>
  <si>
    <t>wynagrodzenia i składki od nich naliczane</t>
  </si>
  <si>
    <t>świadczenia na rzecz osób fizycznych</t>
  </si>
  <si>
    <t>Wydatki
majątkowe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</si>
  <si>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</si>
  <si>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</si>
  <si>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</si>
  <si>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Planowane wydatki</t>
  </si>
  <si>
    <t>w okresie</t>
  </si>
  <si>
    <t>2026 rok</t>
  </si>
  <si>
    <t>Klasyfikacja</t>
  </si>
  <si>
    <t>realizacji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</si>
  <si>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</si>
  <si>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</si>
  <si>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</si>
  <si>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</si>
  <si>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</si>
  <si>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krajowego*</t>
  </si>
  <si>
    <t>Środki z budżetu UE</t>
  </si>
  <si>
    <t>Wydatki razem (8+9)</t>
  </si>
  <si>
    <t>(5 + 6)</t>
  </si>
  <si>
    <t>Wydatki ogółem:</t>
  </si>
  <si>
    <t>wydatki bieżące</t>
  </si>
  <si>
    <t>wydatki majątkowe</t>
  </si>
  <si>
    <t>4</t>
  </si>
  <si>
    <t>Krajowy Plan Odbudowy</t>
  </si>
  <si>
    <t>4.6</t>
  </si>
  <si>
    <t>Cyfrowy nauczyciel</t>
  </si>
  <si>
    <t>w tym: /Jednostki oświatowe zbiorczo/</t>
  </si>
  <si>
    <t>dz. 801</t>
  </si>
  <si>
    <t>rozdz. 80195</t>
  </si>
  <si>
    <t>* środki własne jst, współfinansowanie z budżetu państwa oraz inne</t>
  </si>
  <si>
    <t>Załącznik Nr 4</t>
  </si>
  <si>
    <t xml:space="preserve">Dotacje udzielane z budżetu jednostki samorządu terytorialnego </t>
  </si>
  <si>
    <t>dla jednostek sektora finansów publicznych na 2026 rok</t>
  </si>
  <si>
    <t xml:space="preserve">§ </t>
  </si>
  <si>
    <t>Kwota dotacji</t>
  </si>
  <si>
    <t>dotacje celowe</t>
  </si>
  <si>
    <t xml:space="preserve">Programy polityki zdrowotnej </t>
  </si>
  <si>
    <t>Przeciwdziałanie alkoholizmowi (dofinansowanie "Niebieskiej linii")</t>
  </si>
  <si>
    <t>Przeciwdziałanie alkoholizmowi (realizacja zadań z zakresu profilaktyki uzależnień)</t>
  </si>
  <si>
    <t>6306      6307</t>
  </si>
  <si>
    <t>Realizacja projektu pn. "Włocławek – Miasto dobrego klimatu dla gospodarki, środowiska i wygodnego życia" (dotacja na zakupy inwestycyjne)</t>
  </si>
  <si>
    <t>Ośrodki wsparcia</t>
  </si>
  <si>
    <t xml:space="preserve">Powiatowe urzędy pracy </t>
  </si>
  <si>
    <t>Pozostała działalność - SENIORALIA 2026 – Obchody Święta Seniora (Budżet Obywatelski)</t>
  </si>
  <si>
    <t>Galerie i biura wystaw artystycznych (dotacja na inwestycje)</t>
  </si>
  <si>
    <t xml:space="preserve"> - Galeria Sztuki Współczesnej</t>
  </si>
  <si>
    <t xml:space="preserve">Galerie i biura wystaw artystycznych </t>
  </si>
  <si>
    <t xml:space="preserve"> - Centrum Kultury Browar B </t>
  </si>
  <si>
    <t>Centra kultury i sztuki (dotacja na inwestycje)</t>
  </si>
  <si>
    <t>Pozostałe instytucje kultury (dotacja na inwestycje)</t>
  </si>
  <si>
    <t xml:space="preserve"> - Teatr Impresaryjny</t>
  </si>
  <si>
    <t>Biblioteki</t>
  </si>
  <si>
    <t xml:space="preserve"> - Miejska Biblioteka Publiczna</t>
  </si>
  <si>
    <t>Biblioteki (dotacja na inwestycje)</t>
  </si>
  <si>
    <t>Razem:</t>
  </si>
  <si>
    <t>dotacje podmiotowe</t>
  </si>
  <si>
    <t xml:space="preserve"> - Zakład Aktywności Zawodowej</t>
  </si>
  <si>
    <t xml:space="preserve"> - Centrum Kultury Browar B</t>
  </si>
  <si>
    <t>Pozostałe instytucje kultury</t>
  </si>
  <si>
    <t>Załącznik Nr 5</t>
  </si>
  <si>
    <t>dla jednostek spoza sektora finansów publicznych na 2026 rok</t>
  </si>
  <si>
    <t>Dotacje do prac budowlanych w ramach rewitalizacji (dotacja na inwestycje)</t>
  </si>
  <si>
    <t>Pozostała działalność (prowadzenie Kawiarni Obywatelskiej "Śródmieście Cafe")</t>
  </si>
  <si>
    <t>Nieodpłatna pomoc prawna - zadanie rządowe</t>
  </si>
  <si>
    <t>2837    2839</t>
  </si>
  <si>
    <t>Realizacja projektu unijnego "Dostosowanie kształcenia ogólnego do potrzeb rynku pracy I ETAP" (licea)</t>
  </si>
  <si>
    <t>Realizacja projektu unijnego "Dostosowanie kształcenia ogólnego do potrzeb rynku pracy II ETAP" (szkoły podstawowe)</t>
  </si>
  <si>
    <t>Zwalczanie narkomanii</t>
  </si>
  <si>
    <t>Dofinansowanie programów dotyczących uzależnień, pozalekcyjnych zajęć sportowych (przeciwdzialanie alkoholizmowi)</t>
  </si>
  <si>
    <t>Pozostała działalność (promocja i ochrona zdrowia oraz działania na rzecz osób niepełnosprawnych)</t>
  </si>
  <si>
    <t>Pozostała działalność (ćwiczenia gimnastyczne poprawiające kondycję seniora - Budżet Obywatelski)</t>
  </si>
  <si>
    <t>Zapewnienie schronienia osobom bezdomnym (wypłata dodatku motywacyjnego dla pracowników schroniska dla osób bezdomnych w ramach programu rządowego)</t>
  </si>
  <si>
    <t>Usługi opiekuńcze i specjalistyczne usługi opiekuńcze - ogółem, z tego:</t>
  </si>
  <si>
    <t>12.1</t>
  </si>
  <si>
    <t xml:space="preserve"> - zadania własne</t>
  </si>
  <si>
    <t>12.2</t>
  </si>
  <si>
    <t xml:space="preserve"> - zadania zlecone</t>
  </si>
  <si>
    <t>Zapewnienie schronienia osobom bezdomnym (pozostała działalność)</t>
  </si>
  <si>
    <t>Pozostała działalność (aktywizacja społeczna seniorów, podnoszenie poziomu bezpieczeństwa i poprawa warunków funkcjonowania seniorów)</t>
  </si>
  <si>
    <t>2360                  2830</t>
  </si>
  <si>
    <t>Ochrona powietrza atmosferycznego i klimatu (zadania w zakresie ekologii i ochrony zwierząt oraz ochrony dziedzictwa przyrodniczego)</t>
  </si>
  <si>
    <t>2366   2367</t>
  </si>
  <si>
    <t>Realizacja projektu unijnego  "Włocławek miastem bioróżnorodnym"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</si>
  <si>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</si>
  <si>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</si>
  <si>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</si>
  <si>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Razem</t>
  </si>
  <si>
    <t>Nazwa placówki/nazwa podmiotu</t>
  </si>
  <si>
    <t>2540        2590</t>
  </si>
  <si>
    <t>Publiczna Szkoła Podstawowa im. Ks. J. Długosza</t>
  </si>
  <si>
    <t xml:space="preserve">Szkoła Podstawowa Nr 24 w Zespole Szkół WSO "Cogito" 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</si>
  <si>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</si>
  <si>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</si>
  <si>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z oddziałami dwujęzycznymi Monttessori-     Schule</t>
  </si>
  <si>
    <t>Oddziały przedszkolne w szkołach podstawowych</t>
  </si>
  <si>
    <t>Niepubliczne Przedszkole "Skakanka"</t>
  </si>
  <si>
    <t>Przedszkole Niepubliczne "Chatka Puchatka"</t>
  </si>
  <si>
    <t>Niepubliczne Przedszkole "Smerfna Chata"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</si>
  <si>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</si>
  <si>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</si>
  <si>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</si>
  <si>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</si>
  <si>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 Kinga Mizak Aneta Kryczka s.c.</t>
  </si>
  <si>
    <t>Przedszkole Niepubliczne "Happy Kids"</t>
  </si>
  <si>
    <t>Przedszkole Niepubliczne "Kujawiaczek"</t>
  </si>
  <si>
    <t>Niepubliczne Przedszkole "Sensosmyki"</t>
  </si>
  <si>
    <t>Niepubliczne Przedszkole Leśne "Gniazdko Wilgi"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</si>
  <si>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</si>
  <si>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</si>
  <si>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</si>
  <si>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</si>
  <si>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</si>
  <si>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</si>
  <si>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Publiczna Szkoła Policealna  "Cosinus Plus" we Włocławku</t>
  </si>
  <si>
    <t>Policealna Szkoła Techników Ochrony Fizycznej Osób i Mienia Elitarne Studium Służb Ochrony "Delta"</t>
  </si>
  <si>
    <t>Zaoczna Policealna Szkoła Zawodowa "Pascal" we Włocławku</t>
  </si>
  <si>
    <t>Stacjonarna Policealna Szkoła Medyczna "Pascal" we Włocławku</t>
  </si>
  <si>
    <t>Policealna Szkoła Medyczna "Pascal"</t>
  </si>
  <si>
    <t>Policealna Szkoła Centrum Nauki i Biznesu "Żak"</t>
  </si>
  <si>
    <t xml:space="preserve">Szkoła Policealna "Spectrum" </t>
  </si>
  <si>
    <t>Policealna Szkoła Futuro</t>
  </si>
  <si>
    <t>Szkoła Policealna Opieki Medycznej "Żak"</t>
  </si>
  <si>
    <t>Akademicka Szkoła Policealna przy Kujawskiej Szkole Wyższej we Włocławku</t>
  </si>
  <si>
    <t>Branżowa Szkoła I Stopnia IMPULS</t>
  </si>
  <si>
    <t xml:space="preserve">Branżowa Szkoła I Stopnia nr 9 w Zespole Szkół Włocławskiego Stowarzyszenia Oświatowego "Cogito" </t>
  </si>
  <si>
    <t>Licea ogólnokształcące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</si>
  <si>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</si>
  <si>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</si>
  <si>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Montessorii</t>
  </si>
  <si>
    <t>Publiczne Liceum Ogólnokształcące im. Ks. J. Długosza</t>
  </si>
  <si>
    <t>Licea ogólnokształcące dla dorosłych</t>
  </si>
  <si>
    <t>Liceum Ogólnokształcące dla Dorosłych Futuro</t>
  </si>
  <si>
    <t>Prywatne Liceum Ogólnokształcące dla Dorosłych (Katarzyna Balcer)</t>
  </si>
  <si>
    <t>Liceum Ogólnokształcące dla Dorosłych "Pascal' we Włocławku</t>
  </si>
  <si>
    <t xml:space="preserve">Liceum Ogólnokształcące "Spectrum" we Włocławku </t>
  </si>
  <si>
    <t>Liceum Ogólnokształcące dla Dorosłych "Żak"</t>
  </si>
  <si>
    <t>Publiczne Liceum Ogólnokształcące dla Dorosłych "Cosinus Plus"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</si>
  <si>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</si>
  <si>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</si>
  <si>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</si>
  <si>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</si>
  <si>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</si>
  <si>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</si>
  <si>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</si>
  <si>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</si>
  <si>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</si>
  <si>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</si>
  <si>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</si>
  <si>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</si>
  <si>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</si>
  <si>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</si>
  <si>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</si>
  <si>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</si>
  <si>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 Zespołu Szkół Katolickich im. Ks. J. Długosza</t>
  </si>
  <si>
    <t>Załącznik Nr 6</t>
  </si>
  <si>
    <t xml:space="preserve">Plan </t>
  </si>
  <si>
    <t xml:space="preserve"> dochodów i wydatków wydzielonych rachunków dochodów oświatowych jednostek budżetowych na 2026 rok</t>
  </si>
  <si>
    <t>(zbiorczo)</t>
  </si>
  <si>
    <t>Wyszczególnienie</t>
  </si>
  <si>
    <t>Stan środków pieniężnych na początek roku</t>
  </si>
  <si>
    <t>Stan środków pieniężnych na koniec roku</t>
  </si>
  <si>
    <t>Dochody</t>
  </si>
  <si>
    <t>Wydatki</t>
  </si>
  <si>
    <t xml:space="preserve">Kolonie i obozy oraz inne formy wypoczynku dzieci i młodzieży szkolnej, a także szkolenia młodzieży </t>
  </si>
  <si>
    <t>Ogółem dochody i wydatki na zadania gminy</t>
  </si>
  <si>
    <t>Szkoły podstawowe specjalne</t>
  </si>
  <si>
    <t xml:space="preserve">Szkoły artystyczne </t>
  </si>
  <si>
    <t>Placówki kształcenia ustawicznego i centra kształcenia zawodowego</t>
  </si>
  <si>
    <t>Ośrodki szkolenia, dokształcania i doskonalenia kadr</t>
  </si>
  <si>
    <t>7.</t>
  </si>
  <si>
    <t>Inne formy kształcenia osobno niewymienione</t>
  </si>
  <si>
    <t>8.</t>
  </si>
  <si>
    <t xml:space="preserve">Poradnie psychologiczno-pedagogiczne, w tym poradnie specjalistyczne </t>
  </si>
  <si>
    <t>Szkolne schroniska młodzieżowe</t>
  </si>
  <si>
    <t>Młodzieżowe ośrodki wychowawcze</t>
  </si>
  <si>
    <t>Ogółem dochody i wydatki na zadania powiatu</t>
  </si>
  <si>
    <t xml:space="preserve">Ogółem dochody i wydatki </t>
  </si>
  <si>
    <t>Załącznik Nr 7</t>
  </si>
  <si>
    <t xml:space="preserve">Wydatki na zadania w zakresie ochrony środowiska </t>
  </si>
  <si>
    <t>i gospodarki wodnej na 2026 rok finansowane z wpływów z tytułu opłat i kar</t>
  </si>
  <si>
    <t>za korzystanie ze środowiska</t>
  </si>
  <si>
    <t>Kwota</t>
  </si>
  <si>
    <t>Dofinansowanie wyjazdów dzieci i młodzieży w ramach "Zielonych szkół"</t>
  </si>
  <si>
    <t>Utrzymanie zieleni w miastach (w tym: utrzymanie i pielęgnacja pomników przyrody)</t>
  </si>
  <si>
    <t>Strategiczna mapa hałasu dla Gminy Miasto Włocławek wraz z opracowniem założeń do programu ochrony środkowiska przed hałasem</t>
  </si>
  <si>
    <t>Opracownie Miejskiego Planu Adaptacji do zmian klimatu (MPA)</t>
  </si>
  <si>
    <t>Przedsięwzięcia związane z ochroną powietrza - prowadzenie punktu konsultacyjno - informacyjnego dla Programu "Czyste powietrze"</t>
  </si>
  <si>
    <t>Pozostałe działania związane z gospodarką odpadami - utylizacja wyrobów zawierających azbest</t>
  </si>
  <si>
    <t xml:space="preserve">Zwalczanie owadów </t>
  </si>
  <si>
    <t>Wydatki z zakresu ochrony środowiska (w tym: edukacja ekologiczna, opracowania, opinie i ekspertyzy)</t>
  </si>
  <si>
    <r>
      <t xml:space="preserve">zakup usług pozostałych </t>
    </r>
    <r>
      <rPr>
        <sz val="7"/>
        <rFont val="Arial Narrow"/>
        <family val="2"/>
        <charset val="238"/>
      </rPr>
      <t>(w tym: budżet obywatelski)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</si>
</sst>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_ ;\-#,##0.00\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sz val="6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9C0006"/>
      <name val="Calibri"/>
      <family val="2"/>
      <charset val="238"/>
      <scheme val="minor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b/>
      <sz val="9"/>
      <color rgb="FFFF0000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color rgb="FFFF0000"/>
      <name val="Arial Narrow"/>
      <family val="2"/>
      <charset val="238"/>
    </font>
    <font>
      <sz val="7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4">
    <xf numFmtId="0" fontId="0" fillId="0" borderId="0"/>
    <xf numFmtId="0" fontId="7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0" fontId="19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0" fontId="8" fillId="0" borderId="0"/>
    <xf numFmtId="0" fontId="10" fillId="0" borderId="0"/>
    <xf numFmtId="0" fontId="10" fillId="0" borderId="0"/>
  </cellStyleXfs>
  <cellXfs count="537">
    <xf numFmtId="0" fontId="0" fillId="0" borderId="0" xfId="0"/>
    <xf numFmtId="4" fontId="15" fillId="0" borderId="10" xfId="2" applyNumberFormat="1" applyFont="1" applyBorder="1"/>
    <xf numFmtId="4" fontId="11" fillId="0" borderId="3" xfId="2" applyNumberFormat="1" applyFont="1" applyBorder="1" applyAlignment="1">
      <alignment horizontal="right"/>
    </xf>
    <xf numFmtId="0" fontId="11" fillId="0" borderId="0" xfId="16" applyFont="1"/>
    <xf numFmtId="49" fontId="11" fillId="0" borderId="0" xfId="16" applyNumberFormat="1" applyFont="1"/>
    <xf numFmtId="0" fontId="11" fillId="0" borderId="0" xfId="16" applyFont="1" applyAlignment="1">
      <alignment horizontal="left"/>
    </xf>
    <xf numFmtId="0" fontId="13" fillId="0" borderId="0" xfId="16" applyFont="1"/>
    <xf numFmtId="0" fontId="14" fillId="0" borderId="0" xfId="16" applyFont="1" applyAlignment="1">
      <alignment horizontal="centerContinuous"/>
    </xf>
    <xf numFmtId="0" fontId="13" fillId="0" borderId="0" xfId="16" applyFont="1" applyAlignment="1">
      <alignment horizontal="centerContinuous"/>
    </xf>
    <xf numFmtId="49" fontId="14" fillId="0" borderId="0" xfId="16" applyNumberFormat="1" applyFont="1" applyAlignment="1">
      <alignment horizontal="centerContinuous"/>
    </xf>
    <xf numFmtId="0" fontId="15" fillId="0" borderId="0" xfId="16" applyFont="1"/>
    <xf numFmtId="0" fontId="11" fillId="0" borderId="0" xfId="16" applyFont="1" applyAlignment="1">
      <alignment horizontal="center"/>
    </xf>
    <xf numFmtId="0" fontId="12" fillId="0" borderId="0" xfId="16" applyFont="1" applyAlignment="1">
      <alignment horizontal="center"/>
    </xf>
    <xf numFmtId="0" fontId="11" fillId="0" borderId="1" xfId="16" applyFont="1" applyBorder="1"/>
    <xf numFmtId="49" fontId="11" fillId="0" borderId="1" xfId="16" applyNumberFormat="1" applyFont="1" applyBorder="1"/>
    <xf numFmtId="0" fontId="15" fillId="0" borderId="2" xfId="16" applyFont="1" applyBorder="1"/>
    <xf numFmtId="0" fontId="15" fillId="0" borderId="1" xfId="16" applyFont="1" applyBorder="1" applyAlignment="1">
      <alignment horizontal="center"/>
    </xf>
    <xf numFmtId="3" fontId="11" fillId="0" borderId="1" xfId="16" applyNumberFormat="1" applyFont="1" applyBorder="1"/>
    <xf numFmtId="0" fontId="11" fillId="0" borderId="1" xfId="16" applyFont="1" applyBorder="1" applyAlignment="1">
      <alignment horizontal="center"/>
    </xf>
    <xf numFmtId="0" fontId="16" fillId="0" borderId="0" xfId="16" applyFont="1"/>
    <xf numFmtId="0" fontId="15" fillId="0" borderId="3" xfId="16" applyFont="1" applyBorder="1" applyAlignment="1">
      <alignment horizontal="center"/>
    </xf>
    <xf numFmtId="49" fontId="15" fillId="0" borderId="3" xfId="16" applyNumberFormat="1" applyFont="1" applyBorder="1" applyAlignment="1">
      <alignment horizontal="center"/>
    </xf>
    <xf numFmtId="0" fontId="15" fillId="0" borderId="4" xfId="16" applyFont="1" applyBorder="1" applyAlignment="1">
      <alignment horizontal="center"/>
    </xf>
    <xf numFmtId="3" fontId="15" fillId="0" borderId="3" xfId="16" applyNumberFormat="1" applyFont="1" applyBorder="1" applyAlignment="1">
      <alignment horizontal="center"/>
    </xf>
    <xf numFmtId="0" fontId="15" fillId="0" borderId="5" xfId="16" applyFont="1" applyBorder="1" applyAlignment="1">
      <alignment horizontal="center"/>
    </xf>
    <xf numFmtId="49" fontId="15" fillId="0" borderId="5" xfId="16" applyNumberFormat="1" applyFont="1" applyBorder="1" applyAlignment="1">
      <alignment horizontal="center"/>
    </xf>
    <xf numFmtId="0" fontId="15" fillId="0" borderId="6" xfId="16" applyFont="1" applyBorder="1" applyAlignment="1">
      <alignment horizontal="center"/>
    </xf>
    <xf numFmtId="3" fontId="15" fillId="0" borderId="5" xfId="16" applyNumberFormat="1" applyFont="1" applyBorder="1" applyAlignment="1">
      <alignment horizontal="center"/>
    </xf>
    <xf numFmtId="3" fontId="11" fillId="0" borderId="3" xfId="16" applyNumberFormat="1" applyFont="1" applyBorder="1"/>
    <xf numFmtId="49" fontId="11" fillId="0" borderId="3" xfId="16" applyNumberFormat="1" applyFont="1" applyBorder="1" applyAlignment="1">
      <alignment horizontal="right"/>
    </xf>
    <xf numFmtId="0" fontId="15" fillId="0" borderId="7" xfId="16" applyFont="1" applyBorder="1"/>
    <xf numFmtId="4" fontId="15" fillId="0" borderId="8" xfId="16" applyNumberFormat="1" applyFont="1" applyBorder="1"/>
    <xf numFmtId="0" fontId="15" fillId="0" borderId="9" xfId="16" applyFont="1" applyBorder="1"/>
    <xf numFmtId="4" fontId="15" fillId="0" borderId="10" xfId="16" applyNumberFormat="1" applyFont="1" applyBorder="1"/>
    <xf numFmtId="3" fontId="15" fillId="0" borderId="3" xfId="16" applyNumberFormat="1" applyFont="1" applyBorder="1"/>
    <xf numFmtId="49" fontId="15" fillId="0" borderId="3" xfId="16" applyNumberFormat="1" applyFont="1" applyBorder="1" applyAlignment="1">
      <alignment horizontal="right"/>
    </xf>
    <xf numFmtId="3" fontId="15" fillId="0" borderId="4" xfId="16" applyNumberFormat="1" applyFont="1" applyBorder="1"/>
    <xf numFmtId="4" fontId="15" fillId="0" borderId="10" xfId="16" applyNumberFormat="1" applyFont="1" applyBorder="1" applyAlignment="1">
      <alignment horizontal="right"/>
    </xf>
    <xf numFmtId="0" fontId="11" fillId="0" borderId="3" xfId="16" applyFont="1" applyBorder="1"/>
    <xf numFmtId="0" fontId="11" fillId="0" borderId="6" xfId="16" applyFont="1" applyBorder="1"/>
    <xf numFmtId="4" fontId="11" fillId="0" borderId="5" xfId="16" applyNumberFormat="1" applyFont="1" applyBorder="1" applyAlignment="1">
      <alignment horizontal="right"/>
    </xf>
    <xf numFmtId="4" fontId="11" fillId="0" borderId="5" xfId="16" applyNumberFormat="1" applyFont="1" applyBorder="1"/>
    <xf numFmtId="49" fontId="11" fillId="0" borderId="3" xfId="16" applyNumberFormat="1" applyFont="1" applyBorder="1" applyAlignment="1">
      <alignment horizontal="center"/>
    </xf>
    <xf numFmtId="49" fontId="11" fillId="0" borderId="3" xfId="16" applyNumberFormat="1" applyFont="1" applyBorder="1" applyAlignment="1">
      <alignment horizontal="right" vertical="top"/>
    </xf>
    <xf numFmtId="0" fontId="11" fillId="0" borderId="4" xfId="16" applyFont="1" applyBorder="1" applyAlignment="1">
      <alignment vertical="top" wrapText="1"/>
    </xf>
    <xf numFmtId="4" fontId="11" fillId="0" borderId="3" xfId="16" applyNumberFormat="1" applyFont="1" applyBorder="1"/>
    <xf numFmtId="4" fontId="11" fillId="0" borderId="3" xfId="16" applyNumberFormat="1" applyFont="1" applyBorder="1" applyAlignment="1">
      <alignment horizontal="right"/>
    </xf>
    <xf numFmtId="49" fontId="15" fillId="0" borderId="4" xfId="16" applyNumberFormat="1" applyFont="1" applyBorder="1" applyAlignment="1">
      <alignment horizontal="right"/>
    </xf>
    <xf numFmtId="0" fontId="11" fillId="0" borderId="3" xfId="16" applyFont="1" applyBorder="1" applyAlignment="1">
      <alignment horizontal="center"/>
    </xf>
    <xf numFmtId="44" fontId="15" fillId="0" borderId="0" xfId="16" applyNumberFormat="1" applyFont="1"/>
    <xf numFmtId="0" fontId="11" fillId="0" borderId="4" xfId="16" applyFont="1" applyBorder="1" applyAlignment="1">
      <alignment vertical="center"/>
    </xf>
    <xf numFmtId="49" fontId="11" fillId="0" borderId="3" xfId="16" applyNumberFormat="1" applyFont="1" applyBorder="1" applyAlignment="1">
      <alignment horizontal="right" vertical="center"/>
    </xf>
    <xf numFmtId="0" fontId="11" fillId="0" borderId="3" xfId="16" applyFont="1" applyBorder="1" applyAlignment="1">
      <alignment horizontal="center" vertical="center"/>
    </xf>
    <xf numFmtId="0" fontId="11" fillId="0" borderId="5" xfId="16" applyFont="1" applyBorder="1" applyAlignment="1">
      <alignment horizontal="left" vertical="center"/>
    </xf>
    <xf numFmtId="0" fontId="11" fillId="0" borderId="3" xfId="16" applyFont="1" applyBorder="1" applyAlignment="1">
      <alignment vertical="top" wrapText="1"/>
    </xf>
    <xf numFmtId="3" fontId="20" fillId="0" borderId="3" xfId="16" applyNumberFormat="1" applyFont="1" applyBorder="1"/>
    <xf numFmtId="49" fontId="20" fillId="0" borderId="3" xfId="16" applyNumberFormat="1" applyFont="1" applyBorder="1" applyAlignment="1">
      <alignment horizontal="right"/>
    </xf>
    <xf numFmtId="3" fontId="11" fillId="0" borderId="6" xfId="16" applyNumberFormat="1" applyFont="1" applyBorder="1"/>
    <xf numFmtId="3" fontId="15" fillId="0" borderId="3" xfId="16" applyNumberFormat="1" applyFont="1" applyBorder="1" applyAlignment="1">
      <alignment horizontal="right"/>
    </xf>
    <xf numFmtId="0" fontId="11" fillId="0" borderId="3" xfId="16" applyFont="1" applyBorder="1" applyAlignment="1">
      <alignment horizontal="right" vertical="top"/>
    </xf>
    <xf numFmtId="0" fontId="11" fillId="0" borderId="4" xfId="16" applyFont="1" applyBorder="1" applyAlignment="1">
      <alignment wrapText="1"/>
    </xf>
    <xf numFmtId="0" fontId="15" fillId="0" borderId="3" xfId="16" applyFont="1" applyBorder="1" applyAlignment="1">
      <alignment horizontal="right"/>
    </xf>
    <xf numFmtId="0" fontId="15" fillId="0" borderId="3" xfId="16" applyFont="1" applyBorder="1"/>
    <xf numFmtId="0" fontId="11" fillId="0" borderId="3" xfId="16" applyFont="1" applyBorder="1" applyAlignment="1">
      <alignment horizontal="right"/>
    </xf>
    <xf numFmtId="0" fontId="11" fillId="0" borderId="5" xfId="16" applyFont="1" applyBorder="1"/>
    <xf numFmtId="0" fontId="11" fillId="0" borderId="4" xfId="16" applyFont="1" applyBorder="1" applyAlignment="1">
      <alignment horizontal="right"/>
    </xf>
    <xf numFmtId="4" fontId="11" fillId="0" borderId="11" xfId="16" applyNumberFormat="1" applyFont="1" applyBorder="1"/>
    <xf numFmtId="0" fontId="11" fillId="0" borderId="3" xfId="16" applyFont="1" applyBorder="1" applyAlignment="1">
      <alignment horizontal="right" vertical="center"/>
    </xf>
    <xf numFmtId="0" fontId="11" fillId="0" borderId="4" xfId="16" applyFont="1" applyBorder="1"/>
    <xf numFmtId="0" fontId="11" fillId="0" borderId="4" xfId="16" applyFont="1" applyBorder="1" applyAlignment="1">
      <alignment vertical="center" wrapText="1"/>
    </xf>
    <xf numFmtId="3" fontId="15" fillId="0" borderId="5" xfId="16" applyNumberFormat="1" applyFont="1" applyBorder="1" applyAlignment="1">
      <alignment horizontal="right"/>
    </xf>
    <xf numFmtId="0" fontId="11" fillId="0" borderId="5" xfId="16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/>
    <xf numFmtId="0" fontId="15" fillId="0" borderId="3" xfId="2" applyFont="1" applyBorder="1" applyAlignment="1">
      <alignment horizontal="center" vertical="center"/>
    </xf>
    <xf numFmtId="0" fontId="11" fillId="0" borderId="3" xfId="2" applyFont="1" applyBorder="1" applyAlignment="1">
      <alignment horizontal="right" vertical="center"/>
    </xf>
    <xf numFmtId="0" fontId="15" fillId="0" borderId="3" xfId="2" applyFont="1" applyBorder="1" applyAlignment="1">
      <alignment horizontal="right" vertical="center"/>
    </xf>
    <xf numFmtId="0" fontId="15" fillId="0" borderId="10" xfId="2" applyFont="1" applyBorder="1" applyAlignment="1">
      <alignment vertical="center"/>
    </xf>
    <xf numFmtId="4" fontId="15" fillId="0" borderId="10" xfId="16" applyNumberFormat="1" applyFont="1" applyBorder="1" applyAlignment="1">
      <alignment vertical="center"/>
    </xf>
    <xf numFmtId="4" fontId="15" fillId="0" borderId="10" xfId="16" applyNumberFormat="1" applyFont="1" applyBorder="1" applyAlignment="1">
      <alignment horizontal="right" vertical="center"/>
    </xf>
    <xf numFmtId="0" fontId="11" fillId="0" borderId="3" xfId="2" applyFont="1" applyBorder="1" applyAlignment="1">
      <alignment horizontal="center"/>
    </xf>
    <xf numFmtId="0" fontId="11" fillId="0" borderId="5" xfId="2" applyFont="1" applyBorder="1" applyAlignment="1">
      <alignment vertical="center"/>
    </xf>
    <xf numFmtId="4" fontId="11" fillId="0" borderId="5" xfId="16" applyNumberFormat="1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4" fontId="11" fillId="0" borderId="3" xfId="16" applyNumberFormat="1" applyFont="1" applyBorder="1" applyAlignment="1">
      <alignment vertical="center"/>
    </xf>
    <xf numFmtId="4" fontId="11" fillId="0" borderId="3" xfId="16" applyNumberFormat="1" applyFont="1" applyBorder="1" applyAlignment="1">
      <alignment horizontal="right" vertical="center"/>
    </xf>
    <xf numFmtId="0" fontId="11" fillId="0" borderId="3" xfId="2" applyFont="1" applyBorder="1" applyAlignment="1">
      <alignment vertical="center" wrapText="1"/>
    </xf>
    <xf numFmtId="0" fontId="11" fillId="0" borderId="3" xfId="17" applyFont="1" applyBorder="1" applyAlignment="1">
      <alignment horizontal="right"/>
    </xf>
    <xf numFmtId="4" fontId="11" fillId="0" borderId="3" xfId="17" applyNumberFormat="1" applyFont="1" applyBorder="1" applyAlignment="1">
      <alignment vertical="center"/>
    </xf>
    <xf numFmtId="4" fontId="11" fillId="0" borderId="3" xfId="17" applyNumberFormat="1" applyFont="1" applyBorder="1" applyAlignment="1">
      <alignment horizontal="right" vertical="center"/>
    </xf>
    <xf numFmtId="4" fontId="11" fillId="0" borderId="3" xfId="17" applyNumberFormat="1" applyFont="1" applyBorder="1"/>
    <xf numFmtId="0" fontId="11" fillId="0" borderId="3" xfId="2" applyFont="1" applyBorder="1"/>
    <xf numFmtId="0" fontId="15" fillId="0" borderId="4" xfId="16" applyFont="1" applyBorder="1"/>
    <xf numFmtId="0" fontId="16" fillId="0" borderId="0" xfId="16" applyFont="1" applyAlignment="1">
      <alignment vertical="center"/>
    </xf>
    <xf numFmtId="3" fontId="15" fillId="0" borderId="5" xfId="16" applyNumberFormat="1" applyFont="1" applyBorder="1"/>
    <xf numFmtId="0" fontId="11" fillId="0" borderId="5" xfId="16" applyFont="1" applyBorder="1" applyAlignment="1">
      <alignment horizontal="right" vertical="center"/>
    </xf>
    <xf numFmtId="0" fontId="16" fillId="0" borderId="21" xfId="16" applyFont="1" applyBorder="1" applyAlignment="1">
      <alignment vertical="center"/>
    </xf>
    <xf numFmtId="0" fontId="11" fillId="0" borderId="5" xfId="2" applyFont="1" applyBorder="1"/>
    <xf numFmtId="0" fontId="11" fillId="0" borderId="3" xfId="16" applyFont="1" applyBorder="1" applyAlignment="1">
      <alignment vertical="center" wrapText="1"/>
    </xf>
    <xf numFmtId="4" fontId="11" fillId="0" borderId="3" xfId="2" applyNumberFormat="1" applyFont="1" applyBorder="1"/>
    <xf numFmtId="49" fontId="11" fillId="0" borderId="3" xfId="17" applyNumberFormat="1" applyFont="1" applyBorder="1" applyAlignment="1">
      <alignment horizontal="right"/>
    </xf>
    <xf numFmtId="4" fontId="11" fillId="0" borderId="3" xfId="17" applyNumberFormat="1" applyFont="1" applyBorder="1" applyAlignment="1">
      <alignment horizontal="right"/>
    </xf>
    <xf numFmtId="49" fontId="11" fillId="0" borderId="3" xfId="2" applyNumberFormat="1" applyFont="1" applyBorder="1" applyAlignment="1">
      <alignment horizontal="center" vertical="center"/>
    </xf>
    <xf numFmtId="0" fontId="11" fillId="0" borderId="3" xfId="17" applyFont="1" applyBorder="1" applyAlignment="1">
      <alignment horizontal="center"/>
    </xf>
    <xf numFmtId="4" fontId="11" fillId="0" borderId="5" xfId="17" applyNumberFormat="1" applyFont="1" applyBorder="1"/>
    <xf numFmtId="4" fontId="11" fillId="0" borderId="5" xfId="17" applyNumberFormat="1" applyFont="1" applyBorder="1" applyAlignment="1">
      <alignment horizontal="right"/>
    </xf>
    <xf numFmtId="0" fontId="11" fillId="0" borderId="3" xfId="17" applyFont="1" applyBorder="1"/>
    <xf numFmtId="49" fontId="11" fillId="0" borderId="0" xfId="2" applyNumberFormat="1" applyFont="1" applyAlignment="1">
      <alignment horizontal="right"/>
    </xf>
    <xf numFmtId="0" fontId="11" fillId="0" borderId="4" xfId="17" applyFont="1" applyBorder="1"/>
    <xf numFmtId="49" fontId="15" fillId="0" borderId="5" xfId="16" applyNumberFormat="1" applyFont="1" applyBorder="1" applyAlignment="1">
      <alignment horizontal="right"/>
    </xf>
    <xf numFmtId="0" fontId="11" fillId="0" borderId="5" xfId="17" applyFont="1" applyBorder="1"/>
    <xf numFmtId="0" fontId="11" fillId="0" borderId="5" xfId="17" applyFont="1" applyBorder="1" applyAlignment="1">
      <alignment horizontal="right"/>
    </xf>
    <xf numFmtId="0" fontId="11" fillId="0" borderId="6" xfId="17" applyFont="1" applyBorder="1"/>
    <xf numFmtId="3" fontId="11" fillId="0" borderId="4" xfId="16" applyNumberFormat="1" applyFont="1" applyBorder="1"/>
    <xf numFmtId="4" fontId="15" fillId="0" borderId="3" xfId="2" applyNumberFormat="1" applyFont="1" applyBorder="1"/>
    <xf numFmtId="4" fontId="15" fillId="0" borderId="3" xfId="16" applyNumberFormat="1" applyFont="1" applyBorder="1" applyAlignment="1">
      <alignment horizontal="right"/>
    </xf>
    <xf numFmtId="4" fontId="15" fillId="0" borderId="3" xfId="16" applyNumberFormat="1" applyFont="1" applyBorder="1"/>
    <xf numFmtId="0" fontId="11" fillId="0" borderId="5" xfId="16" applyFont="1" applyBorder="1" applyAlignment="1">
      <alignment horizontal="left"/>
    </xf>
    <xf numFmtId="4" fontId="11" fillId="0" borderId="4" xfId="16" applyNumberFormat="1" applyFont="1" applyBorder="1"/>
    <xf numFmtId="49" fontId="15" fillId="0" borderId="3" xfId="17" applyNumberFormat="1" applyFont="1" applyBorder="1" applyAlignment="1">
      <alignment horizontal="right"/>
    </xf>
    <xf numFmtId="3" fontId="11" fillId="0" borderId="5" xfId="16" applyNumberFormat="1" applyFont="1" applyBorder="1"/>
    <xf numFmtId="0" fontId="11" fillId="0" borderId="5" xfId="16" applyFont="1" applyBorder="1" applyAlignment="1">
      <alignment horizontal="right" vertical="top"/>
    </xf>
    <xf numFmtId="0" fontId="11" fillId="0" borderId="6" xfId="16" applyFont="1" applyBorder="1" applyAlignment="1">
      <alignment wrapText="1"/>
    </xf>
    <xf numFmtId="0" fontId="15" fillId="0" borderId="3" xfId="2" applyFont="1" applyBorder="1" applyAlignment="1">
      <alignment horizontal="center"/>
    </xf>
    <xf numFmtId="0" fontId="15" fillId="0" borderId="10" xfId="2" applyFont="1" applyBorder="1"/>
    <xf numFmtId="3" fontId="11" fillId="0" borderId="3" xfId="16" applyNumberFormat="1" applyFont="1" applyBorder="1" applyAlignment="1">
      <alignment horizontal="right"/>
    </xf>
    <xf numFmtId="0" fontId="11" fillId="0" borderId="5" xfId="19" applyNumberFormat="1" applyFont="1" applyBorder="1" applyAlignment="1">
      <alignment horizontal="left"/>
    </xf>
    <xf numFmtId="49" fontId="11" fillId="0" borderId="5" xfId="16" applyNumberFormat="1" applyFont="1" applyBorder="1" applyAlignment="1">
      <alignment horizontal="right"/>
    </xf>
    <xf numFmtId="4" fontId="11" fillId="0" borderId="5" xfId="2" applyNumberFormat="1" applyFont="1" applyBorder="1" applyAlignment="1">
      <alignment horizontal="right"/>
    </xf>
    <xf numFmtId="0" fontId="15" fillId="0" borderId="3" xfId="2" applyFont="1" applyBorder="1" applyAlignment="1">
      <alignment horizontal="right"/>
    </xf>
    <xf numFmtId="49" fontId="15" fillId="0" borderId="4" xfId="16" applyNumberFormat="1" applyFont="1" applyBorder="1" applyAlignment="1">
      <alignment horizontal="center"/>
    </xf>
    <xf numFmtId="44" fontId="15" fillId="0" borderId="0" xfId="16" applyNumberFormat="1" applyFont="1" applyAlignment="1">
      <alignment horizontal="left"/>
    </xf>
    <xf numFmtId="0" fontId="11" fillId="0" borderId="4" xfId="16" applyFont="1" applyBorder="1" applyAlignment="1">
      <alignment horizontal="center" vertical="center"/>
    </xf>
    <xf numFmtId="4" fontId="11" fillId="0" borderId="3" xfId="16" applyNumberFormat="1" applyFont="1" applyBorder="1" applyAlignment="1">
      <alignment horizontal="center"/>
    </xf>
    <xf numFmtId="0" fontId="15" fillId="0" borderId="3" xfId="2" applyFont="1" applyBorder="1"/>
    <xf numFmtId="49" fontId="15" fillId="0" borderId="3" xfId="16" applyNumberFormat="1" applyFont="1" applyBorder="1"/>
    <xf numFmtId="0" fontId="11" fillId="0" borderId="6" xfId="16" applyFont="1" applyBorder="1" applyAlignment="1">
      <alignment horizontal="left"/>
    </xf>
    <xf numFmtId="0" fontId="11" fillId="0" borderId="3" xfId="16" applyFont="1" applyBorder="1" applyAlignment="1">
      <alignment horizontal="left" vertical="center"/>
    </xf>
    <xf numFmtId="0" fontId="11" fillId="0" borderId="4" xfId="16" applyFont="1" applyBorder="1" applyAlignment="1">
      <alignment horizontal="left" vertical="center" wrapText="1"/>
    </xf>
    <xf numFmtId="0" fontId="16" fillId="0" borderId="5" xfId="16" applyFont="1" applyBorder="1"/>
    <xf numFmtId="49" fontId="16" fillId="0" borderId="5" xfId="16" applyNumberFormat="1" applyFont="1" applyBorder="1" applyAlignment="1">
      <alignment horizontal="right"/>
    </xf>
    <xf numFmtId="0" fontId="16" fillId="0" borderId="6" xfId="16" applyFont="1" applyBorder="1"/>
    <xf numFmtId="0" fontId="21" fillId="0" borderId="0" xfId="11" applyFont="1" applyAlignment="1">
      <alignment vertical="center"/>
    </xf>
    <xf numFmtId="0" fontId="22" fillId="0" borderId="0" xfId="11" applyFont="1"/>
    <xf numFmtId="0" fontId="11" fillId="0" borderId="0" xfId="11" applyFont="1" applyAlignment="1">
      <alignment horizontal="left"/>
    </xf>
    <xf numFmtId="0" fontId="21" fillId="0" borderId="0" xfId="11" applyFont="1"/>
    <xf numFmtId="0" fontId="11" fillId="0" borderId="0" xfId="11" applyFont="1"/>
    <xf numFmtId="0" fontId="23" fillId="0" borderId="0" xfId="11" applyFont="1" applyAlignment="1">
      <alignment vertical="center"/>
    </xf>
    <xf numFmtId="0" fontId="23" fillId="0" borderId="0" xfId="11" applyFont="1"/>
    <xf numFmtId="0" fontId="24" fillId="0" borderId="0" xfId="11" applyFont="1" applyAlignment="1">
      <alignment horizontal="centerContinuous" vertical="center" wrapText="1"/>
    </xf>
    <xf numFmtId="0" fontId="24" fillId="0" borderId="0" xfId="11" applyFont="1" applyAlignment="1">
      <alignment horizontal="center" vertical="center" wrapText="1"/>
    </xf>
    <xf numFmtId="0" fontId="11" fillId="0" borderId="0" xfId="11" applyFont="1" applyAlignment="1">
      <alignment horizontal="center" vertical="center"/>
    </xf>
    <xf numFmtId="0" fontId="24" fillId="3" borderId="1" xfId="11" applyFont="1" applyFill="1" applyBorder="1" applyAlignment="1">
      <alignment horizontal="center" vertical="center"/>
    </xf>
    <xf numFmtId="0" fontId="24" fillId="3" borderId="1" xfId="11" applyFont="1" applyFill="1" applyBorder="1" applyAlignment="1">
      <alignment horizontal="center" vertical="center" wrapText="1"/>
    </xf>
    <xf numFmtId="0" fontId="24" fillId="3" borderId="14" xfId="11" applyFont="1" applyFill="1" applyBorder="1" applyAlignment="1">
      <alignment horizontal="centerContinuous" vertical="center" wrapText="1"/>
    </xf>
    <xf numFmtId="0" fontId="24" fillId="3" borderId="15" xfId="11" applyFont="1" applyFill="1" applyBorder="1" applyAlignment="1">
      <alignment horizontal="centerContinuous" vertical="center" wrapText="1"/>
    </xf>
    <xf numFmtId="0" fontId="24" fillId="3" borderId="16" xfId="11" applyFont="1" applyFill="1" applyBorder="1" applyAlignment="1">
      <alignment horizontal="centerContinuous" vertical="center" wrapText="1"/>
    </xf>
    <xf numFmtId="0" fontId="24" fillId="3" borderId="3" xfId="11" applyFont="1" applyFill="1" applyBorder="1" applyAlignment="1">
      <alignment horizontal="center" vertical="center"/>
    </xf>
    <xf numFmtId="0" fontId="24" fillId="3" borderId="3" xfId="11" applyFont="1" applyFill="1" applyBorder="1" applyAlignment="1">
      <alignment horizontal="center" vertical="center" wrapText="1"/>
    </xf>
    <xf numFmtId="0" fontId="24" fillId="3" borderId="5" xfId="11" applyFont="1" applyFill="1" applyBorder="1" applyAlignment="1">
      <alignment horizontal="center" vertical="center"/>
    </xf>
    <xf numFmtId="0" fontId="24" fillId="3" borderId="5" xfId="11" applyFont="1" applyFill="1" applyBorder="1" applyAlignment="1">
      <alignment horizontal="center" vertical="center" wrapText="1"/>
    </xf>
    <xf numFmtId="0" fontId="24" fillId="3" borderId="5" xfId="11" applyFont="1" applyFill="1" applyBorder="1" applyAlignment="1">
      <alignment horizontal="center" vertical="top" wrapText="1"/>
    </xf>
    <xf numFmtId="0" fontId="15" fillId="3" borderId="13" xfId="11" applyFont="1" applyFill="1" applyBorder="1" applyAlignment="1">
      <alignment horizontal="center" vertical="center" wrapText="1"/>
    </xf>
    <xf numFmtId="0" fontId="12" fillId="0" borderId="13" xfId="11" applyFont="1" applyBorder="1" applyAlignment="1">
      <alignment horizontal="center" vertical="center"/>
    </xf>
    <xf numFmtId="0" fontId="12" fillId="0" borderId="0" xfId="11" applyFont="1"/>
    <xf numFmtId="0" fontId="12" fillId="0" borderId="0" xfId="11" applyFont="1" applyAlignment="1">
      <alignment vertical="center"/>
    </xf>
    <xf numFmtId="0" fontId="23" fillId="0" borderId="13" xfId="11" applyFont="1" applyBorder="1" applyAlignment="1">
      <alignment vertical="center"/>
    </xf>
    <xf numFmtId="4" fontId="23" fillId="0" borderId="13" xfId="11" applyNumberFormat="1" applyFont="1" applyBorder="1" applyAlignment="1">
      <alignment vertical="center"/>
    </xf>
    <xf numFmtId="0" fontId="23" fillId="0" borderId="18" xfId="11" applyFont="1" applyBorder="1" applyAlignment="1">
      <alignment vertical="center"/>
    </xf>
    <xf numFmtId="4" fontId="23" fillId="0" borderId="5" xfId="11" applyNumberFormat="1" applyFont="1" applyBorder="1" applyAlignment="1">
      <alignment vertical="center"/>
    </xf>
    <xf numFmtId="0" fontId="26" fillId="0" borderId="0" xfId="20" applyFont="1"/>
    <xf numFmtId="0" fontId="27" fillId="0" borderId="0" xfId="0" applyFont="1"/>
    <xf numFmtId="0" fontId="27" fillId="0" borderId="0" xfId="21" applyFont="1"/>
    <xf numFmtId="0" fontId="27" fillId="0" borderId="0" xfId="0" applyFont="1" applyAlignment="1">
      <alignment horizontal="left"/>
    </xf>
    <xf numFmtId="0" fontId="27" fillId="0" borderId="0" xfId="21" applyFont="1" applyAlignment="1">
      <alignment horizontal="left"/>
    </xf>
    <xf numFmtId="0" fontId="28" fillId="0" borderId="0" xfId="20" applyFont="1" applyAlignment="1">
      <alignment horizontal="centerContinuous" vertical="center"/>
    </xf>
    <xf numFmtId="0" fontId="29" fillId="0" borderId="1" xfId="20" applyFont="1" applyBorder="1" applyAlignment="1">
      <alignment horizontal="center" vertical="center"/>
    </xf>
    <xf numFmtId="0" fontId="29" fillId="0" borderId="1" xfId="20" applyFont="1" applyBorder="1" applyAlignment="1">
      <alignment horizontal="center" vertical="center" wrapText="1"/>
    </xf>
    <xf numFmtId="0" fontId="30" fillId="0" borderId="1" xfId="20" applyFont="1" applyBorder="1" applyAlignment="1">
      <alignment horizontal="center" vertical="top" wrapText="1"/>
    </xf>
    <xf numFmtId="0" fontId="29" fillId="0" borderId="14" xfId="20" applyFont="1" applyBorder="1" applyAlignment="1">
      <alignment horizontal="centerContinuous" vertical="center"/>
    </xf>
    <xf numFmtId="0" fontId="29" fillId="0" borderId="16" xfId="20" applyFont="1" applyBorder="1" applyAlignment="1">
      <alignment horizontal="centerContinuous" vertical="center"/>
    </xf>
    <xf numFmtId="0" fontId="29" fillId="0" borderId="15" xfId="20" applyFont="1" applyBorder="1" applyAlignment="1">
      <alignment horizontal="centerContinuous" vertical="center"/>
    </xf>
    <xf numFmtId="0" fontId="29" fillId="0" borderId="3" xfId="20" applyFont="1" applyBorder="1" applyAlignment="1">
      <alignment horizontal="center" vertical="center"/>
    </xf>
    <xf numFmtId="0" fontId="29" fillId="0" borderId="3" xfId="20" applyFont="1" applyBorder="1" applyAlignment="1">
      <alignment horizontal="center" vertical="center" wrapText="1"/>
    </xf>
    <xf numFmtId="0" fontId="30" fillId="0" borderId="3" xfId="20" applyFont="1" applyBorder="1" applyAlignment="1">
      <alignment horizontal="center" vertical="center" wrapText="1"/>
    </xf>
    <xf numFmtId="0" fontId="29" fillId="0" borderId="5" xfId="20" applyFont="1" applyBorder="1" applyAlignment="1">
      <alignment horizontal="center" vertical="center"/>
    </xf>
    <xf numFmtId="0" fontId="30" fillId="0" borderId="5" xfId="20" applyFont="1" applyBorder="1" applyAlignment="1">
      <alignment horizontal="center" vertical="center" wrapText="1"/>
    </xf>
    <xf numFmtId="0" fontId="29" fillId="0" borderId="5" xfId="20" applyFont="1" applyBorder="1" applyAlignment="1">
      <alignment horizontal="center" vertical="center" wrapText="1"/>
    </xf>
    <xf numFmtId="0" fontId="31" fillId="0" borderId="13" xfId="20" applyFont="1" applyBorder="1" applyAlignment="1">
      <alignment horizontal="center" vertical="center"/>
    </xf>
    <xf numFmtId="0" fontId="31" fillId="0" borderId="16" xfId="20" applyFont="1" applyBorder="1" applyAlignment="1">
      <alignment horizontal="center" vertical="center"/>
    </xf>
    <xf numFmtId="0" fontId="28" fillId="0" borderId="1" xfId="20" applyFont="1" applyBorder="1" applyAlignment="1">
      <alignment horizontal="center" vertical="center"/>
    </xf>
    <xf numFmtId="0" fontId="28" fillId="0" borderId="13" xfId="20" applyFont="1" applyBorder="1" applyAlignment="1">
      <alignment vertical="center"/>
    </xf>
    <xf numFmtId="4" fontId="29" fillId="0" borderId="16" xfId="20" applyNumberFormat="1" applyFont="1" applyBorder="1" applyAlignment="1">
      <alignment horizontal="center" vertical="center"/>
    </xf>
    <xf numFmtId="4" fontId="29" fillId="0" borderId="13" xfId="20" applyNumberFormat="1" applyFont="1" applyBorder="1" applyAlignment="1">
      <alignment vertical="center"/>
    </xf>
    <xf numFmtId="0" fontId="29" fillId="0" borderId="0" xfId="20" applyFont="1"/>
    <xf numFmtId="0" fontId="28" fillId="0" borderId="3" xfId="20" applyFont="1" applyBorder="1" applyAlignment="1">
      <alignment horizontal="center" vertical="center"/>
    </xf>
    <xf numFmtId="4" fontId="26" fillId="0" borderId="0" xfId="20" applyNumberFormat="1" applyFont="1"/>
    <xf numFmtId="3" fontId="26" fillId="0" borderId="0" xfId="20" applyNumberFormat="1" applyFont="1"/>
    <xf numFmtId="49" fontId="29" fillId="0" borderId="24" xfId="20" applyNumberFormat="1" applyFont="1" applyBorder="1" applyAlignment="1">
      <alignment horizontal="center" vertical="center"/>
    </xf>
    <xf numFmtId="0" fontId="29" fillId="0" borderId="25" xfId="20" applyFont="1" applyBorder="1" applyAlignment="1">
      <alignment vertical="center" wrapText="1"/>
    </xf>
    <xf numFmtId="0" fontId="28" fillId="0" borderId="26" xfId="0" applyFont="1" applyBorder="1" applyAlignment="1">
      <alignment horizontal="center" vertical="center" wrapText="1"/>
    </xf>
    <xf numFmtId="4" fontId="29" fillId="0" borderId="25" xfId="0" applyNumberFormat="1" applyFont="1" applyBorder="1" applyAlignment="1">
      <alignment horizontal="right" vertical="center" wrapText="1"/>
    </xf>
    <xf numFmtId="49" fontId="26" fillId="0" borderId="22" xfId="20" applyNumberFormat="1" applyFont="1" applyBorder="1" applyAlignment="1">
      <alignment horizontal="center" vertical="center"/>
    </xf>
    <xf numFmtId="0" fontId="32" fillId="0" borderId="22" xfId="0" applyFont="1" applyBorder="1" applyAlignment="1">
      <alignment horizontal="left" vertical="center" wrapText="1"/>
    </xf>
    <xf numFmtId="0" fontId="26" fillId="0" borderId="29" xfId="20" applyFont="1" applyBorder="1" applyAlignment="1">
      <alignment horizontal="center" vertical="top"/>
    </xf>
    <xf numFmtId="0" fontId="26" fillId="0" borderId="30" xfId="20" applyFont="1" applyBorder="1" applyAlignment="1">
      <alignment vertical="top" wrapText="1"/>
    </xf>
    <xf numFmtId="0" fontId="26" fillId="0" borderId="33" xfId="20" applyFont="1" applyBorder="1"/>
    <xf numFmtId="0" fontId="26" fillId="0" borderId="29" xfId="20" applyFont="1" applyBorder="1" applyAlignment="1">
      <alignment horizontal="center" vertical="center"/>
    </xf>
    <xf numFmtId="0" fontId="26" fillId="4" borderId="29" xfId="20" applyFont="1" applyFill="1" applyBorder="1" applyAlignment="1">
      <alignment horizontal="center"/>
    </xf>
    <xf numFmtId="43" fontId="26" fillId="0" borderId="34" xfId="14" applyFont="1" applyFill="1" applyBorder="1"/>
    <xf numFmtId="164" fontId="26" fillId="0" borderId="35" xfId="14" applyNumberFormat="1" applyFont="1" applyFill="1" applyBorder="1"/>
    <xf numFmtId="43" fontId="26" fillId="0" borderId="36" xfId="14" applyFont="1" applyFill="1" applyBorder="1"/>
    <xf numFmtId="43" fontId="26" fillId="0" borderId="37" xfId="14" applyFont="1" applyBorder="1"/>
    <xf numFmtId="164" fontId="26" fillId="0" borderId="35" xfId="14" applyNumberFormat="1" applyFont="1" applyBorder="1"/>
    <xf numFmtId="43" fontId="26" fillId="0" borderId="36" xfId="14" applyFont="1" applyBorder="1"/>
    <xf numFmtId="0" fontId="26" fillId="0" borderId="23" xfId="20" applyFont="1" applyBorder="1" applyAlignment="1">
      <alignment horizontal="center" vertical="center"/>
    </xf>
    <xf numFmtId="0" fontId="26" fillId="4" borderId="23" xfId="20" applyFont="1" applyFill="1" applyBorder="1" applyAlignment="1">
      <alignment horizontal="center"/>
    </xf>
    <xf numFmtId="43" fontId="26" fillId="0" borderId="38" xfId="14" applyFont="1" applyFill="1" applyBorder="1"/>
    <xf numFmtId="43" fontId="26" fillId="0" borderId="23" xfId="14" applyFont="1" applyBorder="1"/>
    <xf numFmtId="43" fontId="26" fillId="0" borderId="23" xfId="14" applyFont="1" applyFill="1" applyBorder="1"/>
    <xf numFmtId="43" fontId="26" fillId="0" borderId="39" xfId="14" applyFont="1" applyBorder="1"/>
    <xf numFmtId="0" fontId="26" fillId="0" borderId="0" xfId="20" applyFont="1" applyAlignment="1">
      <alignment horizontal="center" vertical="center"/>
    </xf>
    <xf numFmtId="4" fontId="26" fillId="0" borderId="0" xfId="20" applyNumberFormat="1" applyFont="1" applyAlignment="1">
      <alignment horizontal="center"/>
    </xf>
    <xf numFmtId="4" fontId="26" fillId="0" borderId="0" xfId="20" applyNumberFormat="1" applyFont="1" applyAlignment="1">
      <alignment horizontal="right"/>
    </xf>
    <xf numFmtId="0" fontId="23" fillId="0" borderId="0" xfId="11" applyFont="1" applyAlignment="1">
      <alignment horizontal="center" vertical="top"/>
    </xf>
    <xf numFmtId="0" fontId="23" fillId="0" borderId="0" xfId="11" applyFont="1" applyAlignment="1">
      <alignment horizontal="left"/>
    </xf>
    <xf numFmtId="0" fontId="24" fillId="0" borderId="0" xfId="11" applyFont="1" applyAlignment="1">
      <alignment horizontal="center" vertical="center"/>
    </xf>
    <xf numFmtId="0" fontId="12" fillId="0" borderId="0" xfId="11" applyFont="1" applyAlignment="1">
      <alignment horizontal="right"/>
    </xf>
    <xf numFmtId="0" fontId="24" fillId="0" borderId="13" xfId="11" applyFont="1" applyBorder="1" applyAlignment="1">
      <alignment horizontal="center" vertical="center"/>
    </xf>
    <xf numFmtId="0" fontId="24" fillId="3" borderId="13" xfId="11" applyFont="1" applyFill="1" applyBorder="1" applyAlignment="1">
      <alignment horizontal="center" vertical="center"/>
    </xf>
    <xf numFmtId="0" fontId="12" fillId="0" borderId="13" xfId="11" applyFont="1" applyBorder="1" applyAlignment="1">
      <alignment horizontal="center" vertical="top"/>
    </xf>
    <xf numFmtId="0" fontId="24" fillId="0" borderId="14" xfId="11" applyFont="1" applyBorder="1" applyAlignment="1">
      <alignment horizontal="left" vertical="center"/>
    </xf>
    <xf numFmtId="0" fontId="24" fillId="0" borderId="15" xfId="11" applyFont="1" applyBorder="1" applyAlignment="1">
      <alignment horizontal="left" vertical="center"/>
    </xf>
    <xf numFmtId="0" fontId="24" fillId="0" borderId="15" xfId="11" applyFont="1" applyBorder="1" applyAlignment="1">
      <alignment horizontal="center" vertical="top"/>
    </xf>
    <xf numFmtId="0" fontId="24" fillId="0" borderId="16" xfId="11" applyFont="1" applyBorder="1" applyAlignment="1">
      <alignment horizontal="left" vertical="center"/>
    </xf>
    <xf numFmtId="0" fontId="23" fillId="0" borderId="13" xfId="11" applyFont="1" applyBorder="1" applyAlignment="1">
      <alignment horizontal="center" vertical="center"/>
    </xf>
    <xf numFmtId="0" fontId="23" fillId="0" borderId="13" xfId="11" applyFont="1" applyBorder="1" applyAlignment="1">
      <alignment vertical="center" wrapText="1"/>
    </xf>
    <xf numFmtId="4" fontId="23" fillId="0" borderId="0" xfId="11" applyNumberFormat="1" applyFont="1"/>
    <xf numFmtId="0" fontId="23" fillId="0" borderId="1" xfId="11" applyFont="1" applyBorder="1" applyAlignment="1">
      <alignment horizontal="center" vertical="center"/>
    </xf>
    <xf numFmtId="0" fontId="33" fillId="0" borderId="0" xfId="11" applyFont="1"/>
    <xf numFmtId="0" fontId="23" fillId="0" borderId="1" xfId="11" applyFont="1" applyBorder="1" applyAlignment="1">
      <alignment horizontal="center" vertical="center" wrapText="1"/>
    </xf>
    <xf numFmtId="0" fontId="23" fillId="0" borderId="1" xfId="22" applyFont="1" applyBorder="1" applyAlignment="1">
      <alignment horizontal="center" vertical="center"/>
    </xf>
    <xf numFmtId="0" fontId="23" fillId="4" borderId="13" xfId="23" applyFont="1" applyFill="1" applyBorder="1" applyAlignment="1">
      <alignment horizontal="center" vertical="center"/>
    </xf>
    <xf numFmtId="0" fontId="23" fillId="4" borderId="14" xfId="15" applyFont="1" applyFill="1" applyBorder="1" applyAlignment="1">
      <alignment horizontal="center" vertical="center"/>
    </xf>
    <xf numFmtId="0" fontId="23" fillId="0" borderId="14" xfId="23" applyFont="1" applyBorder="1" applyAlignment="1">
      <alignment vertical="center" wrapText="1"/>
    </xf>
    <xf numFmtId="0" fontId="11" fillId="0" borderId="14" xfId="11" applyFont="1" applyBorder="1" applyAlignment="1">
      <alignment horizontal="center" vertical="center"/>
    </xf>
    <xf numFmtId="0" fontId="11" fillId="4" borderId="15" xfId="11" applyFont="1" applyFill="1" applyBorder="1" applyAlignment="1">
      <alignment vertical="center"/>
    </xf>
    <xf numFmtId="0" fontId="11" fillId="4" borderId="15" xfId="11" applyFont="1" applyFill="1" applyBorder="1" applyAlignment="1">
      <alignment horizontal="center" vertical="center"/>
    </xf>
    <xf numFmtId="0" fontId="11" fillId="4" borderId="15" xfId="15" applyFont="1" applyFill="1" applyBorder="1" applyAlignment="1">
      <alignment horizontal="center" vertical="center"/>
    </xf>
    <xf numFmtId="0" fontId="11" fillId="0" borderId="18" xfId="11" applyFont="1" applyBorder="1" applyAlignment="1">
      <alignment vertical="center"/>
    </xf>
    <xf numFmtId="4" fontId="11" fillId="0" borderId="13" xfId="11" applyNumberFormat="1" applyFont="1" applyBorder="1" applyAlignment="1">
      <alignment vertical="center"/>
    </xf>
    <xf numFmtId="0" fontId="23" fillId="0" borderId="13" xfId="11" applyFont="1" applyBorder="1" applyAlignment="1">
      <alignment horizontal="left" vertical="center"/>
    </xf>
    <xf numFmtId="4" fontId="23" fillId="0" borderId="13" xfId="11" applyNumberFormat="1" applyFont="1" applyBorder="1" applyAlignment="1">
      <alignment horizontal="right" vertical="center"/>
    </xf>
    <xf numFmtId="0" fontId="11" fillId="0" borderId="6" xfId="11" applyFont="1" applyBorder="1" applyAlignment="1">
      <alignment horizontal="center"/>
    </xf>
    <xf numFmtId="0" fontId="11" fillId="0" borderId="21" xfId="11" applyFont="1" applyBorder="1" applyAlignment="1">
      <alignment horizontal="center"/>
    </xf>
    <xf numFmtId="0" fontId="11" fillId="0" borderId="15" xfId="11" applyFont="1" applyBorder="1" applyAlignment="1">
      <alignment horizontal="center"/>
    </xf>
    <xf numFmtId="0" fontId="11" fillId="0" borderId="16" xfId="11" applyFont="1" applyBorder="1" applyAlignment="1">
      <alignment horizontal="center" vertical="top"/>
    </xf>
    <xf numFmtId="0" fontId="11" fillId="0" borderId="13" xfId="11" applyFont="1" applyBorder="1" applyAlignment="1">
      <alignment wrapText="1"/>
    </xf>
    <xf numFmtId="4" fontId="11" fillId="0" borderId="18" xfId="11" applyNumberFormat="1" applyFont="1" applyBorder="1" applyAlignment="1">
      <alignment horizontal="right" vertical="center"/>
    </xf>
    <xf numFmtId="0" fontId="11" fillId="0" borderId="21" xfId="11" applyFont="1" applyBorder="1" applyAlignment="1">
      <alignment horizontal="center" vertical="top"/>
    </xf>
    <xf numFmtId="0" fontId="11" fillId="0" borderId="13" xfId="11" applyFont="1" applyBorder="1"/>
    <xf numFmtId="4" fontId="11" fillId="0" borderId="18" xfId="11" applyNumberFormat="1" applyFont="1" applyBorder="1" applyAlignment="1">
      <alignment vertical="center"/>
    </xf>
    <xf numFmtId="0" fontId="11" fillId="0" borderId="13" xfId="11" applyFont="1" applyBorder="1" applyAlignment="1">
      <alignment vertical="center"/>
    </xf>
    <xf numFmtId="0" fontId="11" fillId="0" borderId="16" xfId="11" applyFont="1" applyBorder="1"/>
    <xf numFmtId="4" fontId="11" fillId="0" borderId="18" xfId="11" applyNumberFormat="1" applyFont="1" applyBorder="1"/>
    <xf numFmtId="4" fontId="23" fillId="0" borderId="16" xfId="11" applyNumberFormat="1" applyFont="1" applyBorder="1" applyAlignment="1">
      <alignment vertical="center"/>
    </xf>
    <xf numFmtId="0" fontId="11" fillId="0" borderId="16" xfId="11" applyFont="1" applyBorder="1" applyAlignment="1">
      <alignment horizontal="center"/>
    </xf>
    <xf numFmtId="0" fontId="11" fillId="0" borderId="18" xfId="11" applyFont="1" applyBorder="1"/>
    <xf numFmtId="0" fontId="11" fillId="0" borderId="14" xfId="11" applyFont="1" applyBorder="1" applyAlignment="1">
      <alignment horizontal="center"/>
    </xf>
    <xf numFmtId="4" fontId="11" fillId="0" borderId="16" xfId="11" applyNumberFormat="1" applyFont="1" applyBorder="1"/>
    <xf numFmtId="0" fontId="11" fillId="0" borderId="21" xfId="11" applyFont="1" applyBorder="1"/>
    <xf numFmtId="0" fontId="23" fillId="0" borderId="0" xfId="11" applyFont="1" applyAlignment="1">
      <alignment horizontal="center"/>
    </xf>
    <xf numFmtId="0" fontId="24" fillId="0" borderId="0" xfId="11" applyFont="1" applyAlignment="1">
      <alignment horizontal="centerContinuous" wrapText="1"/>
    </xf>
    <xf numFmtId="0" fontId="24" fillId="4" borderId="13" xfId="11" applyFont="1" applyFill="1" applyBorder="1" applyAlignment="1">
      <alignment horizontal="center" vertical="center"/>
    </xf>
    <xf numFmtId="0" fontId="24" fillId="4" borderId="14" xfId="11" applyFont="1" applyFill="1" applyBorder="1" applyAlignment="1">
      <alignment horizontal="centerContinuous" vertical="center"/>
    </xf>
    <xf numFmtId="0" fontId="17" fillId="4" borderId="13" xfId="11" applyFont="1" applyFill="1" applyBorder="1" applyAlignment="1">
      <alignment horizontal="center" vertical="center"/>
    </xf>
    <xf numFmtId="0" fontId="17" fillId="4" borderId="14" xfId="15" applyFont="1" applyFill="1" applyBorder="1" applyAlignment="1">
      <alignment horizontal="center" vertical="top"/>
    </xf>
    <xf numFmtId="0" fontId="17" fillId="4" borderId="14" xfId="11" applyFont="1" applyFill="1" applyBorder="1" applyAlignment="1">
      <alignment horizontal="centerContinuous" vertical="center"/>
    </xf>
    <xf numFmtId="0" fontId="17" fillId="0" borderId="0" xfId="11" applyFont="1"/>
    <xf numFmtId="0" fontId="23" fillId="0" borderId="15" xfId="15" applyFont="1" applyFill="1" applyBorder="1" applyAlignment="1">
      <alignment horizontal="center" vertical="top"/>
    </xf>
    <xf numFmtId="0" fontId="23" fillId="0" borderId="13" xfId="11" applyFont="1" applyBorder="1" applyAlignment="1">
      <alignment horizontal="right" vertical="center"/>
    </xf>
    <xf numFmtId="0" fontId="23" fillId="4" borderId="13" xfId="11" applyFont="1" applyFill="1" applyBorder="1" applyAlignment="1">
      <alignment vertical="center"/>
    </xf>
    <xf numFmtId="0" fontId="23" fillId="4" borderId="13" xfId="15" applyFont="1" applyFill="1" applyBorder="1" applyAlignment="1">
      <alignment horizontal="center" vertical="center"/>
    </xf>
    <xf numFmtId="0" fontId="23" fillId="4" borderId="13" xfId="11" applyFont="1" applyFill="1" applyBorder="1" applyAlignment="1">
      <alignment horizontal="left" vertical="center" wrapText="1"/>
    </xf>
    <xf numFmtId="0" fontId="23" fillId="4" borderId="14" xfId="11" applyFont="1" applyFill="1" applyBorder="1" applyAlignment="1">
      <alignment vertical="top" wrapText="1"/>
    </xf>
    <xf numFmtId="0" fontId="23" fillId="4" borderId="14" xfId="11" applyFont="1" applyFill="1" applyBorder="1" applyAlignment="1">
      <alignment vertical="center" wrapText="1"/>
    </xf>
    <xf numFmtId="4" fontId="23" fillId="0" borderId="5" xfId="11" applyNumberFormat="1" applyFont="1" applyBorder="1"/>
    <xf numFmtId="0" fontId="23" fillId="4" borderId="6" xfId="15" applyFont="1" applyFill="1" applyBorder="1" applyAlignment="1">
      <alignment horizontal="center" vertical="center" wrapText="1"/>
    </xf>
    <xf numFmtId="0" fontId="23" fillId="4" borderId="6" xfId="11" applyFont="1" applyFill="1" applyBorder="1" applyAlignment="1">
      <alignment vertical="center" wrapText="1"/>
    </xf>
    <xf numFmtId="0" fontId="23" fillId="4" borderId="6" xfId="15" applyFont="1" applyFill="1" applyBorder="1" applyAlignment="1">
      <alignment horizontal="center" vertical="center"/>
    </xf>
    <xf numFmtId="0" fontId="23" fillId="4" borderId="6" xfId="11" applyFont="1" applyFill="1" applyBorder="1" applyAlignment="1">
      <alignment vertical="center"/>
    </xf>
    <xf numFmtId="0" fontId="23" fillId="0" borderId="1" xfId="11" applyFont="1" applyBorder="1" applyAlignment="1">
      <alignment vertical="center"/>
    </xf>
    <xf numFmtId="0" fontId="23" fillId="4" borderId="1" xfId="11" applyFont="1" applyFill="1" applyBorder="1" applyAlignment="1">
      <alignment vertical="center"/>
    </xf>
    <xf numFmtId="0" fontId="23" fillId="4" borderId="40" xfId="11" applyFont="1" applyFill="1" applyBorder="1" applyAlignment="1">
      <alignment vertical="center"/>
    </xf>
    <xf numFmtId="0" fontId="23" fillId="4" borderId="41" xfId="15" applyFont="1" applyFill="1" applyBorder="1" applyAlignment="1">
      <alignment horizontal="center" vertical="center"/>
    </xf>
    <xf numFmtId="0" fontId="23" fillId="0" borderId="14" xfId="11" applyFont="1" applyBorder="1" applyAlignment="1">
      <alignment vertical="top" wrapText="1"/>
    </xf>
    <xf numFmtId="0" fontId="23" fillId="0" borderId="14" xfId="15" applyFont="1" applyFill="1" applyBorder="1" applyAlignment="1">
      <alignment horizontal="center" vertical="center"/>
    </xf>
    <xf numFmtId="0" fontId="23" fillId="0" borderId="14" xfId="11" applyFont="1" applyBorder="1" applyAlignment="1">
      <alignment vertical="center" wrapText="1"/>
    </xf>
    <xf numFmtId="0" fontId="23" fillId="4" borderId="1" xfId="11" applyFont="1" applyFill="1" applyBorder="1" applyAlignment="1">
      <alignment horizontal="right" vertical="center"/>
    </xf>
    <xf numFmtId="0" fontId="23" fillId="4" borderId="40" xfId="11" applyFont="1" applyFill="1" applyBorder="1" applyAlignment="1">
      <alignment horizontal="right" vertical="center"/>
    </xf>
    <xf numFmtId="0" fontId="23" fillId="4" borderId="14" xfId="11" applyFont="1" applyFill="1" applyBorder="1" applyAlignment="1">
      <alignment wrapText="1"/>
    </xf>
    <xf numFmtId="49" fontId="11" fillId="0" borderId="1" xfId="11" applyNumberFormat="1" applyFont="1" applyBorder="1" applyAlignment="1">
      <alignment horizontal="right"/>
    </xf>
    <xf numFmtId="0" fontId="11" fillId="4" borderId="1" xfId="11" applyFont="1" applyFill="1" applyBorder="1" applyAlignment="1">
      <alignment horizontal="right" vertical="top"/>
    </xf>
    <xf numFmtId="0" fontId="11" fillId="4" borderId="40" xfId="11" applyFont="1" applyFill="1" applyBorder="1" applyAlignment="1">
      <alignment horizontal="right" vertical="top"/>
    </xf>
    <xf numFmtId="0" fontId="11" fillId="4" borderId="41" xfId="15" applyFont="1" applyFill="1" applyBorder="1" applyAlignment="1">
      <alignment horizontal="center" vertical="top"/>
    </xf>
    <xf numFmtId="0" fontId="11" fillId="4" borderId="14" xfId="11" applyFont="1" applyFill="1" applyBorder="1" applyAlignment="1">
      <alignment wrapText="1"/>
    </xf>
    <xf numFmtId="0" fontId="23" fillId="0" borderId="13" xfId="11" applyFont="1" applyBorder="1"/>
    <xf numFmtId="0" fontId="23" fillId="4" borderId="13" xfId="11" applyFont="1" applyFill="1" applyBorder="1"/>
    <xf numFmtId="0" fontId="23" fillId="4" borderId="14" xfId="15" applyFont="1" applyFill="1" applyBorder="1" applyAlignment="1">
      <alignment horizontal="center"/>
    </xf>
    <xf numFmtId="4" fontId="23" fillId="0" borderId="13" xfId="11" applyNumberFormat="1" applyFont="1" applyBorder="1"/>
    <xf numFmtId="0" fontId="23" fillId="4" borderId="14" xfId="15" applyFont="1" applyFill="1" applyBorder="1" applyAlignment="1">
      <alignment horizontal="center" vertical="top" wrapText="1"/>
    </xf>
    <xf numFmtId="0" fontId="23" fillId="0" borderId="13" xfId="11" quotePrefix="1" applyFont="1" applyBorder="1" applyAlignment="1">
      <alignment horizontal="right" vertical="center"/>
    </xf>
    <xf numFmtId="0" fontId="23" fillId="0" borderId="14" xfId="11" quotePrefix="1" applyFont="1" applyBorder="1" applyAlignment="1">
      <alignment vertical="top" wrapText="1"/>
    </xf>
    <xf numFmtId="0" fontId="34" fillId="0" borderId="0" xfId="11" applyFont="1" applyAlignment="1">
      <alignment horizontal="center" vertical="center"/>
    </xf>
    <xf numFmtId="0" fontId="23" fillId="4" borderId="14" xfId="11" applyFont="1" applyFill="1" applyBorder="1" applyAlignment="1">
      <alignment vertical="center"/>
    </xf>
    <xf numFmtId="0" fontId="23" fillId="4" borderId="14" xfId="15" applyFont="1" applyFill="1" applyBorder="1" applyAlignment="1">
      <alignment horizontal="center" vertical="center" wrapText="1"/>
    </xf>
    <xf numFmtId="0" fontId="23" fillId="0" borderId="15" xfId="15" applyFont="1" applyFill="1" applyBorder="1" applyAlignment="1">
      <alignment horizontal="center" vertical="center"/>
    </xf>
    <xf numFmtId="4" fontId="23" fillId="0" borderId="0" xfId="11" applyNumberFormat="1" applyFont="1" applyAlignment="1">
      <alignment vertical="center"/>
    </xf>
    <xf numFmtId="0" fontId="23" fillId="4" borderId="14" xfId="15" applyFont="1" applyFill="1" applyBorder="1" applyAlignment="1">
      <alignment horizontal="center" vertical="top"/>
    </xf>
    <xf numFmtId="0" fontId="11" fillId="0" borderId="14" xfId="11" applyFont="1" applyBorder="1"/>
    <xf numFmtId="0" fontId="11" fillId="0" borderId="15" xfId="11" applyFont="1" applyBorder="1"/>
    <xf numFmtId="0" fontId="11" fillId="0" borderId="15" xfId="15" applyFont="1" applyFill="1" applyBorder="1" applyAlignment="1">
      <alignment horizontal="center" vertical="top"/>
    </xf>
    <xf numFmtId="0" fontId="11" fillId="0" borderId="14" xfId="11" applyFont="1" applyBorder="1" applyAlignment="1">
      <alignment vertical="center" wrapText="1"/>
    </xf>
    <xf numFmtId="4" fontId="11" fillId="0" borderId="13" xfId="11" applyNumberFormat="1" applyFont="1" applyBorder="1"/>
    <xf numFmtId="0" fontId="11" fillId="0" borderId="4" xfId="11" applyFont="1" applyBorder="1"/>
    <xf numFmtId="0" fontId="11" fillId="0" borderId="17" xfId="11" applyFont="1" applyBorder="1"/>
    <xf numFmtId="0" fontId="11" fillId="0" borderId="17" xfId="15" applyFont="1" applyFill="1" applyBorder="1" applyAlignment="1">
      <alignment horizontal="center" vertical="top"/>
    </xf>
    <xf numFmtId="0" fontId="11" fillId="0" borderId="19" xfId="11" applyFont="1" applyBorder="1" applyAlignment="1">
      <alignment horizontal="left" wrapText="1"/>
    </xf>
    <xf numFmtId="4" fontId="11" fillId="0" borderId="11" xfId="11" applyNumberFormat="1" applyFont="1" applyBorder="1"/>
    <xf numFmtId="0" fontId="34" fillId="0" borderId="0" xfId="11" applyFont="1"/>
    <xf numFmtId="0" fontId="11" fillId="0" borderId="0" xfId="15" applyFont="1" applyFill="1" applyBorder="1" applyAlignment="1">
      <alignment horizontal="center" vertical="top"/>
    </xf>
    <xf numFmtId="0" fontId="11" fillId="0" borderId="19" xfId="11" applyFont="1" applyBorder="1" applyAlignment="1">
      <alignment horizontal="left" vertical="center" wrapText="1"/>
    </xf>
    <xf numFmtId="0" fontId="11" fillId="0" borderId="42" xfId="11" applyFont="1" applyBorder="1" applyAlignment="1">
      <alignment horizontal="left" vertical="center" wrapText="1"/>
    </xf>
    <xf numFmtId="4" fontId="11" fillId="0" borderId="43" xfId="11" applyNumberFormat="1" applyFont="1" applyBorder="1"/>
    <xf numFmtId="0" fontId="11" fillId="0" borderId="6" xfId="11" applyFont="1" applyBorder="1"/>
    <xf numFmtId="0" fontId="11" fillId="0" borderId="21" xfId="15" applyFont="1" applyFill="1" applyBorder="1" applyAlignment="1">
      <alignment horizontal="center" vertical="top"/>
    </xf>
    <xf numFmtId="0" fontId="11" fillId="0" borderId="6" xfId="11" applyFont="1" applyBorder="1" applyAlignment="1">
      <alignment horizontal="left" wrapText="1"/>
    </xf>
    <xf numFmtId="4" fontId="11" fillId="0" borderId="5" xfId="11" applyNumberFormat="1" applyFont="1" applyBorder="1"/>
    <xf numFmtId="0" fontId="23" fillId="4" borderId="14" xfId="11" applyFont="1" applyFill="1" applyBorder="1"/>
    <xf numFmtId="0" fontId="11" fillId="0" borderId="20" xfId="11" applyFont="1" applyBorder="1" applyAlignment="1">
      <alignment horizontal="left" vertical="center" wrapText="1"/>
    </xf>
    <xf numFmtId="4" fontId="11" fillId="0" borderId="12" xfId="11" applyNumberFormat="1" applyFont="1" applyBorder="1"/>
    <xf numFmtId="0" fontId="11" fillId="0" borderId="2" xfId="11" applyFont="1" applyBorder="1"/>
    <xf numFmtId="0" fontId="11" fillId="0" borderId="41" xfId="11" applyFont="1" applyBorder="1"/>
    <xf numFmtId="0" fontId="11" fillId="0" borderId="40" xfId="11" applyFont="1" applyBorder="1"/>
    <xf numFmtId="0" fontId="11" fillId="0" borderId="41" xfId="15" applyFont="1" applyFill="1" applyBorder="1" applyAlignment="1">
      <alignment horizontal="center" vertical="top"/>
    </xf>
    <xf numFmtId="0" fontId="11" fillId="0" borderId="20" xfId="11" applyFont="1" applyBorder="1" applyAlignment="1">
      <alignment vertical="center" wrapText="1"/>
    </xf>
    <xf numFmtId="0" fontId="11" fillId="0" borderId="42" xfId="11" applyFont="1" applyBorder="1" applyAlignment="1">
      <alignment vertical="center" wrapText="1"/>
    </xf>
    <xf numFmtId="0" fontId="11" fillId="0" borderId="42" xfId="11" applyFont="1" applyBorder="1"/>
    <xf numFmtId="0" fontId="11" fillId="0" borderId="6" xfId="11" applyFont="1" applyBorder="1" applyAlignment="1">
      <alignment vertical="center" wrapText="1"/>
    </xf>
    <xf numFmtId="0" fontId="11" fillId="0" borderId="1" xfId="15" applyFont="1" applyFill="1" applyBorder="1" applyAlignment="1">
      <alignment horizontal="center" vertical="top"/>
    </xf>
    <xf numFmtId="0" fontId="11" fillId="0" borderId="31" xfId="11" applyFont="1" applyBorder="1" applyAlignment="1">
      <alignment vertical="center" wrapText="1"/>
    </xf>
    <xf numFmtId="4" fontId="11" fillId="0" borderId="30" xfId="11" applyNumberFormat="1" applyFont="1" applyBorder="1"/>
    <xf numFmtId="0" fontId="23" fillId="4" borderId="13" xfId="15" applyFont="1" applyFill="1" applyBorder="1" applyAlignment="1">
      <alignment horizontal="center"/>
    </xf>
    <xf numFmtId="0" fontId="23" fillId="4" borderId="15" xfId="11" applyFont="1" applyFill="1" applyBorder="1"/>
    <xf numFmtId="0" fontId="11" fillId="0" borderId="13" xfId="15" applyFont="1" applyFill="1" applyBorder="1" applyAlignment="1">
      <alignment horizontal="center" vertical="top"/>
    </xf>
    <xf numFmtId="0" fontId="11" fillId="0" borderId="15" xfId="11" applyFont="1" applyBorder="1" applyAlignment="1">
      <alignment horizontal="left" vertical="center" wrapText="1"/>
    </xf>
    <xf numFmtId="0" fontId="23" fillId="4" borderId="13" xfId="15" applyFont="1" applyFill="1" applyBorder="1" applyAlignment="1">
      <alignment horizontal="center" vertical="center" wrapText="1"/>
    </xf>
    <xf numFmtId="0" fontId="23" fillId="4" borderId="15" xfId="11" applyFont="1" applyFill="1" applyBorder="1" applyAlignment="1">
      <alignment vertical="center"/>
    </xf>
    <xf numFmtId="0" fontId="11" fillId="0" borderId="20" xfId="11" applyFont="1" applyBorder="1"/>
    <xf numFmtId="0" fontId="11" fillId="0" borderId="42" xfId="11" applyFont="1" applyBorder="1" applyAlignment="1">
      <alignment horizontal="left" wrapText="1"/>
    </xf>
    <xf numFmtId="0" fontId="11" fillId="0" borderId="0" xfId="15" quotePrefix="1" applyFont="1" applyFill="1" applyBorder="1" applyAlignment="1">
      <alignment horizontal="center" vertical="top"/>
    </xf>
    <xf numFmtId="0" fontId="11" fillId="0" borderId="19" xfId="11" applyFont="1" applyBorder="1"/>
    <xf numFmtId="0" fontId="11" fillId="0" borderId="17" xfId="15" quotePrefix="1" applyFont="1" applyFill="1" applyBorder="1" applyAlignment="1">
      <alignment horizontal="center" vertical="top"/>
    </xf>
    <xf numFmtId="0" fontId="23" fillId="0" borderId="14" xfId="15" applyFont="1" applyFill="1" applyBorder="1" applyAlignment="1">
      <alignment horizontal="center" vertical="center" wrapText="1"/>
    </xf>
    <xf numFmtId="0" fontId="11" fillId="0" borderId="14" xfId="11" applyFont="1" applyBorder="1" applyAlignment="1">
      <alignment horizontal="left" wrapText="1"/>
    </xf>
    <xf numFmtId="0" fontId="11" fillId="0" borderId="19" xfId="11" applyFont="1" applyBorder="1" applyAlignment="1">
      <alignment wrapText="1"/>
    </xf>
    <xf numFmtId="0" fontId="11" fillId="0" borderId="19" xfId="11" applyFont="1" applyBorder="1" applyAlignment="1">
      <alignment vertical="center" wrapText="1"/>
    </xf>
    <xf numFmtId="0" fontId="11" fillId="0" borderId="6" xfId="11" applyFont="1" applyBorder="1" applyAlignment="1">
      <alignment horizontal="left" vertical="center" wrapText="1"/>
    </xf>
    <xf numFmtId="0" fontId="23" fillId="0" borderId="13" xfId="15" applyFont="1" applyFill="1" applyBorder="1" applyAlignment="1">
      <alignment horizontal="center" vertical="top"/>
    </xf>
    <xf numFmtId="0" fontId="11" fillId="0" borderId="41" xfId="15" quotePrefix="1" applyFont="1" applyFill="1" applyBorder="1" applyAlignment="1">
      <alignment horizontal="center" vertical="top"/>
    </xf>
    <xf numFmtId="0" fontId="11" fillId="0" borderId="21" xfId="15" quotePrefix="1" applyFont="1" applyFill="1" applyBorder="1" applyAlignment="1">
      <alignment horizontal="center" vertical="top"/>
    </xf>
    <xf numFmtId="0" fontId="11" fillId="0" borderId="11" xfId="11" applyFont="1" applyBorder="1" applyAlignment="1">
      <alignment horizontal="left" vertical="center" wrapText="1"/>
    </xf>
    <xf numFmtId="0" fontId="23" fillId="0" borderId="5" xfId="11" applyFont="1" applyBorder="1"/>
    <xf numFmtId="0" fontId="23" fillId="0" borderId="13" xfId="15" applyFont="1" applyFill="1" applyBorder="1" applyAlignment="1">
      <alignment horizontal="center"/>
    </xf>
    <xf numFmtId="0" fontId="23" fillId="4" borderId="21" xfId="11" applyFont="1" applyFill="1" applyBorder="1"/>
    <xf numFmtId="0" fontId="11" fillId="0" borderId="5" xfId="15" applyFont="1" applyFill="1" applyBorder="1" applyAlignment="1">
      <alignment horizontal="center" vertical="top"/>
    </xf>
    <xf numFmtId="0" fontId="11" fillId="0" borderId="15" xfId="11" applyFont="1" applyBorder="1" applyAlignment="1">
      <alignment vertical="top" wrapText="1"/>
    </xf>
    <xf numFmtId="0" fontId="23" fillId="0" borderId="13" xfId="15" applyFont="1" applyFill="1" applyBorder="1" applyAlignment="1">
      <alignment horizontal="center" vertical="center" wrapText="1"/>
    </xf>
    <xf numFmtId="0" fontId="11" fillId="0" borderId="43" xfId="11" applyFont="1" applyBorder="1" applyAlignment="1">
      <alignment vertical="center" wrapText="1"/>
    </xf>
    <xf numFmtId="4" fontId="11" fillId="0" borderId="3" xfId="11" applyNumberFormat="1" applyFont="1" applyBorder="1"/>
    <xf numFmtId="0" fontId="23" fillId="0" borderId="5" xfId="11" applyFont="1" applyBorder="1" applyAlignment="1">
      <alignment vertical="center"/>
    </xf>
    <xf numFmtId="0" fontId="23" fillId="0" borderId="13" xfId="15" applyFont="1" applyFill="1" applyBorder="1" applyAlignment="1">
      <alignment horizontal="center" vertical="center"/>
    </xf>
    <xf numFmtId="0" fontId="23" fillId="4" borderId="14" xfId="11" applyFont="1" applyFill="1" applyBorder="1" applyAlignment="1">
      <alignment horizontal="left" vertical="top" wrapText="1"/>
    </xf>
    <xf numFmtId="0" fontId="11" fillId="0" borderId="44" xfId="11" applyFont="1" applyBorder="1" applyAlignment="1">
      <alignment vertical="top" wrapText="1"/>
    </xf>
    <xf numFmtId="4" fontId="11" fillId="4" borderId="13" xfId="11" applyNumberFormat="1" applyFont="1" applyFill="1" applyBorder="1"/>
    <xf numFmtId="0" fontId="24" fillId="0" borderId="14" xfId="11" applyFont="1" applyBorder="1" applyAlignment="1">
      <alignment horizontal="center" vertical="center"/>
    </xf>
    <xf numFmtId="0" fontId="24" fillId="0" borderId="15" xfId="11" applyFont="1" applyBorder="1" applyAlignment="1">
      <alignment horizontal="center" vertical="center"/>
    </xf>
    <xf numFmtId="4" fontId="24" fillId="0" borderId="13" xfId="11" applyNumberFormat="1" applyFont="1" applyBorder="1" applyAlignment="1">
      <alignment vertical="center"/>
    </xf>
    <xf numFmtId="0" fontId="21" fillId="0" borderId="0" xfId="16" applyFont="1"/>
    <xf numFmtId="0" fontId="35" fillId="0" borderId="0" xfId="16" applyFont="1" applyAlignment="1">
      <alignment horizontal="centerContinuous" vertical="center"/>
    </xf>
    <xf numFmtId="0" fontId="37" fillId="0" borderId="0" xfId="16" applyFont="1"/>
    <xf numFmtId="0" fontId="27" fillId="0" borderId="0" xfId="16" applyFont="1" applyAlignment="1">
      <alignment horizontal="center" vertical="center"/>
    </xf>
    <xf numFmtId="0" fontId="15" fillId="3" borderId="1" xfId="16" applyFont="1" applyFill="1" applyBorder="1" applyAlignment="1">
      <alignment horizontal="center" vertical="center"/>
    </xf>
    <xf numFmtId="0" fontId="15" fillId="3" borderId="2" xfId="16" applyFont="1" applyFill="1" applyBorder="1" applyAlignment="1">
      <alignment horizontal="center" vertical="center"/>
    </xf>
    <xf numFmtId="0" fontId="15" fillId="3" borderId="2" xfId="16" applyFont="1" applyFill="1" applyBorder="1" applyAlignment="1">
      <alignment horizontal="center" vertical="center" wrapText="1"/>
    </xf>
    <xf numFmtId="0" fontId="15" fillId="3" borderId="3" xfId="16" applyFont="1" applyFill="1" applyBorder="1" applyAlignment="1">
      <alignment horizontal="center" vertical="center"/>
    </xf>
    <xf numFmtId="0" fontId="15" fillId="3" borderId="5" xfId="16" applyFont="1" applyFill="1" applyBorder="1" applyAlignment="1">
      <alignment horizontal="center" vertical="center"/>
    </xf>
    <xf numFmtId="0" fontId="11" fillId="3" borderId="13" xfId="16" applyFont="1" applyFill="1" applyBorder="1" applyAlignment="1">
      <alignment horizontal="center" vertical="center"/>
    </xf>
    <xf numFmtId="0" fontId="15" fillId="0" borderId="5" xfId="16" applyFont="1" applyBorder="1" applyAlignment="1">
      <alignment vertical="center"/>
    </xf>
    <xf numFmtId="0" fontId="15" fillId="0" borderId="5" xfId="16" applyFont="1" applyBorder="1" applyAlignment="1">
      <alignment horizontal="center" vertical="center"/>
    </xf>
    <xf numFmtId="3" fontId="16" fillId="0" borderId="30" xfId="16" applyNumberFormat="1" applyFont="1" applyBorder="1" applyAlignment="1">
      <alignment vertical="center"/>
    </xf>
    <xf numFmtId="0" fontId="16" fillId="0" borderId="3" xfId="16" applyFont="1" applyBorder="1" applyAlignment="1">
      <alignment horizontal="center" vertical="center"/>
    </xf>
    <xf numFmtId="0" fontId="11" fillId="0" borderId="1" xfId="16" applyFont="1" applyBorder="1" applyAlignment="1">
      <alignment horizontal="left" vertical="center" indent="2"/>
    </xf>
    <xf numFmtId="4" fontId="16" fillId="0" borderId="1" xfId="16" applyNumberFormat="1" applyFont="1" applyBorder="1" applyAlignment="1">
      <alignment vertical="center"/>
    </xf>
    <xf numFmtId="0" fontId="11" fillId="0" borderId="3" xfId="16" applyFont="1" applyBorder="1" applyAlignment="1">
      <alignment horizontal="left" vertical="center" indent="2"/>
    </xf>
    <xf numFmtId="4" fontId="16" fillId="0" borderId="3" xfId="16" applyNumberFormat="1" applyFont="1" applyBorder="1" applyAlignment="1">
      <alignment vertical="center"/>
    </xf>
    <xf numFmtId="0" fontId="11" fillId="0" borderId="5" xfId="16" applyFont="1" applyBorder="1" applyAlignment="1">
      <alignment horizontal="center" vertical="center"/>
    </xf>
    <xf numFmtId="0" fontId="16" fillId="0" borderId="5" xfId="16" applyFont="1" applyBorder="1" applyAlignment="1">
      <alignment horizontal="center" vertical="top"/>
    </xf>
    <xf numFmtId="0" fontId="11" fillId="0" borderId="5" xfId="16" applyFont="1" applyBorder="1" applyAlignment="1">
      <alignment horizontal="left" vertical="center" indent="2"/>
    </xf>
    <xf numFmtId="4" fontId="16" fillId="0" borderId="5" xfId="16" applyNumberFormat="1" applyFont="1" applyBorder="1" applyAlignment="1">
      <alignment vertical="top"/>
    </xf>
    <xf numFmtId="0" fontId="11" fillId="0" borderId="6" xfId="16" applyFont="1" applyBorder="1" applyAlignment="1">
      <alignment horizontal="center" vertical="center"/>
    </xf>
    <xf numFmtId="0" fontId="15" fillId="0" borderId="13" xfId="16" applyFont="1" applyBorder="1" applyAlignment="1">
      <alignment horizontal="center" vertical="center"/>
    </xf>
    <xf numFmtId="0" fontId="11" fillId="0" borderId="6" xfId="16" applyFont="1" applyBorder="1" applyAlignment="1">
      <alignment horizontal="left" vertical="center" indent="2"/>
    </xf>
    <xf numFmtId="4" fontId="16" fillId="0" borderId="6" xfId="16" applyNumberFormat="1" applyFont="1" applyBorder="1" applyAlignment="1">
      <alignment vertical="top"/>
    </xf>
    <xf numFmtId="0" fontId="11" fillId="0" borderId="6" xfId="16" applyFont="1" applyBorder="1" applyAlignment="1">
      <alignment horizontal="center" vertical="top"/>
    </xf>
    <xf numFmtId="0" fontId="16" fillId="0" borderId="3" xfId="16" applyFont="1" applyBorder="1" applyAlignment="1">
      <alignment horizontal="center" vertical="top"/>
    </xf>
    <xf numFmtId="0" fontId="11" fillId="0" borderId="3" xfId="16" applyFont="1" applyBorder="1" applyAlignment="1">
      <alignment horizontal="left" vertical="center" wrapText="1" indent="2"/>
    </xf>
    <xf numFmtId="4" fontId="16" fillId="0" borderId="6" xfId="16" applyNumberFormat="1" applyFont="1" applyBorder="1"/>
    <xf numFmtId="4" fontId="16" fillId="0" borderId="5" xfId="16" applyNumberFormat="1" applyFont="1" applyBorder="1"/>
    <xf numFmtId="0" fontId="11" fillId="0" borderId="14" xfId="16" applyFont="1" applyBorder="1" applyAlignment="1">
      <alignment horizontal="center" vertical="center"/>
    </xf>
    <xf numFmtId="0" fontId="16" fillId="0" borderId="15" xfId="16" applyFont="1" applyBorder="1" applyAlignment="1">
      <alignment horizontal="center" vertical="top"/>
    </xf>
    <xf numFmtId="0" fontId="11" fillId="0" borderId="0" xfId="16" applyFont="1" applyAlignment="1">
      <alignment horizontal="center" vertical="center"/>
    </xf>
    <xf numFmtId="0" fontId="16" fillId="0" borderId="0" xfId="16" applyFont="1" applyAlignment="1">
      <alignment horizontal="center" vertical="center"/>
    </xf>
    <xf numFmtId="0" fontId="11" fillId="0" borderId="0" xfId="16" applyFont="1" applyAlignment="1">
      <alignment horizontal="left" vertical="center" indent="2"/>
    </xf>
    <xf numFmtId="4" fontId="16" fillId="0" borderId="0" xfId="16" applyNumberFormat="1" applyFont="1" applyAlignment="1">
      <alignment vertical="center"/>
    </xf>
    <xf numFmtId="3" fontId="16" fillId="0" borderId="13" xfId="16" applyNumberFormat="1" applyFont="1" applyBorder="1" applyAlignment="1">
      <alignment vertical="center"/>
    </xf>
    <xf numFmtId="0" fontId="11" fillId="0" borderId="1" xfId="16" applyFont="1" applyBorder="1" applyAlignment="1">
      <alignment horizontal="center" vertical="center"/>
    </xf>
    <xf numFmtId="0" fontId="16" fillId="0" borderId="1" xfId="16" applyFont="1" applyBorder="1" applyAlignment="1">
      <alignment horizontal="center" vertical="center"/>
    </xf>
    <xf numFmtId="4" fontId="16" fillId="0" borderId="3" xfId="16" applyNumberFormat="1" applyFont="1" applyBorder="1" applyAlignment="1">
      <alignment vertical="top"/>
    </xf>
    <xf numFmtId="4" fontId="16" fillId="0" borderId="3" xfId="16" applyNumberFormat="1" applyFont="1" applyBorder="1" applyAlignment="1">
      <alignment horizontal="right" vertical="center"/>
    </xf>
    <xf numFmtId="0" fontId="11" fillId="0" borderId="3" xfId="16" applyFont="1" applyBorder="1" applyAlignment="1">
      <alignment horizontal="center" vertical="top"/>
    </xf>
    <xf numFmtId="0" fontId="11" fillId="0" borderId="3" xfId="16" applyFont="1" applyBorder="1" applyAlignment="1">
      <alignment horizontal="left" vertical="top" wrapText="1" indent="2"/>
    </xf>
    <xf numFmtId="4" fontId="16" fillId="0" borderId="3" xfId="16" applyNumberFormat="1" applyFont="1" applyBorder="1"/>
    <xf numFmtId="0" fontId="16" fillId="0" borderId="13" xfId="16" applyFont="1" applyBorder="1" applyAlignment="1">
      <alignment horizontal="center" vertical="center"/>
    </xf>
    <xf numFmtId="0" fontId="11" fillId="0" borderId="13" xfId="16" applyFont="1" applyBorder="1" applyAlignment="1">
      <alignment horizontal="left" vertical="center" indent="2"/>
    </xf>
    <xf numFmtId="4" fontId="16" fillId="0" borderId="13" xfId="16" applyNumberFormat="1" applyFont="1" applyBorder="1" applyAlignment="1">
      <alignment vertical="center"/>
    </xf>
    <xf numFmtId="0" fontId="16" fillId="0" borderId="5" xfId="16" applyFont="1" applyBorder="1" applyAlignment="1">
      <alignment horizontal="center" vertical="center"/>
    </xf>
    <xf numFmtId="4" fontId="16" fillId="0" borderId="5" xfId="16" applyNumberFormat="1" applyFont="1" applyBorder="1" applyAlignment="1">
      <alignment vertical="center"/>
    </xf>
    <xf numFmtId="4" fontId="16" fillId="0" borderId="5" xfId="16" applyNumberFormat="1" applyFont="1" applyBorder="1" applyAlignment="1">
      <alignment horizontal="right" vertical="center"/>
    </xf>
    <xf numFmtId="0" fontId="16" fillId="0" borderId="6" xfId="16" applyFont="1" applyBorder="1" applyAlignment="1">
      <alignment vertical="top"/>
    </xf>
    <xf numFmtId="0" fontId="16" fillId="0" borderId="14" xfId="16" applyFont="1" applyBorder="1"/>
    <xf numFmtId="0" fontId="16" fillId="0" borderId="13" xfId="16" applyFont="1" applyBorder="1"/>
    <xf numFmtId="0" fontId="26" fillId="0" borderId="0" xfId="16" applyFont="1"/>
    <xf numFmtId="0" fontId="14" fillId="0" borderId="0" xfId="11" applyFont="1" applyAlignment="1">
      <alignment horizontal="centerContinuous" vertical="center" wrapText="1"/>
    </xf>
    <xf numFmtId="0" fontId="11" fillId="0" borderId="0" xfId="11" applyFont="1" applyAlignment="1">
      <alignment vertical="center"/>
    </xf>
    <xf numFmtId="0" fontId="11" fillId="0" borderId="0" xfId="11" applyFont="1" applyAlignment="1">
      <alignment horizontal="centerContinuous"/>
    </xf>
    <xf numFmtId="0" fontId="11" fillId="0" borderId="0" xfId="11" applyFont="1" applyAlignment="1">
      <alignment horizontal="right"/>
    </xf>
    <xf numFmtId="3" fontId="11" fillId="0" borderId="0" xfId="11" applyNumberFormat="1" applyFont="1" applyAlignment="1">
      <alignment horizontal="right"/>
    </xf>
    <xf numFmtId="0" fontId="17" fillId="0" borderId="13" xfId="11" applyFont="1" applyBorder="1" applyAlignment="1">
      <alignment horizontal="center" vertical="center"/>
    </xf>
    <xf numFmtId="0" fontId="23" fillId="0" borderId="13" xfId="11" applyFont="1" applyBorder="1" applyAlignment="1">
      <alignment horizontal="right" vertical="top"/>
    </xf>
    <xf numFmtId="0" fontId="23" fillId="0" borderId="13" xfId="11" applyFont="1" applyBorder="1" applyAlignment="1">
      <alignment vertical="top"/>
    </xf>
    <xf numFmtId="0" fontId="23" fillId="0" borderId="5" xfId="11" applyFont="1" applyBorder="1" applyAlignment="1">
      <alignment vertical="top" wrapText="1"/>
    </xf>
    <xf numFmtId="0" fontId="23" fillId="0" borderId="1" xfId="11" applyFont="1" applyBorder="1" applyAlignment="1">
      <alignment horizontal="right" vertical="top"/>
    </xf>
    <xf numFmtId="0" fontId="23" fillId="0" borderId="1" xfId="11" applyFont="1" applyBorder="1" applyAlignment="1">
      <alignment vertical="top"/>
    </xf>
    <xf numFmtId="4" fontId="23" fillId="0" borderId="1" xfId="11" applyNumberFormat="1" applyFont="1" applyBorder="1" applyAlignment="1">
      <alignment vertical="center"/>
    </xf>
    <xf numFmtId="0" fontId="23" fillId="0" borderId="1" xfId="11" applyFont="1" applyBorder="1" applyAlignment="1">
      <alignment horizontal="right" vertical="center"/>
    </xf>
    <xf numFmtId="0" fontId="23" fillId="0" borderId="5" xfId="11" applyFont="1" applyBorder="1" applyAlignment="1">
      <alignment vertical="center" wrapText="1"/>
    </xf>
    <xf numFmtId="0" fontId="23" fillId="0" borderId="22" xfId="11" applyFont="1" applyBorder="1" applyAlignment="1">
      <alignment vertical="top"/>
    </xf>
    <xf numFmtId="0" fontId="23" fillId="0" borderId="13" xfId="11" applyFont="1" applyBorder="1" applyAlignment="1">
      <alignment vertical="top" wrapText="1"/>
    </xf>
    <xf numFmtId="3" fontId="38" fillId="0" borderId="0" xfId="11" applyNumberFormat="1" applyFont="1"/>
    <xf numFmtId="0" fontId="24" fillId="0" borderId="14" xfId="11" applyFont="1" applyBorder="1" applyAlignment="1">
      <alignment horizontal="centerContinuous" vertical="center"/>
    </xf>
    <xf numFmtId="0" fontId="24" fillId="0" borderId="15" xfId="11" applyFont="1" applyBorder="1" applyAlignment="1">
      <alignment horizontal="centerContinuous" vertical="center"/>
    </xf>
    <xf numFmtId="0" fontId="24" fillId="0" borderId="16" xfId="11" applyFont="1" applyBorder="1" applyAlignment="1">
      <alignment horizontal="centerContinuous" vertical="center"/>
    </xf>
    <xf numFmtId="4" fontId="24" fillId="0" borderId="13" xfId="11" applyNumberFormat="1" applyFont="1" applyBorder="1" applyAlignment="1">
      <alignment horizontal="right" vertical="center"/>
    </xf>
    <xf numFmtId="0" fontId="24" fillId="0" borderId="0" xfId="11" applyFont="1"/>
    <xf numFmtId="0" fontId="18" fillId="0" borderId="0" xfId="11" applyFont="1"/>
    <xf numFmtId="4" fontId="18" fillId="0" borderId="0" xfId="11" applyNumberFormat="1" applyFont="1"/>
    <xf numFmtId="0" fontId="24" fillId="0" borderId="0" xfId="11" applyFont="1" applyAlignment="1">
      <alignment horizontal="center" vertical="center" wrapText="1"/>
    </xf>
    <xf numFmtId="0" fontId="35" fillId="0" borderId="0" xfId="16" applyFont="1" applyAlignment="1">
      <alignment horizontal="center"/>
    </xf>
    <xf numFmtId="0" fontId="36" fillId="0" borderId="0" xfId="16" applyFont="1" applyAlignment="1">
      <alignment horizontal="center" vertical="center"/>
    </xf>
    <xf numFmtId="0" fontId="15" fillId="3" borderId="1" xfId="16" applyFont="1" applyFill="1" applyBorder="1" applyAlignment="1">
      <alignment horizontal="center" vertical="center"/>
    </xf>
    <xf numFmtId="0" fontId="15" fillId="3" borderId="3" xfId="16" applyFont="1" applyFill="1" applyBorder="1" applyAlignment="1">
      <alignment horizontal="center" vertical="center"/>
    </xf>
    <xf numFmtId="0" fontId="15" fillId="3" borderId="5" xfId="16" applyFont="1" applyFill="1" applyBorder="1" applyAlignment="1">
      <alignment horizontal="center" vertical="center"/>
    </xf>
    <xf numFmtId="0" fontId="15" fillId="3" borderId="1" xfId="16" applyFont="1" applyFill="1" applyBorder="1" applyAlignment="1">
      <alignment horizontal="center" vertical="center" wrapText="1"/>
    </xf>
    <xf numFmtId="0" fontId="15" fillId="3" borderId="3" xfId="16" applyFont="1" applyFill="1" applyBorder="1" applyAlignment="1">
      <alignment horizontal="center" vertical="center" wrapText="1"/>
    </xf>
    <xf numFmtId="0" fontId="15" fillId="3" borderId="5" xfId="16" applyFont="1" applyFill="1" applyBorder="1" applyAlignment="1">
      <alignment horizontal="center" vertical="center" wrapText="1"/>
    </xf>
    <xf numFmtId="0" fontId="11" fillId="0" borderId="19" xfId="16" applyFont="1" applyBorder="1" applyAlignment="1">
      <alignment vertical="center" wrapText="1"/>
    </xf>
    <xf numFmtId="4" fontId="11" fillId="0" borderId="11" xfId="16" applyNumberFormat="1" applyFont="1" applyBorder="1" applyAlignment="1">
      <alignment horizontal="right"/>
    </xf>
    <xf numFmtId="0" fontId="11" fillId="0" borderId="19" xfId="16" applyFont="1" applyBorder="1" applyAlignment="1">
      <alignment vertical="center"/>
    </xf>
    <xf numFmtId="0" fontId="11" fillId="0" borderId="11" xfId="16" applyFont="1" applyBorder="1"/>
    <xf numFmtId="0" fontId="11" fillId="0" borderId="11" xfId="2" applyFont="1" applyBorder="1" applyAlignment="1">
      <alignment wrapText="1"/>
    </xf>
    <xf numFmtId="0" fontId="11" fillId="0" borderId="19" xfId="16" applyFont="1" applyBorder="1"/>
    <xf numFmtId="0" fontId="11" fillId="0" borderId="11" xfId="2" applyFont="1" applyBorder="1" applyAlignment="1">
      <alignment horizontal="left" vertical="center" wrapText="1"/>
    </xf>
    <xf numFmtId="4" fontId="11" fillId="0" borderId="11" xfId="16" applyNumberFormat="1" applyFont="1" applyBorder="1" applyAlignment="1">
      <alignment vertical="center"/>
    </xf>
    <xf numFmtId="0" fontId="11" fillId="0" borderId="11" xfId="2" applyFont="1" applyBorder="1"/>
    <xf numFmtId="4" fontId="11" fillId="0" borderId="11" xfId="17" applyNumberFormat="1" applyFont="1" applyBorder="1" applyAlignment="1">
      <alignment vertical="center"/>
    </xf>
    <xf numFmtId="4" fontId="11" fillId="0" borderId="11" xfId="17" applyNumberFormat="1" applyFont="1" applyBorder="1" applyAlignment="1">
      <alignment horizontal="right" vertical="center"/>
    </xf>
    <xf numFmtId="0" fontId="11" fillId="0" borderId="20" xfId="16" applyFont="1" applyBorder="1"/>
    <xf numFmtId="4" fontId="11" fillId="0" borderId="12" xfId="16" applyNumberFormat="1" applyFont="1" applyBorder="1"/>
    <xf numFmtId="4" fontId="11" fillId="0" borderId="11" xfId="17" applyNumberFormat="1" applyFont="1" applyBorder="1"/>
    <xf numFmtId="4" fontId="11" fillId="0" borderId="11" xfId="17" applyNumberFormat="1" applyFont="1" applyBorder="1" applyAlignment="1">
      <alignment horizontal="right"/>
    </xf>
    <xf numFmtId="0" fontId="11" fillId="0" borderId="19" xfId="2" applyFont="1" applyBorder="1"/>
    <xf numFmtId="0" fontId="11" fillId="0" borderId="2" xfId="16" applyFont="1" applyBorder="1"/>
    <xf numFmtId="3" fontId="11" fillId="0" borderId="19" xfId="16" applyNumberFormat="1" applyFont="1" applyBorder="1"/>
    <xf numFmtId="0" fontId="11" fillId="0" borderId="11" xfId="16" applyFont="1" applyBorder="1" applyAlignment="1">
      <alignment vertical="center"/>
    </xf>
    <xf numFmtId="0" fontId="11" fillId="0" borderId="11" xfId="2" applyFont="1" applyBorder="1" applyAlignment="1">
      <alignment horizontal="left"/>
    </xf>
    <xf numFmtId="4" fontId="11" fillId="0" borderId="12" xfId="17" applyNumberFormat="1" applyFont="1" applyBorder="1" applyAlignment="1">
      <alignment horizontal="right"/>
    </xf>
    <xf numFmtId="0" fontId="11" fillId="0" borderId="19" xfId="18" applyFont="1" applyBorder="1" applyAlignment="1">
      <alignment vertical="center" wrapText="1"/>
    </xf>
    <xf numFmtId="0" fontId="11" fillId="0" borderId="19" xfId="16" applyFont="1" applyBorder="1" applyAlignment="1">
      <alignment wrapText="1"/>
    </xf>
    <xf numFmtId="0" fontId="25" fillId="0" borderId="0" xfId="20" applyFont="1"/>
    <xf numFmtId="0" fontId="26" fillId="0" borderId="22" xfId="20" applyFont="1" applyBorder="1" applyAlignment="1">
      <alignment vertical="center"/>
    </xf>
    <xf numFmtId="4" fontId="26" fillId="0" borderId="22" xfId="20" applyNumberFormat="1" applyFont="1" applyBorder="1" applyAlignment="1">
      <alignment horizontal="center" vertical="center"/>
    </xf>
    <xf numFmtId="4" fontId="26" fillId="0" borderId="22" xfId="20" applyNumberFormat="1" applyFont="1" applyBorder="1" applyAlignment="1">
      <alignment vertical="center"/>
    </xf>
    <xf numFmtId="0" fontId="26" fillId="0" borderId="23" xfId="20" applyFont="1" applyBorder="1" applyAlignment="1">
      <alignment vertical="center"/>
    </xf>
    <xf numFmtId="4" fontId="26" fillId="0" borderId="23" xfId="20" applyNumberFormat="1" applyFont="1" applyBorder="1" applyAlignment="1">
      <alignment horizontal="center" vertical="center"/>
    </xf>
    <xf numFmtId="4" fontId="26" fillId="0" borderId="23" xfId="20" applyNumberFormat="1" applyFont="1" applyBorder="1" applyAlignment="1">
      <alignment vertical="center"/>
    </xf>
    <xf numFmtId="0" fontId="1" fillId="4" borderId="27" xfId="0" applyFont="1" applyFill="1" applyBorder="1" applyAlignment="1">
      <alignment horizontal="center" vertical="center"/>
    </xf>
    <xf numFmtId="4" fontId="1" fillId="4" borderId="27" xfId="0" applyNumberFormat="1" applyFont="1" applyFill="1" applyBorder="1" applyAlignment="1">
      <alignment horizontal="center" vertical="center"/>
    </xf>
    <xf numFmtId="4" fontId="1" fillId="4" borderId="28" xfId="0" applyNumberFormat="1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/>
    </xf>
    <xf numFmtId="4" fontId="1" fillId="4" borderId="31" xfId="0" applyNumberFormat="1" applyFont="1" applyFill="1" applyBorder="1" applyAlignment="1">
      <alignment horizontal="center"/>
    </xf>
    <xf numFmtId="4" fontId="1" fillId="4" borderId="32" xfId="0" applyNumberFormat="1" applyFont="1" applyFill="1" applyBorder="1" applyAlignment="1">
      <alignment horizontal="center"/>
    </xf>
    <xf numFmtId="0" fontId="26" fillId="0" borderId="29" xfId="20" applyFont="1" applyBorder="1"/>
    <xf numFmtId="0" fontId="26" fillId="0" borderId="23" xfId="20" applyFont="1" applyBorder="1"/>
    <xf numFmtId="0" fontId="39" fillId="0" borderId="0" xfId="20" applyFont="1"/>
    <xf numFmtId="0" fontId="24" fillId="0" borderId="6" xfId="11" applyFont="1" applyBorder="1" applyAlignment="1">
      <alignment horizontal="center" vertical="center"/>
    </xf>
    <xf numFmtId="0" fontId="24" fillId="0" borderId="21" xfId="11" applyFont="1" applyBorder="1" applyAlignment="1">
      <alignment horizontal="center" vertical="center"/>
    </xf>
    <xf numFmtId="0" fontId="24" fillId="0" borderId="18" xfId="11" applyFont="1" applyBorder="1" applyAlignment="1">
      <alignment horizontal="center" vertical="center"/>
    </xf>
    <xf numFmtId="4" fontId="24" fillId="0" borderId="5" xfId="11" applyNumberFormat="1" applyFont="1" applyBorder="1" applyAlignment="1">
      <alignment vertical="center"/>
    </xf>
    <xf numFmtId="0" fontId="23" fillId="0" borderId="14" xfId="11" applyFont="1" applyBorder="1" applyAlignment="1">
      <alignment horizontal="left"/>
    </xf>
    <xf numFmtId="0" fontId="23" fillId="0" borderId="15" xfId="11" applyFont="1" applyBorder="1" applyAlignment="1">
      <alignment horizontal="centerContinuous"/>
    </xf>
    <xf numFmtId="0" fontId="23" fillId="0" borderId="15" xfId="11" applyFont="1" applyBorder="1" applyAlignment="1">
      <alignment horizontal="center" vertical="top"/>
    </xf>
    <xf numFmtId="0" fontId="23" fillId="0" borderId="15" xfId="11" applyFont="1" applyBorder="1" applyAlignment="1">
      <alignment horizontal="center"/>
    </xf>
    <xf numFmtId="0" fontId="23" fillId="0" borderId="14" xfId="11" applyFont="1" applyBorder="1" applyAlignment="1">
      <alignment horizontal="center" vertical="center"/>
    </xf>
    <xf numFmtId="0" fontId="23" fillId="0" borderId="15" xfId="11" applyFont="1" applyBorder="1" applyAlignment="1">
      <alignment horizontal="center" vertical="center"/>
    </xf>
    <xf numFmtId="0" fontId="23" fillId="0" borderId="14" xfId="11" applyFont="1" applyBorder="1" applyAlignment="1">
      <alignment horizontal="center"/>
    </xf>
    <xf numFmtId="0" fontId="1" fillId="0" borderId="0" xfId="16" applyFont="1" applyAlignment="1">
      <alignment vertical="center"/>
    </xf>
    <xf numFmtId="0" fontId="40" fillId="0" borderId="0" xfId="16" applyFont="1" applyAlignment="1">
      <alignment vertical="center"/>
    </xf>
    <xf numFmtId="0" fontId="1" fillId="0" borderId="0" xfId="16" applyFont="1"/>
    <xf numFmtId="0" fontId="15" fillId="0" borderId="30" xfId="16" applyFont="1" applyBorder="1" applyAlignment="1">
      <alignment vertical="center" wrapText="1"/>
    </xf>
    <xf numFmtId="0" fontId="41" fillId="0" borderId="14" xfId="16" applyFont="1" applyBorder="1" applyAlignment="1">
      <alignment horizontal="center"/>
    </xf>
    <xf numFmtId="4" fontId="41" fillId="0" borderId="14" xfId="16" applyNumberFormat="1" applyFont="1" applyBorder="1"/>
    <xf numFmtId="4" fontId="41" fillId="0" borderId="13" xfId="16" applyNumberFormat="1" applyFont="1" applyBorder="1"/>
    <xf numFmtId="0" fontId="15" fillId="0" borderId="13" xfId="16" applyFont="1" applyBorder="1" applyAlignment="1">
      <alignment vertical="center" wrapText="1"/>
    </xf>
    <xf numFmtId="4" fontId="41" fillId="0" borderId="5" xfId="16" applyNumberFormat="1" applyFont="1" applyBorder="1" applyAlignment="1">
      <alignment vertical="center"/>
    </xf>
    <xf numFmtId="0" fontId="42" fillId="0" borderId="0" xfId="16" applyFont="1"/>
    <xf numFmtId="0" fontId="18" fillId="0" borderId="0" xfId="11" applyFont="1" applyAlignment="1">
      <alignment vertical="center"/>
    </xf>
  </cellXfs>
  <cellStyles count="24">
    <cellStyle name="Dziesiętny" xfId="14" builtinId="3"/>
    <cellStyle name="Dziesiętny 2" xfId="3" xr:uid="{BFCEA198-B5A6-4EF1-8723-5E8521CAD3DC}"/>
    <cellStyle name="Dziesiętny 3" xfId="19" xr:uid="{DD367AD3-90FA-46E9-8DBC-FB986E756136}"/>
    <cellStyle name="Excel Built-in Normal" xfId="4" xr:uid="{0D973522-5471-440E-B74C-241DCBFE695A}"/>
    <cellStyle name="Normalny" xfId="0" builtinId="0"/>
    <cellStyle name="Normalny 10" xfId="16" xr:uid="{1D215CAB-9BCC-4286-B781-C5A01EDC3224}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3 2" xfId="11" xr:uid="{67CEEE6D-0969-48F5-98DB-D6AC53B035C7}"/>
    <cellStyle name="Normalny 3 2 2" xfId="22" xr:uid="{A0D62F26-A0B0-4AD2-832F-4F1470D87B19}"/>
    <cellStyle name="Normalny 3 3" xfId="21" xr:uid="{3327A2B4-955F-4B28-9E10-726A026C2C15}"/>
    <cellStyle name="Normalny 4" xfId="6" xr:uid="{B2465C60-8C82-4AA7-8F41-043A6B5FBEE2}"/>
    <cellStyle name="Normalny 5" xfId="7" xr:uid="{0D5F1684-5C1D-48A7-ABCD-0A8CAA6DAE29}"/>
    <cellStyle name="Normalny 6" xfId="9" xr:uid="{2B0DED10-4C82-4D87-B036-A231710D7ED8}"/>
    <cellStyle name="Normalny 6 2" xfId="13" xr:uid="{ECAF033C-CAA3-4B25-8268-5CA24388C13A}"/>
    <cellStyle name="Normalny 6 3" xfId="17" xr:uid="{F618FBEA-5559-4689-BD70-CF07C39CF5DE}"/>
    <cellStyle name="Normalny 6 4" xfId="23" xr:uid="{9C244866-4E9B-4A45-986D-1037D1F4E47B}"/>
    <cellStyle name="Normalny 7" xfId="8" xr:uid="{62CD0728-EA2B-4DD2-AD34-21575365BC2A}"/>
    <cellStyle name="Normalny 7 2" xfId="18" xr:uid="{9F60A953-1760-4006-91D0-0547940CC05E}"/>
    <cellStyle name="Normalny 8" xfId="10" xr:uid="{FCA48B7E-ED27-4C4B-BAF8-DFA7E6989938}"/>
    <cellStyle name="Normalny 9" xfId="12" xr:uid="{17348E92-0662-4504-9C56-705FF51E6348}"/>
    <cellStyle name="Normalny_zal_Szczecin" xfId="20" xr:uid="{688254C5-8EB8-4C9B-93DB-5115CDD20BEC}"/>
    <cellStyle name="Zły" xfId="15" builtinId="27"/>
  </cellStyles>
  <dxfs count="0"/>
  <tableStyles count="0" defaultTableStyle="TableStyleMedium2" defaultPivotStyle="PivotStyleLight16"/>
  <colors>
    <mruColors>
      <color rgb="FFCCE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E9095-39FE-4551-B877-1A16CB1A13A7}">
  <sheetPr>
    <tabColor rgb="FFFFFF00"/>
  </sheetPr>
  <dimension ref="A1:H569"/>
  <sheetViews>
    <sheetView tabSelected="1" zoomScale="150" zoomScaleNormal="150" workbookViewId="0"/>
  </sheetViews>
  <sheetFormatPr defaultColWidth="9.140625" defaultRowHeight="16.5" x14ac:dyDescent="0.3"/>
  <cols>
    <col min="1" max="1" width="3.5703125" style="6" customWidth="1"/>
    <col min="2" max="2" width="6" style="6" customWidth="1"/>
    <col min="3" max="3" width="4.85546875" style="6" customWidth="1"/>
    <col min="4" max="4" width="39.140625" style="6" customWidth="1"/>
    <col min="5" max="5" width="13" style="6" customWidth="1"/>
    <col min="6" max="6" width="10.5703125" style="6" customWidth="1"/>
    <col min="7" max="7" width="10.85546875" style="6" customWidth="1"/>
    <col min="8" max="8" width="12.7109375" style="6" customWidth="1"/>
    <col min="9" max="9" width="10.28515625" style="6" customWidth="1"/>
    <col min="10" max="16384" width="9.140625" style="6"/>
  </cols>
  <sheetData>
    <row r="1" spans="1:8" ht="21" customHeight="1" x14ac:dyDescent="0.3">
      <c r="A1" s="3"/>
      <c r="B1" s="3"/>
      <c r="C1" s="4"/>
      <c r="D1" s="5"/>
      <c r="E1" s="5"/>
      <c r="F1" s="5" t="s">
        <v>0</v>
      </c>
      <c r="G1" s="5"/>
      <c r="H1" s="3"/>
    </row>
    <row r="2" spans="1:8" ht="12.75" customHeight="1" x14ac:dyDescent="0.3">
      <c r="A2" s="3"/>
      <c r="B2" s="3"/>
      <c r="C2" s="4"/>
      <c r="D2" s="5"/>
      <c r="E2" s="5"/>
      <c r="F2" s="5" t="s">
        <v>185</v>
      </c>
      <c r="G2" s="5"/>
      <c r="H2" s="3"/>
    </row>
    <row r="3" spans="1:8" ht="12.75" customHeight="1" x14ac:dyDescent="0.3">
      <c r="A3" s="3"/>
      <c r="B3" s="3"/>
      <c r="C3" s="4"/>
      <c r="D3" s="5"/>
      <c r="E3" s="5"/>
      <c r="F3" s="3" t="s">
        <v>1</v>
      </c>
      <c r="G3" s="3"/>
      <c r="H3" s="3"/>
    </row>
    <row r="4" spans="1:8" ht="12.75" customHeight="1" x14ac:dyDescent="0.3">
      <c r="A4" s="3"/>
      <c r="B4" s="3"/>
      <c r="C4" s="4"/>
      <c r="D4" s="5"/>
      <c r="E4" s="5"/>
      <c r="F4" s="5" t="s">
        <v>186</v>
      </c>
      <c r="G4" s="5"/>
      <c r="H4" s="3"/>
    </row>
    <row r="5" spans="1:8" ht="21.75" customHeight="1" x14ac:dyDescent="0.3">
      <c r="A5" s="7" t="s">
        <v>15</v>
      </c>
      <c r="B5" s="8"/>
      <c r="C5" s="9"/>
      <c r="D5" s="9"/>
      <c r="E5" s="8"/>
      <c r="F5" s="8"/>
      <c r="G5" s="7"/>
      <c r="H5" s="8"/>
    </row>
    <row r="6" spans="1:8" ht="11.25" customHeight="1" x14ac:dyDescent="0.3">
      <c r="A6" s="3"/>
      <c r="B6" s="3"/>
      <c r="C6" s="4"/>
      <c r="D6" s="4"/>
      <c r="E6" s="10"/>
      <c r="F6" s="3"/>
      <c r="G6" s="11"/>
      <c r="H6" s="12" t="s">
        <v>2</v>
      </c>
    </row>
    <row r="7" spans="1:8" s="19" customFormat="1" ht="12.75" x14ac:dyDescent="0.25">
      <c r="A7" s="13"/>
      <c r="B7" s="13"/>
      <c r="C7" s="14"/>
      <c r="D7" s="15"/>
      <c r="E7" s="16" t="s">
        <v>3</v>
      </c>
      <c r="F7" s="17"/>
      <c r="G7" s="18"/>
      <c r="H7" s="16" t="s">
        <v>3</v>
      </c>
    </row>
    <row r="8" spans="1:8" s="19" customFormat="1" ht="12.75" x14ac:dyDescent="0.25">
      <c r="A8" s="20" t="s">
        <v>4</v>
      </c>
      <c r="B8" s="20" t="s">
        <v>5</v>
      </c>
      <c r="C8" s="21" t="s">
        <v>6</v>
      </c>
      <c r="D8" s="22" t="s">
        <v>7</v>
      </c>
      <c r="E8" s="20" t="s">
        <v>8</v>
      </c>
      <c r="F8" s="23" t="s">
        <v>9</v>
      </c>
      <c r="G8" s="20" t="s">
        <v>10</v>
      </c>
      <c r="H8" s="20" t="s">
        <v>11</v>
      </c>
    </row>
    <row r="9" spans="1:8" s="19" customFormat="1" ht="4.5" customHeight="1" x14ac:dyDescent="0.25">
      <c r="A9" s="24"/>
      <c r="B9" s="24"/>
      <c r="C9" s="25"/>
      <c r="D9" s="26"/>
      <c r="E9" s="24"/>
      <c r="F9" s="27"/>
      <c r="G9" s="27"/>
      <c r="H9" s="24"/>
    </row>
    <row r="10" spans="1:8" s="19" customFormat="1" ht="17.25" customHeight="1" thickBot="1" x14ac:dyDescent="0.3">
      <c r="A10" s="28"/>
      <c r="B10" s="28"/>
      <c r="C10" s="29"/>
      <c r="D10" s="30" t="s">
        <v>24</v>
      </c>
      <c r="E10" s="31">
        <v>1320645920.98</v>
      </c>
      <c r="F10" s="31">
        <f>SUM(F11,F16,F28)</f>
        <v>216823.04000000001</v>
      </c>
      <c r="G10" s="31">
        <f>SUM(G11,G16,G28)</f>
        <v>0</v>
      </c>
      <c r="H10" s="31">
        <f t="shared" ref="H10:H15" si="0">SUM(E10+F10-G10)</f>
        <v>1320862744.02</v>
      </c>
    </row>
    <row r="11" spans="1:8" s="19" customFormat="1" ht="17.25" customHeight="1" thickBot="1" x14ac:dyDescent="0.3">
      <c r="A11" s="28"/>
      <c r="B11" s="28"/>
      <c r="C11" s="29"/>
      <c r="D11" s="32" t="s">
        <v>25</v>
      </c>
      <c r="E11" s="33">
        <v>1142739294.3199999</v>
      </c>
      <c r="F11" s="33">
        <f>SUM(F12,)</f>
        <v>5781</v>
      </c>
      <c r="G11" s="33">
        <f>SUM(G12,)</f>
        <v>0</v>
      </c>
      <c r="H11" s="33">
        <f t="shared" si="0"/>
        <v>1142745075.3199999</v>
      </c>
    </row>
    <row r="12" spans="1:8" s="19" customFormat="1" ht="15.75" customHeight="1" thickTop="1" thickBot="1" x14ac:dyDescent="0.3">
      <c r="A12" s="34">
        <v>801</v>
      </c>
      <c r="B12" s="34"/>
      <c r="C12" s="35"/>
      <c r="D12" s="36" t="s">
        <v>36</v>
      </c>
      <c r="E12" s="33">
        <v>5125283.6900000004</v>
      </c>
      <c r="F12" s="37">
        <f>SUM(F13,)</f>
        <v>5781</v>
      </c>
      <c r="G12" s="37">
        <f>SUM(G13,)</f>
        <v>0</v>
      </c>
      <c r="H12" s="33">
        <f t="shared" si="0"/>
        <v>5131064.6900000004</v>
      </c>
    </row>
    <row r="13" spans="1:8" s="19" customFormat="1" ht="12" customHeight="1" thickTop="1" x14ac:dyDescent="0.25">
      <c r="A13" s="35"/>
      <c r="B13" s="38">
        <v>80195</v>
      </c>
      <c r="C13" s="29"/>
      <c r="D13" s="39" t="s">
        <v>17</v>
      </c>
      <c r="E13" s="40">
        <v>2508223.88</v>
      </c>
      <c r="F13" s="40">
        <f>SUM(F14)</f>
        <v>5781</v>
      </c>
      <c r="G13" s="40">
        <f>SUM(G14)</f>
        <v>0</v>
      </c>
      <c r="H13" s="41">
        <f t="shared" si="0"/>
        <v>2514004.88</v>
      </c>
    </row>
    <row r="14" spans="1:8" s="19" customFormat="1" ht="12" customHeight="1" x14ac:dyDescent="0.25">
      <c r="A14" s="35"/>
      <c r="B14" s="42"/>
      <c r="C14" s="29"/>
      <c r="D14" s="476" t="s">
        <v>37</v>
      </c>
      <c r="E14" s="66">
        <v>100525</v>
      </c>
      <c r="F14" s="477">
        <f>SUM(F15:F15)</f>
        <v>5781</v>
      </c>
      <c r="G14" s="477">
        <f>SUM(G15:G15)</f>
        <v>0</v>
      </c>
      <c r="H14" s="66">
        <f t="shared" si="0"/>
        <v>106306</v>
      </c>
    </row>
    <row r="15" spans="1:8" s="19" customFormat="1" ht="49.5" customHeight="1" x14ac:dyDescent="0.25">
      <c r="A15" s="35"/>
      <c r="B15" s="42"/>
      <c r="C15" s="43" t="s">
        <v>38</v>
      </c>
      <c r="D15" s="44" t="s">
        <v>39</v>
      </c>
      <c r="E15" s="45">
        <v>100525</v>
      </c>
      <c r="F15" s="45">
        <v>5781</v>
      </c>
      <c r="G15" s="46"/>
      <c r="H15" s="45">
        <f t="shared" si="0"/>
        <v>106306</v>
      </c>
    </row>
    <row r="16" spans="1:8" s="19" customFormat="1" ht="18" customHeight="1" thickBot="1" x14ac:dyDescent="0.3">
      <c r="A16" s="28"/>
      <c r="B16" s="28"/>
      <c r="C16" s="29"/>
      <c r="D16" s="32" t="s">
        <v>40</v>
      </c>
      <c r="E16" s="33">
        <v>53217933.82</v>
      </c>
      <c r="F16" s="37">
        <f>SUM(F17,F21,)</f>
        <v>78668.69</v>
      </c>
      <c r="G16" s="37">
        <f>SUM(G17,)</f>
        <v>0</v>
      </c>
      <c r="H16" s="33">
        <f t="shared" ref="H16:H20" si="1">SUM(E16+F16-G16)</f>
        <v>53296602.509999998</v>
      </c>
    </row>
    <row r="17" spans="1:8" s="19" customFormat="1" ht="16.5" customHeight="1" thickTop="1" thickBot="1" x14ac:dyDescent="0.3">
      <c r="A17" s="47" t="s">
        <v>41</v>
      </c>
      <c r="B17" s="48"/>
      <c r="C17" s="48"/>
      <c r="D17" s="49" t="s">
        <v>42</v>
      </c>
      <c r="E17" s="37">
        <v>0</v>
      </c>
      <c r="F17" s="37">
        <f t="shared" ref="F17:G18" si="2">SUM(F18)</f>
        <v>6804.69</v>
      </c>
      <c r="G17" s="37">
        <f t="shared" si="2"/>
        <v>0</v>
      </c>
      <c r="H17" s="37">
        <f t="shared" si="1"/>
        <v>6804.69</v>
      </c>
    </row>
    <row r="18" spans="1:8" s="19" customFormat="1" ht="12" customHeight="1" thickTop="1" x14ac:dyDescent="0.25">
      <c r="A18" s="50"/>
      <c r="B18" s="51" t="s">
        <v>43</v>
      </c>
      <c r="C18" s="52"/>
      <c r="D18" s="53" t="s">
        <v>44</v>
      </c>
      <c r="E18" s="41">
        <v>0</v>
      </c>
      <c r="F18" s="40">
        <f t="shared" si="2"/>
        <v>6804.69</v>
      </c>
      <c r="G18" s="40">
        <f t="shared" si="2"/>
        <v>0</v>
      </c>
      <c r="H18" s="41">
        <f t="shared" si="1"/>
        <v>6804.69</v>
      </c>
    </row>
    <row r="19" spans="1:8" s="19" customFormat="1" ht="12" customHeight="1" x14ac:dyDescent="0.25">
      <c r="A19" s="34"/>
      <c r="B19" s="38"/>
      <c r="C19" s="29"/>
      <c r="D19" s="478" t="s">
        <v>45</v>
      </c>
      <c r="E19" s="66">
        <v>0</v>
      </c>
      <c r="F19" s="477">
        <f>SUM(F20)</f>
        <v>6804.69</v>
      </c>
      <c r="G19" s="477">
        <f>SUM(G20)</f>
        <v>0</v>
      </c>
      <c r="H19" s="66">
        <f t="shared" si="1"/>
        <v>6804.69</v>
      </c>
    </row>
    <row r="20" spans="1:8" s="19" customFormat="1" ht="36.75" customHeight="1" x14ac:dyDescent="0.25">
      <c r="A20" s="34"/>
      <c r="B20" s="34"/>
      <c r="C20" s="43" t="s">
        <v>46</v>
      </c>
      <c r="D20" s="54" t="s">
        <v>47</v>
      </c>
      <c r="E20" s="46">
        <v>0</v>
      </c>
      <c r="F20" s="45">
        <v>6804.69</v>
      </c>
      <c r="G20" s="45"/>
      <c r="H20" s="46">
        <f t="shared" si="1"/>
        <v>6804.69</v>
      </c>
    </row>
    <row r="21" spans="1:8" s="19" customFormat="1" ht="12" customHeight="1" thickBot="1" x14ac:dyDescent="0.3">
      <c r="A21" s="34">
        <v>852</v>
      </c>
      <c r="B21" s="34"/>
      <c r="C21" s="35"/>
      <c r="D21" s="36" t="s">
        <v>27</v>
      </c>
      <c r="E21" s="33">
        <v>6659816.6699999999</v>
      </c>
      <c r="F21" s="37">
        <f>SUM(F22,F25)</f>
        <v>71864</v>
      </c>
      <c r="G21" s="37">
        <f>SUM(G22,G25)</f>
        <v>0</v>
      </c>
      <c r="H21" s="37">
        <f>SUM(E21+F21-G21)</f>
        <v>6731680.6699999999</v>
      </c>
    </row>
    <row r="22" spans="1:8" s="19" customFormat="1" ht="12" customHeight="1" thickTop="1" x14ac:dyDescent="0.25">
      <c r="A22" s="34"/>
      <c r="B22" s="38">
        <v>85219</v>
      </c>
      <c r="C22" s="29"/>
      <c r="D22" s="39" t="s">
        <v>48</v>
      </c>
      <c r="E22" s="41">
        <v>98903</v>
      </c>
      <c r="F22" s="40">
        <f t="shared" ref="F22:G23" si="3">SUM(F23)</f>
        <v>46864</v>
      </c>
      <c r="G22" s="40">
        <f t="shared" si="3"/>
        <v>0</v>
      </c>
      <c r="H22" s="41">
        <f>SUM(E22+F22-G22)</f>
        <v>145767</v>
      </c>
    </row>
    <row r="23" spans="1:8" s="19" customFormat="1" ht="12" customHeight="1" x14ac:dyDescent="0.25">
      <c r="A23" s="34"/>
      <c r="B23" s="38"/>
      <c r="C23" s="29"/>
      <c r="D23" s="478" t="s">
        <v>45</v>
      </c>
      <c r="E23" s="66">
        <v>98903</v>
      </c>
      <c r="F23" s="477">
        <f t="shared" si="3"/>
        <v>46864</v>
      </c>
      <c r="G23" s="477">
        <f t="shared" si="3"/>
        <v>0</v>
      </c>
      <c r="H23" s="66">
        <f t="shared" ref="H23" si="4">SUM(E23+F23-G23)</f>
        <v>145767</v>
      </c>
    </row>
    <row r="24" spans="1:8" s="19" customFormat="1" ht="36.75" customHeight="1" x14ac:dyDescent="0.25">
      <c r="A24" s="34"/>
      <c r="B24" s="34"/>
      <c r="C24" s="43" t="s">
        <v>46</v>
      </c>
      <c r="D24" s="54" t="s">
        <v>49</v>
      </c>
      <c r="E24" s="46">
        <v>98903</v>
      </c>
      <c r="F24" s="45">
        <v>46864</v>
      </c>
      <c r="G24" s="45"/>
      <c r="H24" s="46">
        <f>SUM(E24+F24-G24)</f>
        <v>145767</v>
      </c>
    </row>
    <row r="25" spans="1:8" s="19" customFormat="1" ht="12" customHeight="1" x14ac:dyDescent="0.25">
      <c r="A25" s="34"/>
      <c r="B25" s="38">
        <v>85231</v>
      </c>
      <c r="C25" s="29"/>
      <c r="D25" s="39" t="s">
        <v>50</v>
      </c>
      <c r="E25" s="41">
        <v>3600</v>
      </c>
      <c r="F25" s="40">
        <f t="shared" ref="F25:G26" si="5">SUM(F26)</f>
        <v>25000</v>
      </c>
      <c r="G25" s="40">
        <f t="shared" si="5"/>
        <v>0</v>
      </c>
      <c r="H25" s="41">
        <f t="shared" ref="H25:H26" si="6">SUM(E25+F25-G25)</f>
        <v>28600</v>
      </c>
    </row>
    <row r="26" spans="1:8" s="19" customFormat="1" ht="12" customHeight="1" x14ac:dyDescent="0.25">
      <c r="A26" s="34"/>
      <c r="B26" s="38"/>
      <c r="C26" s="29"/>
      <c r="D26" s="478" t="s">
        <v>45</v>
      </c>
      <c r="E26" s="66">
        <v>3600</v>
      </c>
      <c r="F26" s="477">
        <f t="shared" si="5"/>
        <v>25000</v>
      </c>
      <c r="G26" s="477">
        <f t="shared" si="5"/>
        <v>0</v>
      </c>
      <c r="H26" s="66">
        <f t="shared" si="6"/>
        <v>28600</v>
      </c>
    </row>
    <row r="27" spans="1:8" s="19" customFormat="1" ht="37.5" customHeight="1" x14ac:dyDescent="0.25">
      <c r="A27" s="34"/>
      <c r="B27" s="34"/>
      <c r="C27" s="43" t="s">
        <v>46</v>
      </c>
      <c r="D27" s="54" t="s">
        <v>49</v>
      </c>
      <c r="E27" s="46">
        <v>3600</v>
      </c>
      <c r="F27" s="45">
        <v>25000</v>
      </c>
      <c r="G27" s="45"/>
      <c r="H27" s="46">
        <f>SUM(E27+F27-G27)</f>
        <v>28600</v>
      </c>
    </row>
    <row r="28" spans="1:8" s="19" customFormat="1" ht="20.25" customHeight="1" thickBot="1" x14ac:dyDescent="0.3">
      <c r="A28" s="28"/>
      <c r="B28" s="28"/>
      <c r="C28" s="29"/>
      <c r="D28" s="32" t="s">
        <v>51</v>
      </c>
      <c r="E28" s="33">
        <v>27212358.620000001</v>
      </c>
      <c r="F28" s="33">
        <f>SUM(F29,)</f>
        <v>132373.35</v>
      </c>
      <c r="G28" s="33">
        <f>SUM(G29,)</f>
        <v>0</v>
      </c>
      <c r="H28" s="33">
        <f t="shared" ref="H28:H32" si="7">SUM(E28+F28-G28)</f>
        <v>27344731.970000003</v>
      </c>
    </row>
    <row r="29" spans="1:8" s="19" customFormat="1" ht="17.25" customHeight="1" thickTop="1" thickBot="1" x14ac:dyDescent="0.3">
      <c r="A29" s="34">
        <v>754</v>
      </c>
      <c r="B29" s="55"/>
      <c r="C29" s="56"/>
      <c r="D29" s="36" t="s">
        <v>52</v>
      </c>
      <c r="E29" s="33">
        <v>23115194</v>
      </c>
      <c r="F29" s="33">
        <f>SUM(F30)</f>
        <v>132373.35</v>
      </c>
      <c r="G29" s="33">
        <f t="shared" ref="F29:G31" si="8">SUM(G30)</f>
        <v>0</v>
      </c>
      <c r="H29" s="33">
        <f>SUM(E29+F29-G29)</f>
        <v>23247567.350000001</v>
      </c>
    </row>
    <row r="30" spans="1:8" s="19" customFormat="1" ht="12" customHeight="1" thickTop="1" x14ac:dyDescent="0.25">
      <c r="A30" s="34"/>
      <c r="B30" s="38">
        <v>75411</v>
      </c>
      <c r="C30" s="29"/>
      <c r="D30" s="57" t="s">
        <v>53</v>
      </c>
      <c r="E30" s="41">
        <v>23115194</v>
      </c>
      <c r="F30" s="41">
        <f t="shared" si="8"/>
        <v>132373.35</v>
      </c>
      <c r="G30" s="41">
        <f t="shared" si="8"/>
        <v>0</v>
      </c>
      <c r="H30" s="41">
        <f>SUM(E30+F30-G30)</f>
        <v>23247567.350000001</v>
      </c>
    </row>
    <row r="31" spans="1:8" s="19" customFormat="1" ht="12" customHeight="1" x14ac:dyDescent="0.25">
      <c r="A31" s="58"/>
      <c r="B31" s="38"/>
      <c r="C31" s="29"/>
      <c r="D31" s="478" t="s">
        <v>45</v>
      </c>
      <c r="E31" s="66">
        <v>23115194</v>
      </c>
      <c r="F31" s="477">
        <f t="shared" si="8"/>
        <v>132373.35</v>
      </c>
      <c r="G31" s="477">
        <f t="shared" si="8"/>
        <v>0</v>
      </c>
      <c r="H31" s="66">
        <f>SUM(E31+F31-G31)</f>
        <v>23247567.350000001</v>
      </c>
    </row>
    <row r="32" spans="1:8" s="19" customFormat="1" ht="37.5" customHeight="1" x14ac:dyDescent="0.25">
      <c r="A32" s="58"/>
      <c r="B32" s="34"/>
      <c r="C32" s="59">
        <v>2110</v>
      </c>
      <c r="D32" s="60" t="s">
        <v>54</v>
      </c>
      <c r="E32" s="46">
        <v>23115194</v>
      </c>
      <c r="F32" s="45">
        <v>132373.35</v>
      </c>
      <c r="G32" s="45"/>
      <c r="H32" s="46">
        <f t="shared" si="7"/>
        <v>23247567.350000001</v>
      </c>
    </row>
    <row r="33" spans="1:8" s="19" customFormat="1" ht="18" customHeight="1" thickBot="1" x14ac:dyDescent="0.3">
      <c r="A33" s="38"/>
      <c r="B33" s="38"/>
      <c r="C33" s="29"/>
      <c r="D33" s="30" t="s">
        <v>12</v>
      </c>
      <c r="E33" s="31">
        <v>1510076623.5599997</v>
      </c>
      <c r="F33" s="31">
        <f>SUM(F34,F224,F327,F342)</f>
        <v>2898937.12</v>
      </c>
      <c r="G33" s="31">
        <f>SUM(G34,G224,G327,G342)</f>
        <v>2682114.08</v>
      </c>
      <c r="H33" s="31">
        <f t="shared" ref="H33:H34" si="9">SUM(E33+F33-G33)</f>
        <v>1510293446.5999997</v>
      </c>
    </row>
    <row r="34" spans="1:8" s="19" customFormat="1" ht="16.5" customHeight="1" thickBot="1" x14ac:dyDescent="0.3">
      <c r="A34" s="38"/>
      <c r="B34" s="38"/>
      <c r="C34" s="29"/>
      <c r="D34" s="32" t="s">
        <v>16</v>
      </c>
      <c r="E34" s="33">
        <v>1043242818.3899999</v>
      </c>
      <c r="F34" s="33">
        <f>SUM(F35,F41,F57,F65,F70,F80,F140,F152,F178,F182,F192,F208,F219,)</f>
        <v>1817759.17</v>
      </c>
      <c r="G34" s="33">
        <f>SUM(G35,G41,G57,G65,G70,G80,G140,G152,G178,G182,G192,G208,G219,)</f>
        <v>1702100.4</v>
      </c>
      <c r="H34" s="33">
        <f t="shared" si="9"/>
        <v>1043358477.1599998</v>
      </c>
    </row>
    <row r="35" spans="1:8" s="19" customFormat="1" ht="16.5" customHeight="1" thickTop="1" thickBot="1" x14ac:dyDescent="0.3">
      <c r="A35" s="20">
        <v>630</v>
      </c>
      <c r="B35" s="61"/>
      <c r="C35" s="20"/>
      <c r="D35" s="62" t="s">
        <v>55</v>
      </c>
      <c r="E35" s="33">
        <v>3242815.7600000002</v>
      </c>
      <c r="F35" s="33">
        <f>SUM(F36)</f>
        <v>10400</v>
      </c>
      <c r="G35" s="33">
        <f t="shared" ref="G35" si="10">SUM(G36)</f>
        <v>10400</v>
      </c>
      <c r="H35" s="33">
        <f>SUM(E35+F35-G35)</f>
        <v>3242815.7600000002</v>
      </c>
    </row>
    <row r="36" spans="1:8" s="19" customFormat="1" ht="12" customHeight="1" thickTop="1" x14ac:dyDescent="0.25">
      <c r="A36" s="42"/>
      <c r="B36" s="63">
        <v>63003</v>
      </c>
      <c r="C36" s="48"/>
      <c r="D36" s="64" t="s">
        <v>56</v>
      </c>
      <c r="E36" s="41">
        <v>3168815.7600000002</v>
      </c>
      <c r="F36" s="41">
        <f>SUM(F37)</f>
        <v>10400</v>
      </c>
      <c r="G36" s="41">
        <f>SUM(G37)</f>
        <v>10400</v>
      </c>
      <c r="H36" s="41">
        <f>SUM(E36+F36-G36)</f>
        <v>3168815.7600000002</v>
      </c>
    </row>
    <row r="37" spans="1:8" s="19" customFormat="1" ht="12" customHeight="1" x14ac:dyDescent="0.25">
      <c r="A37" s="58"/>
      <c r="B37" s="63"/>
      <c r="C37" s="65"/>
      <c r="D37" s="479" t="s">
        <v>57</v>
      </c>
      <c r="E37" s="66">
        <v>3133815.7600000002</v>
      </c>
      <c r="F37" s="66">
        <f>SUM(F38:F40)</f>
        <v>10400</v>
      </c>
      <c r="G37" s="66">
        <f>SUM(G38:G40)</f>
        <v>10400</v>
      </c>
      <c r="H37" s="66">
        <f>SUM(E37+F37-G37)</f>
        <v>3133815.7600000002</v>
      </c>
    </row>
    <row r="38" spans="1:8" s="19" customFormat="1" ht="12" customHeight="1" x14ac:dyDescent="0.25">
      <c r="A38" s="58"/>
      <c r="B38" s="63"/>
      <c r="C38" s="67">
        <v>4040</v>
      </c>
      <c r="D38" s="50" t="s">
        <v>58</v>
      </c>
      <c r="E38" s="45">
        <v>150553.01999999999</v>
      </c>
      <c r="F38" s="45"/>
      <c r="G38" s="45">
        <v>10400</v>
      </c>
      <c r="H38" s="45">
        <f t="shared" ref="H38:H42" si="11">SUM(E38+F38-G38)</f>
        <v>140153.01999999999</v>
      </c>
    </row>
    <row r="39" spans="1:8" s="19" customFormat="1" ht="12" customHeight="1" x14ac:dyDescent="0.25">
      <c r="A39" s="58"/>
      <c r="B39" s="63"/>
      <c r="C39" s="63">
        <v>4280</v>
      </c>
      <c r="D39" s="68" t="s">
        <v>59</v>
      </c>
      <c r="E39" s="45">
        <v>3021</v>
      </c>
      <c r="F39" s="45">
        <v>6000</v>
      </c>
      <c r="G39" s="45"/>
      <c r="H39" s="45">
        <f t="shared" si="11"/>
        <v>9021</v>
      </c>
    </row>
    <row r="40" spans="1:8" s="19" customFormat="1" ht="12" customHeight="1" x14ac:dyDescent="0.25">
      <c r="A40" s="58"/>
      <c r="B40" s="63"/>
      <c r="C40" s="59">
        <v>4700</v>
      </c>
      <c r="D40" s="69" t="s">
        <v>60</v>
      </c>
      <c r="E40" s="45">
        <v>80</v>
      </c>
      <c r="F40" s="45">
        <v>4400</v>
      </c>
      <c r="G40" s="45"/>
      <c r="H40" s="45">
        <f t="shared" si="11"/>
        <v>4480</v>
      </c>
    </row>
    <row r="41" spans="1:8" s="19" customFormat="1" ht="12" customHeight="1" thickBot="1" x14ac:dyDescent="0.3">
      <c r="A41" s="58">
        <v>700</v>
      </c>
      <c r="B41" s="58"/>
      <c r="C41" s="35"/>
      <c r="D41" s="36" t="s">
        <v>61</v>
      </c>
      <c r="E41" s="33">
        <v>137720613.08999997</v>
      </c>
      <c r="F41" s="37">
        <f>SUM(F42,F54)</f>
        <v>23400</v>
      </c>
      <c r="G41" s="37">
        <f>SUM(G42,G54)</f>
        <v>23400</v>
      </c>
      <c r="H41" s="33">
        <f t="shared" si="11"/>
        <v>137720613.08999997</v>
      </c>
    </row>
    <row r="42" spans="1:8" s="19" customFormat="1" ht="12" customHeight="1" thickTop="1" x14ac:dyDescent="0.25">
      <c r="A42" s="58"/>
      <c r="B42" s="63">
        <v>70007</v>
      </c>
      <c r="C42" s="48"/>
      <c r="D42" s="64" t="s">
        <v>62</v>
      </c>
      <c r="E42" s="41">
        <v>57594665.769999996</v>
      </c>
      <c r="F42" s="40">
        <f>SUM(F43,)</f>
        <v>21600</v>
      </c>
      <c r="G42" s="40">
        <f>SUM(G43,)</f>
        <v>21600</v>
      </c>
      <c r="H42" s="41">
        <f t="shared" si="11"/>
        <v>57594665.769999996</v>
      </c>
    </row>
    <row r="43" spans="1:8" s="19" customFormat="1" ht="38.25" customHeight="1" x14ac:dyDescent="0.25">
      <c r="A43" s="58"/>
      <c r="B43" s="63"/>
      <c r="C43" s="72"/>
      <c r="D43" s="480" t="s">
        <v>63</v>
      </c>
      <c r="E43" s="66">
        <v>2800233.6999999997</v>
      </c>
      <c r="F43" s="477">
        <f>SUM(F44:F53)</f>
        <v>21600</v>
      </c>
      <c r="G43" s="477">
        <f>SUM(G44:G53)</f>
        <v>21600</v>
      </c>
      <c r="H43" s="66">
        <f>SUM(E43+F43-G43)</f>
        <v>2800233.6999999997</v>
      </c>
    </row>
    <row r="44" spans="1:8" s="19" customFormat="1" ht="12" customHeight="1" x14ac:dyDescent="0.25">
      <c r="A44" s="70"/>
      <c r="B44" s="71"/>
      <c r="C44" s="71">
        <v>4017</v>
      </c>
      <c r="D44" s="39" t="s">
        <v>64</v>
      </c>
      <c r="E44" s="41">
        <v>0</v>
      </c>
      <c r="F44" s="40">
        <v>16929</v>
      </c>
      <c r="G44" s="40"/>
      <c r="H44" s="41">
        <f t="shared" ref="H44:H54" si="12">SUM(E44+F44-G44)</f>
        <v>16929</v>
      </c>
    </row>
    <row r="45" spans="1:8" s="19" customFormat="1" ht="12" customHeight="1" x14ac:dyDescent="0.25">
      <c r="A45" s="58"/>
      <c r="B45" s="63"/>
      <c r="C45" s="63">
        <v>4019</v>
      </c>
      <c r="D45" s="68" t="s">
        <v>64</v>
      </c>
      <c r="E45" s="45">
        <v>0</v>
      </c>
      <c r="F45" s="46">
        <v>891</v>
      </c>
      <c r="G45" s="46"/>
      <c r="H45" s="45">
        <f t="shared" si="12"/>
        <v>891</v>
      </c>
    </row>
    <row r="46" spans="1:8" s="19" customFormat="1" ht="12" customHeight="1" x14ac:dyDescent="0.25">
      <c r="A46" s="58"/>
      <c r="B46" s="63"/>
      <c r="C46" s="72">
        <v>4117</v>
      </c>
      <c r="D46" s="73" t="s">
        <v>65</v>
      </c>
      <c r="E46" s="45">
        <v>0</v>
      </c>
      <c r="F46" s="46">
        <v>2919.35</v>
      </c>
      <c r="G46" s="46"/>
      <c r="H46" s="45">
        <f t="shared" si="12"/>
        <v>2919.35</v>
      </c>
    </row>
    <row r="47" spans="1:8" s="19" customFormat="1" ht="12" customHeight="1" x14ac:dyDescent="0.25">
      <c r="A47" s="58"/>
      <c r="B47" s="63"/>
      <c r="C47" s="72">
        <v>4119</v>
      </c>
      <c r="D47" s="73" t="s">
        <v>65</v>
      </c>
      <c r="E47" s="45">
        <v>0</v>
      </c>
      <c r="F47" s="46">
        <v>153.65</v>
      </c>
      <c r="G47" s="46"/>
      <c r="H47" s="45">
        <f t="shared" si="12"/>
        <v>153.65</v>
      </c>
    </row>
    <row r="48" spans="1:8" s="19" customFormat="1" ht="12" customHeight="1" x14ac:dyDescent="0.25">
      <c r="A48" s="58"/>
      <c r="B48" s="63"/>
      <c r="C48" s="72">
        <v>4127</v>
      </c>
      <c r="D48" s="68" t="s">
        <v>66</v>
      </c>
      <c r="E48" s="45">
        <v>0</v>
      </c>
      <c r="F48" s="45">
        <v>416.1</v>
      </c>
      <c r="G48" s="45"/>
      <c r="H48" s="45">
        <f t="shared" si="12"/>
        <v>416.1</v>
      </c>
    </row>
    <row r="49" spans="1:8" s="19" customFormat="1" ht="12" customHeight="1" x14ac:dyDescent="0.25">
      <c r="A49" s="58"/>
      <c r="B49" s="63"/>
      <c r="C49" s="72">
        <v>4129</v>
      </c>
      <c r="D49" s="68" t="s">
        <v>66</v>
      </c>
      <c r="E49" s="45">
        <v>0</v>
      </c>
      <c r="F49" s="45">
        <v>21.9</v>
      </c>
      <c r="G49" s="45"/>
      <c r="H49" s="45">
        <f t="shared" si="12"/>
        <v>21.9</v>
      </c>
    </row>
    <row r="50" spans="1:8" s="19" customFormat="1" ht="12" customHeight="1" x14ac:dyDescent="0.25">
      <c r="A50" s="58"/>
      <c r="B50" s="63"/>
      <c r="C50" s="63">
        <v>4717</v>
      </c>
      <c r="D50" s="68" t="s">
        <v>67</v>
      </c>
      <c r="E50" s="45">
        <v>0</v>
      </c>
      <c r="F50" s="46">
        <v>255.55</v>
      </c>
      <c r="G50" s="46"/>
      <c r="H50" s="45">
        <f t="shared" si="12"/>
        <v>255.55</v>
      </c>
    </row>
    <row r="51" spans="1:8" s="19" customFormat="1" ht="12" customHeight="1" x14ac:dyDescent="0.25">
      <c r="A51" s="58"/>
      <c r="B51" s="63"/>
      <c r="C51" s="63">
        <v>4719</v>
      </c>
      <c r="D51" s="68" t="s">
        <v>67</v>
      </c>
      <c r="E51" s="45">
        <v>0</v>
      </c>
      <c r="F51" s="46">
        <v>13.45</v>
      </c>
      <c r="G51" s="46"/>
      <c r="H51" s="45">
        <f t="shared" si="12"/>
        <v>13.45</v>
      </c>
    </row>
    <row r="52" spans="1:8" s="19" customFormat="1" ht="12" customHeight="1" x14ac:dyDescent="0.25">
      <c r="A52" s="58"/>
      <c r="B52" s="63"/>
      <c r="C52" s="67">
        <v>4307</v>
      </c>
      <c r="D52" s="50" t="s">
        <v>68</v>
      </c>
      <c r="E52" s="45">
        <v>1301265.8400000001</v>
      </c>
      <c r="F52" s="46"/>
      <c r="G52" s="46">
        <v>20520</v>
      </c>
      <c r="H52" s="45">
        <f t="shared" si="12"/>
        <v>1280745.8400000001</v>
      </c>
    </row>
    <row r="53" spans="1:8" s="19" customFormat="1" ht="12" customHeight="1" x14ac:dyDescent="0.25">
      <c r="A53" s="58"/>
      <c r="B53" s="58"/>
      <c r="C53" s="67">
        <v>4309</v>
      </c>
      <c r="D53" s="50" t="s">
        <v>68</v>
      </c>
      <c r="E53" s="45">
        <v>383530.98</v>
      </c>
      <c r="F53" s="46"/>
      <c r="G53" s="46">
        <v>1080</v>
      </c>
      <c r="H53" s="45">
        <f t="shared" si="12"/>
        <v>382450.98</v>
      </c>
    </row>
    <row r="54" spans="1:8" s="19" customFormat="1" ht="12" customHeight="1" x14ac:dyDescent="0.25">
      <c r="A54" s="58"/>
      <c r="B54" s="63">
        <v>70095</v>
      </c>
      <c r="C54" s="63"/>
      <c r="D54" s="39" t="s">
        <v>17</v>
      </c>
      <c r="E54" s="41">
        <v>64036072.32</v>
      </c>
      <c r="F54" s="40">
        <f>SUM(F55)</f>
        <v>1800</v>
      </c>
      <c r="G54" s="40">
        <f>SUM(G55)</f>
        <v>1800</v>
      </c>
      <c r="H54" s="41">
        <f t="shared" si="12"/>
        <v>64036072.32</v>
      </c>
    </row>
    <row r="55" spans="1:8" s="19" customFormat="1" ht="12" customHeight="1" x14ac:dyDescent="0.25">
      <c r="A55" s="58"/>
      <c r="B55" s="63"/>
      <c r="C55" s="29"/>
      <c r="D55" s="481" t="s">
        <v>69</v>
      </c>
      <c r="E55" s="66">
        <v>51359574.619999997</v>
      </c>
      <c r="F55" s="477">
        <f>SUM(F56:F56)</f>
        <v>1800</v>
      </c>
      <c r="G55" s="477">
        <f>SUM(G56:G56)</f>
        <v>1800</v>
      </c>
      <c r="H55" s="66">
        <f>SUM(E55+F55-G55)</f>
        <v>51359574.619999997</v>
      </c>
    </row>
    <row r="56" spans="1:8" s="19" customFormat="1" ht="12" customHeight="1" x14ac:dyDescent="0.25">
      <c r="A56" s="58"/>
      <c r="B56" s="63"/>
      <c r="C56" s="38">
        <v>4300</v>
      </c>
      <c r="D56" s="68" t="s">
        <v>68</v>
      </c>
      <c r="E56" s="45">
        <v>4000</v>
      </c>
      <c r="F56" s="46">
        <v>1800</v>
      </c>
      <c r="G56" s="46">
        <v>1800</v>
      </c>
      <c r="H56" s="45">
        <f t="shared" ref="H56" si="13">SUM(E56+F56-G56)</f>
        <v>4000</v>
      </c>
    </row>
    <row r="57" spans="1:8" s="19" customFormat="1" ht="12" customHeight="1" thickBot="1" x14ac:dyDescent="0.3">
      <c r="A57" s="74">
        <v>710</v>
      </c>
      <c r="B57" s="75"/>
      <c r="C57" s="76"/>
      <c r="D57" s="77" t="s">
        <v>70</v>
      </c>
      <c r="E57" s="78">
        <v>5590100</v>
      </c>
      <c r="F57" s="79">
        <f>SUM(F58)</f>
        <v>0</v>
      </c>
      <c r="G57" s="79">
        <f>SUM(G58)</f>
        <v>52689.2</v>
      </c>
      <c r="H57" s="78">
        <f>SUM(E57+F57-G57)</f>
        <v>5537410.7999999998</v>
      </c>
    </row>
    <row r="58" spans="1:8" s="19" customFormat="1" ht="12" customHeight="1" thickTop="1" x14ac:dyDescent="0.25">
      <c r="A58" s="80"/>
      <c r="B58" s="75">
        <v>71095</v>
      </c>
      <c r="C58" s="75"/>
      <c r="D58" s="81" t="s">
        <v>17</v>
      </c>
      <c r="E58" s="82">
        <v>239500</v>
      </c>
      <c r="F58" s="82">
        <f>SUM(F59,)</f>
        <v>0</v>
      </c>
      <c r="G58" s="82">
        <f>SUM(G59,)</f>
        <v>52689.2</v>
      </c>
      <c r="H58" s="82">
        <f>SUM(E58+F58-G58)</f>
        <v>186810.8</v>
      </c>
    </row>
    <row r="59" spans="1:8" s="19" customFormat="1" ht="12" customHeight="1" x14ac:dyDescent="0.25">
      <c r="A59" s="80"/>
      <c r="B59" s="75"/>
      <c r="C59" s="75"/>
      <c r="D59" s="482" t="s">
        <v>71</v>
      </c>
      <c r="E59" s="483">
        <v>57500</v>
      </c>
      <c r="F59" s="483">
        <f>SUM(F60:F64)</f>
        <v>0</v>
      </c>
      <c r="G59" s="483">
        <f>SUM(G60:G64)</f>
        <v>52689.2</v>
      </c>
      <c r="H59" s="483">
        <f>SUM(E59+F59-G59)</f>
        <v>4810.8000000000029</v>
      </c>
    </row>
    <row r="60" spans="1:8" s="19" customFormat="1" ht="12" customHeight="1" x14ac:dyDescent="0.25">
      <c r="A60" s="80"/>
      <c r="B60" s="75"/>
      <c r="C60" s="75">
        <v>4210</v>
      </c>
      <c r="D60" s="83" t="s">
        <v>72</v>
      </c>
      <c r="E60" s="84">
        <v>3500</v>
      </c>
      <c r="F60" s="84"/>
      <c r="G60" s="84">
        <v>3500</v>
      </c>
      <c r="H60" s="85">
        <f>SUM(E60+F60-G60)</f>
        <v>0</v>
      </c>
    </row>
    <row r="61" spans="1:8" s="19" customFormat="1" ht="12" customHeight="1" x14ac:dyDescent="0.25">
      <c r="A61" s="80"/>
      <c r="B61" s="75"/>
      <c r="C61" s="75">
        <v>4270</v>
      </c>
      <c r="D61" s="83" t="s">
        <v>73</v>
      </c>
      <c r="E61" s="84">
        <v>1500</v>
      </c>
      <c r="F61" s="84"/>
      <c r="G61" s="84">
        <v>1500</v>
      </c>
      <c r="H61" s="85">
        <f t="shared" ref="H61:H64" si="14">SUM(E61+F61-G61)</f>
        <v>0</v>
      </c>
    </row>
    <row r="62" spans="1:8" s="19" customFormat="1" ht="12" customHeight="1" x14ac:dyDescent="0.25">
      <c r="A62" s="80"/>
      <c r="B62" s="75"/>
      <c r="C62" s="75">
        <v>4300</v>
      </c>
      <c r="D62" s="83" t="s">
        <v>68</v>
      </c>
      <c r="E62" s="84">
        <v>50000</v>
      </c>
      <c r="F62" s="84"/>
      <c r="G62" s="84">
        <v>46925</v>
      </c>
      <c r="H62" s="85">
        <f t="shared" si="14"/>
        <v>3075</v>
      </c>
    </row>
    <row r="63" spans="1:8" s="19" customFormat="1" ht="12" customHeight="1" x14ac:dyDescent="0.25">
      <c r="A63" s="80"/>
      <c r="B63" s="75"/>
      <c r="C63" s="75">
        <v>4410</v>
      </c>
      <c r="D63" s="83" t="s">
        <v>74</v>
      </c>
      <c r="E63" s="84">
        <v>250</v>
      </c>
      <c r="F63" s="84"/>
      <c r="G63" s="84">
        <v>164.2</v>
      </c>
      <c r="H63" s="85">
        <f t="shared" si="14"/>
        <v>85.800000000000011</v>
      </c>
    </row>
    <row r="64" spans="1:8" s="19" customFormat="1" ht="12" customHeight="1" x14ac:dyDescent="0.25">
      <c r="A64" s="80"/>
      <c r="B64" s="75"/>
      <c r="C64" s="75">
        <v>4700</v>
      </c>
      <c r="D64" s="86" t="s">
        <v>75</v>
      </c>
      <c r="E64" s="84">
        <v>2250</v>
      </c>
      <c r="F64" s="84"/>
      <c r="G64" s="84">
        <v>600</v>
      </c>
      <c r="H64" s="85">
        <f t="shared" si="14"/>
        <v>1650</v>
      </c>
    </row>
    <row r="65" spans="1:8" s="19" customFormat="1" ht="12" customHeight="1" thickBot="1" x14ac:dyDescent="0.3">
      <c r="A65" s="58">
        <v>750</v>
      </c>
      <c r="B65" s="34"/>
      <c r="C65" s="35"/>
      <c r="D65" s="36" t="s">
        <v>76</v>
      </c>
      <c r="E65" s="33">
        <v>90076853.670000002</v>
      </c>
      <c r="F65" s="37">
        <f>SUM(F66,)</f>
        <v>10000</v>
      </c>
      <c r="G65" s="37">
        <f t="shared" ref="G65:H65" si="15">SUM(G66,)</f>
        <v>10000</v>
      </c>
      <c r="H65" s="37">
        <f t="shared" si="15"/>
        <v>37721131.219999999</v>
      </c>
    </row>
    <row r="66" spans="1:8" s="19" customFormat="1" ht="12" customHeight="1" thickTop="1" x14ac:dyDescent="0.25">
      <c r="A66" s="38"/>
      <c r="B66" s="29" t="s">
        <v>77</v>
      </c>
      <c r="C66" s="63"/>
      <c r="D66" s="39" t="s">
        <v>17</v>
      </c>
      <c r="E66" s="41">
        <v>37721131.219999999</v>
      </c>
      <c r="F66" s="40">
        <f>SUM(F67)</f>
        <v>10000</v>
      </c>
      <c r="G66" s="40">
        <f>SUM(G67)</f>
        <v>10000</v>
      </c>
      <c r="H66" s="41">
        <f>SUM(E66+F66-G66)</f>
        <v>37721131.219999999</v>
      </c>
    </row>
    <row r="67" spans="1:8" s="19" customFormat="1" ht="12" customHeight="1" x14ac:dyDescent="0.25">
      <c r="A67" s="38"/>
      <c r="B67" s="29"/>
      <c r="C67" s="87"/>
      <c r="D67" s="484" t="s">
        <v>78</v>
      </c>
      <c r="E67" s="485">
        <v>342000</v>
      </c>
      <c r="F67" s="486">
        <f>SUM(F68:F69)</f>
        <v>10000</v>
      </c>
      <c r="G67" s="486">
        <f>SUM(G68:G69)</f>
        <v>10000</v>
      </c>
      <c r="H67" s="485">
        <f t="shared" ref="H67:H69" si="16">SUM(E67+F67-G67)</f>
        <v>342000</v>
      </c>
    </row>
    <row r="68" spans="1:8" s="19" customFormat="1" ht="12" customHeight="1" x14ac:dyDescent="0.25">
      <c r="A68" s="38"/>
      <c r="B68" s="29"/>
      <c r="C68" s="51" t="s">
        <v>79</v>
      </c>
      <c r="D68" s="50" t="s">
        <v>80</v>
      </c>
      <c r="E68" s="88">
        <v>7000</v>
      </c>
      <c r="F68" s="89">
        <v>10000</v>
      </c>
      <c r="G68" s="89"/>
      <c r="H68" s="90">
        <f t="shared" si="16"/>
        <v>17000</v>
      </c>
    </row>
    <row r="69" spans="1:8" s="19" customFormat="1" ht="12" customHeight="1" x14ac:dyDescent="0.25">
      <c r="A69" s="38"/>
      <c r="B69" s="29"/>
      <c r="C69" s="72">
        <v>4300</v>
      </c>
      <c r="D69" s="91" t="s">
        <v>68</v>
      </c>
      <c r="E69" s="88">
        <v>29800</v>
      </c>
      <c r="F69" s="89"/>
      <c r="G69" s="89">
        <v>10000</v>
      </c>
      <c r="H69" s="90">
        <f t="shared" si="16"/>
        <v>19800</v>
      </c>
    </row>
    <row r="70" spans="1:8" s="19" customFormat="1" ht="12" customHeight="1" thickBot="1" x14ac:dyDescent="0.3">
      <c r="A70" s="58">
        <v>754</v>
      </c>
      <c r="B70" s="61"/>
      <c r="C70" s="61"/>
      <c r="D70" s="92" t="s">
        <v>52</v>
      </c>
      <c r="E70" s="33">
        <v>8183854.9199999999</v>
      </c>
      <c r="F70" s="37">
        <f>SUM(F71,)</f>
        <v>22499</v>
      </c>
      <c r="G70" s="37">
        <f>SUM(G71,)</f>
        <v>22499</v>
      </c>
      <c r="H70" s="33">
        <f>SUM(E70+F70-G70)</f>
        <v>8183854.9199999999</v>
      </c>
    </row>
    <row r="71" spans="1:8" s="19" customFormat="1" ht="12" customHeight="1" thickTop="1" x14ac:dyDescent="0.25">
      <c r="A71" s="58"/>
      <c r="B71" s="63">
        <v>75416</v>
      </c>
      <c r="C71" s="63"/>
      <c r="D71" s="39" t="s">
        <v>81</v>
      </c>
      <c r="E71" s="41">
        <v>7698219.3200000003</v>
      </c>
      <c r="F71" s="40">
        <f>SUM(F72,)</f>
        <v>22499</v>
      </c>
      <c r="G71" s="40">
        <f>SUM(G72,)</f>
        <v>22499</v>
      </c>
      <c r="H71" s="41">
        <f>SUM(E71+F71-G71)</f>
        <v>7698219.3200000003</v>
      </c>
    </row>
    <row r="72" spans="1:8" s="19" customFormat="1" ht="12" customHeight="1" x14ac:dyDescent="0.25">
      <c r="A72" s="58"/>
      <c r="B72" s="63"/>
      <c r="C72" s="63"/>
      <c r="D72" s="487" t="s">
        <v>82</v>
      </c>
      <c r="E72" s="66">
        <v>6392490.0800000001</v>
      </c>
      <c r="F72" s="477">
        <f>SUM(F73:F79)</f>
        <v>22499</v>
      </c>
      <c r="G72" s="477">
        <f>SUM(G73:G79)</f>
        <v>22499</v>
      </c>
      <c r="H72" s="66">
        <f>SUM(E72+F72-G72)</f>
        <v>6392490.0800000001</v>
      </c>
    </row>
    <row r="73" spans="1:8" s="19" customFormat="1" ht="12" customHeight="1" x14ac:dyDescent="0.25">
      <c r="A73" s="58"/>
      <c r="B73" s="63"/>
      <c r="C73" s="63">
        <v>4040</v>
      </c>
      <c r="D73" s="68" t="s">
        <v>58</v>
      </c>
      <c r="E73" s="45">
        <v>357402</v>
      </c>
      <c r="F73" s="46"/>
      <c r="G73" s="46">
        <v>22499</v>
      </c>
      <c r="H73" s="45">
        <f t="shared" ref="H73:H79" si="17">SUM(E73+F73-G73)</f>
        <v>334903</v>
      </c>
    </row>
    <row r="74" spans="1:8" s="19" customFormat="1" ht="12" customHeight="1" x14ac:dyDescent="0.25">
      <c r="A74" s="58"/>
      <c r="B74" s="63"/>
      <c r="C74" s="51" t="s">
        <v>79</v>
      </c>
      <c r="D74" s="50" t="s">
        <v>80</v>
      </c>
      <c r="E74" s="45">
        <v>84210</v>
      </c>
      <c r="F74" s="46">
        <v>8871</v>
      </c>
      <c r="G74" s="46"/>
      <c r="H74" s="45">
        <f t="shared" si="17"/>
        <v>93081</v>
      </c>
    </row>
    <row r="75" spans="1:8" s="19" customFormat="1" ht="12" customHeight="1" x14ac:dyDescent="0.25">
      <c r="A75" s="58"/>
      <c r="B75" s="29"/>
      <c r="C75" s="67">
        <v>4300</v>
      </c>
      <c r="D75" s="50" t="s">
        <v>68</v>
      </c>
      <c r="E75" s="45">
        <v>113690</v>
      </c>
      <c r="F75" s="46">
        <v>8871</v>
      </c>
      <c r="G75" s="45"/>
      <c r="H75" s="45">
        <f t="shared" si="17"/>
        <v>122561</v>
      </c>
    </row>
    <row r="76" spans="1:8" s="19" customFormat="1" ht="12" customHeight="1" x14ac:dyDescent="0.25">
      <c r="A76" s="38"/>
      <c r="B76" s="29"/>
      <c r="C76" s="67">
        <v>4360</v>
      </c>
      <c r="D76" s="50" t="s">
        <v>83</v>
      </c>
      <c r="E76" s="45">
        <v>22085</v>
      </c>
      <c r="F76" s="45">
        <v>500</v>
      </c>
      <c r="G76" s="45"/>
      <c r="H76" s="45">
        <f t="shared" si="17"/>
        <v>22585</v>
      </c>
    </row>
    <row r="77" spans="1:8" s="19" customFormat="1" ht="12" customHeight="1" x14ac:dyDescent="0.25">
      <c r="A77" s="38"/>
      <c r="B77" s="29"/>
      <c r="C77" s="67">
        <v>4410</v>
      </c>
      <c r="D77" s="50" t="s">
        <v>84</v>
      </c>
      <c r="E77" s="45">
        <v>1256</v>
      </c>
      <c r="F77" s="45">
        <v>500</v>
      </c>
      <c r="G77" s="45"/>
      <c r="H77" s="45">
        <f t="shared" si="17"/>
        <v>1756</v>
      </c>
    </row>
    <row r="78" spans="1:8" s="19" customFormat="1" ht="12" customHeight="1" x14ac:dyDescent="0.25">
      <c r="A78" s="38"/>
      <c r="B78" s="29"/>
      <c r="C78" s="67">
        <v>4430</v>
      </c>
      <c r="D78" s="50" t="s">
        <v>85</v>
      </c>
      <c r="E78" s="45">
        <v>41000</v>
      </c>
      <c r="F78" s="45">
        <v>3500</v>
      </c>
      <c r="G78" s="45"/>
      <c r="H78" s="45">
        <f t="shared" si="17"/>
        <v>44500</v>
      </c>
    </row>
    <row r="79" spans="1:8" s="19" customFormat="1" ht="12" customHeight="1" x14ac:dyDescent="0.25">
      <c r="A79" s="38"/>
      <c r="B79" s="29"/>
      <c r="C79" s="67">
        <v>4480</v>
      </c>
      <c r="D79" s="50" t="s">
        <v>86</v>
      </c>
      <c r="E79" s="45">
        <v>7420</v>
      </c>
      <c r="F79" s="45">
        <v>257</v>
      </c>
      <c r="G79" s="45"/>
      <c r="H79" s="45">
        <f t="shared" si="17"/>
        <v>7677</v>
      </c>
    </row>
    <row r="80" spans="1:8" s="19" customFormat="1" ht="12" customHeight="1" thickBot="1" x14ac:dyDescent="0.3">
      <c r="A80" s="34">
        <v>801</v>
      </c>
      <c r="B80" s="34"/>
      <c r="C80" s="35"/>
      <c r="D80" s="36" t="s">
        <v>36</v>
      </c>
      <c r="E80" s="1">
        <v>239176045.15999997</v>
      </c>
      <c r="F80" s="37">
        <f>SUM(F81,F88,F102,F105,F108,F115,F121,F133,F137,)</f>
        <v>1272427.17</v>
      </c>
      <c r="G80" s="37">
        <f>SUM(G81,G88,G102,G105,G108,G115,G121,G133,G137,)</f>
        <v>1038905.2</v>
      </c>
      <c r="H80" s="33">
        <f>SUM(E80+F80-G80)</f>
        <v>239409567.12999997</v>
      </c>
    </row>
    <row r="81" spans="1:8" s="19" customFormat="1" ht="12" customHeight="1" thickTop="1" x14ac:dyDescent="0.25">
      <c r="A81" s="34"/>
      <c r="B81" s="38">
        <v>80101</v>
      </c>
      <c r="C81" s="29"/>
      <c r="D81" s="39" t="s">
        <v>87</v>
      </c>
      <c r="E81" s="41">
        <v>125071559.23999999</v>
      </c>
      <c r="F81" s="40">
        <f>SUM(F82,)</f>
        <v>32800</v>
      </c>
      <c r="G81" s="40">
        <f>SUM(G82,)</f>
        <v>28300</v>
      </c>
      <c r="H81" s="41">
        <f>SUM(E81+F81-G81)</f>
        <v>125076059.23999999</v>
      </c>
    </row>
    <row r="82" spans="1:8" s="19" customFormat="1" ht="12" customHeight="1" x14ac:dyDescent="0.25">
      <c r="A82" s="34"/>
      <c r="B82" s="38"/>
      <c r="C82" s="29"/>
      <c r="D82" s="481" t="s">
        <v>88</v>
      </c>
      <c r="E82" s="66">
        <v>105808974.88</v>
      </c>
      <c r="F82" s="66">
        <f>SUM(F83:F87)</f>
        <v>32800</v>
      </c>
      <c r="G82" s="66">
        <f>SUM(G83:G87)</f>
        <v>28300</v>
      </c>
      <c r="H82" s="66">
        <f>SUM(E82+F82-G82)</f>
        <v>105813474.88</v>
      </c>
    </row>
    <row r="83" spans="1:8" s="19" customFormat="1" ht="12" customHeight="1" x14ac:dyDescent="0.25">
      <c r="A83" s="34"/>
      <c r="B83" s="38"/>
      <c r="C83" s="63">
        <v>4040</v>
      </c>
      <c r="D83" s="68" t="s">
        <v>58</v>
      </c>
      <c r="E83" s="45">
        <v>1262161</v>
      </c>
      <c r="F83" s="45"/>
      <c r="G83" s="45">
        <v>11600</v>
      </c>
      <c r="H83" s="45">
        <f t="shared" ref="H83:H87" si="18">SUM(E83+F83-G83)</f>
        <v>1250561</v>
      </c>
    </row>
    <row r="84" spans="1:8" s="19" customFormat="1" ht="12" customHeight="1" x14ac:dyDescent="0.25">
      <c r="A84" s="34"/>
      <c r="B84" s="38"/>
      <c r="C84" s="51" t="s">
        <v>79</v>
      </c>
      <c r="D84" s="50" t="s">
        <v>80</v>
      </c>
      <c r="E84" s="45">
        <v>597868</v>
      </c>
      <c r="F84" s="45">
        <v>25000</v>
      </c>
      <c r="G84" s="45"/>
      <c r="H84" s="45">
        <f t="shared" si="18"/>
        <v>622868</v>
      </c>
    </row>
    <row r="85" spans="1:8" s="19" customFormat="1" ht="12" customHeight="1" x14ac:dyDescent="0.25">
      <c r="A85" s="34"/>
      <c r="B85" s="38"/>
      <c r="C85" s="67">
        <v>4300</v>
      </c>
      <c r="D85" s="50" t="s">
        <v>68</v>
      </c>
      <c r="E85" s="46">
        <v>1099381.2</v>
      </c>
      <c r="F85" s="46">
        <v>7000</v>
      </c>
      <c r="G85" s="46"/>
      <c r="H85" s="45">
        <f t="shared" si="18"/>
        <v>1106381.2</v>
      </c>
    </row>
    <row r="86" spans="1:8" s="19" customFormat="1" ht="12" customHeight="1" x14ac:dyDescent="0.25">
      <c r="A86" s="34"/>
      <c r="B86" s="38"/>
      <c r="C86" s="67">
        <v>4430</v>
      </c>
      <c r="D86" s="50" t="s">
        <v>85</v>
      </c>
      <c r="E86" s="46">
        <v>10056</v>
      </c>
      <c r="F86" s="46">
        <v>800</v>
      </c>
      <c r="G86" s="46"/>
      <c r="H86" s="45">
        <f t="shared" si="18"/>
        <v>10856</v>
      </c>
    </row>
    <row r="87" spans="1:8" s="19" customFormat="1" ht="12" customHeight="1" x14ac:dyDescent="0.25">
      <c r="A87" s="34"/>
      <c r="B87" s="38"/>
      <c r="C87" s="63">
        <v>4800</v>
      </c>
      <c r="D87" s="19" t="s">
        <v>89</v>
      </c>
      <c r="E87" s="46">
        <v>4807775</v>
      </c>
      <c r="F87" s="46"/>
      <c r="G87" s="46">
        <v>16700</v>
      </c>
      <c r="H87" s="45">
        <f t="shared" si="18"/>
        <v>4791075</v>
      </c>
    </row>
    <row r="88" spans="1:8" s="19" customFormat="1" ht="12" customHeight="1" x14ac:dyDescent="0.25">
      <c r="A88" s="38"/>
      <c r="B88" s="38">
        <v>80104</v>
      </c>
      <c r="C88" s="29"/>
      <c r="D88" s="39" t="s">
        <v>90</v>
      </c>
      <c r="E88" s="40">
        <v>59233073.730000004</v>
      </c>
      <c r="F88" s="40">
        <f>SUM(F89,)</f>
        <v>94856</v>
      </c>
      <c r="G88" s="40">
        <f>SUM(G89,)</f>
        <v>201548</v>
      </c>
      <c r="H88" s="41">
        <f>SUM(E88+F88-G88)</f>
        <v>59126381.730000004</v>
      </c>
    </row>
    <row r="89" spans="1:8" s="19" customFormat="1" ht="12" customHeight="1" x14ac:dyDescent="0.25">
      <c r="A89" s="38"/>
      <c r="B89" s="38"/>
      <c r="C89" s="29"/>
      <c r="D89" s="481" t="s">
        <v>88</v>
      </c>
      <c r="E89" s="66">
        <v>45295800.730000004</v>
      </c>
      <c r="F89" s="66">
        <f>SUM(F90:F101)</f>
        <v>94856</v>
      </c>
      <c r="G89" s="66">
        <f>SUM(G90:G101)</f>
        <v>201548</v>
      </c>
      <c r="H89" s="66">
        <f>SUM(E89+F89-G89)</f>
        <v>45189108.730000004</v>
      </c>
    </row>
    <row r="90" spans="1:8" s="19" customFormat="1" ht="12" customHeight="1" x14ac:dyDescent="0.25">
      <c r="A90" s="38"/>
      <c r="B90" s="38"/>
      <c r="C90" s="67">
        <v>3020</v>
      </c>
      <c r="D90" s="50" t="s">
        <v>91</v>
      </c>
      <c r="E90" s="45">
        <v>84002</v>
      </c>
      <c r="F90" s="45">
        <v>1000</v>
      </c>
      <c r="G90" s="45"/>
      <c r="H90" s="45">
        <f t="shared" ref="H90:H117" si="19">SUM(E90+F90-G90)</f>
        <v>85002</v>
      </c>
    </row>
    <row r="91" spans="1:8" s="19" customFormat="1" ht="12" customHeight="1" x14ac:dyDescent="0.25">
      <c r="A91" s="38"/>
      <c r="B91" s="38"/>
      <c r="C91" s="63">
        <v>4040</v>
      </c>
      <c r="D91" s="68" t="s">
        <v>58</v>
      </c>
      <c r="E91" s="45">
        <v>1132365</v>
      </c>
      <c r="F91" s="45"/>
      <c r="G91" s="45">
        <v>32872</v>
      </c>
      <c r="H91" s="45">
        <f t="shared" si="19"/>
        <v>1099493</v>
      </c>
    </row>
    <row r="92" spans="1:8" s="19" customFormat="1" ht="12" customHeight="1" x14ac:dyDescent="0.25">
      <c r="A92" s="38"/>
      <c r="B92" s="38"/>
      <c r="C92" s="51" t="s">
        <v>79</v>
      </c>
      <c r="D92" s="50" t="s">
        <v>80</v>
      </c>
      <c r="E92" s="45">
        <v>473234.65</v>
      </c>
      <c r="F92" s="45">
        <v>38160</v>
      </c>
      <c r="G92" s="45"/>
      <c r="H92" s="45">
        <f>SUM(E92+F92-G92)</f>
        <v>511394.65</v>
      </c>
    </row>
    <row r="93" spans="1:8" s="19" customFormat="1" ht="12" customHeight="1" x14ac:dyDescent="0.25">
      <c r="A93" s="38"/>
      <c r="B93" s="38"/>
      <c r="C93" s="67">
        <v>4240</v>
      </c>
      <c r="D93" s="50" t="s">
        <v>92</v>
      </c>
      <c r="E93" s="45">
        <v>88796.5</v>
      </c>
      <c r="F93" s="45">
        <v>21808</v>
      </c>
      <c r="G93" s="45"/>
      <c r="H93" s="45">
        <f t="shared" si="19"/>
        <v>110604.5</v>
      </c>
    </row>
    <row r="94" spans="1:8" s="19" customFormat="1" ht="12" customHeight="1" x14ac:dyDescent="0.25">
      <c r="A94" s="38"/>
      <c r="B94" s="38"/>
      <c r="C94" s="67">
        <v>4260</v>
      </c>
      <c r="D94" s="50" t="s">
        <v>93</v>
      </c>
      <c r="E94" s="45">
        <v>2518877</v>
      </c>
      <c r="F94" s="45">
        <v>13900</v>
      </c>
      <c r="G94" s="45"/>
      <c r="H94" s="45">
        <f t="shared" si="19"/>
        <v>2532777</v>
      </c>
    </row>
    <row r="95" spans="1:8" s="19" customFormat="1" ht="12" customHeight="1" x14ac:dyDescent="0.25">
      <c r="A95" s="38"/>
      <c r="B95" s="38"/>
      <c r="C95" s="67">
        <v>4270</v>
      </c>
      <c r="D95" s="50" t="s">
        <v>73</v>
      </c>
      <c r="E95" s="45">
        <v>299860</v>
      </c>
      <c r="F95" s="45">
        <v>4400</v>
      </c>
      <c r="G95" s="45"/>
      <c r="H95" s="45">
        <f t="shared" si="19"/>
        <v>304260</v>
      </c>
    </row>
    <row r="96" spans="1:8" s="19" customFormat="1" ht="12" customHeight="1" x14ac:dyDescent="0.25">
      <c r="A96" s="38"/>
      <c r="B96" s="38"/>
      <c r="C96" s="67">
        <v>4280</v>
      </c>
      <c r="D96" s="50" t="s">
        <v>59</v>
      </c>
      <c r="E96" s="45">
        <v>41902</v>
      </c>
      <c r="F96" s="45"/>
      <c r="G96" s="45">
        <v>500</v>
      </c>
      <c r="H96" s="45">
        <f t="shared" si="19"/>
        <v>41402</v>
      </c>
    </row>
    <row r="97" spans="1:8" s="19" customFormat="1" ht="12" customHeight="1" x14ac:dyDescent="0.25">
      <c r="A97" s="38"/>
      <c r="B97" s="38"/>
      <c r="C97" s="67">
        <v>4300</v>
      </c>
      <c r="D97" s="50" t="s">
        <v>68</v>
      </c>
      <c r="E97" s="45">
        <v>824856</v>
      </c>
      <c r="F97" s="45">
        <v>12288</v>
      </c>
      <c r="G97" s="45"/>
      <c r="H97" s="45">
        <f t="shared" si="19"/>
        <v>837144</v>
      </c>
    </row>
    <row r="98" spans="1:8" s="19" customFormat="1" ht="12" customHeight="1" x14ac:dyDescent="0.25">
      <c r="A98" s="38"/>
      <c r="B98" s="38"/>
      <c r="C98" s="67">
        <v>4360</v>
      </c>
      <c r="D98" s="50" t="s">
        <v>83</v>
      </c>
      <c r="E98" s="45">
        <v>25347</v>
      </c>
      <c r="F98" s="45">
        <v>200</v>
      </c>
      <c r="G98" s="45"/>
      <c r="H98" s="45">
        <f t="shared" si="19"/>
        <v>25547</v>
      </c>
    </row>
    <row r="99" spans="1:8" s="19" customFormat="1" ht="12" customHeight="1" x14ac:dyDescent="0.25">
      <c r="A99" s="38"/>
      <c r="B99" s="38"/>
      <c r="C99" s="59">
        <v>4700</v>
      </c>
      <c r="D99" s="69" t="s">
        <v>60</v>
      </c>
      <c r="E99" s="45">
        <v>58110</v>
      </c>
      <c r="F99" s="45">
        <v>3100</v>
      </c>
      <c r="G99" s="45"/>
      <c r="H99" s="45">
        <f t="shared" si="19"/>
        <v>61210</v>
      </c>
    </row>
    <row r="100" spans="1:8" s="19" customFormat="1" ht="12" customHeight="1" x14ac:dyDescent="0.25">
      <c r="A100" s="38"/>
      <c r="B100" s="38"/>
      <c r="C100" s="63">
        <v>4790</v>
      </c>
      <c r="D100" s="68" t="s">
        <v>94</v>
      </c>
      <c r="E100" s="45">
        <v>17617010.68</v>
      </c>
      <c r="F100" s="45"/>
      <c r="G100" s="45">
        <v>109500</v>
      </c>
      <c r="H100" s="45">
        <f t="shared" si="19"/>
        <v>17507510.68</v>
      </c>
    </row>
    <row r="101" spans="1:8" s="19" customFormat="1" ht="12" customHeight="1" x14ac:dyDescent="0.25">
      <c r="A101" s="38"/>
      <c r="B101" s="38"/>
      <c r="C101" s="67">
        <v>4800</v>
      </c>
      <c r="D101" s="93" t="s">
        <v>89</v>
      </c>
      <c r="E101" s="46">
        <v>1547810</v>
      </c>
      <c r="F101" s="46"/>
      <c r="G101" s="46">
        <v>58676</v>
      </c>
      <c r="H101" s="45">
        <f t="shared" si="19"/>
        <v>1489134</v>
      </c>
    </row>
    <row r="102" spans="1:8" s="19" customFormat="1" ht="12" customHeight="1" x14ac:dyDescent="0.25">
      <c r="A102" s="38"/>
      <c r="B102" s="38">
        <v>80107</v>
      </c>
      <c r="C102" s="29"/>
      <c r="D102" s="64" t="s">
        <v>95</v>
      </c>
      <c r="E102" s="41">
        <v>7535331</v>
      </c>
      <c r="F102" s="40">
        <f>SUM(F103,)</f>
        <v>0</v>
      </c>
      <c r="G102" s="40">
        <f>SUM(G103,)</f>
        <v>3700</v>
      </c>
      <c r="H102" s="41">
        <f t="shared" si="19"/>
        <v>7531631</v>
      </c>
    </row>
    <row r="103" spans="1:8" s="19" customFormat="1" ht="12" customHeight="1" x14ac:dyDescent="0.25">
      <c r="A103" s="38"/>
      <c r="B103" s="34"/>
      <c r="C103" s="29"/>
      <c r="D103" s="481" t="s">
        <v>88</v>
      </c>
      <c r="E103" s="66">
        <v>7535331</v>
      </c>
      <c r="F103" s="477">
        <f>SUM(F104:F104)</f>
        <v>0</v>
      </c>
      <c r="G103" s="477">
        <f>SUM(G104:G104)</f>
        <v>3700</v>
      </c>
      <c r="H103" s="66">
        <f t="shared" si="19"/>
        <v>7531631</v>
      </c>
    </row>
    <row r="104" spans="1:8" s="19" customFormat="1" ht="12" customHeight="1" x14ac:dyDescent="0.25">
      <c r="A104" s="64"/>
      <c r="B104" s="94"/>
      <c r="C104" s="95">
        <v>4800</v>
      </c>
      <c r="D104" s="96" t="s">
        <v>89</v>
      </c>
      <c r="E104" s="40">
        <v>468609</v>
      </c>
      <c r="F104" s="40"/>
      <c r="G104" s="40">
        <v>3700</v>
      </c>
      <c r="H104" s="40">
        <f t="shared" si="19"/>
        <v>464909</v>
      </c>
    </row>
    <row r="105" spans="1:8" s="19" customFormat="1" ht="12" customHeight="1" x14ac:dyDescent="0.25">
      <c r="A105" s="38"/>
      <c r="B105" s="38">
        <v>80113</v>
      </c>
      <c r="C105" s="29"/>
      <c r="D105" s="97" t="s">
        <v>96</v>
      </c>
      <c r="E105" s="41">
        <v>790773</v>
      </c>
      <c r="F105" s="40">
        <f>SUM(F106,)</f>
        <v>0</v>
      </c>
      <c r="G105" s="40">
        <f>SUM(G106,)</f>
        <v>500</v>
      </c>
      <c r="H105" s="41">
        <f t="shared" si="19"/>
        <v>790273</v>
      </c>
    </row>
    <row r="106" spans="1:8" s="19" customFormat="1" ht="12" customHeight="1" x14ac:dyDescent="0.25">
      <c r="A106" s="38"/>
      <c r="B106" s="34"/>
      <c r="C106" s="29"/>
      <c r="D106" s="481" t="s">
        <v>88</v>
      </c>
      <c r="E106" s="66">
        <v>320773</v>
      </c>
      <c r="F106" s="477">
        <f>SUM(F107:F107)</f>
        <v>0</v>
      </c>
      <c r="G106" s="477">
        <f>SUM(G107:G107)</f>
        <v>500</v>
      </c>
      <c r="H106" s="66">
        <f t="shared" si="19"/>
        <v>320273</v>
      </c>
    </row>
    <row r="107" spans="1:8" s="19" customFormat="1" ht="24" customHeight="1" x14ac:dyDescent="0.25">
      <c r="A107" s="38"/>
      <c r="B107" s="34"/>
      <c r="C107" s="59">
        <v>4400</v>
      </c>
      <c r="D107" s="98" t="s">
        <v>97</v>
      </c>
      <c r="E107" s="46">
        <v>12000</v>
      </c>
      <c r="F107" s="46"/>
      <c r="G107" s="46">
        <v>500</v>
      </c>
      <c r="H107" s="46">
        <f t="shared" si="19"/>
        <v>11500</v>
      </c>
    </row>
    <row r="108" spans="1:8" s="19" customFormat="1" ht="12" customHeight="1" x14ac:dyDescent="0.25">
      <c r="A108" s="38"/>
      <c r="B108" s="38">
        <v>80146</v>
      </c>
      <c r="C108" s="29"/>
      <c r="D108" s="39" t="s">
        <v>98</v>
      </c>
      <c r="E108" s="41">
        <v>692859.2</v>
      </c>
      <c r="F108" s="40">
        <f>SUM(F109,F113)</f>
        <v>920600.16999999993</v>
      </c>
      <c r="G108" s="40">
        <f>SUM(G109,G113)</f>
        <v>692859.2</v>
      </c>
      <c r="H108" s="41">
        <f>SUM(E108+F108-G108)</f>
        <v>920600.16999999993</v>
      </c>
    </row>
    <row r="109" spans="1:8" s="19" customFormat="1" ht="12" customHeight="1" x14ac:dyDescent="0.25">
      <c r="A109" s="38"/>
      <c r="B109" s="38"/>
      <c r="C109" s="29"/>
      <c r="D109" s="481" t="s">
        <v>88</v>
      </c>
      <c r="E109" s="66">
        <v>0</v>
      </c>
      <c r="F109" s="477">
        <f>SUM(F110:F112)</f>
        <v>920600.16999999993</v>
      </c>
      <c r="G109" s="477">
        <f>SUM(G110:G112)</f>
        <v>0</v>
      </c>
      <c r="H109" s="66">
        <f t="shared" ref="H109:H114" si="20">SUM(E109+F109-G109)</f>
        <v>920600.16999999993</v>
      </c>
    </row>
    <row r="110" spans="1:8" s="19" customFormat="1" ht="12" customHeight="1" x14ac:dyDescent="0.25">
      <c r="A110" s="38"/>
      <c r="B110" s="38"/>
      <c r="C110" s="63">
        <v>4300</v>
      </c>
      <c r="D110" s="68" t="s">
        <v>68</v>
      </c>
      <c r="E110" s="45">
        <v>0</v>
      </c>
      <c r="F110" s="46">
        <v>307568.32</v>
      </c>
      <c r="G110" s="46"/>
      <c r="H110" s="46">
        <f t="shared" si="20"/>
        <v>307568.32</v>
      </c>
    </row>
    <row r="111" spans="1:8" s="19" customFormat="1" ht="12" customHeight="1" x14ac:dyDescent="0.25">
      <c r="A111" s="38"/>
      <c r="B111" s="38"/>
      <c r="C111" s="63">
        <v>4410</v>
      </c>
      <c r="D111" s="68" t="s">
        <v>84</v>
      </c>
      <c r="E111" s="45">
        <v>0</v>
      </c>
      <c r="F111" s="46">
        <v>32000</v>
      </c>
      <c r="G111" s="46"/>
      <c r="H111" s="46">
        <f t="shared" si="20"/>
        <v>32000</v>
      </c>
    </row>
    <row r="112" spans="1:8" s="19" customFormat="1" ht="12" customHeight="1" x14ac:dyDescent="0.25">
      <c r="A112" s="38"/>
      <c r="B112" s="38"/>
      <c r="C112" s="59">
        <v>4700</v>
      </c>
      <c r="D112" s="44" t="s">
        <v>99</v>
      </c>
      <c r="E112" s="45">
        <v>0</v>
      </c>
      <c r="F112" s="46">
        <v>581031.85</v>
      </c>
      <c r="G112" s="46"/>
      <c r="H112" s="46">
        <f t="shared" si="20"/>
        <v>581031.85</v>
      </c>
    </row>
    <row r="113" spans="1:8" s="19" customFormat="1" ht="12" customHeight="1" x14ac:dyDescent="0.25">
      <c r="A113" s="38"/>
      <c r="B113" s="38"/>
      <c r="C113" s="35"/>
      <c r="D113" s="476" t="s">
        <v>100</v>
      </c>
      <c r="E113" s="66">
        <v>692859.2</v>
      </c>
      <c r="F113" s="66">
        <f>SUM(F114:F114)</f>
        <v>0</v>
      </c>
      <c r="G113" s="66">
        <f>SUM(G114:G114)</f>
        <v>692859.2</v>
      </c>
      <c r="H113" s="66">
        <f t="shared" si="20"/>
        <v>0</v>
      </c>
    </row>
    <row r="114" spans="1:8" s="19" customFormat="1" ht="12" customHeight="1" x14ac:dyDescent="0.25">
      <c r="A114" s="38"/>
      <c r="B114" s="38"/>
      <c r="C114" s="63">
        <v>4300</v>
      </c>
      <c r="D114" s="68" t="s">
        <v>68</v>
      </c>
      <c r="E114" s="46">
        <v>692859.2</v>
      </c>
      <c r="F114" s="46"/>
      <c r="G114" s="46">
        <v>692859.2</v>
      </c>
      <c r="H114" s="46">
        <f t="shared" si="20"/>
        <v>0</v>
      </c>
    </row>
    <row r="115" spans="1:8" s="19" customFormat="1" ht="12" customHeight="1" x14ac:dyDescent="0.25">
      <c r="A115" s="38"/>
      <c r="B115" s="38">
        <v>80148</v>
      </c>
      <c r="C115" s="29"/>
      <c r="D115" s="97" t="s">
        <v>101</v>
      </c>
      <c r="E115" s="41">
        <v>5185890</v>
      </c>
      <c r="F115" s="40">
        <f>SUM(F116,)</f>
        <v>0</v>
      </c>
      <c r="G115" s="40">
        <f>SUM(G116,)</f>
        <v>300</v>
      </c>
      <c r="H115" s="41">
        <f t="shared" si="19"/>
        <v>5185590</v>
      </c>
    </row>
    <row r="116" spans="1:8" s="19" customFormat="1" ht="12" customHeight="1" x14ac:dyDescent="0.25">
      <c r="A116" s="38"/>
      <c r="B116" s="34"/>
      <c r="C116" s="29"/>
      <c r="D116" s="481" t="s">
        <v>88</v>
      </c>
      <c r="E116" s="66">
        <v>5185890</v>
      </c>
      <c r="F116" s="477">
        <f>SUM(F117:F117)</f>
        <v>0</v>
      </c>
      <c r="G116" s="477">
        <f>SUM(G117:G117)</f>
        <v>300</v>
      </c>
      <c r="H116" s="66">
        <f t="shared" si="19"/>
        <v>5185590</v>
      </c>
    </row>
    <row r="117" spans="1:8" s="19" customFormat="1" ht="12" customHeight="1" x14ac:dyDescent="0.25">
      <c r="A117" s="38"/>
      <c r="B117" s="34"/>
      <c r="C117" s="67">
        <v>4710</v>
      </c>
      <c r="D117" s="50" t="s">
        <v>67</v>
      </c>
      <c r="E117" s="46">
        <v>49277</v>
      </c>
      <c r="F117" s="46"/>
      <c r="G117" s="46">
        <v>300</v>
      </c>
      <c r="H117" s="46">
        <f t="shared" si="19"/>
        <v>48977</v>
      </c>
    </row>
    <row r="118" spans="1:8" s="19" customFormat="1" ht="12" customHeight="1" x14ac:dyDescent="0.25">
      <c r="A118" s="38"/>
      <c r="B118" s="38">
        <v>80149</v>
      </c>
      <c r="C118" s="29"/>
      <c r="D118" s="68" t="s">
        <v>102</v>
      </c>
      <c r="E118" s="46"/>
      <c r="F118" s="46"/>
      <c r="G118" s="46"/>
      <c r="H118" s="46"/>
    </row>
    <row r="119" spans="1:8" s="19" customFormat="1" ht="12" customHeight="1" x14ac:dyDescent="0.25">
      <c r="A119" s="38"/>
      <c r="B119" s="38"/>
      <c r="C119" s="29"/>
      <c r="D119" s="68" t="s">
        <v>103</v>
      </c>
      <c r="E119" s="46"/>
      <c r="F119" s="46"/>
      <c r="G119" s="46"/>
      <c r="H119" s="46"/>
    </row>
    <row r="120" spans="1:8" s="19" customFormat="1" ht="12" customHeight="1" x14ac:dyDescent="0.25">
      <c r="A120" s="38"/>
      <c r="B120" s="38"/>
      <c r="C120" s="29"/>
      <c r="D120" s="68" t="s">
        <v>104</v>
      </c>
      <c r="E120" s="46"/>
      <c r="F120" s="46"/>
      <c r="G120" s="46"/>
      <c r="H120" s="46"/>
    </row>
    <row r="121" spans="1:8" s="19" customFormat="1" ht="12" customHeight="1" x14ac:dyDescent="0.25">
      <c r="A121" s="38"/>
      <c r="B121" s="38"/>
      <c r="C121" s="29"/>
      <c r="D121" s="39" t="s">
        <v>105</v>
      </c>
      <c r="E121" s="41">
        <v>8849104.1600000001</v>
      </c>
      <c r="F121" s="40">
        <f>SUM(F122,F125)</f>
        <v>213390</v>
      </c>
      <c r="G121" s="40">
        <f>SUM(G122,G125)</f>
        <v>106698</v>
      </c>
      <c r="H121" s="41">
        <f>SUM(E121+F121-G121)</f>
        <v>8955796.1600000001</v>
      </c>
    </row>
    <row r="122" spans="1:8" s="19" customFormat="1" ht="12" customHeight="1" x14ac:dyDescent="0.25">
      <c r="A122" s="38"/>
      <c r="B122" s="38"/>
      <c r="C122" s="29"/>
      <c r="D122" s="476" t="s">
        <v>100</v>
      </c>
      <c r="E122" s="66">
        <v>4724285.5199999996</v>
      </c>
      <c r="F122" s="66">
        <f>SUM(F123:F124)</f>
        <v>100000</v>
      </c>
      <c r="G122" s="66">
        <f>SUM(G123:G124)</f>
        <v>100000</v>
      </c>
      <c r="H122" s="66">
        <f>SUM(E122+F122-G122)</f>
        <v>4724285.5199999996</v>
      </c>
    </row>
    <row r="123" spans="1:8" s="19" customFormat="1" ht="12" customHeight="1" x14ac:dyDescent="0.25">
      <c r="A123" s="38"/>
      <c r="B123" s="38"/>
      <c r="C123" s="43" t="s">
        <v>106</v>
      </c>
      <c r="D123" s="60" t="s">
        <v>107</v>
      </c>
      <c r="E123" s="46">
        <v>4668710.4099999992</v>
      </c>
      <c r="F123" s="45"/>
      <c r="G123" s="45">
        <v>100000</v>
      </c>
      <c r="H123" s="45">
        <f t="shared" ref="H123:H151" si="21">SUM(E123+F123-G123)</f>
        <v>4568710.4099999992</v>
      </c>
    </row>
    <row r="124" spans="1:8" s="19" customFormat="1" ht="35.25" customHeight="1" x14ac:dyDescent="0.25">
      <c r="A124" s="38"/>
      <c r="B124" s="38"/>
      <c r="C124" s="43" t="s">
        <v>108</v>
      </c>
      <c r="D124" s="60" t="s">
        <v>109</v>
      </c>
      <c r="E124" s="46">
        <v>55575.110000000015</v>
      </c>
      <c r="F124" s="45">
        <v>100000</v>
      </c>
      <c r="G124" s="45"/>
      <c r="H124" s="45">
        <f t="shared" si="21"/>
        <v>155575.11000000002</v>
      </c>
    </row>
    <row r="125" spans="1:8" s="19" customFormat="1" ht="12" customHeight="1" x14ac:dyDescent="0.25">
      <c r="A125" s="38"/>
      <c r="B125" s="34"/>
      <c r="C125" s="29"/>
      <c r="D125" s="481" t="s">
        <v>88</v>
      </c>
      <c r="E125" s="66">
        <v>4124818.64</v>
      </c>
      <c r="F125" s="66">
        <f>SUM(F126:F130)</f>
        <v>113390</v>
      </c>
      <c r="G125" s="66">
        <f>SUM(G126:G130)</f>
        <v>6698</v>
      </c>
      <c r="H125" s="66">
        <f t="shared" si="21"/>
        <v>4231510.6400000006</v>
      </c>
    </row>
    <row r="126" spans="1:8" s="19" customFormat="1" ht="12" customHeight="1" x14ac:dyDescent="0.25">
      <c r="A126" s="38"/>
      <c r="B126" s="34"/>
      <c r="C126" s="67">
        <v>4110</v>
      </c>
      <c r="D126" s="50" t="s">
        <v>110</v>
      </c>
      <c r="E126" s="45">
        <v>578084</v>
      </c>
      <c r="F126" s="46">
        <v>20800</v>
      </c>
      <c r="G126" s="46"/>
      <c r="H126" s="46">
        <f t="shared" si="21"/>
        <v>598884</v>
      </c>
    </row>
    <row r="127" spans="1:8" s="19" customFormat="1" ht="12" customHeight="1" x14ac:dyDescent="0.25">
      <c r="A127" s="38"/>
      <c r="B127" s="34"/>
      <c r="C127" s="67">
        <v>4120</v>
      </c>
      <c r="D127" s="50" t="s">
        <v>66</v>
      </c>
      <c r="E127" s="45">
        <v>81674</v>
      </c>
      <c r="F127" s="46">
        <v>2900</v>
      </c>
      <c r="G127" s="46"/>
      <c r="H127" s="46">
        <f t="shared" si="21"/>
        <v>84574</v>
      </c>
    </row>
    <row r="128" spans="1:8" s="19" customFormat="1" ht="12" customHeight="1" x14ac:dyDescent="0.25">
      <c r="A128" s="38"/>
      <c r="B128" s="34"/>
      <c r="C128" s="67">
        <v>4240</v>
      </c>
      <c r="D128" s="50" t="s">
        <v>92</v>
      </c>
      <c r="E128" s="45">
        <v>42250.9</v>
      </c>
      <c r="F128" s="46">
        <v>3890</v>
      </c>
      <c r="G128" s="46"/>
      <c r="H128" s="46">
        <f t="shared" si="21"/>
        <v>46140.9</v>
      </c>
    </row>
    <row r="129" spans="1:8" s="19" customFormat="1" ht="12" customHeight="1" x14ac:dyDescent="0.25">
      <c r="A129" s="38"/>
      <c r="B129" s="34"/>
      <c r="C129" s="63">
        <v>4790</v>
      </c>
      <c r="D129" s="68" t="s">
        <v>94</v>
      </c>
      <c r="E129" s="45">
        <v>2733385.74</v>
      </c>
      <c r="F129" s="46">
        <v>85800</v>
      </c>
      <c r="G129" s="46"/>
      <c r="H129" s="46">
        <f t="shared" si="21"/>
        <v>2819185.74</v>
      </c>
    </row>
    <row r="130" spans="1:8" s="19" customFormat="1" ht="12" customHeight="1" x14ac:dyDescent="0.25">
      <c r="A130" s="38"/>
      <c r="B130" s="34"/>
      <c r="C130" s="63">
        <v>4800</v>
      </c>
      <c r="D130" s="19" t="s">
        <v>89</v>
      </c>
      <c r="E130" s="45">
        <v>308869</v>
      </c>
      <c r="F130" s="46"/>
      <c r="G130" s="46">
        <v>6698</v>
      </c>
      <c r="H130" s="46">
        <f t="shared" si="21"/>
        <v>302171</v>
      </c>
    </row>
    <row r="131" spans="1:8" s="19" customFormat="1" ht="12" customHeight="1" x14ac:dyDescent="0.25">
      <c r="A131" s="38"/>
      <c r="B131" s="38">
        <v>80150</v>
      </c>
      <c r="C131" s="29"/>
      <c r="D131" s="68" t="s">
        <v>102</v>
      </c>
      <c r="E131" s="46"/>
      <c r="F131" s="46"/>
      <c r="G131" s="46"/>
      <c r="H131" s="46"/>
    </row>
    <row r="132" spans="1:8" s="19" customFormat="1" ht="12" customHeight="1" x14ac:dyDescent="0.25">
      <c r="A132" s="38"/>
      <c r="B132" s="38"/>
      <c r="C132" s="29"/>
      <c r="D132" s="68" t="s">
        <v>111</v>
      </c>
      <c r="E132" s="46"/>
      <c r="F132" s="46"/>
      <c r="G132" s="46"/>
      <c r="H132" s="46"/>
    </row>
    <row r="133" spans="1:8" s="19" customFormat="1" ht="12" customHeight="1" x14ac:dyDescent="0.25">
      <c r="A133" s="38"/>
      <c r="B133" s="38"/>
      <c r="C133" s="29"/>
      <c r="D133" s="39" t="s">
        <v>112</v>
      </c>
      <c r="E133" s="41">
        <v>18637350.670000002</v>
      </c>
      <c r="F133" s="40">
        <f>SUM(F134)</f>
        <v>5000</v>
      </c>
      <c r="G133" s="40">
        <f>SUM(G134)</f>
        <v>5000</v>
      </c>
      <c r="H133" s="41">
        <f>SUM(E133+F133-G133)</f>
        <v>18637350.670000002</v>
      </c>
    </row>
    <row r="134" spans="1:8" s="19" customFormat="1" ht="12" customHeight="1" x14ac:dyDescent="0.25">
      <c r="A134" s="38"/>
      <c r="B134" s="38"/>
      <c r="C134" s="29"/>
      <c r="D134" s="481" t="s">
        <v>88</v>
      </c>
      <c r="E134" s="66">
        <v>17654282.66</v>
      </c>
      <c r="F134" s="66">
        <f>SUM(F135:F136)</f>
        <v>5000</v>
      </c>
      <c r="G134" s="66">
        <f>SUM(G135:G136)</f>
        <v>5000</v>
      </c>
      <c r="H134" s="66">
        <f t="shared" ref="H134:H136" si="22">SUM(E134+F134-G134)</f>
        <v>17654282.66</v>
      </c>
    </row>
    <row r="135" spans="1:8" s="19" customFormat="1" ht="12" customHeight="1" x14ac:dyDescent="0.25">
      <c r="A135" s="38"/>
      <c r="B135" s="38"/>
      <c r="C135" s="67">
        <v>4710</v>
      </c>
      <c r="D135" s="50" t="s">
        <v>67</v>
      </c>
      <c r="E135" s="45">
        <v>81578</v>
      </c>
      <c r="F135" s="46">
        <v>5000</v>
      </c>
      <c r="G135" s="46"/>
      <c r="H135" s="46">
        <f t="shared" si="22"/>
        <v>86578</v>
      </c>
    </row>
    <row r="136" spans="1:8" s="19" customFormat="1" ht="12" customHeight="1" x14ac:dyDescent="0.25">
      <c r="A136" s="38"/>
      <c r="B136" s="38"/>
      <c r="C136" s="63">
        <v>4790</v>
      </c>
      <c r="D136" s="68" t="s">
        <v>94</v>
      </c>
      <c r="E136" s="45">
        <v>12359549.76</v>
      </c>
      <c r="F136" s="46"/>
      <c r="G136" s="46">
        <v>5000</v>
      </c>
      <c r="H136" s="46">
        <f t="shared" si="22"/>
        <v>12354549.76</v>
      </c>
    </row>
    <row r="137" spans="1:8" s="19" customFormat="1" ht="12" customHeight="1" x14ac:dyDescent="0.25">
      <c r="A137" s="38"/>
      <c r="B137" s="38">
        <v>80195</v>
      </c>
      <c r="C137" s="29"/>
      <c r="D137" s="97" t="s">
        <v>17</v>
      </c>
      <c r="E137" s="40">
        <v>10845221.699999999</v>
      </c>
      <c r="F137" s="40">
        <f>SUM(F138,)</f>
        <v>5781</v>
      </c>
      <c r="G137" s="40">
        <f>SUM(G138,)</f>
        <v>0</v>
      </c>
      <c r="H137" s="41">
        <f>SUM(E137+F137-G137)</f>
        <v>10851002.699999999</v>
      </c>
    </row>
    <row r="138" spans="1:8" s="19" customFormat="1" ht="24" customHeight="1" x14ac:dyDescent="0.25">
      <c r="A138" s="38"/>
      <c r="B138" s="38"/>
      <c r="C138" s="29"/>
      <c r="D138" s="476" t="s">
        <v>113</v>
      </c>
      <c r="E138" s="66">
        <v>100525</v>
      </c>
      <c r="F138" s="66">
        <f>SUM(F139:F139)</f>
        <v>5781</v>
      </c>
      <c r="G138" s="66">
        <f>SUM(G139:G139)</f>
        <v>0</v>
      </c>
      <c r="H138" s="66">
        <f t="shared" ref="H138:H139" si="23">SUM(E138+F138-G138)</f>
        <v>106306</v>
      </c>
    </row>
    <row r="139" spans="1:8" s="19" customFormat="1" ht="12" customHeight="1" x14ac:dyDescent="0.25">
      <c r="A139" s="38"/>
      <c r="B139" s="38"/>
      <c r="C139" s="67">
        <v>4247</v>
      </c>
      <c r="D139" s="50" t="s">
        <v>92</v>
      </c>
      <c r="E139" s="45">
        <v>100525</v>
      </c>
      <c r="F139" s="45">
        <v>5781</v>
      </c>
      <c r="G139" s="45"/>
      <c r="H139" s="45">
        <f t="shared" si="23"/>
        <v>106306</v>
      </c>
    </row>
    <row r="140" spans="1:8" s="19" customFormat="1" ht="12" customHeight="1" thickBot="1" x14ac:dyDescent="0.3">
      <c r="A140" s="35" t="s">
        <v>114</v>
      </c>
      <c r="B140" s="34"/>
      <c r="C140" s="35"/>
      <c r="D140" s="36" t="s">
        <v>115</v>
      </c>
      <c r="E140" s="33">
        <v>12184212.83</v>
      </c>
      <c r="F140" s="37">
        <f>SUM(F141,)</f>
        <v>74882</v>
      </c>
      <c r="G140" s="37">
        <f>SUM(G141,)</f>
        <v>74882</v>
      </c>
      <c r="H140" s="33">
        <f t="shared" si="21"/>
        <v>12184212.83</v>
      </c>
    </row>
    <row r="141" spans="1:8" s="19" customFormat="1" ht="12" customHeight="1" thickTop="1" x14ac:dyDescent="0.25">
      <c r="A141" s="35"/>
      <c r="B141" s="63">
        <v>85154</v>
      </c>
      <c r="C141" s="48"/>
      <c r="D141" s="64" t="s">
        <v>116</v>
      </c>
      <c r="E141" s="41">
        <v>6630167.8300000001</v>
      </c>
      <c r="F141" s="40">
        <f>SUM(F142,F146,F148)</f>
        <v>74882</v>
      </c>
      <c r="G141" s="40">
        <f>SUM(G142,G146,G148)</f>
        <v>74882</v>
      </c>
      <c r="H141" s="41">
        <f t="shared" si="21"/>
        <v>6630167.8300000001</v>
      </c>
    </row>
    <row r="142" spans="1:8" s="19" customFormat="1" ht="12" customHeight="1" x14ac:dyDescent="0.25">
      <c r="A142" s="35"/>
      <c r="B142" s="63"/>
      <c r="C142" s="29"/>
      <c r="D142" s="481" t="s">
        <v>117</v>
      </c>
      <c r="E142" s="488">
        <v>1779878.95</v>
      </c>
      <c r="F142" s="477">
        <f>SUM(F143:F145)</f>
        <v>41482</v>
      </c>
      <c r="G142" s="477">
        <f>SUM(G143:G145)</f>
        <v>74882</v>
      </c>
      <c r="H142" s="66">
        <f t="shared" si="21"/>
        <v>1746478.95</v>
      </c>
    </row>
    <row r="143" spans="1:8" s="19" customFormat="1" ht="47.25" customHeight="1" x14ac:dyDescent="0.25">
      <c r="A143" s="35"/>
      <c r="B143" s="63"/>
      <c r="C143" s="43" t="s">
        <v>118</v>
      </c>
      <c r="D143" s="69" t="s">
        <v>119</v>
      </c>
      <c r="E143" s="46">
        <v>850000</v>
      </c>
      <c r="F143" s="46">
        <v>41482</v>
      </c>
      <c r="G143" s="46"/>
      <c r="H143" s="45">
        <f>SUM(E143+F143-G143)</f>
        <v>891482</v>
      </c>
    </row>
    <row r="144" spans="1:8" s="19" customFormat="1" ht="12" customHeight="1" x14ac:dyDescent="0.25">
      <c r="A144" s="35"/>
      <c r="B144" s="63"/>
      <c r="C144" s="67">
        <v>4280</v>
      </c>
      <c r="D144" s="50" t="s">
        <v>59</v>
      </c>
      <c r="E144" s="45">
        <v>260000</v>
      </c>
      <c r="F144" s="46"/>
      <c r="G144" s="46">
        <f>41482+18400</f>
        <v>59882</v>
      </c>
      <c r="H144" s="46">
        <f t="shared" si="21"/>
        <v>200118</v>
      </c>
    </row>
    <row r="145" spans="1:8" s="19" customFormat="1" ht="12" customHeight="1" x14ac:dyDescent="0.25">
      <c r="A145" s="35"/>
      <c r="B145" s="63"/>
      <c r="C145" s="72">
        <v>4300</v>
      </c>
      <c r="D145" s="91" t="s">
        <v>68</v>
      </c>
      <c r="E145" s="99">
        <v>402628.95</v>
      </c>
      <c r="F145" s="46"/>
      <c r="G145" s="46">
        <f>15000</f>
        <v>15000</v>
      </c>
      <c r="H145" s="46">
        <f t="shared" si="21"/>
        <v>387628.95</v>
      </c>
    </row>
    <row r="146" spans="1:8" s="19" customFormat="1" ht="12" customHeight="1" x14ac:dyDescent="0.25">
      <c r="A146" s="35"/>
      <c r="B146" s="63"/>
      <c r="C146" s="100"/>
      <c r="D146" s="480" t="s">
        <v>120</v>
      </c>
      <c r="E146" s="489">
        <v>1525558.88</v>
      </c>
      <c r="F146" s="490">
        <f>SUM(F147:F147)</f>
        <v>15000</v>
      </c>
      <c r="G146" s="490">
        <f>SUM(G147:G147)</f>
        <v>0</v>
      </c>
      <c r="H146" s="489">
        <f t="shared" si="21"/>
        <v>1540558.88</v>
      </c>
    </row>
    <row r="147" spans="1:8" s="19" customFormat="1" ht="12" customHeight="1" x14ac:dyDescent="0.25">
      <c r="A147" s="35"/>
      <c r="B147" s="63"/>
      <c r="C147" s="51" t="s">
        <v>79</v>
      </c>
      <c r="D147" s="50" t="s">
        <v>80</v>
      </c>
      <c r="E147" s="101">
        <v>85130</v>
      </c>
      <c r="F147" s="90">
        <v>15000</v>
      </c>
      <c r="G147" s="90"/>
      <c r="H147" s="101">
        <f t="shared" si="21"/>
        <v>100130</v>
      </c>
    </row>
    <row r="148" spans="1:8" s="19" customFormat="1" ht="12" customHeight="1" x14ac:dyDescent="0.25">
      <c r="A148" s="35"/>
      <c r="B148" s="63"/>
      <c r="C148" s="29"/>
      <c r="D148" s="481" t="s">
        <v>121</v>
      </c>
      <c r="E148" s="66">
        <v>0</v>
      </c>
      <c r="F148" s="477">
        <f>SUM(F149:F151)</f>
        <v>18400</v>
      </c>
      <c r="G148" s="477">
        <f>SUM(G149:G151)</f>
        <v>0</v>
      </c>
      <c r="H148" s="66">
        <f t="shared" si="21"/>
        <v>18400</v>
      </c>
    </row>
    <row r="149" spans="1:8" s="19" customFormat="1" ht="12" customHeight="1" x14ac:dyDescent="0.25">
      <c r="A149" s="35"/>
      <c r="B149" s="58"/>
      <c r="C149" s="67">
        <v>4170</v>
      </c>
      <c r="D149" s="50" t="s">
        <v>122</v>
      </c>
      <c r="E149" s="45">
        <v>0</v>
      </c>
      <c r="F149" s="46">
        <v>9600</v>
      </c>
      <c r="G149" s="46"/>
      <c r="H149" s="46">
        <f t="shared" si="21"/>
        <v>9600</v>
      </c>
    </row>
    <row r="150" spans="1:8" s="19" customFormat="1" ht="12" customHeight="1" x14ac:dyDescent="0.25">
      <c r="A150" s="35"/>
      <c r="B150" s="58"/>
      <c r="C150" s="51" t="s">
        <v>79</v>
      </c>
      <c r="D150" s="50" t="s">
        <v>80</v>
      </c>
      <c r="E150" s="45">
        <v>0</v>
      </c>
      <c r="F150" s="46">
        <v>4200</v>
      </c>
      <c r="G150" s="46"/>
      <c r="H150" s="46">
        <f t="shared" si="21"/>
        <v>4200</v>
      </c>
    </row>
    <row r="151" spans="1:8" s="19" customFormat="1" ht="12" customHeight="1" x14ac:dyDescent="0.25">
      <c r="A151" s="35"/>
      <c r="B151" s="58"/>
      <c r="C151" s="59">
        <v>4700</v>
      </c>
      <c r="D151" s="44" t="s">
        <v>60</v>
      </c>
      <c r="E151" s="45">
        <v>0</v>
      </c>
      <c r="F151" s="46">
        <v>4600</v>
      </c>
      <c r="G151" s="46"/>
      <c r="H151" s="46">
        <f t="shared" si="21"/>
        <v>4600</v>
      </c>
    </row>
    <row r="152" spans="1:8" s="19" customFormat="1" ht="12" customHeight="1" thickBot="1" x14ac:dyDescent="0.3">
      <c r="A152" s="35" t="s">
        <v>26</v>
      </c>
      <c r="B152" s="34"/>
      <c r="C152" s="35"/>
      <c r="D152" s="36" t="s">
        <v>27</v>
      </c>
      <c r="E152" s="1">
        <v>88216109.849999994</v>
      </c>
      <c r="F152" s="37">
        <f>SUM(F153,F158,F163,F169)</f>
        <v>23122</v>
      </c>
      <c r="G152" s="37">
        <f>SUM(G153,G158,G163,G169)</f>
        <v>23122</v>
      </c>
      <c r="H152" s="33">
        <f>SUM(E152+F152-G152)</f>
        <v>88216109.849999994</v>
      </c>
    </row>
    <row r="153" spans="1:8" s="19" customFormat="1" ht="12" customHeight="1" thickTop="1" x14ac:dyDescent="0.25">
      <c r="A153" s="35"/>
      <c r="B153" s="102" t="s">
        <v>123</v>
      </c>
      <c r="C153" s="103"/>
      <c r="D153" s="97" t="s">
        <v>124</v>
      </c>
      <c r="E153" s="104">
        <v>69184</v>
      </c>
      <c r="F153" s="105">
        <f>SUM(F154,)</f>
        <v>2975</v>
      </c>
      <c r="G153" s="105">
        <f>SUM(G154,)</f>
        <v>2975</v>
      </c>
      <c r="H153" s="104">
        <f t="shared" ref="H153:H168" si="24">SUM(E153+F153-G153)</f>
        <v>69184</v>
      </c>
    </row>
    <row r="154" spans="1:8" s="19" customFormat="1" ht="12" customHeight="1" x14ac:dyDescent="0.25">
      <c r="A154" s="35"/>
      <c r="B154" s="87"/>
      <c r="C154" s="100"/>
      <c r="D154" s="480" t="s">
        <v>120</v>
      </c>
      <c r="E154" s="489">
        <v>69184</v>
      </c>
      <c r="F154" s="490">
        <f>SUM(F155:F157)</f>
        <v>2975</v>
      </c>
      <c r="G154" s="490">
        <f>SUM(G155:G157)</f>
        <v>2975</v>
      </c>
      <c r="H154" s="489">
        <f t="shared" si="24"/>
        <v>69184</v>
      </c>
    </row>
    <row r="155" spans="1:8" s="19" customFormat="1" ht="12" customHeight="1" x14ac:dyDescent="0.25">
      <c r="A155" s="35"/>
      <c r="B155" s="106"/>
      <c r="C155" s="107" t="s">
        <v>125</v>
      </c>
      <c r="D155" s="108" t="s">
        <v>110</v>
      </c>
      <c r="E155" s="101">
        <v>3872</v>
      </c>
      <c r="F155" s="90">
        <v>2606</v>
      </c>
      <c r="G155" s="90"/>
      <c r="H155" s="101">
        <f t="shared" si="24"/>
        <v>6478</v>
      </c>
    </row>
    <row r="156" spans="1:8" s="19" customFormat="1" ht="12" customHeight="1" x14ac:dyDescent="0.25">
      <c r="A156" s="35"/>
      <c r="B156" s="106"/>
      <c r="C156" s="87">
        <v>4120</v>
      </c>
      <c r="D156" s="108" t="s">
        <v>66</v>
      </c>
      <c r="E156" s="101">
        <v>542</v>
      </c>
      <c r="F156" s="90">
        <v>369</v>
      </c>
      <c r="G156" s="90"/>
      <c r="H156" s="101">
        <f t="shared" si="24"/>
        <v>911</v>
      </c>
    </row>
    <row r="157" spans="1:8" s="19" customFormat="1" ht="12" customHeight="1" x14ac:dyDescent="0.25">
      <c r="A157" s="109"/>
      <c r="B157" s="110"/>
      <c r="C157" s="111">
        <v>4170</v>
      </c>
      <c r="D157" s="112" t="s">
        <v>122</v>
      </c>
      <c r="E157" s="105">
        <v>50400</v>
      </c>
      <c r="F157" s="104"/>
      <c r="G157" s="104">
        <v>2975</v>
      </c>
      <c r="H157" s="105">
        <f t="shared" si="24"/>
        <v>47425</v>
      </c>
    </row>
    <row r="158" spans="1:8" s="19" customFormat="1" ht="12" customHeight="1" x14ac:dyDescent="0.25">
      <c r="A158" s="34"/>
      <c r="B158" s="63">
        <v>85219</v>
      </c>
      <c r="C158" s="48"/>
      <c r="D158" s="64" t="s">
        <v>48</v>
      </c>
      <c r="E158" s="41">
        <v>19601688.339999996</v>
      </c>
      <c r="F158" s="40">
        <f>SUM(F159)</f>
        <v>16934</v>
      </c>
      <c r="G158" s="40">
        <f>SUM(G159)</f>
        <v>16934</v>
      </c>
      <c r="H158" s="41">
        <f t="shared" si="24"/>
        <v>19601688.339999996</v>
      </c>
    </row>
    <row r="159" spans="1:8" s="19" customFormat="1" ht="12" customHeight="1" x14ac:dyDescent="0.25">
      <c r="A159" s="34"/>
      <c r="B159" s="58"/>
      <c r="C159" s="72"/>
      <c r="D159" s="476" t="s">
        <v>120</v>
      </c>
      <c r="E159" s="66">
        <v>19429794.339999996</v>
      </c>
      <c r="F159" s="477">
        <f>SUM(F160:F161)</f>
        <v>16934</v>
      </c>
      <c r="G159" s="477">
        <f>SUM(G160:G161)</f>
        <v>16934</v>
      </c>
      <c r="H159" s="66">
        <f t="shared" si="24"/>
        <v>19429794.339999996</v>
      </c>
    </row>
    <row r="160" spans="1:8" s="19" customFormat="1" ht="12" customHeight="1" x14ac:dyDescent="0.25">
      <c r="A160" s="34"/>
      <c r="B160" s="58"/>
      <c r="C160" s="67">
        <v>4140</v>
      </c>
      <c r="D160" s="69" t="s">
        <v>126</v>
      </c>
      <c r="E160" s="45">
        <v>72000</v>
      </c>
      <c r="F160" s="46"/>
      <c r="G160" s="46">
        <v>16934</v>
      </c>
      <c r="H160" s="45">
        <f t="shared" si="24"/>
        <v>55066</v>
      </c>
    </row>
    <row r="161" spans="1:8" s="19" customFormat="1" ht="11.25" customHeight="1" x14ac:dyDescent="0.25">
      <c r="A161" s="34"/>
      <c r="B161" s="58"/>
      <c r="C161" s="67">
        <v>4440</v>
      </c>
      <c r="D161" s="50" t="s">
        <v>127</v>
      </c>
      <c r="E161" s="45">
        <v>511999</v>
      </c>
      <c r="F161" s="45">
        <v>16934</v>
      </c>
      <c r="G161" s="46"/>
      <c r="H161" s="45">
        <f t="shared" si="24"/>
        <v>528933</v>
      </c>
    </row>
    <row r="162" spans="1:8" s="19" customFormat="1" ht="11.25" customHeight="1" x14ac:dyDescent="0.25">
      <c r="A162" s="34"/>
      <c r="B162" s="63">
        <v>85220</v>
      </c>
      <c r="C162" s="48"/>
      <c r="D162" s="38" t="s">
        <v>128</v>
      </c>
      <c r="E162" s="45"/>
      <c r="F162" s="45"/>
      <c r="G162" s="46"/>
      <c r="H162" s="45"/>
    </row>
    <row r="163" spans="1:8" s="19" customFormat="1" ht="12" customHeight="1" x14ac:dyDescent="0.25">
      <c r="A163" s="34"/>
      <c r="B163" s="42"/>
      <c r="C163" s="48"/>
      <c r="D163" s="64" t="s">
        <v>129</v>
      </c>
      <c r="E163" s="41">
        <v>1038976.46</v>
      </c>
      <c r="F163" s="40">
        <f>SUM(F165)</f>
        <v>1759</v>
      </c>
      <c r="G163" s="40">
        <f>SUM(G165)</f>
        <v>1759</v>
      </c>
      <c r="H163" s="41">
        <f t="shared" si="24"/>
        <v>1038976.46</v>
      </c>
    </row>
    <row r="164" spans="1:8" s="19" customFormat="1" ht="12" customHeight="1" x14ac:dyDescent="0.25">
      <c r="A164" s="34"/>
      <c r="B164" s="42"/>
      <c r="C164" s="48"/>
      <c r="D164" s="68" t="s">
        <v>130</v>
      </c>
      <c r="E164" s="45"/>
      <c r="F164" s="46"/>
      <c r="G164" s="46"/>
      <c r="H164" s="45"/>
    </row>
    <row r="165" spans="1:8" s="19" customFormat="1" ht="12" customHeight="1" x14ac:dyDescent="0.25">
      <c r="A165" s="34"/>
      <c r="B165" s="63"/>
      <c r="C165" s="29"/>
      <c r="D165" s="476" t="s">
        <v>131</v>
      </c>
      <c r="E165" s="66">
        <v>995796.46</v>
      </c>
      <c r="F165" s="477">
        <f>SUM(F166:F168)</f>
        <v>1759</v>
      </c>
      <c r="G165" s="477">
        <f>SUM(G166:G168)</f>
        <v>1759</v>
      </c>
      <c r="H165" s="66">
        <f t="shared" si="24"/>
        <v>995796.46</v>
      </c>
    </row>
    <row r="166" spans="1:8" s="19" customFormat="1" ht="12" customHeight="1" x14ac:dyDescent="0.25">
      <c r="A166" s="34"/>
      <c r="B166" s="63"/>
      <c r="C166" s="63">
        <v>4040</v>
      </c>
      <c r="D166" s="68" t="s">
        <v>58</v>
      </c>
      <c r="E166" s="45">
        <v>46779</v>
      </c>
      <c r="F166" s="46"/>
      <c r="G166" s="46">
        <v>1030</v>
      </c>
      <c r="H166" s="46">
        <f t="shared" si="24"/>
        <v>45749</v>
      </c>
    </row>
    <row r="167" spans="1:8" s="19" customFormat="1" ht="12" customHeight="1" x14ac:dyDescent="0.25">
      <c r="A167" s="34"/>
      <c r="B167" s="63"/>
      <c r="C167" s="67">
        <v>4260</v>
      </c>
      <c r="D167" s="50" t="s">
        <v>93</v>
      </c>
      <c r="E167" s="45">
        <v>18000</v>
      </c>
      <c r="F167" s="46"/>
      <c r="G167" s="46">
        <v>729</v>
      </c>
      <c r="H167" s="46">
        <f t="shared" si="24"/>
        <v>17271</v>
      </c>
    </row>
    <row r="168" spans="1:8" s="19" customFormat="1" ht="12" customHeight="1" x14ac:dyDescent="0.25">
      <c r="A168" s="34"/>
      <c r="B168" s="63"/>
      <c r="C168" s="67">
        <v>4440</v>
      </c>
      <c r="D168" s="50" t="s">
        <v>127</v>
      </c>
      <c r="E168" s="45">
        <v>21787</v>
      </c>
      <c r="F168" s="46">
        <v>1759</v>
      </c>
      <c r="G168" s="46"/>
      <c r="H168" s="46">
        <f t="shared" si="24"/>
        <v>23546</v>
      </c>
    </row>
    <row r="169" spans="1:8" s="19" customFormat="1" ht="12" customHeight="1" x14ac:dyDescent="0.25">
      <c r="A169" s="34"/>
      <c r="B169" s="38">
        <v>85295</v>
      </c>
      <c r="C169" s="29"/>
      <c r="D169" s="39" t="s">
        <v>17</v>
      </c>
      <c r="E169" s="41">
        <v>7260766.2699999996</v>
      </c>
      <c r="F169" s="41">
        <f>SUM(F170,F175)</f>
        <v>1454</v>
      </c>
      <c r="G169" s="41">
        <f>SUM(G170,G175)</f>
        <v>1454</v>
      </c>
      <c r="H169" s="41">
        <f>SUM(E169+F169-G169)</f>
        <v>7260766.2699999996</v>
      </c>
    </row>
    <row r="170" spans="1:8" s="19" customFormat="1" ht="12" customHeight="1" x14ac:dyDescent="0.25">
      <c r="A170" s="34"/>
      <c r="B170" s="34"/>
      <c r="C170" s="29"/>
      <c r="D170" s="481" t="s">
        <v>31</v>
      </c>
      <c r="E170" s="66">
        <v>1987545.42</v>
      </c>
      <c r="F170" s="477">
        <f>SUM(F171:F172)</f>
        <v>355</v>
      </c>
      <c r="G170" s="477">
        <f>SUM(G171:G172)</f>
        <v>355</v>
      </c>
      <c r="H170" s="66">
        <f t="shared" ref="H170:H172" si="25">SUM(E170+F170-G170)</f>
        <v>1987545.42</v>
      </c>
    </row>
    <row r="171" spans="1:8" s="19" customFormat="1" ht="12" customHeight="1" x14ac:dyDescent="0.25">
      <c r="A171" s="34"/>
      <c r="B171" s="34"/>
      <c r="C171" s="63">
        <v>4040</v>
      </c>
      <c r="D171" s="68" t="s">
        <v>58</v>
      </c>
      <c r="E171" s="45">
        <v>102289</v>
      </c>
      <c r="F171" s="46"/>
      <c r="G171" s="46">
        <v>355</v>
      </c>
      <c r="H171" s="46">
        <f t="shared" si="25"/>
        <v>101934</v>
      </c>
    </row>
    <row r="172" spans="1:8" s="19" customFormat="1" ht="12" customHeight="1" x14ac:dyDescent="0.25">
      <c r="A172" s="34"/>
      <c r="B172" s="34"/>
      <c r="C172" s="63">
        <v>4440</v>
      </c>
      <c r="D172" s="68" t="s">
        <v>127</v>
      </c>
      <c r="E172" s="46">
        <v>40851</v>
      </c>
      <c r="F172" s="46">
        <v>355</v>
      </c>
      <c r="G172" s="46"/>
      <c r="H172" s="46">
        <f t="shared" si="25"/>
        <v>41206</v>
      </c>
    </row>
    <row r="173" spans="1:8" s="19" customFormat="1" ht="12" customHeight="1" x14ac:dyDescent="0.25">
      <c r="A173" s="34"/>
      <c r="B173" s="34"/>
      <c r="C173" s="29"/>
      <c r="D173" s="73" t="s">
        <v>132</v>
      </c>
      <c r="E173" s="45"/>
      <c r="F173" s="45"/>
      <c r="G173" s="45"/>
      <c r="H173" s="45"/>
    </row>
    <row r="174" spans="1:8" s="19" customFormat="1" ht="12" customHeight="1" x14ac:dyDescent="0.25">
      <c r="A174" s="34"/>
      <c r="B174" s="34"/>
      <c r="C174" s="29"/>
      <c r="D174" s="73" t="s">
        <v>133</v>
      </c>
      <c r="E174" s="45"/>
      <c r="F174" s="45"/>
      <c r="G174" s="45"/>
      <c r="H174" s="45"/>
    </row>
    <row r="175" spans="1:8" s="19" customFormat="1" ht="12" customHeight="1" x14ac:dyDescent="0.25">
      <c r="A175" s="34"/>
      <c r="B175" s="34"/>
      <c r="C175" s="63"/>
      <c r="D175" s="491" t="s">
        <v>134</v>
      </c>
      <c r="E175" s="66">
        <v>514748.2</v>
      </c>
      <c r="F175" s="66">
        <f>SUM(F176:F177)</f>
        <v>1099</v>
      </c>
      <c r="G175" s="66">
        <f>SUM(G176:G177)</f>
        <v>1099</v>
      </c>
      <c r="H175" s="66">
        <f>SUM(E175+F175-G175)</f>
        <v>514748.2</v>
      </c>
    </row>
    <row r="176" spans="1:8" s="19" customFormat="1" ht="12" customHeight="1" x14ac:dyDescent="0.25">
      <c r="A176" s="34"/>
      <c r="B176" s="34"/>
      <c r="C176" s="51" t="s">
        <v>79</v>
      </c>
      <c r="D176" s="50" t="s">
        <v>80</v>
      </c>
      <c r="E176" s="46">
        <v>36000</v>
      </c>
      <c r="F176" s="46"/>
      <c r="G176" s="46">
        <v>1099</v>
      </c>
      <c r="H176" s="46">
        <f t="shared" ref="H176:H177" si="26">SUM(E176+F176-G176)</f>
        <v>34901</v>
      </c>
    </row>
    <row r="177" spans="1:8" s="19" customFormat="1" ht="12" customHeight="1" x14ac:dyDescent="0.25">
      <c r="A177" s="34"/>
      <c r="B177" s="34"/>
      <c r="C177" s="63">
        <v>4440</v>
      </c>
      <c r="D177" s="68" t="s">
        <v>127</v>
      </c>
      <c r="E177" s="45">
        <v>13617</v>
      </c>
      <c r="F177" s="46">
        <v>1099</v>
      </c>
      <c r="G177" s="46"/>
      <c r="H177" s="46">
        <f t="shared" si="26"/>
        <v>14716</v>
      </c>
    </row>
    <row r="178" spans="1:8" s="19" customFormat="1" ht="12" customHeight="1" thickBot="1" x14ac:dyDescent="0.3">
      <c r="A178" s="58">
        <v>854</v>
      </c>
      <c r="B178" s="34"/>
      <c r="C178" s="35"/>
      <c r="D178" s="36" t="s">
        <v>135</v>
      </c>
      <c r="E178" s="37">
        <v>1558181.5799999998</v>
      </c>
      <c r="F178" s="37">
        <f>SUM(F179,)</f>
        <v>0</v>
      </c>
      <c r="G178" s="37">
        <f>SUM(G179,)</f>
        <v>65174</v>
      </c>
      <c r="H178" s="37">
        <f>SUM(E178+F178-G178)</f>
        <v>1493007.5799999998</v>
      </c>
    </row>
    <row r="179" spans="1:8" s="19" customFormat="1" ht="12" customHeight="1" thickTop="1" x14ac:dyDescent="0.25">
      <c r="A179" s="34"/>
      <c r="B179" s="38">
        <v>85446</v>
      </c>
      <c r="C179" s="29"/>
      <c r="D179" s="39" t="s">
        <v>98</v>
      </c>
      <c r="E179" s="41">
        <v>73971.05</v>
      </c>
      <c r="F179" s="40">
        <f>SUM(F180)</f>
        <v>0</v>
      </c>
      <c r="G179" s="40">
        <f>SUM(G180)</f>
        <v>65174</v>
      </c>
      <c r="H179" s="41">
        <f t="shared" ref="H179:H181" si="27">SUM(E179+F179-G179)</f>
        <v>8797.0500000000029</v>
      </c>
    </row>
    <row r="180" spans="1:8" s="19" customFormat="1" ht="12" customHeight="1" x14ac:dyDescent="0.25">
      <c r="A180" s="34"/>
      <c r="B180" s="38"/>
      <c r="C180" s="35"/>
      <c r="D180" s="476" t="s">
        <v>100</v>
      </c>
      <c r="E180" s="66">
        <v>73971.05</v>
      </c>
      <c r="F180" s="66">
        <f>SUM(F181:F181)</f>
        <v>0</v>
      </c>
      <c r="G180" s="66">
        <f>SUM(G181:G181)</f>
        <v>65174</v>
      </c>
      <c r="H180" s="66">
        <f t="shared" si="27"/>
        <v>8797.0500000000029</v>
      </c>
    </row>
    <row r="181" spans="1:8" s="19" customFormat="1" ht="12" customHeight="1" x14ac:dyDescent="0.25">
      <c r="A181" s="34"/>
      <c r="B181" s="38"/>
      <c r="C181" s="63">
        <v>4300</v>
      </c>
      <c r="D181" s="68" t="s">
        <v>68</v>
      </c>
      <c r="E181" s="46">
        <v>73971.05</v>
      </c>
      <c r="F181" s="46"/>
      <c r="G181" s="46">
        <v>65174</v>
      </c>
      <c r="H181" s="46">
        <f t="shared" si="27"/>
        <v>8797.0500000000029</v>
      </c>
    </row>
    <row r="182" spans="1:8" s="19" customFormat="1" ht="13.5" thickBot="1" x14ac:dyDescent="0.3">
      <c r="A182" s="34">
        <v>855</v>
      </c>
      <c r="B182" s="34"/>
      <c r="C182" s="35"/>
      <c r="D182" s="36" t="s">
        <v>18</v>
      </c>
      <c r="E182" s="1">
        <v>15701520.65</v>
      </c>
      <c r="F182" s="37">
        <f>SUM(F185,F188,)</f>
        <v>1319</v>
      </c>
      <c r="G182" s="37">
        <f>SUM(G185,G188,)</f>
        <v>1319</v>
      </c>
      <c r="H182" s="33">
        <f>SUM(E182+F182-G182)</f>
        <v>15701520.65</v>
      </c>
    </row>
    <row r="183" spans="1:8" s="19" customFormat="1" ht="13.5" thickTop="1" x14ac:dyDescent="0.25">
      <c r="A183" s="34"/>
      <c r="B183" s="63">
        <v>85502</v>
      </c>
      <c r="C183" s="29"/>
      <c r="D183" s="113" t="s">
        <v>136</v>
      </c>
      <c r="E183" s="114"/>
      <c r="F183" s="115"/>
      <c r="G183" s="115"/>
      <c r="H183" s="116"/>
    </row>
    <row r="184" spans="1:8" s="19" customFormat="1" ht="12.75" x14ac:dyDescent="0.25">
      <c r="A184" s="34"/>
      <c r="B184" s="63"/>
      <c r="C184" s="29"/>
      <c r="D184" s="113" t="s">
        <v>137</v>
      </c>
      <c r="E184" s="114"/>
      <c r="F184" s="115"/>
      <c r="G184" s="115"/>
      <c r="H184" s="116"/>
    </row>
    <row r="185" spans="1:8" s="19" customFormat="1" ht="12.75" x14ac:dyDescent="0.25">
      <c r="A185" s="34"/>
      <c r="B185" s="63"/>
      <c r="C185" s="29"/>
      <c r="D185" s="57" t="s">
        <v>138</v>
      </c>
      <c r="E185" s="41">
        <v>1346430</v>
      </c>
      <c r="F185" s="41">
        <f>SUM(F186)</f>
        <v>1319</v>
      </c>
      <c r="G185" s="41">
        <f>SUM(G186)</f>
        <v>0</v>
      </c>
      <c r="H185" s="41">
        <f t="shared" ref="H185:H188" si="28">SUM(E185+F185-G185)</f>
        <v>1347749</v>
      </c>
    </row>
    <row r="186" spans="1:8" s="19" customFormat="1" ht="12.75" x14ac:dyDescent="0.25">
      <c r="A186" s="34"/>
      <c r="B186" s="63"/>
      <c r="C186" s="29"/>
      <c r="D186" s="481" t="s">
        <v>31</v>
      </c>
      <c r="E186" s="66">
        <v>1067370</v>
      </c>
      <c r="F186" s="477">
        <f>SUM(F187:F187)</f>
        <v>1319</v>
      </c>
      <c r="G186" s="477">
        <f>SUM(G187:G187)</f>
        <v>0</v>
      </c>
      <c r="H186" s="66">
        <f t="shared" si="28"/>
        <v>1068689</v>
      </c>
    </row>
    <row r="187" spans="1:8" s="19" customFormat="1" ht="12.75" x14ac:dyDescent="0.25">
      <c r="A187" s="34"/>
      <c r="B187" s="63"/>
      <c r="C187" s="63">
        <v>4440</v>
      </c>
      <c r="D187" s="68" t="s">
        <v>127</v>
      </c>
      <c r="E187" s="45">
        <v>16340</v>
      </c>
      <c r="F187" s="46">
        <v>1319</v>
      </c>
      <c r="G187" s="46"/>
      <c r="H187" s="46">
        <f t="shared" si="28"/>
        <v>17659</v>
      </c>
    </row>
    <row r="188" spans="1:8" s="19" customFormat="1" ht="12.75" x14ac:dyDescent="0.25">
      <c r="A188" s="34"/>
      <c r="B188" s="63">
        <v>85504</v>
      </c>
      <c r="C188" s="29"/>
      <c r="D188" s="117" t="s">
        <v>139</v>
      </c>
      <c r="E188" s="41">
        <v>1978616.76</v>
      </c>
      <c r="F188" s="41">
        <f>SUM(F190,)</f>
        <v>0</v>
      </c>
      <c r="G188" s="41">
        <f>SUM(G190,)</f>
        <v>1319</v>
      </c>
      <c r="H188" s="41">
        <f t="shared" si="28"/>
        <v>1977297.76</v>
      </c>
    </row>
    <row r="189" spans="1:8" s="19" customFormat="1" ht="12.75" x14ac:dyDescent="0.25">
      <c r="A189" s="34"/>
      <c r="B189" s="63"/>
      <c r="C189" s="29"/>
      <c r="D189" s="492" t="s">
        <v>140</v>
      </c>
      <c r="E189" s="45"/>
      <c r="F189" s="45"/>
      <c r="G189" s="45"/>
      <c r="H189" s="45"/>
    </row>
    <row r="190" spans="1:8" s="19" customFormat="1" ht="12.75" x14ac:dyDescent="0.25">
      <c r="A190" s="34"/>
      <c r="B190" s="58"/>
      <c r="C190" s="29"/>
      <c r="D190" s="493" t="s">
        <v>141</v>
      </c>
      <c r="E190" s="66">
        <v>1049830.06</v>
      </c>
      <c r="F190" s="477">
        <f>SUM(F191:F191)</f>
        <v>0</v>
      </c>
      <c r="G190" s="477">
        <f>SUM(G191:G191)</f>
        <v>1319</v>
      </c>
      <c r="H190" s="66">
        <f t="shared" ref="H190:H223" si="29">SUM(E190+F190-G190)</f>
        <v>1048511.06</v>
      </c>
    </row>
    <row r="191" spans="1:8" s="19" customFormat="1" ht="12.75" x14ac:dyDescent="0.25">
      <c r="A191" s="34"/>
      <c r="B191" s="58"/>
      <c r="C191" s="63">
        <v>4440</v>
      </c>
      <c r="D191" s="68" t="s">
        <v>127</v>
      </c>
      <c r="E191" s="45">
        <v>24510</v>
      </c>
      <c r="F191" s="46"/>
      <c r="G191" s="46">
        <v>1319</v>
      </c>
      <c r="H191" s="46">
        <f t="shared" si="29"/>
        <v>23191</v>
      </c>
    </row>
    <row r="192" spans="1:8" s="19" customFormat="1" ht="12" customHeight="1" thickBot="1" x14ac:dyDescent="0.3">
      <c r="A192" s="58">
        <v>900</v>
      </c>
      <c r="B192" s="34"/>
      <c r="C192" s="35"/>
      <c r="D192" s="36" t="s">
        <v>142</v>
      </c>
      <c r="E192" s="33">
        <v>98401541.150000006</v>
      </c>
      <c r="F192" s="37">
        <f>SUM(F193,F198,F204)</f>
        <v>319310</v>
      </c>
      <c r="G192" s="37">
        <f>SUM(G193,G198,G204)</f>
        <v>319310</v>
      </c>
      <c r="H192" s="33">
        <f t="shared" si="29"/>
        <v>98401541.150000006</v>
      </c>
    </row>
    <row r="193" spans="1:8" s="19" customFormat="1" ht="12" customHeight="1" thickTop="1" x14ac:dyDescent="0.25">
      <c r="A193" s="58"/>
      <c r="B193" s="38">
        <v>90004</v>
      </c>
      <c r="C193" s="35"/>
      <c r="D193" s="39" t="s">
        <v>143</v>
      </c>
      <c r="E193" s="41">
        <v>3169248.1</v>
      </c>
      <c r="F193" s="40">
        <f>SUM(F194,F196)</f>
        <v>319140</v>
      </c>
      <c r="G193" s="40">
        <f>SUM(G194,G196)</f>
        <v>200000</v>
      </c>
      <c r="H193" s="41">
        <f t="shared" si="29"/>
        <v>3288388.1</v>
      </c>
    </row>
    <row r="194" spans="1:8" s="19" customFormat="1" ht="12" customHeight="1" x14ac:dyDescent="0.25">
      <c r="A194" s="58"/>
      <c r="B194" s="28"/>
      <c r="C194" s="63"/>
      <c r="D194" s="494" t="s">
        <v>144</v>
      </c>
      <c r="E194" s="66">
        <v>568524.1</v>
      </c>
      <c r="F194" s="477">
        <f>SUM(F195:F195)</f>
        <v>119140</v>
      </c>
      <c r="G194" s="477">
        <f>SUM(G195:G195)</f>
        <v>200000</v>
      </c>
      <c r="H194" s="66">
        <f>SUM(E194+F194-G194)</f>
        <v>487664.1</v>
      </c>
    </row>
    <row r="195" spans="1:8" s="19" customFormat="1" ht="12" customHeight="1" x14ac:dyDescent="0.25">
      <c r="A195" s="58"/>
      <c r="B195" s="34"/>
      <c r="C195" s="38">
        <v>4300</v>
      </c>
      <c r="D195" s="68" t="s">
        <v>68</v>
      </c>
      <c r="E195" s="118">
        <v>498524.1</v>
      </c>
      <c r="F195" s="45">
        <v>119140</v>
      </c>
      <c r="G195" s="45">
        <v>200000</v>
      </c>
      <c r="H195" s="46">
        <f t="shared" ref="H195" si="30">SUM(E195+F195-G195)</f>
        <v>417664.1</v>
      </c>
    </row>
    <row r="196" spans="1:8" s="19" customFormat="1" ht="12" customHeight="1" x14ac:dyDescent="0.25">
      <c r="A196" s="58"/>
      <c r="B196" s="34"/>
      <c r="C196" s="63"/>
      <c r="D196" s="495" t="s">
        <v>145</v>
      </c>
      <c r="E196" s="66">
        <v>2586724</v>
      </c>
      <c r="F196" s="477">
        <f>SUM(F197:F197)</f>
        <v>200000</v>
      </c>
      <c r="G196" s="477">
        <f>SUM(G197:G197)</f>
        <v>0</v>
      </c>
      <c r="H196" s="66">
        <f>SUM(E196+F196-G196)</f>
        <v>2786724</v>
      </c>
    </row>
    <row r="197" spans="1:8" s="19" customFormat="1" ht="12" customHeight="1" x14ac:dyDescent="0.25">
      <c r="A197" s="58"/>
      <c r="B197" s="34"/>
      <c r="C197" s="38">
        <v>4300</v>
      </c>
      <c r="D197" s="68" t="s">
        <v>68</v>
      </c>
      <c r="E197" s="118">
        <v>2097920</v>
      </c>
      <c r="F197" s="45">
        <v>200000</v>
      </c>
      <c r="G197" s="45"/>
      <c r="H197" s="46">
        <f t="shared" ref="H197" si="31">SUM(E197+F197-G197)</f>
        <v>2297920</v>
      </c>
    </row>
    <row r="198" spans="1:8" s="19" customFormat="1" ht="12" customHeight="1" x14ac:dyDescent="0.25">
      <c r="A198" s="58"/>
      <c r="B198" s="38">
        <v>90005</v>
      </c>
      <c r="C198" s="35"/>
      <c r="D198" s="97" t="s">
        <v>146</v>
      </c>
      <c r="E198" s="41">
        <v>16755171.4</v>
      </c>
      <c r="F198" s="41">
        <f>SUM(F199)</f>
        <v>170</v>
      </c>
      <c r="G198" s="41">
        <f>SUM(G199)</f>
        <v>170</v>
      </c>
      <c r="H198" s="41">
        <f t="shared" si="29"/>
        <v>16755171.4</v>
      </c>
    </row>
    <row r="199" spans="1:8" s="19" customFormat="1" ht="12" customHeight="1" x14ac:dyDescent="0.25">
      <c r="A199" s="58"/>
      <c r="B199" s="38"/>
      <c r="C199" s="63"/>
      <c r="D199" s="481" t="s">
        <v>69</v>
      </c>
      <c r="E199" s="66">
        <v>16148539.84</v>
      </c>
      <c r="F199" s="66">
        <f>SUM(F200:F203)</f>
        <v>170</v>
      </c>
      <c r="G199" s="66">
        <f>SUM(G200:G203)</f>
        <v>170</v>
      </c>
      <c r="H199" s="66">
        <f t="shared" si="29"/>
        <v>16148539.84</v>
      </c>
    </row>
    <row r="200" spans="1:8" s="19" customFormat="1" ht="12" customHeight="1" x14ac:dyDescent="0.25">
      <c r="A200" s="58"/>
      <c r="B200" s="38"/>
      <c r="C200" s="107" t="s">
        <v>125</v>
      </c>
      <c r="D200" s="108" t="s">
        <v>110</v>
      </c>
      <c r="E200" s="45">
        <v>2050</v>
      </c>
      <c r="F200" s="45">
        <v>150</v>
      </c>
      <c r="G200" s="45"/>
      <c r="H200" s="45">
        <f t="shared" si="29"/>
        <v>2200</v>
      </c>
    </row>
    <row r="201" spans="1:8" s="19" customFormat="1" ht="12" customHeight="1" x14ac:dyDescent="0.25">
      <c r="A201" s="58"/>
      <c r="B201" s="38"/>
      <c r="C201" s="87">
        <v>4120</v>
      </c>
      <c r="D201" s="108" t="s">
        <v>66</v>
      </c>
      <c r="E201" s="45">
        <v>300</v>
      </c>
      <c r="F201" s="45">
        <v>20</v>
      </c>
      <c r="G201" s="45"/>
      <c r="H201" s="45">
        <f t="shared" si="29"/>
        <v>320</v>
      </c>
    </row>
    <row r="202" spans="1:8" s="19" customFormat="1" ht="12" customHeight="1" x14ac:dyDescent="0.25">
      <c r="A202" s="58"/>
      <c r="B202" s="38"/>
      <c r="C202" s="38">
        <v>4300</v>
      </c>
      <c r="D202" s="68" t="s">
        <v>68</v>
      </c>
      <c r="E202" s="45">
        <v>2000</v>
      </c>
      <c r="F202" s="45"/>
      <c r="G202" s="45">
        <v>130</v>
      </c>
      <c r="H202" s="45">
        <f t="shared" si="29"/>
        <v>1870</v>
      </c>
    </row>
    <row r="203" spans="1:8" s="19" customFormat="1" ht="12" customHeight="1" x14ac:dyDescent="0.25">
      <c r="A203" s="58"/>
      <c r="B203" s="38"/>
      <c r="C203" s="67">
        <v>4710</v>
      </c>
      <c r="D203" s="50" t="s">
        <v>67</v>
      </c>
      <c r="E203" s="45">
        <v>185</v>
      </c>
      <c r="F203" s="46"/>
      <c r="G203" s="46">
        <v>40</v>
      </c>
      <c r="H203" s="45">
        <f t="shared" si="29"/>
        <v>145</v>
      </c>
    </row>
    <row r="204" spans="1:8" s="19" customFormat="1" ht="12" customHeight="1" x14ac:dyDescent="0.25">
      <c r="A204" s="58"/>
      <c r="B204" s="87">
        <v>90095</v>
      </c>
      <c r="C204" s="119"/>
      <c r="D204" s="39" t="s">
        <v>17</v>
      </c>
      <c r="E204" s="104">
        <v>21146756.75</v>
      </c>
      <c r="F204" s="105">
        <f>SUM(F205)</f>
        <v>0</v>
      </c>
      <c r="G204" s="105">
        <f>SUM(G205)</f>
        <v>119140</v>
      </c>
      <c r="H204" s="104">
        <f t="shared" si="29"/>
        <v>21027616.75</v>
      </c>
    </row>
    <row r="205" spans="1:8" s="19" customFormat="1" ht="12.75" x14ac:dyDescent="0.25">
      <c r="A205" s="58"/>
      <c r="B205" s="87"/>
      <c r="C205" s="87"/>
      <c r="D205" s="494" t="s">
        <v>144</v>
      </c>
      <c r="E205" s="489">
        <v>3864364.28</v>
      </c>
      <c r="F205" s="496">
        <f>SUM(F206:F207)</f>
        <v>0</v>
      </c>
      <c r="G205" s="496">
        <f>SUM(G206:G207)</f>
        <v>119140</v>
      </c>
      <c r="H205" s="489">
        <f t="shared" si="29"/>
        <v>3745224.28</v>
      </c>
    </row>
    <row r="206" spans="1:8" s="19" customFormat="1" ht="12" customHeight="1" x14ac:dyDescent="0.25">
      <c r="A206" s="58"/>
      <c r="B206" s="87"/>
      <c r="C206" s="67">
        <v>4170</v>
      </c>
      <c r="D206" s="50" t="s">
        <v>122</v>
      </c>
      <c r="E206" s="90">
        <v>20000</v>
      </c>
      <c r="F206" s="101"/>
      <c r="G206" s="101">
        <v>20000</v>
      </c>
      <c r="H206" s="101">
        <f t="shared" si="29"/>
        <v>0</v>
      </c>
    </row>
    <row r="207" spans="1:8" s="19" customFormat="1" ht="12" customHeight="1" x14ac:dyDescent="0.25">
      <c r="A207" s="58"/>
      <c r="B207" s="87"/>
      <c r="C207" s="38">
        <v>4300</v>
      </c>
      <c r="D207" s="68" t="s">
        <v>68</v>
      </c>
      <c r="E207" s="90">
        <v>2913464.28</v>
      </c>
      <c r="F207" s="101"/>
      <c r="G207" s="101">
        <v>99140</v>
      </c>
      <c r="H207" s="101">
        <f t="shared" si="29"/>
        <v>2814324.28</v>
      </c>
    </row>
    <row r="208" spans="1:8" s="19" customFormat="1" ht="12" customHeight="1" thickBot="1" x14ac:dyDescent="0.3">
      <c r="A208" s="58">
        <v>921</v>
      </c>
      <c r="B208" s="34"/>
      <c r="C208" s="35"/>
      <c r="D208" s="36" t="s">
        <v>147</v>
      </c>
      <c r="E208" s="33">
        <v>22956703.589999996</v>
      </c>
      <c r="F208" s="37">
        <f>SUM(F209,F212,F215)</f>
        <v>56000</v>
      </c>
      <c r="G208" s="37">
        <f>SUM(G209,G212,G215)</f>
        <v>56000</v>
      </c>
      <c r="H208" s="33">
        <f t="shared" si="29"/>
        <v>22956703.589999996</v>
      </c>
    </row>
    <row r="209" spans="1:8" s="19" customFormat="1" ht="12" customHeight="1" thickTop="1" x14ac:dyDescent="0.25">
      <c r="A209" s="58"/>
      <c r="B209" s="72">
        <v>92110</v>
      </c>
      <c r="C209" s="72"/>
      <c r="D209" s="97" t="s">
        <v>148</v>
      </c>
      <c r="E209" s="41">
        <v>1385156.78</v>
      </c>
      <c r="F209" s="41">
        <f>SUM(F210)</f>
        <v>28000</v>
      </c>
      <c r="G209" s="41">
        <f>SUM(G210)</f>
        <v>0</v>
      </c>
      <c r="H209" s="41">
        <f t="shared" si="29"/>
        <v>1413156.78</v>
      </c>
    </row>
    <row r="210" spans="1:8" s="19" customFormat="1" ht="12" customHeight="1" x14ac:dyDescent="0.25">
      <c r="A210" s="58"/>
      <c r="B210" s="28"/>
      <c r="C210" s="63"/>
      <c r="D210" s="484" t="s">
        <v>149</v>
      </c>
      <c r="E210" s="66">
        <v>1385156.78</v>
      </c>
      <c r="F210" s="477">
        <f>SUM(F211:F211)</f>
        <v>28000</v>
      </c>
      <c r="G210" s="477">
        <f>SUM(G211:G211)</f>
        <v>0</v>
      </c>
      <c r="H210" s="66">
        <f t="shared" si="29"/>
        <v>1413156.78</v>
      </c>
    </row>
    <row r="211" spans="1:8" s="19" customFormat="1" ht="24" customHeight="1" x14ac:dyDescent="0.25">
      <c r="A211" s="58"/>
      <c r="B211" s="28"/>
      <c r="C211" s="59">
        <v>2800</v>
      </c>
      <c r="D211" s="60" t="s">
        <v>150</v>
      </c>
      <c r="E211" s="45">
        <v>0</v>
      </c>
      <c r="F211" s="46">
        <v>28000</v>
      </c>
      <c r="G211" s="46"/>
      <c r="H211" s="46">
        <f t="shared" si="29"/>
        <v>28000</v>
      </c>
    </row>
    <row r="212" spans="1:8" s="19" customFormat="1" ht="12" customHeight="1" x14ac:dyDescent="0.25">
      <c r="A212" s="58"/>
      <c r="B212" s="63">
        <v>92113</v>
      </c>
      <c r="C212" s="63"/>
      <c r="D212" s="39" t="s">
        <v>151</v>
      </c>
      <c r="E212" s="41">
        <v>10765880.369999999</v>
      </c>
      <c r="F212" s="41">
        <f>SUM(F213)</f>
        <v>23000</v>
      </c>
      <c r="G212" s="41">
        <f>SUM(G213)</f>
        <v>0</v>
      </c>
      <c r="H212" s="41">
        <f t="shared" si="29"/>
        <v>10788880.369999999</v>
      </c>
    </row>
    <row r="213" spans="1:8" s="19" customFormat="1" ht="12" customHeight="1" x14ac:dyDescent="0.25">
      <c r="A213" s="58"/>
      <c r="B213" s="28"/>
      <c r="C213" s="63"/>
      <c r="D213" s="484" t="s">
        <v>149</v>
      </c>
      <c r="E213" s="66">
        <v>10765880.369999999</v>
      </c>
      <c r="F213" s="477">
        <f>SUM(F214:F214)</f>
        <v>23000</v>
      </c>
      <c r="G213" s="477">
        <f>SUM(G214:G214)</f>
        <v>0</v>
      </c>
      <c r="H213" s="66">
        <f t="shared" si="29"/>
        <v>10788880.369999999</v>
      </c>
    </row>
    <row r="214" spans="1:8" s="19" customFormat="1" ht="24" customHeight="1" x14ac:dyDescent="0.25">
      <c r="A214" s="70"/>
      <c r="B214" s="120"/>
      <c r="C214" s="121">
        <v>2800</v>
      </c>
      <c r="D214" s="122" t="s">
        <v>150</v>
      </c>
      <c r="E214" s="41">
        <v>240000</v>
      </c>
      <c r="F214" s="40">
        <v>23000</v>
      </c>
      <c r="G214" s="40"/>
      <c r="H214" s="40">
        <f t="shared" si="29"/>
        <v>263000</v>
      </c>
    </row>
    <row r="215" spans="1:8" s="19" customFormat="1" ht="12" customHeight="1" x14ac:dyDescent="0.25">
      <c r="A215" s="58"/>
      <c r="B215" s="38">
        <v>92195</v>
      </c>
      <c r="C215" s="48"/>
      <c r="D215" s="39" t="s">
        <v>17</v>
      </c>
      <c r="E215" s="41">
        <v>1335820</v>
      </c>
      <c r="F215" s="41">
        <f>SUM(F216)</f>
        <v>5000</v>
      </c>
      <c r="G215" s="41">
        <f>SUM(G216)</f>
        <v>56000</v>
      </c>
      <c r="H215" s="41">
        <f t="shared" si="29"/>
        <v>1284820</v>
      </c>
    </row>
    <row r="216" spans="1:8" s="19" customFormat="1" ht="12" customHeight="1" x14ac:dyDescent="0.25">
      <c r="A216" s="58"/>
      <c r="B216" s="28"/>
      <c r="C216" s="63"/>
      <c r="D216" s="484" t="s">
        <v>149</v>
      </c>
      <c r="E216" s="66">
        <v>1335820</v>
      </c>
      <c r="F216" s="477">
        <f>SUM(F217:F218)</f>
        <v>5000</v>
      </c>
      <c r="G216" s="477">
        <f>SUM(G217:G218)</f>
        <v>56000</v>
      </c>
      <c r="H216" s="66">
        <f t="shared" si="29"/>
        <v>1284820</v>
      </c>
    </row>
    <row r="217" spans="1:8" s="19" customFormat="1" ht="12" customHeight="1" x14ac:dyDescent="0.25">
      <c r="A217" s="58"/>
      <c r="B217" s="28"/>
      <c r="C217" s="51" t="s">
        <v>79</v>
      </c>
      <c r="D217" s="50" t="s">
        <v>80</v>
      </c>
      <c r="E217" s="46">
        <v>14700</v>
      </c>
      <c r="F217" s="46">
        <v>5000</v>
      </c>
      <c r="G217" s="46"/>
      <c r="H217" s="46">
        <f t="shared" si="29"/>
        <v>19700</v>
      </c>
    </row>
    <row r="218" spans="1:8" s="19" customFormat="1" ht="12" customHeight="1" x14ac:dyDescent="0.25">
      <c r="A218" s="58"/>
      <c r="B218" s="38"/>
      <c r="C218" s="63">
        <v>4300</v>
      </c>
      <c r="D218" s="68" t="s">
        <v>386</v>
      </c>
      <c r="E218" s="45">
        <v>300000</v>
      </c>
      <c r="F218" s="46"/>
      <c r="G218" s="46">
        <v>56000</v>
      </c>
      <c r="H218" s="46">
        <f t="shared" si="29"/>
        <v>244000</v>
      </c>
    </row>
    <row r="219" spans="1:8" s="19" customFormat="1" ht="12" customHeight="1" thickBot="1" x14ac:dyDescent="0.3">
      <c r="A219" s="58">
        <v>926</v>
      </c>
      <c r="B219" s="34"/>
      <c r="C219" s="35"/>
      <c r="D219" s="36" t="s">
        <v>152</v>
      </c>
      <c r="E219" s="33">
        <v>38373954.18</v>
      </c>
      <c r="F219" s="33">
        <f>SUM(F220)</f>
        <v>4400</v>
      </c>
      <c r="G219" s="33">
        <f>SUM(G220)</f>
        <v>4400</v>
      </c>
      <c r="H219" s="33">
        <f t="shared" si="29"/>
        <v>38373954.18</v>
      </c>
    </row>
    <row r="220" spans="1:8" s="19" customFormat="1" ht="12" customHeight="1" thickTop="1" x14ac:dyDescent="0.25">
      <c r="A220" s="58"/>
      <c r="B220" s="63">
        <v>92604</v>
      </c>
      <c r="C220" s="48"/>
      <c r="D220" s="39" t="s">
        <v>153</v>
      </c>
      <c r="E220" s="41">
        <v>20468388.880000003</v>
      </c>
      <c r="F220" s="41">
        <f>SUM(F221)</f>
        <v>4400</v>
      </c>
      <c r="G220" s="41">
        <f>SUM(G221)</f>
        <v>4400</v>
      </c>
      <c r="H220" s="41">
        <f t="shared" si="29"/>
        <v>20468388.880000003</v>
      </c>
    </row>
    <row r="221" spans="1:8" s="19" customFormat="1" ht="12" customHeight="1" x14ac:dyDescent="0.25">
      <c r="A221" s="58"/>
      <c r="B221" s="58"/>
      <c r="C221" s="35"/>
      <c r="D221" s="479" t="s">
        <v>57</v>
      </c>
      <c r="E221" s="66">
        <v>20468388.880000003</v>
      </c>
      <c r="F221" s="66">
        <f>SUM(F222:F223)</f>
        <v>4400</v>
      </c>
      <c r="G221" s="66">
        <f>SUM(G222:G223)</f>
        <v>4400</v>
      </c>
      <c r="H221" s="66">
        <f t="shared" si="29"/>
        <v>20468388.880000003</v>
      </c>
    </row>
    <row r="222" spans="1:8" s="19" customFormat="1" ht="12" customHeight="1" x14ac:dyDescent="0.25">
      <c r="A222" s="58"/>
      <c r="B222" s="38"/>
      <c r="C222" s="67">
        <v>4040</v>
      </c>
      <c r="D222" s="50" t="s">
        <v>58</v>
      </c>
      <c r="E222" s="99">
        <v>627143</v>
      </c>
      <c r="F222" s="45"/>
      <c r="G222" s="45">
        <v>4400</v>
      </c>
      <c r="H222" s="45">
        <f t="shared" si="29"/>
        <v>622743</v>
      </c>
    </row>
    <row r="223" spans="1:8" s="19" customFormat="1" ht="11.25" customHeight="1" x14ac:dyDescent="0.25">
      <c r="A223" s="58"/>
      <c r="B223" s="87"/>
      <c r="C223" s="59">
        <v>4700</v>
      </c>
      <c r="D223" s="69" t="s">
        <v>60</v>
      </c>
      <c r="E223" s="99">
        <v>7759</v>
      </c>
      <c r="F223" s="45">
        <v>4400</v>
      </c>
      <c r="G223" s="45"/>
      <c r="H223" s="45">
        <f t="shared" si="29"/>
        <v>12159</v>
      </c>
    </row>
    <row r="224" spans="1:8" s="19" customFormat="1" ht="19.5" customHeight="1" thickBot="1" x14ac:dyDescent="0.3">
      <c r="A224" s="58"/>
      <c r="B224" s="38"/>
      <c r="C224" s="63"/>
      <c r="D224" s="32" t="s">
        <v>19</v>
      </c>
      <c r="E224" s="33">
        <v>386403546.08000004</v>
      </c>
      <c r="F224" s="33">
        <f>SUM(F225,F233,F294,F305,F321)</f>
        <v>869445.80999999994</v>
      </c>
      <c r="G224" s="33">
        <f>SUM(G225,G233,G294,G305,G321)</f>
        <v>979323.58</v>
      </c>
      <c r="H224" s="33">
        <f>SUM(E224+F224-G224)</f>
        <v>386293668.31000006</v>
      </c>
    </row>
    <row r="225" spans="1:8" s="19" customFormat="1" ht="18" customHeight="1" thickTop="1" thickBot="1" x14ac:dyDescent="0.3">
      <c r="A225" s="123">
        <v>710</v>
      </c>
      <c r="B225" s="75"/>
      <c r="C225" s="76"/>
      <c r="D225" s="124" t="s">
        <v>70</v>
      </c>
      <c r="E225" s="33">
        <v>78500</v>
      </c>
      <c r="F225" s="37">
        <f>SUM(F226)</f>
        <v>52689.2</v>
      </c>
      <c r="G225" s="37">
        <f>SUM(G226)</f>
        <v>0</v>
      </c>
      <c r="H225" s="33">
        <f>SUM(E225+F225-G225)</f>
        <v>131189.20000000001</v>
      </c>
    </row>
    <row r="226" spans="1:8" s="19" customFormat="1" ht="12" customHeight="1" thickTop="1" x14ac:dyDescent="0.25">
      <c r="A226" s="80"/>
      <c r="B226" s="75">
        <v>71095</v>
      </c>
      <c r="C226" s="75"/>
      <c r="D226" s="81" t="s">
        <v>17</v>
      </c>
      <c r="E226" s="82">
        <v>78500</v>
      </c>
      <c r="F226" s="82">
        <f>SUM(F227,)</f>
        <v>52689.2</v>
      </c>
      <c r="G226" s="82">
        <f>SUM(G227,)</f>
        <v>0</v>
      </c>
      <c r="H226" s="82">
        <f>SUM(E226+F226-G226)</f>
        <v>131189.20000000001</v>
      </c>
    </row>
    <row r="227" spans="1:8" s="19" customFormat="1" ht="12" customHeight="1" x14ac:dyDescent="0.25">
      <c r="A227" s="80"/>
      <c r="B227" s="75"/>
      <c r="C227" s="75"/>
      <c r="D227" s="482" t="s">
        <v>71</v>
      </c>
      <c r="E227" s="483">
        <v>78500</v>
      </c>
      <c r="F227" s="483">
        <f>SUM(F228:F232)</f>
        <v>52689.2</v>
      </c>
      <c r="G227" s="483">
        <f>SUM(G228:G232)</f>
        <v>0</v>
      </c>
      <c r="H227" s="483">
        <f>SUM(E227+F227-G227)</f>
        <v>131189.20000000001</v>
      </c>
    </row>
    <row r="228" spans="1:8" s="19" customFormat="1" ht="12" customHeight="1" x14ac:dyDescent="0.25">
      <c r="A228" s="80"/>
      <c r="B228" s="75"/>
      <c r="C228" s="75">
        <v>4210</v>
      </c>
      <c r="D228" s="83" t="s">
        <v>72</v>
      </c>
      <c r="E228" s="84">
        <v>2500</v>
      </c>
      <c r="F228" s="84">
        <v>3500</v>
      </c>
      <c r="G228" s="84"/>
      <c r="H228" s="85">
        <f>SUM(E228+F228-G228)</f>
        <v>6000</v>
      </c>
    </row>
    <row r="229" spans="1:8" s="19" customFormat="1" ht="12" customHeight="1" x14ac:dyDescent="0.25">
      <c r="A229" s="80"/>
      <c r="B229" s="75"/>
      <c r="C229" s="75">
        <v>4270</v>
      </c>
      <c r="D229" s="83" t="s">
        <v>73</v>
      </c>
      <c r="E229" s="84">
        <v>1500</v>
      </c>
      <c r="F229" s="84">
        <v>1500</v>
      </c>
      <c r="G229" s="84"/>
      <c r="H229" s="85">
        <f t="shared" ref="H229:H232" si="32">SUM(E229+F229-G229)</f>
        <v>3000</v>
      </c>
    </row>
    <row r="230" spans="1:8" s="19" customFormat="1" ht="12" customHeight="1" x14ac:dyDescent="0.25">
      <c r="A230" s="80"/>
      <c r="B230" s="75"/>
      <c r="C230" s="75">
        <v>4300</v>
      </c>
      <c r="D230" s="83" t="s">
        <v>68</v>
      </c>
      <c r="E230" s="84">
        <v>71000</v>
      </c>
      <c r="F230" s="84">
        <v>46925</v>
      </c>
      <c r="G230" s="84"/>
      <c r="H230" s="85">
        <f t="shared" si="32"/>
        <v>117925</v>
      </c>
    </row>
    <row r="231" spans="1:8" s="19" customFormat="1" ht="12" customHeight="1" x14ac:dyDescent="0.25">
      <c r="A231" s="80"/>
      <c r="B231" s="75"/>
      <c r="C231" s="75">
        <v>4410</v>
      </c>
      <c r="D231" s="83" t="s">
        <v>74</v>
      </c>
      <c r="E231" s="84">
        <v>1000</v>
      </c>
      <c r="F231" s="84">
        <v>164.2</v>
      </c>
      <c r="G231" s="84"/>
      <c r="H231" s="85">
        <f t="shared" si="32"/>
        <v>1164.2</v>
      </c>
    </row>
    <row r="232" spans="1:8" s="19" customFormat="1" ht="12" customHeight="1" x14ac:dyDescent="0.25">
      <c r="A232" s="80"/>
      <c r="B232" s="75"/>
      <c r="C232" s="75">
        <v>4700</v>
      </c>
      <c r="D232" s="86" t="s">
        <v>75</v>
      </c>
      <c r="E232" s="84">
        <v>2500</v>
      </c>
      <c r="F232" s="84">
        <v>600</v>
      </c>
      <c r="G232" s="84"/>
      <c r="H232" s="85">
        <f t="shared" si="32"/>
        <v>3100</v>
      </c>
    </row>
    <row r="233" spans="1:8" s="19" customFormat="1" ht="12" customHeight="1" thickBot="1" x14ac:dyDescent="0.3">
      <c r="A233" s="34">
        <v>801</v>
      </c>
      <c r="B233" s="34"/>
      <c r="C233" s="35"/>
      <c r="D233" s="36" t="s">
        <v>36</v>
      </c>
      <c r="E233" s="1">
        <v>210401300.77999994</v>
      </c>
      <c r="F233" s="37">
        <f>SUM(F234,F238,F245,F252,F260,F276,F281)</f>
        <v>705568.57</v>
      </c>
      <c r="G233" s="37">
        <f>SUM(G234,G238,G245,G252,G260,G276,G281)</f>
        <v>933309.53999999992</v>
      </c>
      <c r="H233" s="33">
        <f>SUM(E233+F233-G233)</f>
        <v>210173559.80999994</v>
      </c>
    </row>
    <row r="234" spans="1:8" s="19" customFormat="1" ht="12" customHeight="1" thickTop="1" x14ac:dyDescent="0.25">
      <c r="A234" s="34"/>
      <c r="B234" s="38">
        <v>80107</v>
      </c>
      <c r="C234" s="29"/>
      <c r="D234" s="64" t="s">
        <v>95</v>
      </c>
      <c r="E234" s="41">
        <v>1763254</v>
      </c>
      <c r="F234" s="40">
        <f>SUM(F235,)</f>
        <v>7000</v>
      </c>
      <c r="G234" s="40">
        <f>SUM(G235,)</f>
        <v>7000</v>
      </c>
      <c r="H234" s="41">
        <f>SUM(E234+F234-G234)</f>
        <v>1763254</v>
      </c>
    </row>
    <row r="235" spans="1:8" s="19" customFormat="1" ht="12" customHeight="1" x14ac:dyDescent="0.25">
      <c r="A235" s="34"/>
      <c r="B235" s="38"/>
      <c r="C235" s="29"/>
      <c r="D235" s="481" t="s">
        <v>88</v>
      </c>
      <c r="E235" s="66">
        <v>1763254</v>
      </c>
      <c r="F235" s="66">
        <f>SUM(F236:F237)</f>
        <v>7000</v>
      </c>
      <c r="G235" s="66">
        <f>SUM(G236:G237)</f>
        <v>7000</v>
      </c>
      <c r="H235" s="66">
        <f>SUM(E235+F235-G235)</f>
        <v>1763254</v>
      </c>
    </row>
    <row r="236" spans="1:8" s="19" customFormat="1" ht="12" customHeight="1" x14ac:dyDescent="0.25">
      <c r="A236" s="34"/>
      <c r="B236" s="38"/>
      <c r="C236" s="67">
        <v>4710</v>
      </c>
      <c r="D236" s="50" t="s">
        <v>67</v>
      </c>
      <c r="E236" s="45">
        <v>10000</v>
      </c>
      <c r="F236" s="45">
        <v>7000</v>
      </c>
      <c r="G236" s="45"/>
      <c r="H236" s="45">
        <f t="shared" ref="H236:H237" si="33">SUM(E236+F236-G236)</f>
        <v>17000</v>
      </c>
    </row>
    <row r="237" spans="1:8" s="19" customFormat="1" ht="12" customHeight="1" x14ac:dyDescent="0.25">
      <c r="A237" s="34"/>
      <c r="B237" s="38"/>
      <c r="C237" s="67">
        <v>4800</v>
      </c>
      <c r="D237" s="93" t="s">
        <v>89</v>
      </c>
      <c r="E237" s="45">
        <v>102750</v>
      </c>
      <c r="F237" s="45"/>
      <c r="G237" s="45">
        <v>7000</v>
      </c>
      <c r="H237" s="45">
        <f t="shared" si="33"/>
        <v>95750</v>
      </c>
    </row>
    <row r="238" spans="1:8" s="19" customFormat="1" ht="12.75" x14ac:dyDescent="0.25">
      <c r="A238" s="38"/>
      <c r="B238" s="38">
        <v>80115</v>
      </c>
      <c r="C238" s="29"/>
      <c r="D238" s="39" t="s">
        <v>154</v>
      </c>
      <c r="E238" s="41">
        <v>64839521.719999999</v>
      </c>
      <c r="F238" s="40">
        <f>SUM(F239,)</f>
        <v>94600</v>
      </c>
      <c r="G238" s="40">
        <f>SUM(G239,)</f>
        <v>94600</v>
      </c>
      <c r="H238" s="41">
        <f>SUM(E238+F238-G238)</f>
        <v>64839521.719999999</v>
      </c>
    </row>
    <row r="239" spans="1:8" s="19" customFormat="1" ht="12.75" x14ac:dyDescent="0.25">
      <c r="A239" s="38"/>
      <c r="B239" s="38"/>
      <c r="C239" s="29"/>
      <c r="D239" s="481" t="s">
        <v>88</v>
      </c>
      <c r="E239" s="66">
        <v>60583192.280000001</v>
      </c>
      <c r="F239" s="66">
        <f>SUM(F240:F244)</f>
        <v>94600</v>
      </c>
      <c r="G239" s="66">
        <f>SUM(G240:G244)</f>
        <v>94600</v>
      </c>
      <c r="H239" s="66">
        <f>SUM(E239+F239-G239)</f>
        <v>60583192.280000001</v>
      </c>
    </row>
    <row r="240" spans="1:8" s="19" customFormat="1" ht="12.75" x14ac:dyDescent="0.25">
      <c r="A240" s="38"/>
      <c r="B240" s="38"/>
      <c r="C240" s="67">
        <v>4010</v>
      </c>
      <c r="D240" s="50" t="s">
        <v>64</v>
      </c>
      <c r="E240" s="45">
        <v>7404434.4199999999</v>
      </c>
      <c r="F240" s="45">
        <v>20000</v>
      </c>
      <c r="G240" s="45"/>
      <c r="H240" s="45">
        <f t="shared" ref="H240:H244" si="34">SUM(E240+F240-G240)</f>
        <v>7424434.4199999999</v>
      </c>
    </row>
    <row r="241" spans="1:8" s="19" customFormat="1" ht="12.75" x14ac:dyDescent="0.25">
      <c r="A241" s="38"/>
      <c r="B241" s="38"/>
      <c r="C241" s="67">
        <v>4040</v>
      </c>
      <c r="D241" s="50" t="s">
        <v>58</v>
      </c>
      <c r="E241" s="45">
        <v>722654</v>
      </c>
      <c r="F241" s="45"/>
      <c r="G241" s="45">
        <v>23370</v>
      </c>
      <c r="H241" s="45">
        <f t="shared" si="34"/>
        <v>699284</v>
      </c>
    </row>
    <row r="242" spans="1:8" s="19" customFormat="1" ht="12.75" x14ac:dyDescent="0.25">
      <c r="A242" s="38"/>
      <c r="B242" s="38"/>
      <c r="C242" s="67">
        <v>4710</v>
      </c>
      <c r="D242" s="50" t="s">
        <v>67</v>
      </c>
      <c r="E242" s="45">
        <v>313268</v>
      </c>
      <c r="F242" s="45">
        <v>9600</v>
      </c>
      <c r="G242" s="45"/>
      <c r="H242" s="45">
        <f t="shared" si="34"/>
        <v>322868</v>
      </c>
    </row>
    <row r="243" spans="1:8" s="19" customFormat="1" ht="12.75" x14ac:dyDescent="0.25">
      <c r="A243" s="38"/>
      <c r="B243" s="38"/>
      <c r="C243" s="67">
        <v>4790</v>
      </c>
      <c r="D243" s="93" t="s">
        <v>94</v>
      </c>
      <c r="E243" s="45">
        <v>32898102.609999999</v>
      </c>
      <c r="F243" s="45">
        <v>65000</v>
      </c>
      <c r="G243" s="45"/>
      <c r="H243" s="45">
        <f t="shared" si="34"/>
        <v>32963102.609999999</v>
      </c>
    </row>
    <row r="244" spans="1:8" s="19" customFormat="1" ht="12.75" x14ac:dyDescent="0.25">
      <c r="A244" s="38"/>
      <c r="B244" s="38"/>
      <c r="C244" s="67">
        <v>4800</v>
      </c>
      <c r="D244" s="93" t="s">
        <v>89</v>
      </c>
      <c r="E244" s="45">
        <v>2945617</v>
      </c>
      <c r="F244" s="45"/>
      <c r="G244" s="45">
        <v>71230</v>
      </c>
      <c r="H244" s="45">
        <f t="shared" si="34"/>
        <v>2874387</v>
      </c>
    </row>
    <row r="245" spans="1:8" s="19" customFormat="1" ht="12.75" x14ac:dyDescent="0.25">
      <c r="A245" s="38"/>
      <c r="B245" s="38">
        <v>80117</v>
      </c>
      <c r="C245" s="29"/>
      <c r="D245" s="39" t="s">
        <v>155</v>
      </c>
      <c r="E245" s="41">
        <v>12232152.640000001</v>
      </c>
      <c r="F245" s="40">
        <f>SUM(F246)</f>
        <v>23229</v>
      </c>
      <c r="G245" s="40">
        <f>SUM(G246)</f>
        <v>23229</v>
      </c>
      <c r="H245" s="41">
        <f>SUM(E245+F245-G245)</f>
        <v>12232152.640000001</v>
      </c>
    </row>
    <row r="246" spans="1:8" s="19" customFormat="1" ht="12.75" x14ac:dyDescent="0.25">
      <c r="A246" s="38"/>
      <c r="B246" s="38"/>
      <c r="C246" s="29"/>
      <c r="D246" s="481" t="s">
        <v>88</v>
      </c>
      <c r="E246" s="66">
        <v>7570744.46</v>
      </c>
      <c r="F246" s="66">
        <f>SUM(F247:F251)</f>
        <v>23229</v>
      </c>
      <c r="G246" s="66">
        <f>SUM(G247:G251)</f>
        <v>23229</v>
      </c>
      <c r="H246" s="66">
        <f t="shared" ref="H246:H251" si="35">SUM(E246+F246-G246)</f>
        <v>7570744.46</v>
      </c>
    </row>
    <row r="247" spans="1:8" s="19" customFormat="1" ht="12.75" x14ac:dyDescent="0.25">
      <c r="A247" s="38"/>
      <c r="B247" s="38"/>
      <c r="C247" s="67">
        <v>4010</v>
      </c>
      <c r="D247" s="50" t="s">
        <v>64</v>
      </c>
      <c r="E247" s="45">
        <v>340427.16</v>
      </c>
      <c r="F247" s="45">
        <v>2000</v>
      </c>
      <c r="G247" s="45"/>
      <c r="H247" s="45">
        <f t="shared" si="35"/>
        <v>342427.16</v>
      </c>
    </row>
    <row r="248" spans="1:8" s="19" customFormat="1" ht="12.75" x14ac:dyDescent="0.25">
      <c r="A248" s="38"/>
      <c r="B248" s="38"/>
      <c r="C248" s="67">
        <v>4040</v>
      </c>
      <c r="D248" s="50" t="s">
        <v>58</v>
      </c>
      <c r="E248" s="45">
        <v>32739</v>
      </c>
      <c r="F248" s="45"/>
      <c r="G248" s="45">
        <v>3115</v>
      </c>
      <c r="H248" s="45">
        <f t="shared" si="35"/>
        <v>29624</v>
      </c>
    </row>
    <row r="249" spans="1:8" s="19" customFormat="1" ht="12.75" x14ac:dyDescent="0.25">
      <c r="A249" s="38"/>
      <c r="B249" s="38"/>
      <c r="C249" s="67">
        <v>4710</v>
      </c>
      <c r="D249" s="50" t="s">
        <v>67</v>
      </c>
      <c r="E249" s="45">
        <v>38720</v>
      </c>
      <c r="F249" s="45">
        <v>4229</v>
      </c>
      <c r="G249" s="45"/>
      <c r="H249" s="45">
        <f t="shared" si="35"/>
        <v>42949</v>
      </c>
    </row>
    <row r="250" spans="1:8" s="19" customFormat="1" ht="12.75" x14ac:dyDescent="0.25">
      <c r="A250" s="38"/>
      <c r="B250" s="38"/>
      <c r="C250" s="67">
        <v>4790</v>
      </c>
      <c r="D250" s="93" t="s">
        <v>94</v>
      </c>
      <c r="E250" s="45">
        <v>4249882</v>
      </c>
      <c r="F250" s="45">
        <v>17000</v>
      </c>
      <c r="G250" s="45"/>
      <c r="H250" s="45">
        <f t="shared" si="35"/>
        <v>4266882</v>
      </c>
    </row>
    <row r="251" spans="1:8" s="19" customFormat="1" ht="12.75" x14ac:dyDescent="0.25">
      <c r="A251" s="38"/>
      <c r="B251" s="38"/>
      <c r="C251" s="67">
        <v>4800</v>
      </c>
      <c r="D251" s="93" t="s">
        <v>89</v>
      </c>
      <c r="E251" s="45">
        <v>415747</v>
      </c>
      <c r="F251" s="45"/>
      <c r="G251" s="45">
        <v>20114</v>
      </c>
      <c r="H251" s="45">
        <f t="shared" si="35"/>
        <v>395633</v>
      </c>
    </row>
    <row r="252" spans="1:8" s="19" customFormat="1" ht="12.75" x14ac:dyDescent="0.25">
      <c r="A252" s="38"/>
      <c r="B252" s="63">
        <v>80132</v>
      </c>
      <c r="C252" s="29"/>
      <c r="D252" s="39" t="s">
        <v>156</v>
      </c>
      <c r="E252" s="41">
        <v>8534458.1999999993</v>
      </c>
      <c r="F252" s="40">
        <f>SUM(F253,)</f>
        <v>67500</v>
      </c>
      <c r="G252" s="40">
        <f>SUM(G253,)</f>
        <v>67500</v>
      </c>
      <c r="H252" s="41">
        <f>SUM(E252+F252-G252)</f>
        <v>8534458.1999999993</v>
      </c>
    </row>
    <row r="253" spans="1:8" s="19" customFormat="1" ht="12.75" x14ac:dyDescent="0.25">
      <c r="A253" s="38"/>
      <c r="B253" s="34"/>
      <c r="C253" s="29"/>
      <c r="D253" s="481" t="s">
        <v>88</v>
      </c>
      <c r="E253" s="66">
        <v>8534458.1999999993</v>
      </c>
      <c r="F253" s="66">
        <f>SUM(F254:F259)</f>
        <v>67500</v>
      </c>
      <c r="G253" s="66">
        <f>SUM(G254:G259)</f>
        <v>67500</v>
      </c>
      <c r="H253" s="66">
        <f>SUM(E253+F253-G253)</f>
        <v>8534458.1999999993</v>
      </c>
    </row>
    <row r="254" spans="1:8" s="19" customFormat="1" ht="12.75" x14ac:dyDescent="0.25">
      <c r="A254" s="38"/>
      <c r="B254" s="34"/>
      <c r="C254" s="67">
        <v>4040</v>
      </c>
      <c r="D254" s="50" t="s">
        <v>58</v>
      </c>
      <c r="E254" s="45">
        <v>82000</v>
      </c>
      <c r="F254" s="45"/>
      <c r="G254" s="45">
        <v>17500</v>
      </c>
      <c r="H254" s="45">
        <f t="shared" ref="H254" si="36">SUM(E254+F254-G254)</f>
        <v>64500</v>
      </c>
    </row>
    <row r="255" spans="1:8" s="19" customFormat="1" ht="12.75" x14ac:dyDescent="0.25">
      <c r="A255" s="38"/>
      <c r="B255" s="34"/>
      <c r="C255" s="67">
        <v>4120</v>
      </c>
      <c r="D255" s="50" t="s">
        <v>66</v>
      </c>
      <c r="E255" s="45">
        <v>144452</v>
      </c>
      <c r="F255" s="45">
        <v>17500</v>
      </c>
      <c r="G255" s="45"/>
      <c r="H255" s="45">
        <f>SUM(E255+F255-G255)</f>
        <v>161952</v>
      </c>
    </row>
    <row r="256" spans="1:8" s="19" customFormat="1" ht="12.75" x14ac:dyDescent="0.25">
      <c r="A256" s="38"/>
      <c r="B256" s="34"/>
      <c r="C256" s="51" t="s">
        <v>79</v>
      </c>
      <c r="D256" s="50" t="s">
        <v>80</v>
      </c>
      <c r="E256" s="45">
        <v>25693.040000000008</v>
      </c>
      <c r="F256" s="45">
        <v>20000</v>
      </c>
      <c r="G256" s="45"/>
      <c r="H256" s="45">
        <f t="shared" ref="H256:H259" si="37">SUM(E256+F256-G256)</f>
        <v>45693.040000000008</v>
      </c>
    </row>
    <row r="257" spans="1:8" s="19" customFormat="1" ht="12.75" x14ac:dyDescent="0.25">
      <c r="A257" s="38"/>
      <c r="B257" s="34"/>
      <c r="C257" s="67">
        <v>4270</v>
      </c>
      <c r="D257" s="50" t="s">
        <v>73</v>
      </c>
      <c r="E257" s="45">
        <v>10000</v>
      </c>
      <c r="F257" s="45">
        <v>10000</v>
      </c>
      <c r="G257" s="45"/>
      <c r="H257" s="45">
        <f t="shared" si="37"/>
        <v>20000</v>
      </c>
    </row>
    <row r="258" spans="1:8" s="19" customFormat="1" ht="12.75" x14ac:dyDescent="0.25">
      <c r="A258" s="38"/>
      <c r="B258" s="34"/>
      <c r="C258" s="67">
        <v>4710</v>
      </c>
      <c r="D258" s="50" t="s">
        <v>67</v>
      </c>
      <c r="E258" s="45">
        <v>31749</v>
      </c>
      <c r="F258" s="45">
        <v>20000</v>
      </c>
      <c r="G258" s="45"/>
      <c r="H258" s="45">
        <f t="shared" si="37"/>
        <v>51749</v>
      </c>
    </row>
    <row r="259" spans="1:8" s="19" customFormat="1" ht="12.75" x14ac:dyDescent="0.25">
      <c r="A259" s="38"/>
      <c r="B259" s="34"/>
      <c r="C259" s="63">
        <v>4800</v>
      </c>
      <c r="D259" s="19" t="s">
        <v>89</v>
      </c>
      <c r="E259" s="45">
        <v>460000</v>
      </c>
      <c r="F259" s="45"/>
      <c r="G259" s="45">
        <v>50000</v>
      </c>
      <c r="H259" s="46">
        <f t="shared" si="37"/>
        <v>410000</v>
      </c>
    </row>
    <row r="260" spans="1:8" s="19" customFormat="1" ht="12.75" x14ac:dyDescent="0.25">
      <c r="A260" s="38"/>
      <c r="B260" s="38">
        <v>80146</v>
      </c>
      <c r="C260" s="29"/>
      <c r="D260" s="39" t="s">
        <v>98</v>
      </c>
      <c r="E260" s="41">
        <v>1511668.75</v>
      </c>
      <c r="F260" s="40">
        <f>SUM(F261,F267)</f>
        <v>481552</v>
      </c>
      <c r="G260" s="40">
        <f>SUM(G261,G267)</f>
        <v>709292.97</v>
      </c>
      <c r="H260" s="41">
        <f>SUM(E260+F260-G260)</f>
        <v>1283927.78</v>
      </c>
    </row>
    <row r="261" spans="1:8" s="19" customFormat="1" ht="12.75" x14ac:dyDescent="0.25">
      <c r="A261" s="38"/>
      <c r="B261" s="38"/>
      <c r="C261" s="29"/>
      <c r="D261" s="481" t="s">
        <v>88</v>
      </c>
      <c r="E261" s="66">
        <v>700000</v>
      </c>
      <c r="F261" s="477">
        <f>SUM(F262:F266)</f>
        <v>481552</v>
      </c>
      <c r="G261" s="477">
        <f>SUM(G262:G266)</f>
        <v>969</v>
      </c>
      <c r="H261" s="66">
        <f t="shared" ref="H261:H268" si="38">SUM(E261+F261-G261)</f>
        <v>1180583</v>
      </c>
    </row>
    <row r="262" spans="1:8" s="19" customFormat="1" ht="12.75" x14ac:dyDescent="0.25">
      <c r="A262" s="38"/>
      <c r="B262" s="38"/>
      <c r="C262" s="67">
        <v>4110</v>
      </c>
      <c r="D262" s="50" t="s">
        <v>110</v>
      </c>
      <c r="E262" s="45">
        <v>135000</v>
      </c>
      <c r="F262" s="46"/>
      <c r="G262" s="46">
        <v>969</v>
      </c>
      <c r="H262" s="46">
        <f t="shared" si="38"/>
        <v>134031</v>
      </c>
    </row>
    <row r="263" spans="1:8" s="19" customFormat="1" ht="12.75" x14ac:dyDescent="0.25">
      <c r="A263" s="38"/>
      <c r="B263" s="38"/>
      <c r="C263" s="63">
        <v>4300</v>
      </c>
      <c r="D263" s="68" t="s">
        <v>68</v>
      </c>
      <c r="E263" s="45">
        <v>0</v>
      </c>
      <c r="F263" s="46">
        <v>102584</v>
      </c>
      <c r="G263" s="46"/>
      <c r="H263" s="46">
        <f t="shared" si="38"/>
        <v>102584</v>
      </c>
    </row>
    <row r="264" spans="1:8" s="19" customFormat="1" ht="12.75" x14ac:dyDescent="0.25">
      <c r="A264" s="38"/>
      <c r="B264" s="38"/>
      <c r="C264" s="63">
        <v>4410</v>
      </c>
      <c r="D264" s="68" t="s">
        <v>84</v>
      </c>
      <c r="E264" s="45">
        <v>0</v>
      </c>
      <c r="F264" s="46">
        <v>80500</v>
      </c>
      <c r="G264" s="46"/>
      <c r="H264" s="46">
        <f t="shared" si="38"/>
        <v>80500</v>
      </c>
    </row>
    <row r="265" spans="1:8" s="19" customFormat="1" ht="12.75" x14ac:dyDescent="0.25">
      <c r="A265" s="38"/>
      <c r="B265" s="38"/>
      <c r="C265" s="67">
        <v>4440</v>
      </c>
      <c r="D265" s="50" t="s">
        <v>127</v>
      </c>
      <c r="E265" s="45">
        <v>32283</v>
      </c>
      <c r="F265" s="46">
        <v>969</v>
      </c>
      <c r="G265" s="46"/>
      <c r="H265" s="46">
        <f t="shared" si="38"/>
        <v>33252</v>
      </c>
    </row>
    <row r="266" spans="1:8" s="19" customFormat="1" ht="22.5" customHeight="1" x14ac:dyDescent="0.25">
      <c r="A266" s="38"/>
      <c r="B266" s="38"/>
      <c r="C266" s="59">
        <v>4700</v>
      </c>
      <c r="D266" s="69" t="s">
        <v>99</v>
      </c>
      <c r="E266" s="45">
        <v>0</v>
      </c>
      <c r="F266" s="46">
        <v>297499</v>
      </c>
      <c r="G266" s="46"/>
      <c r="H266" s="46">
        <f t="shared" si="38"/>
        <v>297499</v>
      </c>
    </row>
    <row r="267" spans="1:8" s="19" customFormat="1" ht="12.75" x14ac:dyDescent="0.25">
      <c r="A267" s="38"/>
      <c r="B267" s="38"/>
      <c r="C267" s="35"/>
      <c r="D267" s="476" t="s">
        <v>100</v>
      </c>
      <c r="E267" s="66">
        <v>811668.75</v>
      </c>
      <c r="F267" s="66">
        <f>SUM(F268:F268)</f>
        <v>0</v>
      </c>
      <c r="G267" s="66">
        <f>SUM(G268:G268)</f>
        <v>708323.97</v>
      </c>
      <c r="H267" s="66">
        <f t="shared" si="38"/>
        <v>103344.78000000003</v>
      </c>
    </row>
    <row r="268" spans="1:8" s="19" customFormat="1" ht="12.75" x14ac:dyDescent="0.25">
      <c r="A268" s="64"/>
      <c r="B268" s="64"/>
      <c r="C268" s="71">
        <v>4300</v>
      </c>
      <c r="D268" s="39" t="s">
        <v>68</v>
      </c>
      <c r="E268" s="40">
        <v>811668.75</v>
      </c>
      <c r="F268" s="40"/>
      <c r="G268" s="40">
        <f>227740.97+480583</f>
        <v>708323.97</v>
      </c>
      <c r="H268" s="40">
        <f t="shared" si="38"/>
        <v>103344.78000000003</v>
      </c>
    </row>
    <row r="269" spans="1:8" s="19" customFormat="1" ht="12.75" x14ac:dyDescent="0.25">
      <c r="A269" s="38"/>
      <c r="B269" s="38">
        <v>80152</v>
      </c>
      <c r="C269" s="29"/>
      <c r="D269" s="68" t="s">
        <v>102</v>
      </c>
      <c r="E269" s="45"/>
      <c r="F269" s="45"/>
      <c r="G269" s="45"/>
      <c r="H269" s="46"/>
    </row>
    <row r="270" spans="1:8" s="19" customFormat="1" ht="12.75" x14ac:dyDescent="0.25">
      <c r="A270" s="38"/>
      <c r="B270" s="38"/>
      <c r="C270" s="29"/>
      <c r="D270" s="68" t="s">
        <v>111</v>
      </c>
      <c r="E270" s="45"/>
      <c r="F270" s="45"/>
      <c r="G270" s="45"/>
      <c r="H270" s="46"/>
    </row>
    <row r="271" spans="1:8" s="19" customFormat="1" ht="12.75" x14ac:dyDescent="0.25">
      <c r="A271" s="38"/>
      <c r="B271" s="38"/>
      <c r="C271" s="29"/>
      <c r="D271" s="68" t="s">
        <v>157</v>
      </c>
      <c r="E271" s="45"/>
      <c r="F271" s="45"/>
      <c r="G271" s="45"/>
      <c r="H271" s="46"/>
    </row>
    <row r="272" spans="1:8" s="19" customFormat="1" ht="12.75" x14ac:dyDescent="0.25">
      <c r="A272" s="38"/>
      <c r="B272" s="38"/>
      <c r="C272" s="29"/>
      <c r="D272" s="38" t="s">
        <v>158</v>
      </c>
      <c r="E272" s="45"/>
      <c r="F272" s="45"/>
      <c r="G272" s="45"/>
      <c r="H272" s="46"/>
    </row>
    <row r="273" spans="1:8" s="19" customFormat="1" ht="12.75" x14ac:dyDescent="0.25">
      <c r="A273" s="38"/>
      <c r="B273" s="38"/>
      <c r="C273" s="29"/>
      <c r="D273" s="38" t="s">
        <v>159</v>
      </c>
      <c r="E273" s="45"/>
      <c r="F273" s="45"/>
      <c r="G273" s="45"/>
      <c r="H273" s="46"/>
    </row>
    <row r="274" spans="1:8" s="19" customFormat="1" ht="12.75" x14ac:dyDescent="0.25">
      <c r="A274" s="38"/>
      <c r="B274" s="38"/>
      <c r="C274" s="29"/>
      <c r="D274" s="68" t="s">
        <v>160</v>
      </c>
      <c r="E274" s="45"/>
      <c r="F274" s="45"/>
      <c r="G274" s="45"/>
      <c r="H274" s="46"/>
    </row>
    <row r="275" spans="1:8" s="19" customFormat="1" ht="12.75" x14ac:dyDescent="0.25">
      <c r="A275" s="38"/>
      <c r="B275" s="38"/>
      <c r="C275" s="29"/>
      <c r="D275" s="38" t="s">
        <v>161</v>
      </c>
      <c r="E275" s="45"/>
      <c r="F275" s="45"/>
      <c r="G275" s="45"/>
      <c r="H275" s="46"/>
    </row>
    <row r="276" spans="1:8" s="19" customFormat="1" ht="12.75" x14ac:dyDescent="0.25">
      <c r="A276" s="38"/>
      <c r="B276" s="38"/>
      <c r="C276" s="29"/>
      <c r="D276" s="64" t="s">
        <v>162</v>
      </c>
      <c r="E276" s="41">
        <v>7891878.4499999993</v>
      </c>
      <c r="F276" s="40">
        <f>SUM(F277)</f>
        <v>21143</v>
      </c>
      <c r="G276" s="40">
        <f>SUM(G277)</f>
        <v>21143</v>
      </c>
      <c r="H276" s="41">
        <f>SUM(E276+F276-G276)</f>
        <v>7891878.4499999993</v>
      </c>
    </row>
    <row r="277" spans="1:8" s="19" customFormat="1" ht="12.75" x14ac:dyDescent="0.25">
      <c r="A277" s="38"/>
      <c r="B277" s="58"/>
      <c r="C277" s="29"/>
      <c r="D277" s="481" t="s">
        <v>88</v>
      </c>
      <c r="E277" s="66">
        <v>6486037.7599999998</v>
      </c>
      <c r="F277" s="66">
        <f>SUM(F278:F280)</f>
        <v>21143</v>
      </c>
      <c r="G277" s="66">
        <f>SUM(G278:G280)</f>
        <v>21143</v>
      </c>
      <c r="H277" s="66">
        <f t="shared" ref="H277" si="39">SUM(E277+F277-G277)</f>
        <v>6486037.7599999998</v>
      </c>
    </row>
    <row r="278" spans="1:8" s="19" customFormat="1" ht="12.75" x14ac:dyDescent="0.25">
      <c r="A278" s="38"/>
      <c r="B278" s="38"/>
      <c r="C278" s="67">
        <v>4120</v>
      </c>
      <c r="D278" s="50" t="s">
        <v>66</v>
      </c>
      <c r="E278" s="45">
        <v>126980</v>
      </c>
      <c r="F278" s="45">
        <v>5000</v>
      </c>
      <c r="G278" s="45"/>
      <c r="H278" s="45">
        <f>SUM(E278+F278-G278)</f>
        <v>131980</v>
      </c>
    </row>
    <row r="279" spans="1:8" s="19" customFormat="1" ht="12.75" x14ac:dyDescent="0.25">
      <c r="A279" s="38"/>
      <c r="B279" s="38"/>
      <c r="C279" s="67">
        <v>4790</v>
      </c>
      <c r="D279" s="93" t="s">
        <v>94</v>
      </c>
      <c r="E279" s="45">
        <v>4497146.26</v>
      </c>
      <c r="F279" s="45">
        <v>16143</v>
      </c>
      <c r="G279" s="45"/>
      <c r="H279" s="45">
        <f t="shared" ref="H279:H280" si="40">SUM(E279+F279-G279)</f>
        <v>4513289.26</v>
      </c>
    </row>
    <row r="280" spans="1:8" s="19" customFormat="1" ht="12.75" x14ac:dyDescent="0.25">
      <c r="A280" s="38"/>
      <c r="B280" s="38"/>
      <c r="C280" s="63">
        <v>4800</v>
      </c>
      <c r="D280" s="19" t="s">
        <v>89</v>
      </c>
      <c r="E280" s="45">
        <v>463305</v>
      </c>
      <c r="F280" s="45"/>
      <c r="G280" s="45">
        <v>21143</v>
      </c>
      <c r="H280" s="46">
        <f t="shared" si="40"/>
        <v>442162</v>
      </c>
    </row>
    <row r="281" spans="1:8" s="19" customFormat="1" ht="12.75" x14ac:dyDescent="0.25">
      <c r="A281" s="38"/>
      <c r="B281" s="38">
        <v>80195</v>
      </c>
      <c r="C281" s="29"/>
      <c r="D281" s="97" t="s">
        <v>17</v>
      </c>
      <c r="E281" s="40">
        <v>11646662.91</v>
      </c>
      <c r="F281" s="40">
        <f>SUM(F282,F289,)</f>
        <v>10544.57</v>
      </c>
      <c r="G281" s="40">
        <f>SUM(G282,G289,)</f>
        <v>10544.57</v>
      </c>
      <c r="H281" s="41">
        <f>SUM(E281+F281-G281)</f>
        <v>11646662.91</v>
      </c>
    </row>
    <row r="282" spans="1:8" s="19" customFormat="1" ht="37.5" customHeight="1" x14ac:dyDescent="0.25">
      <c r="A282" s="38"/>
      <c r="B282" s="63"/>
      <c r="C282" s="29"/>
      <c r="D282" s="497" t="s">
        <v>163</v>
      </c>
      <c r="E282" s="66">
        <v>642214.38</v>
      </c>
      <c r="F282" s="66">
        <f>SUM(F283:F288)</f>
        <v>10000</v>
      </c>
      <c r="G282" s="66">
        <f>SUM(G283:G288)</f>
        <v>10000</v>
      </c>
      <c r="H282" s="66">
        <f>SUM(E282+F282-G282)</f>
        <v>642214.38</v>
      </c>
    </row>
    <row r="283" spans="1:8" s="19" customFormat="1" ht="12.75" x14ac:dyDescent="0.25">
      <c r="A283" s="38"/>
      <c r="B283" s="63"/>
      <c r="C283" s="51" t="s">
        <v>164</v>
      </c>
      <c r="D283" s="50" t="s">
        <v>80</v>
      </c>
      <c r="E283" s="45">
        <v>6845.22</v>
      </c>
      <c r="F283" s="45"/>
      <c r="G283" s="45">
        <v>4126</v>
      </c>
      <c r="H283" s="45">
        <f t="shared" ref="H283:H293" si="41">SUM(E283+F283-G283)</f>
        <v>2719.2200000000003</v>
      </c>
    </row>
    <row r="284" spans="1:8" s="19" customFormat="1" ht="12.75" x14ac:dyDescent="0.25">
      <c r="A284" s="38"/>
      <c r="B284" s="63"/>
      <c r="C284" s="51" t="s">
        <v>165</v>
      </c>
      <c r="D284" s="50" t="s">
        <v>80</v>
      </c>
      <c r="E284" s="45">
        <v>1450</v>
      </c>
      <c r="F284" s="45"/>
      <c r="G284" s="45">
        <v>874</v>
      </c>
      <c r="H284" s="45">
        <f t="shared" si="41"/>
        <v>576</v>
      </c>
    </row>
    <row r="285" spans="1:8" s="19" customFormat="1" ht="12.75" x14ac:dyDescent="0.25">
      <c r="A285" s="38"/>
      <c r="B285" s="63"/>
      <c r="C285" s="67">
        <v>4227</v>
      </c>
      <c r="D285" s="50" t="s">
        <v>166</v>
      </c>
      <c r="E285" s="45">
        <v>8252</v>
      </c>
      <c r="F285" s="45"/>
      <c r="G285" s="45">
        <v>4126</v>
      </c>
      <c r="H285" s="45">
        <f t="shared" si="41"/>
        <v>4126</v>
      </c>
    </row>
    <row r="286" spans="1:8" s="19" customFormat="1" ht="12.75" x14ac:dyDescent="0.25">
      <c r="A286" s="38"/>
      <c r="B286" s="63"/>
      <c r="C286" s="67">
        <v>4229</v>
      </c>
      <c r="D286" s="50" t="s">
        <v>166</v>
      </c>
      <c r="E286" s="45">
        <v>1748</v>
      </c>
      <c r="F286" s="45"/>
      <c r="G286" s="45">
        <v>874</v>
      </c>
      <c r="H286" s="45">
        <f t="shared" si="41"/>
        <v>874</v>
      </c>
    </row>
    <row r="287" spans="1:8" s="19" customFormat="1" ht="12.75" x14ac:dyDescent="0.25">
      <c r="A287" s="38"/>
      <c r="B287" s="63"/>
      <c r="C287" s="38">
        <v>4307</v>
      </c>
      <c r="D287" s="68" t="s">
        <v>68</v>
      </c>
      <c r="E287" s="45">
        <v>86647.89</v>
      </c>
      <c r="F287" s="45">
        <v>8252</v>
      </c>
      <c r="G287" s="45"/>
      <c r="H287" s="45">
        <f t="shared" si="41"/>
        <v>94899.89</v>
      </c>
    </row>
    <row r="288" spans="1:8" s="19" customFormat="1" ht="12.75" x14ac:dyDescent="0.25">
      <c r="A288" s="38"/>
      <c r="B288" s="63"/>
      <c r="C288" s="38">
        <v>4309</v>
      </c>
      <c r="D288" s="68" t="s">
        <v>68</v>
      </c>
      <c r="E288" s="45">
        <v>18354.400000000001</v>
      </c>
      <c r="F288" s="45">
        <v>1748</v>
      </c>
      <c r="G288" s="45"/>
      <c r="H288" s="45">
        <f t="shared" si="41"/>
        <v>20102.400000000001</v>
      </c>
    </row>
    <row r="289" spans="1:8" s="19" customFormat="1" ht="24.75" customHeight="1" x14ac:dyDescent="0.25">
      <c r="A289" s="38"/>
      <c r="B289" s="63"/>
      <c r="C289" s="29"/>
      <c r="D289" s="498" t="s">
        <v>167</v>
      </c>
      <c r="E289" s="66">
        <v>19302.099999999999</v>
      </c>
      <c r="F289" s="477">
        <f>SUM(F290:F293)</f>
        <v>544.56999999999994</v>
      </c>
      <c r="G289" s="477">
        <f>SUM(G290:G293)</f>
        <v>544.57000000000005</v>
      </c>
      <c r="H289" s="66">
        <f t="shared" si="41"/>
        <v>19302.099999999999</v>
      </c>
    </row>
    <row r="290" spans="1:8" s="19" customFormat="1" ht="12.75" x14ac:dyDescent="0.25">
      <c r="A290" s="38"/>
      <c r="B290" s="63"/>
      <c r="C290" s="63">
        <v>4111</v>
      </c>
      <c r="D290" s="68" t="s">
        <v>110</v>
      </c>
      <c r="E290" s="45">
        <v>2384.59</v>
      </c>
      <c r="F290" s="45"/>
      <c r="G290" s="46">
        <v>544.57000000000005</v>
      </c>
      <c r="H290" s="45">
        <f t="shared" si="41"/>
        <v>1840.02</v>
      </c>
    </row>
    <row r="291" spans="1:8" s="19" customFormat="1" ht="12.75" x14ac:dyDescent="0.25">
      <c r="A291" s="38"/>
      <c r="B291" s="63"/>
      <c r="C291" s="63">
        <v>4121</v>
      </c>
      <c r="D291" s="68" t="s">
        <v>66</v>
      </c>
      <c r="E291" s="45">
        <v>241.57</v>
      </c>
      <c r="F291" s="45">
        <v>5.83</v>
      </c>
      <c r="G291" s="46"/>
      <c r="H291" s="45">
        <f t="shared" si="41"/>
        <v>247.4</v>
      </c>
    </row>
    <row r="292" spans="1:8" s="19" customFormat="1" ht="12.75" x14ac:dyDescent="0.25">
      <c r="A292" s="38"/>
      <c r="B292" s="63"/>
      <c r="C292" s="63">
        <v>4171</v>
      </c>
      <c r="D292" s="68" t="s">
        <v>122</v>
      </c>
      <c r="E292" s="45">
        <v>13871.52</v>
      </c>
      <c r="F292" s="45">
        <v>439.2</v>
      </c>
      <c r="G292" s="46"/>
      <c r="H292" s="45">
        <f t="shared" si="41"/>
        <v>14310.720000000001</v>
      </c>
    </row>
    <row r="293" spans="1:8" s="19" customFormat="1" ht="12.75" x14ac:dyDescent="0.25">
      <c r="A293" s="38"/>
      <c r="B293" s="63"/>
      <c r="C293" s="63">
        <v>4211</v>
      </c>
      <c r="D293" s="68" t="s">
        <v>80</v>
      </c>
      <c r="E293" s="45">
        <v>354.41999999999996</v>
      </c>
      <c r="F293" s="45">
        <v>99.54</v>
      </c>
      <c r="G293" s="46"/>
      <c r="H293" s="45">
        <f t="shared" si="41"/>
        <v>453.96</v>
      </c>
    </row>
    <row r="294" spans="1:8" s="19" customFormat="1" ht="12" customHeight="1" thickBot="1" x14ac:dyDescent="0.3">
      <c r="A294" s="58">
        <v>854</v>
      </c>
      <c r="B294" s="34"/>
      <c r="C294" s="35"/>
      <c r="D294" s="36" t="s">
        <v>135</v>
      </c>
      <c r="E294" s="37">
        <v>35258791.200000003</v>
      </c>
      <c r="F294" s="37">
        <f>SUM(F295,F300)</f>
        <v>90174</v>
      </c>
      <c r="G294" s="37">
        <f>SUM(G295,G300)</f>
        <v>25000</v>
      </c>
      <c r="H294" s="37">
        <f>SUM(E294+F294-G294)</f>
        <v>35323965.200000003</v>
      </c>
    </row>
    <row r="295" spans="1:8" s="19" customFormat="1" ht="12" customHeight="1" thickTop="1" x14ac:dyDescent="0.25">
      <c r="A295" s="58"/>
      <c r="B295" s="63">
        <v>85410</v>
      </c>
      <c r="C295" s="42"/>
      <c r="D295" s="64" t="s">
        <v>168</v>
      </c>
      <c r="E295" s="41">
        <v>17625258.93</v>
      </c>
      <c r="F295" s="40">
        <f>SUM(F296)</f>
        <v>25000</v>
      </c>
      <c r="G295" s="40">
        <f>SUM(G296)</f>
        <v>25000</v>
      </c>
      <c r="H295" s="41">
        <f t="shared" ref="H295:H304" si="42">SUM(E295+F295-G295)</f>
        <v>17625258.93</v>
      </c>
    </row>
    <row r="296" spans="1:8" s="19" customFormat="1" ht="12" customHeight="1" x14ac:dyDescent="0.25">
      <c r="A296" s="58"/>
      <c r="B296" s="38"/>
      <c r="C296" s="29"/>
      <c r="D296" s="481" t="s">
        <v>88</v>
      </c>
      <c r="E296" s="66">
        <v>3960176.02</v>
      </c>
      <c r="F296" s="66">
        <f>SUM(F297:F299)</f>
        <v>25000</v>
      </c>
      <c r="G296" s="66">
        <f>SUM(G297:G299)</f>
        <v>25000</v>
      </c>
      <c r="H296" s="66">
        <f t="shared" si="42"/>
        <v>3960176.02</v>
      </c>
    </row>
    <row r="297" spans="1:8" s="19" customFormat="1" ht="12" customHeight="1" x14ac:dyDescent="0.25">
      <c r="A297" s="58"/>
      <c r="B297" s="38"/>
      <c r="C297" s="67">
        <v>4040</v>
      </c>
      <c r="D297" s="50" t="s">
        <v>58</v>
      </c>
      <c r="E297" s="45">
        <v>108000</v>
      </c>
      <c r="F297" s="45"/>
      <c r="G297" s="45">
        <v>13251</v>
      </c>
      <c r="H297" s="45">
        <f t="shared" si="42"/>
        <v>94749</v>
      </c>
    </row>
    <row r="298" spans="1:8" s="19" customFormat="1" ht="12" customHeight="1" x14ac:dyDescent="0.25">
      <c r="A298" s="58"/>
      <c r="B298" s="38"/>
      <c r="C298" s="67">
        <v>4270</v>
      </c>
      <c r="D298" s="50" t="s">
        <v>73</v>
      </c>
      <c r="E298" s="45">
        <v>26800</v>
      </c>
      <c r="F298" s="45">
        <v>25000</v>
      </c>
      <c r="G298" s="45"/>
      <c r="H298" s="45">
        <f t="shared" si="42"/>
        <v>51800</v>
      </c>
    </row>
    <row r="299" spans="1:8" s="19" customFormat="1" ht="12" customHeight="1" x14ac:dyDescent="0.25">
      <c r="A299" s="58"/>
      <c r="B299" s="38"/>
      <c r="C299" s="67">
        <v>4800</v>
      </c>
      <c r="D299" s="93" t="s">
        <v>89</v>
      </c>
      <c r="E299" s="45">
        <v>104000</v>
      </c>
      <c r="F299" s="45"/>
      <c r="G299" s="45">
        <v>11749</v>
      </c>
      <c r="H299" s="45">
        <f t="shared" si="42"/>
        <v>92251</v>
      </c>
    </row>
    <row r="300" spans="1:8" s="19" customFormat="1" ht="12" customHeight="1" x14ac:dyDescent="0.25">
      <c r="A300" s="58"/>
      <c r="B300" s="38">
        <v>85446</v>
      </c>
      <c r="C300" s="29"/>
      <c r="D300" s="39" t="s">
        <v>98</v>
      </c>
      <c r="E300" s="41">
        <v>0</v>
      </c>
      <c r="F300" s="40">
        <f>SUM(F301,)</f>
        <v>65174</v>
      </c>
      <c r="G300" s="40">
        <f>SUM(G301,)</f>
        <v>0</v>
      </c>
      <c r="H300" s="41">
        <f t="shared" si="42"/>
        <v>65174</v>
      </c>
    </row>
    <row r="301" spans="1:8" s="19" customFormat="1" ht="12.75" customHeight="1" x14ac:dyDescent="0.25">
      <c r="A301" s="125"/>
      <c r="B301" s="38"/>
      <c r="C301" s="29"/>
      <c r="D301" s="481" t="s">
        <v>88</v>
      </c>
      <c r="E301" s="66">
        <v>0</v>
      </c>
      <c r="F301" s="477">
        <f>SUM(F302:F304)</f>
        <v>65174</v>
      </c>
      <c r="G301" s="477">
        <f>SUM(G302:G304)</f>
        <v>0</v>
      </c>
      <c r="H301" s="66">
        <f t="shared" si="42"/>
        <v>65174</v>
      </c>
    </row>
    <row r="302" spans="1:8" s="19" customFormat="1" ht="12.75" x14ac:dyDescent="0.25">
      <c r="A302" s="125"/>
      <c r="B302" s="38"/>
      <c r="C302" s="63">
        <v>4300</v>
      </c>
      <c r="D302" s="68" t="s">
        <v>68</v>
      </c>
      <c r="E302" s="45">
        <v>0</v>
      </c>
      <c r="F302" s="46">
        <v>30360</v>
      </c>
      <c r="G302" s="46"/>
      <c r="H302" s="46">
        <f t="shared" si="42"/>
        <v>30360</v>
      </c>
    </row>
    <row r="303" spans="1:8" s="19" customFormat="1" ht="12.75" x14ac:dyDescent="0.25">
      <c r="A303" s="125"/>
      <c r="B303" s="38"/>
      <c r="C303" s="63">
        <v>4410</v>
      </c>
      <c r="D303" s="68" t="s">
        <v>84</v>
      </c>
      <c r="E303" s="45">
        <v>0</v>
      </c>
      <c r="F303" s="46">
        <v>2000</v>
      </c>
      <c r="G303" s="46"/>
      <c r="H303" s="46">
        <f t="shared" si="42"/>
        <v>2000</v>
      </c>
    </row>
    <row r="304" spans="1:8" s="19" customFormat="1" ht="25.5" x14ac:dyDescent="0.25">
      <c r="A304" s="125"/>
      <c r="B304" s="38"/>
      <c r="C304" s="59">
        <v>4700</v>
      </c>
      <c r="D304" s="60" t="s">
        <v>99</v>
      </c>
      <c r="E304" s="46">
        <v>0</v>
      </c>
      <c r="F304" s="46">
        <v>32814</v>
      </c>
      <c r="G304" s="46"/>
      <c r="H304" s="46">
        <f t="shared" si="42"/>
        <v>32814</v>
      </c>
    </row>
    <row r="305" spans="1:8" s="19" customFormat="1" ht="13.5" thickBot="1" x14ac:dyDescent="0.3">
      <c r="A305" s="34">
        <v>855</v>
      </c>
      <c r="B305" s="34"/>
      <c r="C305" s="35"/>
      <c r="D305" s="36" t="s">
        <v>18</v>
      </c>
      <c r="E305" s="1">
        <v>23267998.460000001</v>
      </c>
      <c r="F305" s="37">
        <f>SUM(F306,F311)</f>
        <v>15644</v>
      </c>
      <c r="G305" s="37">
        <f>SUM(G306,G311)</f>
        <v>15644</v>
      </c>
      <c r="H305" s="33">
        <f>SUM(E305+F305-G305)</f>
        <v>23267998.460000001</v>
      </c>
    </row>
    <row r="306" spans="1:8" s="19" customFormat="1" ht="13.5" thickTop="1" x14ac:dyDescent="0.25">
      <c r="A306" s="34"/>
      <c r="B306" s="63">
        <v>85508</v>
      </c>
      <c r="C306" s="42"/>
      <c r="D306" s="126" t="s">
        <v>169</v>
      </c>
      <c r="E306" s="41">
        <v>5065591.9400000004</v>
      </c>
      <c r="F306" s="41">
        <f>SUM(F308)</f>
        <v>1539</v>
      </c>
      <c r="G306" s="41">
        <f>SUM(G308)</f>
        <v>1539</v>
      </c>
      <c r="H306" s="41">
        <f t="shared" ref="H306" si="43">SUM(E306+F306-G306)</f>
        <v>5065591.9400000004</v>
      </c>
    </row>
    <row r="307" spans="1:8" s="19" customFormat="1" ht="12.75" x14ac:dyDescent="0.25">
      <c r="A307" s="34"/>
      <c r="B307" s="58"/>
      <c r="C307" s="63"/>
      <c r="D307" s="68" t="s">
        <v>170</v>
      </c>
      <c r="E307" s="45"/>
      <c r="F307" s="46"/>
      <c r="G307" s="46"/>
      <c r="H307" s="46"/>
    </row>
    <row r="308" spans="1:8" s="19" customFormat="1" ht="12.75" x14ac:dyDescent="0.25">
      <c r="A308" s="34"/>
      <c r="B308" s="58"/>
      <c r="C308" s="63"/>
      <c r="D308" s="479" t="s">
        <v>171</v>
      </c>
      <c r="E308" s="66">
        <v>841482.86</v>
      </c>
      <c r="F308" s="477">
        <f>SUM(F309:F310)</f>
        <v>1539</v>
      </c>
      <c r="G308" s="477">
        <f>SUM(G309:G310)</f>
        <v>1539</v>
      </c>
      <c r="H308" s="66">
        <f t="shared" ref="H308:H341" si="44">SUM(E308+F308-G308)</f>
        <v>841482.86</v>
      </c>
    </row>
    <row r="309" spans="1:8" s="19" customFormat="1" ht="12.75" x14ac:dyDescent="0.25">
      <c r="A309" s="34"/>
      <c r="B309" s="58"/>
      <c r="C309" s="67">
        <v>4300</v>
      </c>
      <c r="D309" s="50" t="s">
        <v>68</v>
      </c>
      <c r="E309" s="45">
        <v>37000</v>
      </c>
      <c r="F309" s="46"/>
      <c r="G309" s="46">
        <v>1539</v>
      </c>
      <c r="H309" s="46">
        <f t="shared" si="44"/>
        <v>35461</v>
      </c>
    </row>
    <row r="310" spans="1:8" s="19" customFormat="1" ht="12.75" x14ac:dyDescent="0.25">
      <c r="A310" s="34"/>
      <c r="B310" s="58"/>
      <c r="C310" s="63">
        <v>4440</v>
      </c>
      <c r="D310" s="68" t="s">
        <v>127</v>
      </c>
      <c r="E310" s="45">
        <v>19064</v>
      </c>
      <c r="F310" s="46">
        <v>1539</v>
      </c>
      <c r="G310" s="46"/>
      <c r="H310" s="46">
        <f t="shared" si="44"/>
        <v>20603</v>
      </c>
    </row>
    <row r="311" spans="1:8" s="19" customFormat="1" ht="12.75" x14ac:dyDescent="0.25">
      <c r="A311" s="38"/>
      <c r="B311" s="63">
        <v>85510</v>
      </c>
      <c r="C311" s="29"/>
      <c r="D311" s="39" t="s">
        <v>22</v>
      </c>
      <c r="E311" s="41">
        <v>17917994.52</v>
      </c>
      <c r="F311" s="41">
        <f>SUM(F312,F315,F318)</f>
        <v>14105</v>
      </c>
      <c r="G311" s="41">
        <f>SUM(G312,G315,G318)</f>
        <v>14105</v>
      </c>
      <c r="H311" s="41">
        <f t="shared" si="44"/>
        <v>17917994.52</v>
      </c>
    </row>
    <row r="312" spans="1:8" s="19" customFormat="1" ht="12" customHeight="1" x14ac:dyDescent="0.25">
      <c r="A312" s="38"/>
      <c r="B312" s="63"/>
      <c r="C312" s="29"/>
      <c r="D312" s="479" t="s">
        <v>172</v>
      </c>
      <c r="E312" s="66">
        <v>2846966</v>
      </c>
      <c r="F312" s="477">
        <f>SUM(F313:F314)</f>
        <v>8481</v>
      </c>
      <c r="G312" s="477">
        <f>SUM(G313:G314)</f>
        <v>8481</v>
      </c>
      <c r="H312" s="66">
        <f t="shared" si="44"/>
        <v>2846966</v>
      </c>
    </row>
    <row r="313" spans="1:8" s="19" customFormat="1" ht="12" customHeight="1" x14ac:dyDescent="0.25">
      <c r="A313" s="38"/>
      <c r="B313" s="63"/>
      <c r="C313" s="67">
        <v>4040</v>
      </c>
      <c r="D313" s="50" t="s">
        <v>58</v>
      </c>
      <c r="E313" s="45">
        <v>145224</v>
      </c>
      <c r="F313" s="46"/>
      <c r="G313" s="46">
        <v>8481</v>
      </c>
      <c r="H313" s="46">
        <f t="shared" si="44"/>
        <v>136743</v>
      </c>
    </row>
    <row r="314" spans="1:8" s="19" customFormat="1" ht="12.75" x14ac:dyDescent="0.25">
      <c r="A314" s="38"/>
      <c r="B314" s="63"/>
      <c r="C314" s="63">
        <v>4440</v>
      </c>
      <c r="D314" s="68" t="s">
        <v>127</v>
      </c>
      <c r="E314" s="45">
        <v>105069</v>
      </c>
      <c r="F314" s="46">
        <v>8481</v>
      </c>
      <c r="G314" s="46"/>
      <c r="H314" s="46">
        <f t="shared" si="44"/>
        <v>113550</v>
      </c>
    </row>
    <row r="315" spans="1:8" s="19" customFormat="1" ht="12" customHeight="1" x14ac:dyDescent="0.25">
      <c r="A315" s="38"/>
      <c r="B315" s="29"/>
      <c r="C315" s="29"/>
      <c r="D315" s="479" t="s">
        <v>35</v>
      </c>
      <c r="E315" s="66">
        <v>2369705.88</v>
      </c>
      <c r="F315" s="477">
        <f>SUM(F316:F317)</f>
        <v>2821</v>
      </c>
      <c r="G315" s="477">
        <f>SUM(G316:G317)</f>
        <v>2821</v>
      </c>
      <c r="H315" s="66">
        <f t="shared" si="44"/>
        <v>2369705.88</v>
      </c>
    </row>
    <row r="316" spans="1:8" s="19" customFormat="1" ht="12" customHeight="1" x14ac:dyDescent="0.25">
      <c r="A316" s="38"/>
      <c r="B316" s="29"/>
      <c r="C316" s="67">
        <v>4040</v>
      </c>
      <c r="D316" s="50" t="s">
        <v>58</v>
      </c>
      <c r="E316" s="2">
        <v>121941</v>
      </c>
      <c r="F316" s="46"/>
      <c r="G316" s="46">
        <v>2821</v>
      </c>
      <c r="H316" s="46">
        <f t="shared" si="44"/>
        <v>119120</v>
      </c>
    </row>
    <row r="317" spans="1:8" s="19" customFormat="1" ht="12" customHeight="1" x14ac:dyDescent="0.25">
      <c r="A317" s="38"/>
      <c r="B317" s="29"/>
      <c r="C317" s="63">
        <v>4440</v>
      </c>
      <c r="D317" s="68" t="s">
        <v>127</v>
      </c>
      <c r="E317" s="2">
        <v>34942</v>
      </c>
      <c r="F317" s="46">
        <v>2821</v>
      </c>
      <c r="G317" s="46"/>
      <c r="H317" s="46">
        <f t="shared" si="44"/>
        <v>37763</v>
      </c>
    </row>
    <row r="318" spans="1:8" s="19" customFormat="1" ht="12" customHeight="1" x14ac:dyDescent="0.25">
      <c r="A318" s="38"/>
      <c r="B318" s="29"/>
      <c r="C318" s="29"/>
      <c r="D318" s="480" t="s">
        <v>173</v>
      </c>
      <c r="E318" s="66">
        <v>2310692.16</v>
      </c>
      <c r="F318" s="477">
        <f>SUM(F319:F320)</f>
        <v>2803</v>
      </c>
      <c r="G318" s="477">
        <f>SUM(G319:G320)</f>
        <v>2803</v>
      </c>
      <c r="H318" s="66">
        <f t="shared" si="44"/>
        <v>2310692.16</v>
      </c>
    </row>
    <row r="319" spans="1:8" s="19" customFormat="1" ht="12" customHeight="1" x14ac:dyDescent="0.25">
      <c r="A319" s="38"/>
      <c r="B319" s="29"/>
      <c r="C319" s="67">
        <v>4040</v>
      </c>
      <c r="D319" s="50" t="s">
        <v>58</v>
      </c>
      <c r="E319" s="2">
        <v>127217</v>
      </c>
      <c r="F319" s="46"/>
      <c r="G319" s="46">
        <v>2803</v>
      </c>
      <c r="H319" s="46">
        <f t="shared" si="44"/>
        <v>124414</v>
      </c>
    </row>
    <row r="320" spans="1:8" s="19" customFormat="1" ht="12" customHeight="1" x14ac:dyDescent="0.25">
      <c r="A320" s="64"/>
      <c r="B320" s="127"/>
      <c r="C320" s="71">
        <v>4440</v>
      </c>
      <c r="D320" s="39" t="s">
        <v>127</v>
      </c>
      <c r="E320" s="128">
        <v>34723</v>
      </c>
      <c r="F320" s="40">
        <v>2803</v>
      </c>
      <c r="G320" s="40"/>
      <c r="H320" s="40">
        <f t="shared" si="44"/>
        <v>37526</v>
      </c>
    </row>
    <row r="321" spans="1:8" s="19" customFormat="1" ht="12" customHeight="1" thickBot="1" x14ac:dyDescent="0.3">
      <c r="A321" s="58">
        <v>926</v>
      </c>
      <c r="B321" s="34"/>
      <c r="C321" s="35"/>
      <c r="D321" s="36" t="s">
        <v>152</v>
      </c>
      <c r="E321" s="33">
        <v>1202654</v>
      </c>
      <c r="F321" s="33">
        <f>SUM(F322,)</f>
        <v>5370.04</v>
      </c>
      <c r="G321" s="33">
        <f>SUM(G322,)</f>
        <v>5370.04</v>
      </c>
      <c r="H321" s="33">
        <f t="shared" si="44"/>
        <v>1202654</v>
      </c>
    </row>
    <row r="322" spans="1:8" s="19" customFormat="1" ht="12" customHeight="1" thickTop="1" x14ac:dyDescent="0.25">
      <c r="A322" s="58"/>
      <c r="B322" s="72">
        <v>92601</v>
      </c>
      <c r="C322" s="129"/>
      <c r="D322" s="97" t="s">
        <v>174</v>
      </c>
      <c r="E322" s="41">
        <v>1202654</v>
      </c>
      <c r="F322" s="41">
        <f>SUM(F323)</f>
        <v>5370.04</v>
      </c>
      <c r="G322" s="41">
        <f>SUM(G323)</f>
        <v>5370.04</v>
      </c>
      <c r="H322" s="41">
        <f t="shared" si="44"/>
        <v>1202654</v>
      </c>
    </row>
    <row r="323" spans="1:8" s="19" customFormat="1" ht="12" customHeight="1" x14ac:dyDescent="0.25">
      <c r="A323" s="58"/>
      <c r="B323" s="58"/>
      <c r="C323" s="35"/>
      <c r="D323" s="481" t="s">
        <v>88</v>
      </c>
      <c r="E323" s="66">
        <v>202655</v>
      </c>
      <c r="F323" s="66">
        <f>SUM(F324:F326)</f>
        <v>5370.04</v>
      </c>
      <c r="G323" s="66">
        <f>SUM(G324:G326)</f>
        <v>5370.04</v>
      </c>
      <c r="H323" s="66">
        <f t="shared" si="44"/>
        <v>202655</v>
      </c>
    </row>
    <row r="324" spans="1:8" s="19" customFormat="1" ht="12" customHeight="1" x14ac:dyDescent="0.25">
      <c r="A324" s="58"/>
      <c r="B324" s="38"/>
      <c r="C324" s="29" t="s">
        <v>79</v>
      </c>
      <c r="D324" s="68" t="s">
        <v>80</v>
      </c>
      <c r="E324" s="99">
        <v>21420</v>
      </c>
      <c r="F324" s="45">
        <v>2000</v>
      </c>
      <c r="G324" s="45"/>
      <c r="H324" s="45">
        <f t="shared" si="44"/>
        <v>23420</v>
      </c>
    </row>
    <row r="325" spans="1:8" s="19" customFormat="1" ht="12" customHeight="1" x14ac:dyDescent="0.25">
      <c r="A325" s="58"/>
      <c r="B325" s="38"/>
      <c r="C325" s="67">
        <v>4260</v>
      </c>
      <c r="D325" s="50" t="s">
        <v>93</v>
      </c>
      <c r="E325" s="99">
        <v>141570</v>
      </c>
      <c r="F325" s="45"/>
      <c r="G325" s="45">
        <v>5370.04</v>
      </c>
      <c r="H325" s="45">
        <f t="shared" si="44"/>
        <v>136199.96</v>
      </c>
    </row>
    <row r="326" spans="1:8" s="19" customFormat="1" ht="12" customHeight="1" x14ac:dyDescent="0.25">
      <c r="A326" s="58"/>
      <c r="B326" s="38"/>
      <c r="C326" s="67">
        <v>4270</v>
      </c>
      <c r="D326" s="50" t="s">
        <v>73</v>
      </c>
      <c r="E326" s="99">
        <v>10800</v>
      </c>
      <c r="F326" s="45">
        <v>3370.04</v>
      </c>
      <c r="G326" s="45"/>
      <c r="H326" s="45">
        <f t="shared" si="44"/>
        <v>14170.04</v>
      </c>
    </row>
    <row r="327" spans="1:8" s="19" customFormat="1" ht="20.25" customHeight="1" thickBot="1" x14ac:dyDescent="0.3">
      <c r="A327" s="28"/>
      <c r="B327" s="38"/>
      <c r="C327" s="63"/>
      <c r="D327" s="32" t="s">
        <v>175</v>
      </c>
      <c r="E327" s="33">
        <v>53217900.469999999</v>
      </c>
      <c r="F327" s="33">
        <f>SUM(F328,F333)</f>
        <v>78668.69</v>
      </c>
      <c r="G327" s="33">
        <f>SUM(G328,)</f>
        <v>0</v>
      </c>
      <c r="H327" s="33">
        <f t="shared" si="44"/>
        <v>53296569.159999996</v>
      </c>
    </row>
    <row r="328" spans="1:8" s="19" customFormat="1" ht="16.5" customHeight="1" thickTop="1" thickBot="1" x14ac:dyDescent="0.3">
      <c r="A328" s="130" t="s">
        <v>41</v>
      </c>
      <c r="B328" s="48"/>
      <c r="C328" s="48"/>
      <c r="D328" s="131" t="s">
        <v>42</v>
      </c>
      <c r="E328" s="33">
        <v>0</v>
      </c>
      <c r="F328" s="33">
        <f>SUM(F329)</f>
        <v>6804.6900000000005</v>
      </c>
      <c r="G328" s="33">
        <f>SUM(G329)</f>
        <v>0</v>
      </c>
      <c r="H328" s="33">
        <f t="shared" si="44"/>
        <v>6804.6900000000005</v>
      </c>
    </row>
    <row r="329" spans="1:8" s="19" customFormat="1" ht="12" customHeight="1" thickTop="1" x14ac:dyDescent="0.25">
      <c r="A329" s="132"/>
      <c r="B329" s="51" t="s">
        <v>43</v>
      </c>
      <c r="C329" s="52"/>
      <c r="D329" s="53" t="s">
        <v>44</v>
      </c>
      <c r="E329" s="41">
        <v>0</v>
      </c>
      <c r="F329" s="40">
        <f t="shared" ref="F329:G329" si="45">SUM(F330)</f>
        <v>6804.6900000000005</v>
      </c>
      <c r="G329" s="40">
        <f t="shared" si="45"/>
        <v>0</v>
      </c>
      <c r="H329" s="41">
        <f t="shared" si="44"/>
        <v>6804.6900000000005</v>
      </c>
    </row>
    <row r="330" spans="1:8" s="19" customFormat="1" ht="12" customHeight="1" x14ac:dyDescent="0.25">
      <c r="A330" s="35"/>
      <c r="B330" s="38"/>
      <c r="C330" s="29"/>
      <c r="D330" s="481" t="s">
        <v>176</v>
      </c>
      <c r="E330" s="488">
        <v>0</v>
      </c>
      <c r="F330" s="477">
        <f>SUM(F331:F332)</f>
        <v>6804.6900000000005</v>
      </c>
      <c r="G330" s="477">
        <f>SUM(G331:G332)</f>
        <v>0</v>
      </c>
      <c r="H330" s="66">
        <f t="shared" si="44"/>
        <v>6804.6900000000005</v>
      </c>
    </row>
    <row r="331" spans="1:8" s="19" customFormat="1" ht="12" customHeight="1" x14ac:dyDescent="0.25">
      <c r="A331" s="35"/>
      <c r="B331" s="38"/>
      <c r="C331" s="63">
        <v>4300</v>
      </c>
      <c r="D331" s="68" t="s">
        <v>68</v>
      </c>
      <c r="E331" s="45">
        <v>0</v>
      </c>
      <c r="F331" s="46">
        <v>133.43</v>
      </c>
      <c r="G331" s="46"/>
      <c r="H331" s="46">
        <f t="shared" si="44"/>
        <v>133.43</v>
      </c>
    </row>
    <row r="332" spans="1:8" s="19" customFormat="1" ht="12" customHeight="1" x14ac:dyDescent="0.25">
      <c r="A332" s="35"/>
      <c r="B332" s="34"/>
      <c r="C332" s="63">
        <v>4430</v>
      </c>
      <c r="D332" s="68" t="s">
        <v>177</v>
      </c>
      <c r="E332" s="46">
        <v>0</v>
      </c>
      <c r="F332" s="46">
        <v>6671.26</v>
      </c>
      <c r="G332" s="133"/>
      <c r="H332" s="46">
        <f t="shared" si="44"/>
        <v>6671.26</v>
      </c>
    </row>
    <row r="333" spans="1:8" s="19" customFormat="1" ht="12" customHeight="1" thickBot="1" x14ac:dyDescent="0.3">
      <c r="A333" s="123">
        <v>852</v>
      </c>
      <c r="B333" s="123"/>
      <c r="C333" s="72"/>
      <c r="D333" s="134" t="s">
        <v>27</v>
      </c>
      <c r="E333" s="33">
        <v>6659816.6699999999</v>
      </c>
      <c r="F333" s="33">
        <f>SUM(F334,F338)</f>
        <v>71864</v>
      </c>
      <c r="G333" s="33">
        <f>SUM(G334,G338)</f>
        <v>0</v>
      </c>
      <c r="H333" s="33">
        <f t="shared" si="44"/>
        <v>6731680.6699999999</v>
      </c>
    </row>
    <row r="334" spans="1:8" s="19" customFormat="1" ht="12" customHeight="1" thickTop="1" x14ac:dyDescent="0.25">
      <c r="A334" s="38"/>
      <c r="B334" s="38">
        <v>85219</v>
      </c>
      <c r="C334" s="29"/>
      <c r="D334" s="39" t="s">
        <v>48</v>
      </c>
      <c r="E334" s="41">
        <v>98903</v>
      </c>
      <c r="F334" s="40">
        <f>SUM(F335)</f>
        <v>46864</v>
      </c>
      <c r="G334" s="40">
        <f>SUM(G335)</f>
        <v>0</v>
      </c>
      <c r="H334" s="41">
        <f t="shared" si="44"/>
        <v>145767</v>
      </c>
    </row>
    <row r="335" spans="1:8" s="19" customFormat="1" ht="12" customHeight="1" x14ac:dyDescent="0.25">
      <c r="A335" s="38"/>
      <c r="B335" s="80"/>
      <c r="C335" s="129"/>
      <c r="D335" s="480" t="s">
        <v>31</v>
      </c>
      <c r="E335" s="488">
        <v>98903</v>
      </c>
      <c r="F335" s="477">
        <f>SUM(F336:F337)</f>
        <v>46864</v>
      </c>
      <c r="G335" s="477">
        <f>SUM(G336:G337)</f>
        <v>0</v>
      </c>
      <c r="H335" s="66">
        <f t="shared" si="44"/>
        <v>145767</v>
      </c>
    </row>
    <row r="336" spans="1:8" s="19" customFormat="1" ht="12" customHeight="1" x14ac:dyDescent="0.25">
      <c r="A336" s="38"/>
      <c r="B336" s="80"/>
      <c r="C336" s="63">
        <v>3110</v>
      </c>
      <c r="D336" s="68" t="s">
        <v>178</v>
      </c>
      <c r="E336" s="45">
        <v>97442</v>
      </c>
      <c r="F336" s="45">
        <v>46161</v>
      </c>
      <c r="G336" s="45"/>
      <c r="H336" s="46">
        <f t="shared" si="44"/>
        <v>143603</v>
      </c>
    </row>
    <row r="337" spans="1:8" s="19" customFormat="1" ht="12" customHeight="1" x14ac:dyDescent="0.25">
      <c r="A337" s="38"/>
      <c r="B337" s="38"/>
      <c r="C337" s="29" t="s">
        <v>79</v>
      </c>
      <c r="D337" s="68" t="s">
        <v>80</v>
      </c>
      <c r="E337" s="45">
        <v>1461</v>
      </c>
      <c r="F337" s="45">
        <v>703</v>
      </c>
      <c r="G337" s="45"/>
      <c r="H337" s="46">
        <f t="shared" si="44"/>
        <v>2164</v>
      </c>
    </row>
    <row r="338" spans="1:8" s="19" customFormat="1" ht="12" customHeight="1" x14ac:dyDescent="0.25">
      <c r="A338" s="35"/>
      <c r="B338" s="38">
        <v>85231</v>
      </c>
      <c r="C338" s="29"/>
      <c r="D338" s="39" t="s">
        <v>50</v>
      </c>
      <c r="E338" s="41">
        <v>3600</v>
      </c>
      <c r="F338" s="40">
        <f>SUM(F339)</f>
        <v>25000</v>
      </c>
      <c r="G338" s="40">
        <f>SUM(G339)</f>
        <v>0</v>
      </c>
      <c r="H338" s="41">
        <f t="shared" si="44"/>
        <v>28600</v>
      </c>
    </row>
    <row r="339" spans="1:8" s="19" customFormat="1" ht="12" customHeight="1" x14ac:dyDescent="0.25">
      <c r="A339" s="35"/>
      <c r="B339" s="72"/>
      <c r="C339" s="129"/>
      <c r="D339" s="480" t="s">
        <v>31</v>
      </c>
      <c r="E339" s="488">
        <v>3600</v>
      </c>
      <c r="F339" s="477">
        <f>SUM(F340:F341)</f>
        <v>25000</v>
      </c>
      <c r="G339" s="477">
        <f>SUM(G340:G341)</f>
        <v>0</v>
      </c>
      <c r="H339" s="66">
        <f t="shared" si="44"/>
        <v>28600</v>
      </c>
    </row>
    <row r="340" spans="1:8" s="19" customFormat="1" ht="12" customHeight="1" x14ac:dyDescent="0.25">
      <c r="A340" s="35"/>
      <c r="B340" s="63"/>
      <c r="C340" s="63">
        <v>3110</v>
      </c>
      <c r="D340" s="68" t="s">
        <v>178</v>
      </c>
      <c r="E340" s="45">
        <v>3600</v>
      </c>
      <c r="F340" s="45">
        <v>16000</v>
      </c>
      <c r="G340" s="45"/>
      <c r="H340" s="46">
        <f t="shared" si="44"/>
        <v>19600</v>
      </c>
    </row>
    <row r="341" spans="1:8" s="19" customFormat="1" ht="12" customHeight="1" x14ac:dyDescent="0.25">
      <c r="A341" s="35"/>
      <c r="B341" s="34"/>
      <c r="C341" s="63">
        <v>4300</v>
      </c>
      <c r="D341" s="68" t="s">
        <v>68</v>
      </c>
      <c r="E341" s="46">
        <v>0</v>
      </c>
      <c r="F341" s="46">
        <v>9000</v>
      </c>
      <c r="G341" s="133"/>
      <c r="H341" s="46">
        <f t="shared" si="44"/>
        <v>9000</v>
      </c>
    </row>
    <row r="342" spans="1:8" s="19" customFormat="1" ht="16.899999999999999" customHeight="1" thickBot="1" x14ac:dyDescent="0.3">
      <c r="A342" s="135"/>
      <c r="B342" s="38"/>
      <c r="C342" s="63"/>
      <c r="D342" s="32" t="s">
        <v>179</v>
      </c>
      <c r="E342" s="33">
        <v>27212358.620000001</v>
      </c>
      <c r="F342" s="33">
        <f>SUM(F343,F349,)</f>
        <v>133063.45000000001</v>
      </c>
      <c r="G342" s="33">
        <f>SUM(G343,G349,)</f>
        <v>690.1</v>
      </c>
      <c r="H342" s="33">
        <f>SUM(E342+F342-G342)</f>
        <v>27344731.969999999</v>
      </c>
    </row>
    <row r="343" spans="1:8" s="19" customFormat="1" ht="16.5" customHeight="1" thickTop="1" thickBot="1" x14ac:dyDescent="0.3">
      <c r="A343" s="34">
        <v>754</v>
      </c>
      <c r="B343" s="34"/>
      <c r="C343" s="35"/>
      <c r="D343" s="36" t="s">
        <v>52</v>
      </c>
      <c r="E343" s="33">
        <v>23115194</v>
      </c>
      <c r="F343" s="37">
        <f t="shared" ref="F343:G344" si="46">SUM(F344)</f>
        <v>132624.45000000001</v>
      </c>
      <c r="G343" s="37">
        <f t="shared" si="46"/>
        <v>251.1</v>
      </c>
      <c r="H343" s="33">
        <f>SUM(E343+F343-G343)</f>
        <v>23247567.349999998</v>
      </c>
    </row>
    <row r="344" spans="1:8" s="19" customFormat="1" ht="12" customHeight="1" thickTop="1" x14ac:dyDescent="0.25">
      <c r="A344" s="28"/>
      <c r="B344" s="63">
        <v>75411</v>
      </c>
      <c r="C344" s="48"/>
      <c r="D344" s="136" t="s">
        <v>53</v>
      </c>
      <c r="E344" s="41">
        <v>23115194</v>
      </c>
      <c r="F344" s="40">
        <f t="shared" si="46"/>
        <v>132624.45000000001</v>
      </c>
      <c r="G344" s="40">
        <f t="shared" si="46"/>
        <v>251.1</v>
      </c>
      <c r="H344" s="41">
        <f>SUM(E344+F344-G344)</f>
        <v>23247567.349999998</v>
      </c>
    </row>
    <row r="345" spans="1:8" s="19" customFormat="1" ht="12" customHeight="1" x14ac:dyDescent="0.25">
      <c r="A345" s="20"/>
      <c r="B345" s="48"/>
      <c r="C345" s="63"/>
      <c r="D345" s="494" t="s">
        <v>180</v>
      </c>
      <c r="E345" s="66">
        <v>23115194</v>
      </c>
      <c r="F345" s="66">
        <f>SUM(F346:F348)</f>
        <v>132624.45000000001</v>
      </c>
      <c r="G345" s="66">
        <f>SUM(G346:G348)</f>
        <v>251.1</v>
      </c>
      <c r="H345" s="66">
        <f>SUM(E345+F345-G345)</f>
        <v>23247567.349999998</v>
      </c>
    </row>
    <row r="346" spans="1:8" s="19" customFormat="1" ht="12" customHeight="1" x14ac:dyDescent="0.25">
      <c r="A346" s="20"/>
      <c r="B346" s="38"/>
      <c r="C346" s="67">
        <v>4050</v>
      </c>
      <c r="D346" s="137" t="s">
        <v>181</v>
      </c>
      <c r="E346" s="46">
        <v>15520543.09</v>
      </c>
      <c r="F346" s="46">
        <v>67664.800000000003</v>
      </c>
      <c r="G346" s="46">
        <v>251.1</v>
      </c>
      <c r="H346" s="46">
        <f t="shared" ref="H346:H350" si="47">SUM(E346+F346-G346)</f>
        <v>15587956.790000001</v>
      </c>
    </row>
    <row r="347" spans="1:8" s="19" customFormat="1" ht="24" customHeight="1" x14ac:dyDescent="0.25">
      <c r="A347" s="20"/>
      <c r="B347" s="38"/>
      <c r="C347" s="59">
        <v>4060</v>
      </c>
      <c r="D347" s="138" t="s">
        <v>182</v>
      </c>
      <c r="E347" s="46">
        <v>388032.91</v>
      </c>
      <c r="F347" s="46">
        <f>251.1+1519.55</f>
        <v>1770.6499999999999</v>
      </c>
      <c r="G347" s="46"/>
      <c r="H347" s="46">
        <f t="shared" si="47"/>
        <v>389803.56</v>
      </c>
    </row>
    <row r="348" spans="1:8" s="19" customFormat="1" ht="12" customHeight="1" x14ac:dyDescent="0.25">
      <c r="A348" s="20"/>
      <c r="B348" s="38"/>
      <c r="C348" s="29" t="s">
        <v>79</v>
      </c>
      <c r="D348" s="68" t="s">
        <v>80</v>
      </c>
      <c r="E348" s="46">
        <v>198000</v>
      </c>
      <c r="F348" s="46">
        <v>63189</v>
      </c>
      <c r="G348" s="46"/>
      <c r="H348" s="46">
        <f t="shared" si="47"/>
        <v>261189</v>
      </c>
    </row>
    <row r="349" spans="1:8" s="19" customFormat="1" ht="12.95" customHeight="1" thickBot="1" x14ac:dyDescent="0.3">
      <c r="A349" s="123">
        <v>852</v>
      </c>
      <c r="B349" s="123"/>
      <c r="C349" s="72"/>
      <c r="D349" s="134" t="s">
        <v>27</v>
      </c>
      <c r="E349" s="33">
        <v>691600</v>
      </c>
      <c r="F349" s="33">
        <f>SUM(F350,)</f>
        <v>439</v>
      </c>
      <c r="G349" s="33">
        <f>SUM(G350,)</f>
        <v>439</v>
      </c>
      <c r="H349" s="33">
        <f t="shared" si="47"/>
        <v>691600</v>
      </c>
    </row>
    <row r="350" spans="1:8" s="19" customFormat="1" ht="12.95" customHeight="1" thickTop="1" x14ac:dyDescent="0.25">
      <c r="A350" s="38"/>
      <c r="B350" s="38">
        <v>85205</v>
      </c>
      <c r="C350" s="29"/>
      <c r="D350" s="97" t="s">
        <v>183</v>
      </c>
      <c r="E350" s="41">
        <v>684000</v>
      </c>
      <c r="F350" s="40">
        <f t="shared" ref="F350:G350" si="48">SUM(F351)</f>
        <v>439</v>
      </c>
      <c r="G350" s="40">
        <f t="shared" si="48"/>
        <v>439</v>
      </c>
      <c r="H350" s="41">
        <f t="shared" si="47"/>
        <v>684000</v>
      </c>
    </row>
    <row r="351" spans="1:8" s="19" customFormat="1" ht="12.75" customHeight="1" x14ac:dyDescent="0.25">
      <c r="A351" s="38"/>
      <c r="B351" s="38"/>
      <c r="C351" s="29"/>
      <c r="D351" s="480" t="s">
        <v>184</v>
      </c>
      <c r="E351" s="66">
        <v>672000</v>
      </c>
      <c r="F351" s="477">
        <f>SUM(F352:F353)</f>
        <v>439</v>
      </c>
      <c r="G351" s="477">
        <f>SUM(G352:G353)</f>
        <v>439</v>
      </c>
      <c r="H351" s="66">
        <f>SUM(E351+F351-G351)</f>
        <v>672000</v>
      </c>
    </row>
    <row r="352" spans="1:8" s="19" customFormat="1" ht="12" customHeight="1" x14ac:dyDescent="0.25">
      <c r="A352" s="38"/>
      <c r="B352" s="38"/>
      <c r="C352" s="29" t="s">
        <v>79</v>
      </c>
      <c r="D352" s="68" t="s">
        <v>80</v>
      </c>
      <c r="E352" s="45">
        <v>5050</v>
      </c>
      <c r="F352" s="46"/>
      <c r="G352" s="46">
        <v>439</v>
      </c>
      <c r="H352" s="45">
        <f t="shared" ref="H352:H353" si="49">SUM(E352+F352-G352)</f>
        <v>4611</v>
      </c>
    </row>
    <row r="353" spans="1:8" s="19" customFormat="1" ht="12" customHeight="1" x14ac:dyDescent="0.25">
      <c r="A353" s="38"/>
      <c r="B353" s="38"/>
      <c r="C353" s="67">
        <v>4440</v>
      </c>
      <c r="D353" s="50" t="s">
        <v>127</v>
      </c>
      <c r="E353" s="45">
        <v>5447</v>
      </c>
      <c r="F353" s="46">
        <v>439</v>
      </c>
      <c r="G353" s="46"/>
      <c r="H353" s="45">
        <f t="shared" si="49"/>
        <v>5886</v>
      </c>
    </row>
    <row r="354" spans="1:8" s="19" customFormat="1" ht="3.75" customHeight="1" x14ac:dyDescent="0.25">
      <c r="A354" s="139"/>
      <c r="B354" s="139"/>
      <c r="C354" s="140"/>
      <c r="D354" s="141"/>
      <c r="E354" s="41"/>
      <c r="F354" s="41"/>
      <c r="G354" s="41"/>
      <c r="H354" s="41"/>
    </row>
    <row r="355" spans="1:8" s="19" customFormat="1" ht="12.95" customHeight="1" x14ac:dyDescent="0.25"/>
    <row r="356" spans="1:8" s="19" customFormat="1" ht="12.95" customHeight="1" x14ac:dyDescent="0.25"/>
    <row r="357" spans="1:8" s="19" customFormat="1" ht="12.95" customHeight="1" x14ac:dyDescent="0.25"/>
    <row r="358" spans="1:8" s="19" customFormat="1" ht="12.95" customHeight="1" x14ac:dyDescent="0.25"/>
    <row r="359" spans="1:8" s="19" customFormat="1" ht="12.95" customHeight="1" x14ac:dyDescent="0.25"/>
    <row r="360" spans="1:8" s="19" customFormat="1" ht="12.95" customHeight="1" x14ac:dyDescent="0.25"/>
    <row r="361" spans="1:8" s="19" customFormat="1" ht="12.95" customHeight="1" x14ac:dyDescent="0.25"/>
    <row r="362" spans="1:8" s="19" customFormat="1" ht="12.95" customHeight="1" x14ac:dyDescent="0.25"/>
    <row r="363" spans="1:8" s="19" customFormat="1" ht="12.95" customHeight="1" x14ac:dyDescent="0.25"/>
    <row r="364" spans="1:8" s="19" customFormat="1" ht="12.95" customHeight="1" x14ac:dyDescent="0.25"/>
    <row r="365" spans="1:8" s="19" customFormat="1" ht="12.95" customHeight="1" x14ac:dyDescent="0.25"/>
    <row r="366" spans="1:8" s="19" customFormat="1" ht="12.95" customHeight="1" x14ac:dyDescent="0.25"/>
    <row r="367" spans="1:8" s="19" customFormat="1" ht="12.95" customHeight="1" x14ac:dyDescent="0.25"/>
    <row r="368" spans="1:8" s="19" customFormat="1" ht="12.95" customHeight="1" x14ac:dyDescent="0.25"/>
    <row r="369" s="19" customFormat="1" ht="12.95" customHeight="1" x14ac:dyDescent="0.25"/>
    <row r="370" s="19" customFormat="1" ht="12.95" customHeight="1" x14ac:dyDescent="0.25"/>
    <row r="371" s="19" customFormat="1" ht="12.95" customHeight="1" x14ac:dyDescent="0.25"/>
    <row r="372" s="19" customFormat="1" ht="12.95" customHeight="1" x14ac:dyDescent="0.25"/>
    <row r="373" s="19" customFormat="1" ht="12.95" customHeight="1" x14ac:dyDescent="0.25"/>
    <row r="374" s="19" customFormat="1" ht="12.95" customHeight="1" x14ac:dyDescent="0.25"/>
    <row r="375" s="19" customFormat="1" ht="12.95" customHeight="1" x14ac:dyDescent="0.25"/>
    <row r="376" s="19" customFormat="1" ht="12.95" customHeight="1" x14ac:dyDescent="0.25"/>
    <row r="377" s="19" customFormat="1" ht="12.95" customHeight="1" x14ac:dyDescent="0.25"/>
    <row r="378" s="19" customFormat="1" ht="12.95" customHeight="1" x14ac:dyDescent="0.25"/>
    <row r="379" s="19" customFormat="1" ht="12.95" customHeight="1" x14ac:dyDescent="0.25"/>
    <row r="380" s="19" customFormat="1" ht="12.95" customHeight="1" x14ac:dyDescent="0.25"/>
    <row r="381" s="19" customFormat="1" ht="12.95" customHeight="1" x14ac:dyDescent="0.25"/>
    <row r="382" s="19" customFormat="1" ht="12.95" customHeight="1" x14ac:dyDescent="0.25"/>
    <row r="383" s="19" customFormat="1" ht="12.95" customHeight="1" x14ac:dyDescent="0.25"/>
    <row r="384" s="19" customFormat="1" ht="12.95" customHeight="1" x14ac:dyDescent="0.25"/>
    <row r="385" s="19" customFormat="1" ht="12.95" customHeight="1" x14ac:dyDescent="0.25"/>
    <row r="386" s="19" customFormat="1" ht="12.95" customHeight="1" x14ac:dyDescent="0.25"/>
    <row r="387" s="19" customFormat="1" ht="12.95" customHeight="1" x14ac:dyDescent="0.25"/>
    <row r="388" s="19" customFormat="1" ht="12.95" customHeight="1" x14ac:dyDescent="0.25"/>
    <row r="389" s="19" customFormat="1" ht="12.95" customHeight="1" x14ac:dyDescent="0.25"/>
    <row r="390" s="19" customFormat="1" ht="12.95" customHeight="1" x14ac:dyDescent="0.25"/>
    <row r="391" s="19" customFormat="1" ht="12.95" customHeight="1" x14ac:dyDescent="0.25"/>
    <row r="392" s="19" customFormat="1" ht="12.95" customHeight="1" x14ac:dyDescent="0.25"/>
    <row r="393" s="19" customFormat="1" ht="12.95" customHeight="1" x14ac:dyDescent="0.25"/>
    <row r="394" s="19" customFormat="1" ht="12.95" customHeight="1" x14ac:dyDescent="0.25"/>
    <row r="395" s="19" customFormat="1" ht="12.95" customHeight="1" x14ac:dyDescent="0.25"/>
    <row r="396" s="19" customFormat="1" ht="12.95" customHeight="1" x14ac:dyDescent="0.25"/>
    <row r="397" s="19" customFormat="1" ht="12.95" customHeight="1" x14ac:dyDescent="0.25"/>
    <row r="398" s="19" customFormat="1" ht="12.95" customHeight="1" x14ac:dyDescent="0.25"/>
    <row r="399" s="19" customFormat="1" ht="12.95" customHeight="1" x14ac:dyDescent="0.25"/>
    <row r="400" s="19" customFormat="1" ht="12.95" customHeight="1" x14ac:dyDescent="0.25"/>
    <row r="401" s="19" customFormat="1" ht="12.95" customHeight="1" x14ac:dyDescent="0.25"/>
    <row r="402" s="19" customFormat="1" ht="12.95" customHeight="1" x14ac:dyDescent="0.25"/>
    <row r="403" s="19" customFormat="1" ht="12.95" customHeight="1" x14ac:dyDescent="0.25"/>
    <row r="404" s="19" customFormat="1" ht="12.95" customHeight="1" x14ac:dyDescent="0.25"/>
    <row r="405" s="19" customFormat="1" ht="12.95" customHeight="1" x14ac:dyDescent="0.25"/>
    <row r="406" s="19" customFormat="1" ht="12.95" customHeight="1" x14ac:dyDescent="0.25"/>
    <row r="407" s="19" customFormat="1" ht="12.95" customHeight="1" x14ac:dyDescent="0.25"/>
    <row r="408" s="19" customFormat="1" ht="12.95" customHeight="1" x14ac:dyDescent="0.25"/>
    <row r="409" s="19" customFormat="1" ht="12.95" customHeight="1" x14ac:dyDescent="0.25"/>
    <row r="410" s="19" customFormat="1" ht="12.95" customHeight="1" x14ac:dyDescent="0.25"/>
    <row r="411" s="19" customFormat="1" ht="12.95" customHeight="1" x14ac:dyDescent="0.25"/>
    <row r="412" s="19" customFormat="1" ht="12.95" customHeight="1" x14ac:dyDescent="0.25"/>
    <row r="413" s="19" customFormat="1" ht="12.95" customHeight="1" x14ac:dyDescent="0.25"/>
    <row r="414" s="19" customFormat="1" ht="12.95" customHeight="1" x14ac:dyDescent="0.25"/>
    <row r="415" s="19" customFormat="1" ht="12.95" customHeight="1" x14ac:dyDescent="0.25"/>
    <row r="416" s="19" customFormat="1" ht="12.95" customHeight="1" x14ac:dyDescent="0.25"/>
    <row r="417" s="19" customFormat="1" ht="12.95" customHeight="1" x14ac:dyDescent="0.25"/>
    <row r="418" s="19" customFormat="1" ht="12.95" customHeight="1" x14ac:dyDescent="0.25"/>
    <row r="419" s="19" customFormat="1" ht="12.95" customHeight="1" x14ac:dyDescent="0.25"/>
    <row r="420" s="19" customFormat="1" ht="12.95" customHeight="1" x14ac:dyDescent="0.25"/>
    <row r="421" s="19" customFormat="1" ht="12.95" customHeight="1" x14ac:dyDescent="0.25"/>
    <row r="422" s="6" customFormat="1" ht="12.95" customHeight="1" x14ac:dyDescent="0.3"/>
    <row r="423" s="6" customFormat="1" ht="12.95" customHeight="1" x14ac:dyDescent="0.3"/>
    <row r="424" s="6" customFormat="1" ht="12.95" customHeight="1" x14ac:dyDescent="0.3"/>
    <row r="425" s="6" customFormat="1" ht="12.95" customHeight="1" x14ac:dyDescent="0.3"/>
    <row r="426" s="6" customFormat="1" ht="12.95" customHeight="1" x14ac:dyDescent="0.3"/>
    <row r="427" s="6" customFormat="1" ht="12.95" customHeight="1" x14ac:dyDescent="0.3"/>
    <row r="428" s="6" customFormat="1" ht="12.95" customHeight="1" x14ac:dyDescent="0.3"/>
    <row r="429" s="6" customFormat="1" ht="12.95" customHeight="1" x14ac:dyDescent="0.3"/>
    <row r="430" s="6" customFormat="1" ht="12.95" customHeight="1" x14ac:dyDescent="0.3"/>
    <row r="431" s="6" customFormat="1" ht="12.95" customHeight="1" x14ac:dyDescent="0.3"/>
    <row r="432" s="6" customFormat="1" ht="12.95" customHeight="1" x14ac:dyDescent="0.3"/>
    <row r="433" s="6" customFormat="1" ht="12.95" customHeight="1" x14ac:dyDescent="0.3"/>
    <row r="434" s="6" customFormat="1" ht="12.75" customHeight="1" x14ac:dyDescent="0.3"/>
    <row r="435" s="6" customFormat="1" ht="12.75" customHeight="1" x14ac:dyDescent="0.3"/>
    <row r="436" s="6" customFormat="1" ht="12.75" customHeight="1" x14ac:dyDescent="0.3"/>
    <row r="437" s="6" customFormat="1" ht="12.75" customHeight="1" x14ac:dyDescent="0.3"/>
    <row r="438" s="6" customFormat="1" ht="12.75" customHeight="1" x14ac:dyDescent="0.3"/>
    <row r="439" s="6" customFormat="1" ht="12.75" customHeight="1" x14ac:dyDescent="0.3"/>
    <row r="440" s="6" customFormat="1" ht="12.75" customHeight="1" x14ac:dyDescent="0.3"/>
    <row r="441" s="6" customFormat="1" ht="12.75" customHeight="1" x14ac:dyDescent="0.3"/>
    <row r="442" s="6" customFormat="1" ht="12.75" customHeight="1" x14ac:dyDescent="0.3"/>
    <row r="443" s="6" customFormat="1" ht="12.75" customHeight="1" x14ac:dyDescent="0.3"/>
    <row r="444" s="6" customFormat="1" ht="12.75" customHeight="1" x14ac:dyDescent="0.3"/>
    <row r="445" s="6" customFormat="1" ht="12.75" customHeight="1" x14ac:dyDescent="0.3"/>
    <row r="446" s="6" customFormat="1" ht="12.75" customHeight="1" x14ac:dyDescent="0.3"/>
    <row r="447" s="6" customFormat="1" ht="12.75" customHeight="1" x14ac:dyDescent="0.3"/>
    <row r="448" s="6" customFormat="1" ht="12.75" customHeight="1" x14ac:dyDescent="0.3"/>
    <row r="449" s="6" customFormat="1" ht="12.75" customHeight="1" x14ac:dyDescent="0.3"/>
    <row r="450" s="6" customFormat="1" ht="12.75" customHeight="1" x14ac:dyDescent="0.3"/>
    <row r="451" s="6" customFormat="1" ht="12.75" customHeight="1" x14ac:dyDescent="0.3"/>
    <row r="452" s="6" customFormat="1" ht="12.75" customHeight="1" x14ac:dyDescent="0.3"/>
    <row r="453" s="6" customFormat="1" ht="12.75" customHeight="1" x14ac:dyDescent="0.3"/>
    <row r="454" s="6" customFormat="1" ht="12.75" customHeight="1" x14ac:dyDescent="0.3"/>
    <row r="455" s="6" customFormat="1" ht="12.75" customHeight="1" x14ac:dyDescent="0.3"/>
    <row r="456" s="6" customFormat="1" ht="12.75" customHeight="1" x14ac:dyDescent="0.3"/>
    <row r="457" s="6" customFormat="1" ht="12.75" customHeight="1" x14ac:dyDescent="0.3"/>
    <row r="458" s="6" customFormat="1" ht="12.75" customHeight="1" x14ac:dyDescent="0.3"/>
    <row r="459" s="6" customFormat="1" ht="12.75" customHeight="1" x14ac:dyDescent="0.3"/>
    <row r="460" s="6" customFormat="1" ht="12.75" customHeight="1" x14ac:dyDescent="0.3"/>
    <row r="461" s="6" customFormat="1" ht="12.75" customHeight="1" x14ac:dyDescent="0.3"/>
    <row r="462" s="6" customFormat="1" ht="12.75" customHeight="1" x14ac:dyDescent="0.3"/>
    <row r="463" s="6" customFormat="1" ht="12.75" customHeight="1" x14ac:dyDescent="0.3"/>
    <row r="464" s="6" customFormat="1" ht="12.75" customHeight="1" x14ac:dyDescent="0.3"/>
    <row r="465" s="6" customFormat="1" ht="12.75" customHeight="1" x14ac:dyDescent="0.3"/>
    <row r="466" s="6" customFormat="1" ht="12.75" customHeight="1" x14ac:dyDescent="0.3"/>
    <row r="467" s="6" customFormat="1" ht="12.75" customHeight="1" x14ac:dyDescent="0.3"/>
    <row r="468" s="6" customFormat="1" ht="12.75" customHeight="1" x14ac:dyDescent="0.3"/>
    <row r="469" s="6" customFormat="1" ht="12.75" customHeight="1" x14ac:dyDescent="0.3"/>
    <row r="470" s="6" customFormat="1" ht="12.75" customHeight="1" x14ac:dyDescent="0.3"/>
    <row r="471" s="6" customFormat="1" ht="12.75" customHeight="1" x14ac:dyDescent="0.3"/>
    <row r="472" s="6" customFormat="1" ht="12.75" customHeight="1" x14ac:dyDescent="0.3"/>
    <row r="473" s="6" customFormat="1" ht="12.75" customHeight="1" x14ac:dyDescent="0.3"/>
    <row r="474" s="6" customFormat="1" ht="12.75" customHeight="1" x14ac:dyDescent="0.3"/>
    <row r="475" s="6" customFormat="1" ht="12.75" customHeight="1" x14ac:dyDescent="0.3"/>
    <row r="476" s="6" customFormat="1" ht="12.75" customHeight="1" x14ac:dyDescent="0.3"/>
    <row r="477" s="6" customFormat="1" ht="12.75" customHeight="1" x14ac:dyDescent="0.3"/>
    <row r="478" s="6" customFormat="1" ht="12.75" customHeight="1" x14ac:dyDescent="0.3"/>
    <row r="479" s="6" customFormat="1" ht="12.75" customHeight="1" x14ac:dyDescent="0.3"/>
    <row r="480" s="6" customFormat="1" ht="12.75" customHeight="1" x14ac:dyDescent="0.3"/>
    <row r="481" s="6" customFormat="1" ht="12.75" customHeight="1" x14ac:dyDescent="0.3"/>
    <row r="482" s="6" customFormat="1" ht="12.75" customHeight="1" x14ac:dyDescent="0.3"/>
    <row r="483" s="6" customFormat="1" ht="12.75" customHeight="1" x14ac:dyDescent="0.3"/>
    <row r="484" s="6" customFormat="1" ht="12.75" customHeight="1" x14ac:dyDescent="0.3"/>
    <row r="485" s="6" customFormat="1" ht="12.75" customHeight="1" x14ac:dyDescent="0.3"/>
    <row r="486" s="6" customFormat="1" ht="12.75" customHeight="1" x14ac:dyDescent="0.3"/>
    <row r="487" s="6" customFormat="1" ht="12.75" customHeight="1" x14ac:dyDescent="0.3"/>
    <row r="488" s="6" customFormat="1" ht="12.75" customHeight="1" x14ac:dyDescent="0.3"/>
    <row r="489" s="6" customFormat="1" ht="12.75" customHeight="1" x14ac:dyDescent="0.3"/>
    <row r="490" s="6" customFormat="1" ht="12.75" customHeight="1" x14ac:dyDescent="0.3"/>
    <row r="491" s="6" customFormat="1" ht="12.75" customHeight="1" x14ac:dyDescent="0.3"/>
    <row r="492" s="6" customFormat="1" ht="12.75" customHeight="1" x14ac:dyDescent="0.3"/>
    <row r="493" s="6" customFormat="1" ht="12.75" customHeight="1" x14ac:dyDescent="0.3"/>
    <row r="494" s="6" customFormat="1" ht="12.75" customHeight="1" x14ac:dyDescent="0.3"/>
    <row r="495" s="6" customFormat="1" ht="12.75" customHeight="1" x14ac:dyDescent="0.3"/>
    <row r="496" s="6" customFormat="1" ht="12.75" customHeight="1" x14ac:dyDescent="0.3"/>
    <row r="497" s="6" customFormat="1" ht="12.75" customHeight="1" x14ac:dyDescent="0.3"/>
    <row r="498" s="6" customFormat="1" ht="12.75" customHeight="1" x14ac:dyDescent="0.3"/>
    <row r="499" s="6" customFormat="1" ht="12.75" customHeight="1" x14ac:dyDescent="0.3"/>
    <row r="500" s="6" customFormat="1" ht="12.75" customHeight="1" x14ac:dyDescent="0.3"/>
    <row r="501" s="6" customFormat="1" ht="12.75" customHeight="1" x14ac:dyDescent="0.3"/>
    <row r="502" s="6" customFormat="1" ht="12.75" customHeight="1" x14ac:dyDescent="0.3"/>
    <row r="503" s="6" customFormat="1" ht="12.75" customHeight="1" x14ac:dyDescent="0.3"/>
    <row r="504" s="6" customFormat="1" ht="12.75" customHeight="1" x14ac:dyDescent="0.3"/>
    <row r="505" s="6" customFormat="1" ht="12.75" customHeight="1" x14ac:dyDescent="0.3"/>
    <row r="506" s="6" customFormat="1" ht="12.75" customHeight="1" x14ac:dyDescent="0.3"/>
    <row r="507" s="6" customFormat="1" ht="12.75" customHeight="1" x14ac:dyDescent="0.3"/>
    <row r="508" s="6" customFormat="1" ht="12.75" customHeight="1" x14ac:dyDescent="0.3"/>
    <row r="509" s="6" customFormat="1" ht="12.75" customHeight="1" x14ac:dyDescent="0.3"/>
    <row r="510" s="6" customFormat="1" ht="12.75" customHeight="1" x14ac:dyDescent="0.3"/>
    <row r="511" s="6" customFormat="1" ht="12.75" customHeight="1" x14ac:dyDescent="0.3"/>
    <row r="512" s="6" customFormat="1" ht="12.75" customHeight="1" x14ac:dyDescent="0.3"/>
    <row r="513" s="6" customFormat="1" ht="12.75" customHeight="1" x14ac:dyDescent="0.3"/>
    <row r="514" s="6" customFormat="1" ht="12.75" customHeight="1" x14ac:dyDescent="0.3"/>
    <row r="515" s="6" customFormat="1" ht="12.75" customHeight="1" x14ac:dyDescent="0.3"/>
    <row r="516" s="6" customFormat="1" ht="12.75" customHeight="1" x14ac:dyDescent="0.3"/>
    <row r="517" s="6" customFormat="1" ht="12.75" customHeight="1" x14ac:dyDescent="0.3"/>
    <row r="518" s="6" customFormat="1" ht="12.75" customHeight="1" x14ac:dyDescent="0.3"/>
    <row r="519" s="6" customFormat="1" ht="12.75" customHeight="1" x14ac:dyDescent="0.3"/>
    <row r="520" s="6" customFormat="1" ht="12.75" customHeight="1" x14ac:dyDescent="0.3"/>
    <row r="521" s="6" customFormat="1" ht="12.75" customHeight="1" x14ac:dyDescent="0.3"/>
    <row r="522" s="6" customFormat="1" ht="12.75" customHeight="1" x14ac:dyDescent="0.3"/>
    <row r="523" s="6" customFormat="1" ht="12.75" customHeight="1" x14ac:dyDescent="0.3"/>
    <row r="524" s="6" customFormat="1" ht="12.75" customHeight="1" x14ac:dyDescent="0.3"/>
    <row r="525" s="6" customFormat="1" ht="12.75" customHeight="1" x14ac:dyDescent="0.3"/>
    <row r="526" s="6" customFormat="1" ht="12.75" customHeight="1" x14ac:dyDescent="0.3"/>
    <row r="527" s="6" customFormat="1" ht="12.75" customHeight="1" x14ac:dyDescent="0.3"/>
    <row r="528" s="6" customFormat="1" ht="12.75" customHeight="1" x14ac:dyDescent="0.3"/>
    <row r="529" s="6" customFormat="1" ht="12.75" customHeight="1" x14ac:dyDescent="0.3"/>
    <row r="530" s="6" customFormat="1" ht="12.75" customHeight="1" x14ac:dyDescent="0.3"/>
    <row r="531" s="6" customFormat="1" ht="12.75" customHeight="1" x14ac:dyDescent="0.3"/>
    <row r="532" s="6" customFormat="1" ht="12.75" customHeight="1" x14ac:dyDescent="0.3"/>
    <row r="533" s="6" customFormat="1" ht="12.75" customHeight="1" x14ac:dyDescent="0.3"/>
    <row r="534" s="6" customFormat="1" ht="12.75" customHeight="1" x14ac:dyDescent="0.3"/>
    <row r="535" s="6" customFormat="1" ht="12.75" customHeight="1" x14ac:dyDescent="0.3"/>
    <row r="536" s="6" customFormat="1" ht="12.75" customHeight="1" x14ac:dyDescent="0.3"/>
    <row r="537" s="6" customFormat="1" ht="12.75" customHeight="1" x14ac:dyDescent="0.3"/>
    <row r="538" s="6" customFormat="1" ht="12.75" customHeight="1" x14ac:dyDescent="0.3"/>
    <row r="539" s="6" customFormat="1" ht="12.75" customHeight="1" x14ac:dyDescent="0.3"/>
    <row r="540" s="6" customFormat="1" ht="12.75" customHeight="1" x14ac:dyDescent="0.3"/>
    <row r="541" s="6" customFormat="1" ht="12.75" customHeight="1" x14ac:dyDescent="0.3"/>
    <row r="542" s="6" customFormat="1" ht="12.75" customHeight="1" x14ac:dyDescent="0.3"/>
    <row r="543" s="6" customFormat="1" ht="12.75" customHeight="1" x14ac:dyDescent="0.3"/>
    <row r="544" s="6" customFormat="1" ht="12.75" customHeight="1" x14ac:dyDescent="0.3"/>
    <row r="545" s="6" customFormat="1" ht="12.75" customHeight="1" x14ac:dyDescent="0.3"/>
    <row r="546" s="6" customFormat="1" ht="12.75" customHeight="1" x14ac:dyDescent="0.3"/>
    <row r="547" s="6" customFormat="1" ht="12.75" customHeight="1" x14ac:dyDescent="0.3"/>
    <row r="548" s="6" customFormat="1" ht="12.75" customHeight="1" x14ac:dyDescent="0.3"/>
    <row r="549" s="6" customFormat="1" ht="12.75" customHeight="1" x14ac:dyDescent="0.3"/>
    <row r="550" s="6" customFormat="1" ht="12.75" customHeight="1" x14ac:dyDescent="0.3"/>
    <row r="551" s="6" customFormat="1" ht="12.75" customHeight="1" x14ac:dyDescent="0.3"/>
    <row r="552" s="6" customFormat="1" ht="12.75" customHeight="1" x14ac:dyDescent="0.3"/>
    <row r="553" s="6" customFormat="1" ht="12.75" customHeight="1" x14ac:dyDescent="0.3"/>
    <row r="554" s="6" customFormat="1" ht="12.75" customHeight="1" x14ac:dyDescent="0.3"/>
    <row r="555" s="6" customFormat="1" ht="12.75" customHeight="1" x14ac:dyDescent="0.3"/>
    <row r="556" s="6" customFormat="1" ht="12.75" customHeight="1" x14ac:dyDescent="0.3"/>
    <row r="557" s="6" customFormat="1" ht="12.75" customHeight="1" x14ac:dyDescent="0.3"/>
    <row r="558" s="6" customFormat="1" ht="12.75" customHeight="1" x14ac:dyDescent="0.3"/>
    <row r="559" s="6" customFormat="1" ht="12.75" customHeight="1" x14ac:dyDescent="0.3"/>
    <row r="560" s="6" customFormat="1" ht="12.75" customHeight="1" x14ac:dyDescent="0.3"/>
    <row r="561" s="6" customFormat="1" ht="12.75" customHeight="1" x14ac:dyDescent="0.3"/>
    <row r="562" s="6" customFormat="1" ht="12.75" customHeight="1" x14ac:dyDescent="0.3"/>
    <row r="563" s="6" customFormat="1" ht="12.75" customHeight="1" x14ac:dyDescent="0.3"/>
    <row r="564" s="6" customFormat="1" ht="12.75" customHeight="1" x14ac:dyDescent="0.3"/>
    <row r="565" s="6" customFormat="1" ht="12.75" customHeight="1" x14ac:dyDescent="0.3"/>
    <row r="566" s="6" customFormat="1" ht="12.75" customHeight="1" x14ac:dyDescent="0.3"/>
    <row r="567" s="6" customFormat="1" ht="12.75" customHeight="1" x14ac:dyDescent="0.3"/>
    <row r="568" s="6" customFormat="1" ht="12.75" customHeight="1" x14ac:dyDescent="0.3"/>
    <row r="569" s="6" customFormat="1" ht="12.75" customHeight="1" x14ac:dyDescent="0.3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  <rowBreaks count="5" manualBreakCount="5">
    <brk id="104" max="7" man="1"/>
    <brk id="157" max="7" man="1"/>
    <brk id="214" max="7" man="1"/>
    <brk id="268" max="7" man="1"/>
    <brk id="32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49734-3757-4156-9C02-05AB5FD8B157}">
  <sheetPr>
    <tabColor rgb="FF00B0F0"/>
    <pageSetUpPr fitToPage="1"/>
  </sheetPr>
  <dimension ref="A1:I41"/>
  <sheetViews>
    <sheetView zoomScale="120" zoomScaleNormal="120" workbookViewId="0">
      <pane ySplit="14" topLeftCell="A15" activePane="bottomLeft" state="frozen"/>
      <selection pane="bottomLeft"/>
    </sheetView>
  </sheetViews>
  <sheetFormatPr defaultColWidth="10.28515625" defaultRowHeight="11.25" x14ac:dyDescent="0.2"/>
  <cols>
    <col min="1" max="1" width="6.42578125" style="170" customWidth="1"/>
    <col min="2" max="2" width="58.5703125" style="170" customWidth="1"/>
    <col min="3" max="3" width="10.28515625" style="170"/>
    <col min="4" max="6" width="11.42578125" style="170" customWidth="1"/>
    <col min="7" max="7" width="11.5703125" style="170" customWidth="1"/>
    <col min="8" max="8" width="11.28515625" style="170" customWidth="1"/>
    <col min="9" max="9" width="11.5703125" style="170" customWidth="1"/>
    <col min="10" max="253" width="10.28515625" style="170"/>
    <col min="254" max="254" width="6.42578125" style="170" customWidth="1"/>
    <col min="255" max="255" width="58.28515625" style="170" customWidth="1"/>
    <col min="256" max="256" width="10.28515625" style="170"/>
    <col min="257" max="257" width="11" style="170" customWidth="1"/>
    <col min="258" max="259" width="9.7109375" style="170" customWidth="1"/>
    <col min="260" max="260" width="10.7109375" style="170" customWidth="1"/>
    <col min="261" max="262" width="11.28515625" style="170" customWidth="1"/>
    <col min="263" max="263" width="17" style="170" customWidth="1"/>
    <col min="264" max="264" width="16.28515625" style="170" customWidth="1"/>
    <col min="265" max="509" width="10.28515625" style="170"/>
    <col min="510" max="510" width="6.42578125" style="170" customWidth="1"/>
    <col min="511" max="511" width="58.28515625" style="170" customWidth="1"/>
    <col min="512" max="512" width="10.28515625" style="170"/>
    <col min="513" max="513" width="11" style="170" customWidth="1"/>
    <col min="514" max="515" width="9.7109375" style="170" customWidth="1"/>
    <col min="516" max="516" width="10.7109375" style="170" customWidth="1"/>
    <col min="517" max="518" width="11.28515625" style="170" customWidth="1"/>
    <col min="519" max="519" width="17" style="170" customWidth="1"/>
    <col min="520" max="520" width="16.28515625" style="170" customWidth="1"/>
    <col min="521" max="765" width="10.28515625" style="170"/>
    <col min="766" max="766" width="6.42578125" style="170" customWidth="1"/>
    <col min="767" max="767" width="58.28515625" style="170" customWidth="1"/>
    <col min="768" max="768" width="10.28515625" style="170"/>
    <col min="769" max="769" width="11" style="170" customWidth="1"/>
    <col min="770" max="771" width="9.7109375" style="170" customWidth="1"/>
    <col min="772" max="772" width="10.7109375" style="170" customWidth="1"/>
    <col min="773" max="774" width="11.28515625" style="170" customWidth="1"/>
    <col min="775" max="775" width="17" style="170" customWidth="1"/>
    <col min="776" max="776" width="16.28515625" style="170" customWidth="1"/>
    <col min="777" max="1021" width="10.28515625" style="170"/>
    <col min="1022" max="1022" width="6.42578125" style="170" customWidth="1"/>
    <col min="1023" max="1023" width="58.28515625" style="170" customWidth="1"/>
    <col min="1024" max="1024" width="10.28515625" style="170"/>
    <col min="1025" max="1025" width="11" style="170" customWidth="1"/>
    <col min="1026" max="1027" width="9.7109375" style="170" customWidth="1"/>
    <col min="1028" max="1028" width="10.7109375" style="170" customWidth="1"/>
    <col min="1029" max="1030" width="11.28515625" style="170" customWidth="1"/>
    <col min="1031" max="1031" width="17" style="170" customWidth="1"/>
    <col min="1032" max="1032" width="16.28515625" style="170" customWidth="1"/>
    <col min="1033" max="1277" width="10.28515625" style="170"/>
    <col min="1278" max="1278" width="6.42578125" style="170" customWidth="1"/>
    <col min="1279" max="1279" width="58.28515625" style="170" customWidth="1"/>
    <col min="1280" max="1280" width="10.28515625" style="170"/>
    <col min="1281" max="1281" width="11" style="170" customWidth="1"/>
    <col min="1282" max="1283" width="9.7109375" style="170" customWidth="1"/>
    <col min="1284" max="1284" width="10.7109375" style="170" customWidth="1"/>
    <col min="1285" max="1286" width="11.28515625" style="170" customWidth="1"/>
    <col min="1287" max="1287" width="17" style="170" customWidth="1"/>
    <col min="1288" max="1288" width="16.28515625" style="170" customWidth="1"/>
    <col min="1289" max="1533" width="10.28515625" style="170"/>
    <col min="1534" max="1534" width="6.42578125" style="170" customWidth="1"/>
    <col min="1535" max="1535" width="58.28515625" style="170" customWidth="1"/>
    <col min="1536" max="1536" width="10.28515625" style="170"/>
    <col min="1537" max="1537" width="11" style="170" customWidth="1"/>
    <col min="1538" max="1539" width="9.7109375" style="170" customWidth="1"/>
    <col min="1540" max="1540" width="10.7109375" style="170" customWidth="1"/>
    <col min="1541" max="1542" width="11.28515625" style="170" customWidth="1"/>
    <col min="1543" max="1543" width="17" style="170" customWidth="1"/>
    <col min="1544" max="1544" width="16.28515625" style="170" customWidth="1"/>
    <col min="1545" max="1789" width="10.28515625" style="170"/>
    <col min="1790" max="1790" width="6.42578125" style="170" customWidth="1"/>
    <col min="1791" max="1791" width="58.28515625" style="170" customWidth="1"/>
    <col min="1792" max="1792" width="10.28515625" style="170"/>
    <col min="1793" max="1793" width="11" style="170" customWidth="1"/>
    <col min="1794" max="1795" width="9.7109375" style="170" customWidth="1"/>
    <col min="1796" max="1796" width="10.7109375" style="170" customWidth="1"/>
    <col min="1797" max="1798" width="11.28515625" style="170" customWidth="1"/>
    <col min="1799" max="1799" width="17" style="170" customWidth="1"/>
    <col min="1800" max="1800" width="16.28515625" style="170" customWidth="1"/>
    <col min="1801" max="2045" width="10.28515625" style="170"/>
    <col min="2046" max="2046" width="6.42578125" style="170" customWidth="1"/>
    <col min="2047" max="2047" width="58.28515625" style="170" customWidth="1"/>
    <col min="2048" max="2048" width="10.28515625" style="170"/>
    <col min="2049" max="2049" width="11" style="170" customWidth="1"/>
    <col min="2050" max="2051" width="9.7109375" style="170" customWidth="1"/>
    <col min="2052" max="2052" width="10.7109375" style="170" customWidth="1"/>
    <col min="2053" max="2054" width="11.28515625" style="170" customWidth="1"/>
    <col min="2055" max="2055" width="17" style="170" customWidth="1"/>
    <col min="2056" max="2056" width="16.28515625" style="170" customWidth="1"/>
    <col min="2057" max="2301" width="10.28515625" style="170"/>
    <col min="2302" max="2302" width="6.42578125" style="170" customWidth="1"/>
    <col min="2303" max="2303" width="58.28515625" style="170" customWidth="1"/>
    <col min="2304" max="2304" width="10.28515625" style="170"/>
    <col min="2305" max="2305" width="11" style="170" customWidth="1"/>
    <col min="2306" max="2307" width="9.7109375" style="170" customWidth="1"/>
    <col min="2308" max="2308" width="10.7109375" style="170" customWidth="1"/>
    <col min="2309" max="2310" width="11.28515625" style="170" customWidth="1"/>
    <col min="2311" max="2311" width="17" style="170" customWidth="1"/>
    <col min="2312" max="2312" width="16.28515625" style="170" customWidth="1"/>
    <col min="2313" max="2557" width="10.28515625" style="170"/>
    <col min="2558" max="2558" width="6.42578125" style="170" customWidth="1"/>
    <col min="2559" max="2559" width="58.28515625" style="170" customWidth="1"/>
    <col min="2560" max="2560" width="10.28515625" style="170"/>
    <col min="2561" max="2561" width="11" style="170" customWidth="1"/>
    <col min="2562" max="2563" width="9.7109375" style="170" customWidth="1"/>
    <col min="2564" max="2564" width="10.7109375" style="170" customWidth="1"/>
    <col min="2565" max="2566" width="11.28515625" style="170" customWidth="1"/>
    <col min="2567" max="2567" width="17" style="170" customWidth="1"/>
    <col min="2568" max="2568" width="16.28515625" style="170" customWidth="1"/>
    <col min="2569" max="2813" width="10.28515625" style="170"/>
    <col min="2814" max="2814" width="6.42578125" style="170" customWidth="1"/>
    <col min="2815" max="2815" width="58.28515625" style="170" customWidth="1"/>
    <col min="2816" max="2816" width="10.28515625" style="170"/>
    <col min="2817" max="2817" width="11" style="170" customWidth="1"/>
    <col min="2818" max="2819" width="9.7109375" style="170" customWidth="1"/>
    <col min="2820" max="2820" width="10.7109375" style="170" customWidth="1"/>
    <col min="2821" max="2822" width="11.28515625" style="170" customWidth="1"/>
    <col min="2823" max="2823" width="17" style="170" customWidth="1"/>
    <col min="2824" max="2824" width="16.28515625" style="170" customWidth="1"/>
    <col min="2825" max="3069" width="10.28515625" style="170"/>
    <col min="3070" max="3070" width="6.42578125" style="170" customWidth="1"/>
    <col min="3071" max="3071" width="58.28515625" style="170" customWidth="1"/>
    <col min="3072" max="3072" width="10.28515625" style="170"/>
    <col min="3073" max="3073" width="11" style="170" customWidth="1"/>
    <col min="3074" max="3075" width="9.7109375" style="170" customWidth="1"/>
    <col min="3076" max="3076" width="10.7109375" style="170" customWidth="1"/>
    <col min="3077" max="3078" width="11.28515625" style="170" customWidth="1"/>
    <col min="3079" max="3079" width="17" style="170" customWidth="1"/>
    <col min="3080" max="3080" width="16.28515625" style="170" customWidth="1"/>
    <col min="3081" max="3325" width="10.28515625" style="170"/>
    <col min="3326" max="3326" width="6.42578125" style="170" customWidth="1"/>
    <col min="3327" max="3327" width="58.28515625" style="170" customWidth="1"/>
    <col min="3328" max="3328" width="10.28515625" style="170"/>
    <col min="3329" max="3329" width="11" style="170" customWidth="1"/>
    <col min="3330" max="3331" width="9.7109375" style="170" customWidth="1"/>
    <col min="3332" max="3332" width="10.7109375" style="170" customWidth="1"/>
    <col min="3333" max="3334" width="11.28515625" style="170" customWidth="1"/>
    <col min="3335" max="3335" width="17" style="170" customWidth="1"/>
    <col min="3336" max="3336" width="16.28515625" style="170" customWidth="1"/>
    <col min="3337" max="3581" width="10.28515625" style="170"/>
    <col min="3582" max="3582" width="6.42578125" style="170" customWidth="1"/>
    <col min="3583" max="3583" width="58.28515625" style="170" customWidth="1"/>
    <col min="3584" max="3584" width="10.28515625" style="170"/>
    <col min="3585" max="3585" width="11" style="170" customWidth="1"/>
    <col min="3586" max="3587" width="9.7109375" style="170" customWidth="1"/>
    <col min="3588" max="3588" width="10.7109375" style="170" customWidth="1"/>
    <col min="3589" max="3590" width="11.28515625" style="170" customWidth="1"/>
    <col min="3591" max="3591" width="17" style="170" customWidth="1"/>
    <col min="3592" max="3592" width="16.28515625" style="170" customWidth="1"/>
    <col min="3593" max="3837" width="10.28515625" style="170"/>
    <col min="3838" max="3838" width="6.42578125" style="170" customWidth="1"/>
    <col min="3839" max="3839" width="58.28515625" style="170" customWidth="1"/>
    <col min="3840" max="3840" width="10.28515625" style="170"/>
    <col min="3841" max="3841" width="11" style="170" customWidth="1"/>
    <col min="3842" max="3843" width="9.7109375" style="170" customWidth="1"/>
    <col min="3844" max="3844" width="10.7109375" style="170" customWidth="1"/>
    <col min="3845" max="3846" width="11.28515625" style="170" customWidth="1"/>
    <col min="3847" max="3847" width="17" style="170" customWidth="1"/>
    <col min="3848" max="3848" width="16.28515625" style="170" customWidth="1"/>
    <col min="3849" max="4093" width="10.28515625" style="170"/>
    <col min="4094" max="4094" width="6.42578125" style="170" customWidth="1"/>
    <col min="4095" max="4095" width="58.28515625" style="170" customWidth="1"/>
    <col min="4096" max="4096" width="10.28515625" style="170"/>
    <col min="4097" max="4097" width="11" style="170" customWidth="1"/>
    <col min="4098" max="4099" width="9.7109375" style="170" customWidth="1"/>
    <col min="4100" max="4100" width="10.7109375" style="170" customWidth="1"/>
    <col min="4101" max="4102" width="11.28515625" style="170" customWidth="1"/>
    <col min="4103" max="4103" width="17" style="170" customWidth="1"/>
    <col min="4104" max="4104" width="16.28515625" style="170" customWidth="1"/>
    <col min="4105" max="4349" width="10.28515625" style="170"/>
    <col min="4350" max="4350" width="6.42578125" style="170" customWidth="1"/>
    <col min="4351" max="4351" width="58.28515625" style="170" customWidth="1"/>
    <col min="4352" max="4352" width="10.28515625" style="170"/>
    <col min="4353" max="4353" width="11" style="170" customWidth="1"/>
    <col min="4354" max="4355" width="9.7109375" style="170" customWidth="1"/>
    <col min="4356" max="4356" width="10.7109375" style="170" customWidth="1"/>
    <col min="4357" max="4358" width="11.28515625" style="170" customWidth="1"/>
    <col min="4359" max="4359" width="17" style="170" customWidth="1"/>
    <col min="4360" max="4360" width="16.28515625" style="170" customWidth="1"/>
    <col min="4361" max="4605" width="10.28515625" style="170"/>
    <col min="4606" max="4606" width="6.42578125" style="170" customWidth="1"/>
    <col min="4607" max="4607" width="58.28515625" style="170" customWidth="1"/>
    <col min="4608" max="4608" width="10.28515625" style="170"/>
    <col min="4609" max="4609" width="11" style="170" customWidth="1"/>
    <col min="4610" max="4611" width="9.7109375" style="170" customWidth="1"/>
    <col min="4612" max="4612" width="10.7109375" style="170" customWidth="1"/>
    <col min="4613" max="4614" width="11.28515625" style="170" customWidth="1"/>
    <col min="4615" max="4615" width="17" style="170" customWidth="1"/>
    <col min="4616" max="4616" width="16.28515625" style="170" customWidth="1"/>
    <col min="4617" max="4861" width="10.28515625" style="170"/>
    <col min="4862" max="4862" width="6.42578125" style="170" customWidth="1"/>
    <col min="4863" max="4863" width="58.28515625" style="170" customWidth="1"/>
    <col min="4864" max="4864" width="10.28515625" style="170"/>
    <col min="4865" max="4865" width="11" style="170" customWidth="1"/>
    <col min="4866" max="4867" width="9.7109375" style="170" customWidth="1"/>
    <col min="4868" max="4868" width="10.7109375" style="170" customWidth="1"/>
    <col min="4869" max="4870" width="11.28515625" style="170" customWidth="1"/>
    <col min="4871" max="4871" width="17" style="170" customWidth="1"/>
    <col min="4872" max="4872" width="16.28515625" style="170" customWidth="1"/>
    <col min="4873" max="5117" width="10.28515625" style="170"/>
    <col min="5118" max="5118" width="6.42578125" style="170" customWidth="1"/>
    <col min="5119" max="5119" width="58.28515625" style="170" customWidth="1"/>
    <col min="5120" max="5120" width="10.28515625" style="170"/>
    <col min="5121" max="5121" width="11" style="170" customWidth="1"/>
    <col min="5122" max="5123" width="9.7109375" style="170" customWidth="1"/>
    <col min="5124" max="5124" width="10.7109375" style="170" customWidth="1"/>
    <col min="5125" max="5126" width="11.28515625" style="170" customWidth="1"/>
    <col min="5127" max="5127" width="17" style="170" customWidth="1"/>
    <col min="5128" max="5128" width="16.28515625" style="170" customWidth="1"/>
    <col min="5129" max="5373" width="10.28515625" style="170"/>
    <col min="5374" max="5374" width="6.42578125" style="170" customWidth="1"/>
    <col min="5375" max="5375" width="58.28515625" style="170" customWidth="1"/>
    <col min="5376" max="5376" width="10.28515625" style="170"/>
    <col min="5377" max="5377" width="11" style="170" customWidth="1"/>
    <col min="5378" max="5379" width="9.7109375" style="170" customWidth="1"/>
    <col min="5380" max="5380" width="10.7109375" style="170" customWidth="1"/>
    <col min="5381" max="5382" width="11.28515625" style="170" customWidth="1"/>
    <col min="5383" max="5383" width="17" style="170" customWidth="1"/>
    <col min="5384" max="5384" width="16.28515625" style="170" customWidth="1"/>
    <col min="5385" max="5629" width="10.28515625" style="170"/>
    <col min="5630" max="5630" width="6.42578125" style="170" customWidth="1"/>
    <col min="5631" max="5631" width="58.28515625" style="170" customWidth="1"/>
    <col min="5632" max="5632" width="10.28515625" style="170"/>
    <col min="5633" max="5633" width="11" style="170" customWidth="1"/>
    <col min="5634" max="5635" width="9.7109375" style="170" customWidth="1"/>
    <col min="5636" max="5636" width="10.7109375" style="170" customWidth="1"/>
    <col min="5637" max="5638" width="11.28515625" style="170" customWidth="1"/>
    <col min="5639" max="5639" width="17" style="170" customWidth="1"/>
    <col min="5640" max="5640" width="16.28515625" style="170" customWidth="1"/>
    <col min="5641" max="5885" width="10.28515625" style="170"/>
    <col min="5886" max="5886" width="6.42578125" style="170" customWidth="1"/>
    <col min="5887" max="5887" width="58.28515625" style="170" customWidth="1"/>
    <col min="5888" max="5888" width="10.28515625" style="170"/>
    <col min="5889" max="5889" width="11" style="170" customWidth="1"/>
    <col min="5890" max="5891" width="9.7109375" style="170" customWidth="1"/>
    <col min="5892" max="5892" width="10.7109375" style="170" customWidth="1"/>
    <col min="5893" max="5894" width="11.28515625" style="170" customWidth="1"/>
    <col min="5895" max="5895" width="17" style="170" customWidth="1"/>
    <col min="5896" max="5896" width="16.28515625" style="170" customWidth="1"/>
    <col min="5897" max="6141" width="10.28515625" style="170"/>
    <col min="6142" max="6142" width="6.42578125" style="170" customWidth="1"/>
    <col min="6143" max="6143" width="58.28515625" style="170" customWidth="1"/>
    <col min="6144" max="6144" width="10.28515625" style="170"/>
    <col min="6145" max="6145" width="11" style="170" customWidth="1"/>
    <col min="6146" max="6147" width="9.7109375" style="170" customWidth="1"/>
    <col min="6148" max="6148" width="10.7109375" style="170" customWidth="1"/>
    <col min="6149" max="6150" width="11.28515625" style="170" customWidth="1"/>
    <col min="6151" max="6151" width="17" style="170" customWidth="1"/>
    <col min="6152" max="6152" width="16.28515625" style="170" customWidth="1"/>
    <col min="6153" max="6397" width="10.28515625" style="170"/>
    <col min="6398" max="6398" width="6.42578125" style="170" customWidth="1"/>
    <col min="6399" max="6399" width="58.28515625" style="170" customWidth="1"/>
    <col min="6400" max="6400" width="10.28515625" style="170"/>
    <col min="6401" max="6401" width="11" style="170" customWidth="1"/>
    <col min="6402" max="6403" width="9.7109375" style="170" customWidth="1"/>
    <col min="6404" max="6404" width="10.7109375" style="170" customWidth="1"/>
    <col min="6405" max="6406" width="11.28515625" style="170" customWidth="1"/>
    <col min="6407" max="6407" width="17" style="170" customWidth="1"/>
    <col min="6408" max="6408" width="16.28515625" style="170" customWidth="1"/>
    <col min="6409" max="6653" width="10.28515625" style="170"/>
    <col min="6654" max="6654" width="6.42578125" style="170" customWidth="1"/>
    <col min="6655" max="6655" width="58.28515625" style="170" customWidth="1"/>
    <col min="6656" max="6656" width="10.28515625" style="170"/>
    <col min="6657" max="6657" width="11" style="170" customWidth="1"/>
    <col min="6658" max="6659" width="9.7109375" style="170" customWidth="1"/>
    <col min="6660" max="6660" width="10.7109375" style="170" customWidth="1"/>
    <col min="6661" max="6662" width="11.28515625" style="170" customWidth="1"/>
    <col min="6663" max="6663" width="17" style="170" customWidth="1"/>
    <col min="6664" max="6664" width="16.28515625" style="170" customWidth="1"/>
    <col min="6665" max="6909" width="10.28515625" style="170"/>
    <col min="6910" max="6910" width="6.42578125" style="170" customWidth="1"/>
    <col min="6911" max="6911" width="58.28515625" style="170" customWidth="1"/>
    <col min="6912" max="6912" width="10.28515625" style="170"/>
    <col min="6913" max="6913" width="11" style="170" customWidth="1"/>
    <col min="6914" max="6915" width="9.7109375" style="170" customWidth="1"/>
    <col min="6916" max="6916" width="10.7109375" style="170" customWidth="1"/>
    <col min="6917" max="6918" width="11.28515625" style="170" customWidth="1"/>
    <col min="6919" max="6919" width="17" style="170" customWidth="1"/>
    <col min="6920" max="6920" width="16.28515625" style="170" customWidth="1"/>
    <col min="6921" max="7165" width="10.28515625" style="170"/>
    <col min="7166" max="7166" width="6.42578125" style="170" customWidth="1"/>
    <col min="7167" max="7167" width="58.28515625" style="170" customWidth="1"/>
    <col min="7168" max="7168" width="10.28515625" style="170"/>
    <col min="7169" max="7169" width="11" style="170" customWidth="1"/>
    <col min="7170" max="7171" width="9.7109375" style="170" customWidth="1"/>
    <col min="7172" max="7172" width="10.7109375" style="170" customWidth="1"/>
    <col min="7173" max="7174" width="11.28515625" style="170" customWidth="1"/>
    <col min="7175" max="7175" width="17" style="170" customWidth="1"/>
    <col min="7176" max="7176" width="16.28515625" style="170" customWidth="1"/>
    <col min="7177" max="7421" width="10.28515625" style="170"/>
    <col min="7422" max="7422" width="6.42578125" style="170" customWidth="1"/>
    <col min="7423" max="7423" width="58.28515625" style="170" customWidth="1"/>
    <col min="7424" max="7424" width="10.28515625" style="170"/>
    <col min="7425" max="7425" width="11" style="170" customWidth="1"/>
    <col min="7426" max="7427" width="9.7109375" style="170" customWidth="1"/>
    <col min="7428" max="7428" width="10.7109375" style="170" customWidth="1"/>
    <col min="7429" max="7430" width="11.28515625" style="170" customWidth="1"/>
    <col min="7431" max="7431" width="17" style="170" customWidth="1"/>
    <col min="7432" max="7432" width="16.28515625" style="170" customWidth="1"/>
    <col min="7433" max="7677" width="10.28515625" style="170"/>
    <col min="7678" max="7678" width="6.42578125" style="170" customWidth="1"/>
    <col min="7679" max="7679" width="58.28515625" style="170" customWidth="1"/>
    <col min="7680" max="7680" width="10.28515625" style="170"/>
    <col min="7681" max="7681" width="11" style="170" customWidth="1"/>
    <col min="7682" max="7683" width="9.7109375" style="170" customWidth="1"/>
    <col min="7684" max="7684" width="10.7109375" style="170" customWidth="1"/>
    <col min="7685" max="7686" width="11.28515625" style="170" customWidth="1"/>
    <col min="7687" max="7687" width="17" style="170" customWidth="1"/>
    <col min="7688" max="7688" width="16.28515625" style="170" customWidth="1"/>
    <col min="7689" max="7933" width="10.28515625" style="170"/>
    <col min="7934" max="7934" width="6.42578125" style="170" customWidth="1"/>
    <col min="7935" max="7935" width="58.28515625" style="170" customWidth="1"/>
    <col min="7936" max="7936" width="10.28515625" style="170"/>
    <col min="7937" max="7937" width="11" style="170" customWidth="1"/>
    <col min="7938" max="7939" width="9.7109375" style="170" customWidth="1"/>
    <col min="7940" max="7940" width="10.7109375" style="170" customWidth="1"/>
    <col min="7941" max="7942" width="11.28515625" style="170" customWidth="1"/>
    <col min="7943" max="7943" width="17" style="170" customWidth="1"/>
    <col min="7944" max="7944" width="16.28515625" style="170" customWidth="1"/>
    <col min="7945" max="8189" width="10.28515625" style="170"/>
    <col min="8190" max="8190" width="6.42578125" style="170" customWidth="1"/>
    <col min="8191" max="8191" width="58.28515625" style="170" customWidth="1"/>
    <col min="8192" max="8192" width="10.28515625" style="170"/>
    <col min="8193" max="8193" width="11" style="170" customWidth="1"/>
    <col min="8194" max="8195" width="9.7109375" style="170" customWidth="1"/>
    <col min="8196" max="8196" width="10.7109375" style="170" customWidth="1"/>
    <col min="8197" max="8198" width="11.28515625" style="170" customWidth="1"/>
    <col min="8199" max="8199" width="17" style="170" customWidth="1"/>
    <col min="8200" max="8200" width="16.28515625" style="170" customWidth="1"/>
    <col min="8201" max="8445" width="10.28515625" style="170"/>
    <col min="8446" max="8446" width="6.42578125" style="170" customWidth="1"/>
    <col min="8447" max="8447" width="58.28515625" style="170" customWidth="1"/>
    <col min="8448" max="8448" width="10.28515625" style="170"/>
    <col min="8449" max="8449" width="11" style="170" customWidth="1"/>
    <col min="8450" max="8451" width="9.7109375" style="170" customWidth="1"/>
    <col min="8452" max="8452" width="10.7109375" style="170" customWidth="1"/>
    <col min="8453" max="8454" width="11.28515625" style="170" customWidth="1"/>
    <col min="8455" max="8455" width="17" style="170" customWidth="1"/>
    <col min="8456" max="8456" width="16.28515625" style="170" customWidth="1"/>
    <col min="8457" max="8701" width="10.28515625" style="170"/>
    <col min="8702" max="8702" width="6.42578125" style="170" customWidth="1"/>
    <col min="8703" max="8703" width="58.28515625" style="170" customWidth="1"/>
    <col min="8704" max="8704" width="10.28515625" style="170"/>
    <col min="8705" max="8705" width="11" style="170" customWidth="1"/>
    <col min="8706" max="8707" width="9.7109375" style="170" customWidth="1"/>
    <col min="8708" max="8708" width="10.7109375" style="170" customWidth="1"/>
    <col min="8709" max="8710" width="11.28515625" style="170" customWidth="1"/>
    <col min="8711" max="8711" width="17" style="170" customWidth="1"/>
    <col min="8712" max="8712" width="16.28515625" style="170" customWidth="1"/>
    <col min="8713" max="8957" width="10.28515625" style="170"/>
    <col min="8958" max="8958" width="6.42578125" style="170" customWidth="1"/>
    <col min="8959" max="8959" width="58.28515625" style="170" customWidth="1"/>
    <col min="8960" max="8960" width="10.28515625" style="170"/>
    <col min="8961" max="8961" width="11" style="170" customWidth="1"/>
    <col min="8962" max="8963" width="9.7109375" style="170" customWidth="1"/>
    <col min="8964" max="8964" width="10.7109375" style="170" customWidth="1"/>
    <col min="8965" max="8966" width="11.28515625" style="170" customWidth="1"/>
    <col min="8967" max="8967" width="17" style="170" customWidth="1"/>
    <col min="8968" max="8968" width="16.28515625" style="170" customWidth="1"/>
    <col min="8969" max="9213" width="10.28515625" style="170"/>
    <col min="9214" max="9214" width="6.42578125" style="170" customWidth="1"/>
    <col min="9215" max="9215" width="58.28515625" style="170" customWidth="1"/>
    <col min="9216" max="9216" width="10.28515625" style="170"/>
    <col min="9217" max="9217" width="11" style="170" customWidth="1"/>
    <col min="9218" max="9219" width="9.7109375" style="170" customWidth="1"/>
    <col min="9220" max="9220" width="10.7109375" style="170" customWidth="1"/>
    <col min="9221" max="9222" width="11.28515625" style="170" customWidth="1"/>
    <col min="9223" max="9223" width="17" style="170" customWidth="1"/>
    <col min="9224" max="9224" width="16.28515625" style="170" customWidth="1"/>
    <col min="9225" max="9469" width="10.28515625" style="170"/>
    <col min="9470" max="9470" width="6.42578125" style="170" customWidth="1"/>
    <col min="9471" max="9471" width="58.28515625" style="170" customWidth="1"/>
    <col min="9472" max="9472" width="10.28515625" style="170"/>
    <col min="9473" max="9473" width="11" style="170" customWidth="1"/>
    <col min="9474" max="9475" width="9.7109375" style="170" customWidth="1"/>
    <col min="9476" max="9476" width="10.7109375" style="170" customWidth="1"/>
    <col min="9477" max="9478" width="11.28515625" style="170" customWidth="1"/>
    <col min="9479" max="9479" width="17" style="170" customWidth="1"/>
    <col min="9480" max="9480" width="16.28515625" style="170" customWidth="1"/>
    <col min="9481" max="9725" width="10.28515625" style="170"/>
    <col min="9726" max="9726" width="6.42578125" style="170" customWidth="1"/>
    <col min="9727" max="9727" width="58.28515625" style="170" customWidth="1"/>
    <col min="9728" max="9728" width="10.28515625" style="170"/>
    <col min="9729" max="9729" width="11" style="170" customWidth="1"/>
    <col min="9730" max="9731" width="9.7109375" style="170" customWidth="1"/>
    <col min="9732" max="9732" width="10.7109375" style="170" customWidth="1"/>
    <col min="9733" max="9734" width="11.28515625" style="170" customWidth="1"/>
    <col min="9735" max="9735" width="17" style="170" customWidth="1"/>
    <col min="9736" max="9736" width="16.28515625" style="170" customWidth="1"/>
    <col min="9737" max="9981" width="10.28515625" style="170"/>
    <col min="9982" max="9982" width="6.42578125" style="170" customWidth="1"/>
    <col min="9983" max="9983" width="58.28515625" style="170" customWidth="1"/>
    <col min="9984" max="9984" width="10.28515625" style="170"/>
    <col min="9985" max="9985" width="11" style="170" customWidth="1"/>
    <col min="9986" max="9987" width="9.7109375" style="170" customWidth="1"/>
    <col min="9988" max="9988" width="10.7109375" style="170" customWidth="1"/>
    <col min="9989" max="9990" width="11.28515625" style="170" customWidth="1"/>
    <col min="9991" max="9991" width="17" style="170" customWidth="1"/>
    <col min="9992" max="9992" width="16.28515625" style="170" customWidth="1"/>
    <col min="9993" max="10237" width="10.28515625" style="170"/>
    <col min="10238" max="10238" width="6.42578125" style="170" customWidth="1"/>
    <col min="10239" max="10239" width="58.28515625" style="170" customWidth="1"/>
    <col min="10240" max="10240" width="10.28515625" style="170"/>
    <col min="10241" max="10241" width="11" style="170" customWidth="1"/>
    <col min="10242" max="10243" width="9.7109375" style="170" customWidth="1"/>
    <col min="10244" max="10244" width="10.7109375" style="170" customWidth="1"/>
    <col min="10245" max="10246" width="11.28515625" style="170" customWidth="1"/>
    <col min="10247" max="10247" width="17" style="170" customWidth="1"/>
    <col min="10248" max="10248" width="16.28515625" style="170" customWidth="1"/>
    <col min="10249" max="10493" width="10.28515625" style="170"/>
    <col min="10494" max="10494" width="6.42578125" style="170" customWidth="1"/>
    <col min="10495" max="10495" width="58.28515625" style="170" customWidth="1"/>
    <col min="10496" max="10496" width="10.28515625" style="170"/>
    <col min="10497" max="10497" width="11" style="170" customWidth="1"/>
    <col min="10498" max="10499" width="9.7109375" style="170" customWidth="1"/>
    <col min="10500" max="10500" width="10.7109375" style="170" customWidth="1"/>
    <col min="10501" max="10502" width="11.28515625" style="170" customWidth="1"/>
    <col min="10503" max="10503" width="17" style="170" customWidth="1"/>
    <col min="10504" max="10504" width="16.28515625" style="170" customWidth="1"/>
    <col min="10505" max="10749" width="10.28515625" style="170"/>
    <col min="10750" max="10750" width="6.42578125" style="170" customWidth="1"/>
    <col min="10751" max="10751" width="58.28515625" style="170" customWidth="1"/>
    <col min="10752" max="10752" width="10.28515625" style="170"/>
    <col min="10753" max="10753" width="11" style="170" customWidth="1"/>
    <col min="10754" max="10755" width="9.7109375" style="170" customWidth="1"/>
    <col min="10756" max="10756" width="10.7109375" style="170" customWidth="1"/>
    <col min="10757" max="10758" width="11.28515625" style="170" customWidth="1"/>
    <col min="10759" max="10759" width="17" style="170" customWidth="1"/>
    <col min="10760" max="10760" width="16.28515625" style="170" customWidth="1"/>
    <col min="10761" max="11005" width="10.28515625" style="170"/>
    <col min="11006" max="11006" width="6.42578125" style="170" customWidth="1"/>
    <col min="11007" max="11007" width="58.28515625" style="170" customWidth="1"/>
    <col min="11008" max="11008" width="10.28515625" style="170"/>
    <col min="11009" max="11009" width="11" style="170" customWidth="1"/>
    <col min="11010" max="11011" width="9.7109375" style="170" customWidth="1"/>
    <col min="11012" max="11012" width="10.7109375" style="170" customWidth="1"/>
    <col min="11013" max="11014" width="11.28515625" style="170" customWidth="1"/>
    <col min="11015" max="11015" width="17" style="170" customWidth="1"/>
    <col min="11016" max="11016" width="16.28515625" style="170" customWidth="1"/>
    <col min="11017" max="11261" width="10.28515625" style="170"/>
    <col min="11262" max="11262" width="6.42578125" style="170" customWidth="1"/>
    <col min="11263" max="11263" width="58.28515625" style="170" customWidth="1"/>
    <col min="11264" max="11264" width="10.28515625" style="170"/>
    <col min="11265" max="11265" width="11" style="170" customWidth="1"/>
    <col min="11266" max="11267" width="9.7109375" style="170" customWidth="1"/>
    <col min="11268" max="11268" width="10.7109375" style="170" customWidth="1"/>
    <col min="11269" max="11270" width="11.28515625" style="170" customWidth="1"/>
    <col min="11271" max="11271" width="17" style="170" customWidth="1"/>
    <col min="11272" max="11272" width="16.28515625" style="170" customWidth="1"/>
    <col min="11273" max="11517" width="10.28515625" style="170"/>
    <col min="11518" max="11518" width="6.42578125" style="170" customWidth="1"/>
    <col min="11519" max="11519" width="58.28515625" style="170" customWidth="1"/>
    <col min="11520" max="11520" width="10.28515625" style="170"/>
    <col min="11521" max="11521" width="11" style="170" customWidth="1"/>
    <col min="11522" max="11523" width="9.7109375" style="170" customWidth="1"/>
    <col min="11524" max="11524" width="10.7109375" style="170" customWidth="1"/>
    <col min="11525" max="11526" width="11.28515625" style="170" customWidth="1"/>
    <col min="11527" max="11527" width="17" style="170" customWidth="1"/>
    <col min="11528" max="11528" width="16.28515625" style="170" customWidth="1"/>
    <col min="11529" max="11773" width="10.28515625" style="170"/>
    <col min="11774" max="11774" width="6.42578125" style="170" customWidth="1"/>
    <col min="11775" max="11775" width="58.28515625" style="170" customWidth="1"/>
    <col min="11776" max="11776" width="10.28515625" style="170"/>
    <col min="11777" max="11777" width="11" style="170" customWidth="1"/>
    <col min="11778" max="11779" width="9.7109375" style="170" customWidth="1"/>
    <col min="11780" max="11780" width="10.7109375" style="170" customWidth="1"/>
    <col min="11781" max="11782" width="11.28515625" style="170" customWidth="1"/>
    <col min="11783" max="11783" width="17" style="170" customWidth="1"/>
    <col min="11784" max="11784" width="16.28515625" style="170" customWidth="1"/>
    <col min="11785" max="12029" width="10.28515625" style="170"/>
    <col min="12030" max="12030" width="6.42578125" style="170" customWidth="1"/>
    <col min="12031" max="12031" width="58.28515625" style="170" customWidth="1"/>
    <col min="12032" max="12032" width="10.28515625" style="170"/>
    <col min="12033" max="12033" width="11" style="170" customWidth="1"/>
    <col min="12034" max="12035" width="9.7109375" style="170" customWidth="1"/>
    <col min="12036" max="12036" width="10.7109375" style="170" customWidth="1"/>
    <col min="12037" max="12038" width="11.28515625" style="170" customWidth="1"/>
    <col min="12039" max="12039" width="17" style="170" customWidth="1"/>
    <col min="12040" max="12040" width="16.28515625" style="170" customWidth="1"/>
    <col min="12041" max="12285" width="10.28515625" style="170"/>
    <col min="12286" max="12286" width="6.42578125" style="170" customWidth="1"/>
    <col min="12287" max="12287" width="58.28515625" style="170" customWidth="1"/>
    <col min="12288" max="12288" width="10.28515625" style="170"/>
    <col min="12289" max="12289" width="11" style="170" customWidth="1"/>
    <col min="12290" max="12291" width="9.7109375" style="170" customWidth="1"/>
    <col min="12292" max="12292" width="10.7109375" style="170" customWidth="1"/>
    <col min="12293" max="12294" width="11.28515625" style="170" customWidth="1"/>
    <col min="12295" max="12295" width="17" style="170" customWidth="1"/>
    <col min="12296" max="12296" width="16.28515625" style="170" customWidth="1"/>
    <col min="12297" max="12541" width="10.28515625" style="170"/>
    <col min="12542" max="12542" width="6.42578125" style="170" customWidth="1"/>
    <col min="12543" max="12543" width="58.28515625" style="170" customWidth="1"/>
    <col min="12544" max="12544" width="10.28515625" style="170"/>
    <col min="12545" max="12545" width="11" style="170" customWidth="1"/>
    <col min="12546" max="12547" width="9.7109375" style="170" customWidth="1"/>
    <col min="12548" max="12548" width="10.7109375" style="170" customWidth="1"/>
    <col min="12549" max="12550" width="11.28515625" style="170" customWidth="1"/>
    <col min="12551" max="12551" width="17" style="170" customWidth="1"/>
    <col min="12552" max="12552" width="16.28515625" style="170" customWidth="1"/>
    <col min="12553" max="12797" width="10.28515625" style="170"/>
    <col min="12798" max="12798" width="6.42578125" style="170" customWidth="1"/>
    <col min="12799" max="12799" width="58.28515625" style="170" customWidth="1"/>
    <col min="12800" max="12800" width="10.28515625" style="170"/>
    <col min="12801" max="12801" width="11" style="170" customWidth="1"/>
    <col min="12802" max="12803" width="9.7109375" style="170" customWidth="1"/>
    <col min="12804" max="12804" width="10.7109375" style="170" customWidth="1"/>
    <col min="12805" max="12806" width="11.28515625" style="170" customWidth="1"/>
    <col min="12807" max="12807" width="17" style="170" customWidth="1"/>
    <col min="12808" max="12808" width="16.28515625" style="170" customWidth="1"/>
    <col min="12809" max="13053" width="10.28515625" style="170"/>
    <col min="13054" max="13054" width="6.42578125" style="170" customWidth="1"/>
    <col min="13055" max="13055" width="58.28515625" style="170" customWidth="1"/>
    <col min="13056" max="13056" width="10.28515625" style="170"/>
    <col min="13057" max="13057" width="11" style="170" customWidth="1"/>
    <col min="13058" max="13059" width="9.7109375" style="170" customWidth="1"/>
    <col min="13060" max="13060" width="10.7109375" style="170" customWidth="1"/>
    <col min="13061" max="13062" width="11.28515625" style="170" customWidth="1"/>
    <col min="13063" max="13063" width="17" style="170" customWidth="1"/>
    <col min="13064" max="13064" width="16.28515625" style="170" customWidth="1"/>
    <col min="13065" max="13309" width="10.28515625" style="170"/>
    <col min="13310" max="13310" width="6.42578125" style="170" customWidth="1"/>
    <col min="13311" max="13311" width="58.28515625" style="170" customWidth="1"/>
    <col min="13312" max="13312" width="10.28515625" style="170"/>
    <col min="13313" max="13313" width="11" style="170" customWidth="1"/>
    <col min="13314" max="13315" width="9.7109375" style="170" customWidth="1"/>
    <col min="13316" max="13316" width="10.7109375" style="170" customWidth="1"/>
    <col min="13317" max="13318" width="11.28515625" style="170" customWidth="1"/>
    <col min="13319" max="13319" width="17" style="170" customWidth="1"/>
    <col min="13320" max="13320" width="16.28515625" style="170" customWidth="1"/>
    <col min="13321" max="13565" width="10.28515625" style="170"/>
    <col min="13566" max="13566" width="6.42578125" style="170" customWidth="1"/>
    <col min="13567" max="13567" width="58.28515625" style="170" customWidth="1"/>
    <col min="13568" max="13568" width="10.28515625" style="170"/>
    <col min="13569" max="13569" width="11" style="170" customWidth="1"/>
    <col min="13570" max="13571" width="9.7109375" style="170" customWidth="1"/>
    <col min="13572" max="13572" width="10.7109375" style="170" customWidth="1"/>
    <col min="13573" max="13574" width="11.28515625" style="170" customWidth="1"/>
    <col min="13575" max="13575" width="17" style="170" customWidth="1"/>
    <col min="13576" max="13576" width="16.28515625" style="170" customWidth="1"/>
    <col min="13577" max="13821" width="10.28515625" style="170"/>
    <col min="13822" max="13822" width="6.42578125" style="170" customWidth="1"/>
    <col min="13823" max="13823" width="58.28515625" style="170" customWidth="1"/>
    <col min="13824" max="13824" width="10.28515625" style="170"/>
    <col min="13825" max="13825" width="11" style="170" customWidth="1"/>
    <col min="13826" max="13827" width="9.7109375" style="170" customWidth="1"/>
    <col min="13828" max="13828" width="10.7109375" style="170" customWidth="1"/>
    <col min="13829" max="13830" width="11.28515625" style="170" customWidth="1"/>
    <col min="13831" max="13831" width="17" style="170" customWidth="1"/>
    <col min="13832" max="13832" width="16.28515625" style="170" customWidth="1"/>
    <col min="13833" max="14077" width="10.28515625" style="170"/>
    <col min="14078" max="14078" width="6.42578125" style="170" customWidth="1"/>
    <col min="14079" max="14079" width="58.28515625" style="170" customWidth="1"/>
    <col min="14080" max="14080" width="10.28515625" style="170"/>
    <col min="14081" max="14081" width="11" style="170" customWidth="1"/>
    <col min="14082" max="14083" width="9.7109375" style="170" customWidth="1"/>
    <col min="14084" max="14084" width="10.7109375" style="170" customWidth="1"/>
    <col min="14085" max="14086" width="11.28515625" style="170" customWidth="1"/>
    <col min="14087" max="14087" width="17" style="170" customWidth="1"/>
    <col min="14088" max="14088" width="16.28515625" style="170" customWidth="1"/>
    <col min="14089" max="14333" width="10.28515625" style="170"/>
    <col min="14334" max="14334" width="6.42578125" style="170" customWidth="1"/>
    <col min="14335" max="14335" width="58.28515625" style="170" customWidth="1"/>
    <col min="14336" max="14336" width="10.28515625" style="170"/>
    <col min="14337" max="14337" width="11" style="170" customWidth="1"/>
    <col min="14338" max="14339" width="9.7109375" style="170" customWidth="1"/>
    <col min="14340" max="14340" width="10.7109375" style="170" customWidth="1"/>
    <col min="14341" max="14342" width="11.28515625" style="170" customWidth="1"/>
    <col min="14343" max="14343" width="17" style="170" customWidth="1"/>
    <col min="14344" max="14344" width="16.28515625" style="170" customWidth="1"/>
    <col min="14345" max="14589" width="10.28515625" style="170"/>
    <col min="14590" max="14590" width="6.42578125" style="170" customWidth="1"/>
    <col min="14591" max="14591" width="58.28515625" style="170" customWidth="1"/>
    <col min="14592" max="14592" width="10.28515625" style="170"/>
    <col min="14593" max="14593" width="11" style="170" customWidth="1"/>
    <col min="14594" max="14595" width="9.7109375" style="170" customWidth="1"/>
    <col min="14596" max="14596" width="10.7109375" style="170" customWidth="1"/>
    <col min="14597" max="14598" width="11.28515625" style="170" customWidth="1"/>
    <col min="14599" max="14599" width="17" style="170" customWidth="1"/>
    <col min="14600" max="14600" width="16.28515625" style="170" customWidth="1"/>
    <col min="14601" max="14845" width="10.28515625" style="170"/>
    <col min="14846" max="14846" width="6.42578125" style="170" customWidth="1"/>
    <col min="14847" max="14847" width="58.28515625" style="170" customWidth="1"/>
    <col min="14848" max="14848" width="10.28515625" style="170"/>
    <col min="14849" max="14849" width="11" style="170" customWidth="1"/>
    <col min="14850" max="14851" width="9.7109375" style="170" customWidth="1"/>
    <col min="14852" max="14852" width="10.7109375" style="170" customWidth="1"/>
    <col min="14853" max="14854" width="11.28515625" style="170" customWidth="1"/>
    <col min="14855" max="14855" width="17" style="170" customWidth="1"/>
    <col min="14856" max="14856" width="16.28515625" style="170" customWidth="1"/>
    <col min="14857" max="15101" width="10.28515625" style="170"/>
    <col min="15102" max="15102" width="6.42578125" style="170" customWidth="1"/>
    <col min="15103" max="15103" width="58.28515625" style="170" customWidth="1"/>
    <col min="15104" max="15104" width="10.28515625" style="170"/>
    <col min="15105" max="15105" width="11" style="170" customWidth="1"/>
    <col min="15106" max="15107" width="9.7109375" style="170" customWidth="1"/>
    <col min="15108" max="15108" width="10.7109375" style="170" customWidth="1"/>
    <col min="15109" max="15110" width="11.28515625" style="170" customWidth="1"/>
    <col min="15111" max="15111" width="17" style="170" customWidth="1"/>
    <col min="15112" max="15112" width="16.28515625" style="170" customWidth="1"/>
    <col min="15113" max="15357" width="10.28515625" style="170"/>
    <col min="15358" max="15358" width="6.42578125" style="170" customWidth="1"/>
    <col min="15359" max="15359" width="58.28515625" style="170" customWidth="1"/>
    <col min="15360" max="15360" width="10.28515625" style="170"/>
    <col min="15361" max="15361" width="11" style="170" customWidth="1"/>
    <col min="15362" max="15363" width="9.7109375" style="170" customWidth="1"/>
    <col min="15364" max="15364" width="10.7109375" style="170" customWidth="1"/>
    <col min="15365" max="15366" width="11.28515625" style="170" customWidth="1"/>
    <col min="15367" max="15367" width="17" style="170" customWidth="1"/>
    <col min="15368" max="15368" width="16.28515625" style="170" customWidth="1"/>
    <col min="15369" max="15613" width="10.28515625" style="170"/>
    <col min="15614" max="15614" width="6.42578125" style="170" customWidth="1"/>
    <col min="15615" max="15615" width="58.28515625" style="170" customWidth="1"/>
    <col min="15616" max="15616" width="10.28515625" style="170"/>
    <col min="15617" max="15617" width="11" style="170" customWidth="1"/>
    <col min="15618" max="15619" width="9.7109375" style="170" customWidth="1"/>
    <col min="15620" max="15620" width="10.7109375" style="170" customWidth="1"/>
    <col min="15621" max="15622" width="11.28515625" style="170" customWidth="1"/>
    <col min="15623" max="15623" width="17" style="170" customWidth="1"/>
    <col min="15624" max="15624" width="16.28515625" style="170" customWidth="1"/>
    <col min="15625" max="15869" width="10.28515625" style="170"/>
    <col min="15870" max="15870" width="6.42578125" style="170" customWidth="1"/>
    <col min="15871" max="15871" width="58.28515625" style="170" customWidth="1"/>
    <col min="15872" max="15872" width="10.28515625" style="170"/>
    <col min="15873" max="15873" width="11" style="170" customWidth="1"/>
    <col min="15874" max="15875" width="9.7109375" style="170" customWidth="1"/>
    <col min="15876" max="15876" width="10.7109375" style="170" customWidth="1"/>
    <col min="15877" max="15878" width="11.28515625" style="170" customWidth="1"/>
    <col min="15879" max="15879" width="17" style="170" customWidth="1"/>
    <col min="15880" max="15880" width="16.28515625" style="170" customWidth="1"/>
    <col min="15881" max="16125" width="10.28515625" style="170"/>
    <col min="16126" max="16126" width="6.42578125" style="170" customWidth="1"/>
    <col min="16127" max="16127" width="58.28515625" style="170" customWidth="1"/>
    <col min="16128" max="16128" width="10.28515625" style="170"/>
    <col min="16129" max="16129" width="11" style="170" customWidth="1"/>
    <col min="16130" max="16131" width="9.7109375" style="170" customWidth="1"/>
    <col min="16132" max="16132" width="10.7109375" style="170" customWidth="1"/>
    <col min="16133" max="16134" width="11.28515625" style="170" customWidth="1"/>
    <col min="16135" max="16135" width="17" style="170" customWidth="1"/>
    <col min="16136" max="16136" width="16.28515625" style="170" customWidth="1"/>
    <col min="16137" max="16384" width="10.28515625" style="170"/>
  </cols>
  <sheetData>
    <row r="1" spans="1:9" ht="12" customHeight="1" x14ac:dyDescent="0.2">
      <c r="A1" s="499"/>
      <c r="C1" s="171"/>
      <c r="D1" s="171"/>
      <c r="E1" s="171"/>
      <c r="F1" s="171"/>
      <c r="G1" s="172" t="s">
        <v>13</v>
      </c>
      <c r="H1" s="172"/>
    </row>
    <row r="2" spans="1:9" ht="12" customHeight="1" x14ac:dyDescent="0.2">
      <c r="C2" s="171"/>
      <c r="D2" s="171"/>
      <c r="E2" s="171"/>
      <c r="F2" s="171"/>
      <c r="G2" s="172" t="s">
        <v>185</v>
      </c>
      <c r="H2" s="172"/>
    </row>
    <row r="3" spans="1:9" ht="12" customHeight="1" x14ac:dyDescent="0.2">
      <c r="C3" s="171"/>
      <c r="D3" s="171"/>
      <c r="E3" s="171"/>
      <c r="F3" s="171"/>
      <c r="G3" s="172" t="s">
        <v>1</v>
      </c>
      <c r="H3" s="172"/>
    </row>
    <row r="4" spans="1:9" ht="12" customHeight="1" x14ac:dyDescent="0.2">
      <c r="B4" s="171"/>
      <c r="C4" s="173"/>
      <c r="D4" s="171"/>
      <c r="E4" s="173"/>
      <c r="F4" s="171"/>
      <c r="G4" s="174" t="s">
        <v>186</v>
      </c>
      <c r="H4" s="174"/>
    </row>
    <row r="5" spans="1:9" ht="12" customHeight="1" x14ac:dyDescent="0.2">
      <c r="B5" s="171"/>
      <c r="C5" s="173"/>
      <c r="D5" s="171"/>
      <c r="E5" s="173"/>
      <c r="F5" s="171"/>
      <c r="G5" s="171"/>
      <c r="H5" s="171"/>
    </row>
    <row r="6" spans="1:9" ht="12.75" customHeight="1" x14ac:dyDescent="0.2">
      <c r="A6" s="175" t="s">
        <v>198</v>
      </c>
      <c r="B6" s="175"/>
      <c r="C6" s="175"/>
      <c r="D6" s="175"/>
      <c r="E6" s="175"/>
      <c r="F6" s="175"/>
      <c r="G6" s="175"/>
      <c r="H6" s="175"/>
      <c r="I6" s="175"/>
    </row>
    <row r="7" spans="1:9" ht="11.25" customHeight="1" x14ac:dyDescent="0.2">
      <c r="I7" s="170" t="s">
        <v>2</v>
      </c>
    </row>
    <row r="8" spans="1:9" ht="11.25" customHeight="1" x14ac:dyDescent="0.2">
      <c r="A8" s="176"/>
      <c r="B8" s="176"/>
      <c r="C8" s="177" t="s">
        <v>199</v>
      </c>
      <c r="D8" s="178" t="s">
        <v>200</v>
      </c>
      <c r="E8" s="179" t="s">
        <v>193</v>
      </c>
      <c r="F8" s="180"/>
      <c r="G8" s="179" t="s">
        <v>201</v>
      </c>
      <c r="H8" s="181"/>
      <c r="I8" s="180"/>
    </row>
    <row r="9" spans="1:9" ht="11.25" customHeight="1" x14ac:dyDescent="0.2">
      <c r="A9" s="182"/>
      <c r="B9" s="182"/>
      <c r="C9" s="183"/>
      <c r="D9" s="184" t="s">
        <v>202</v>
      </c>
      <c r="E9" s="177"/>
      <c r="F9" s="177"/>
      <c r="G9" s="179" t="s">
        <v>203</v>
      </c>
      <c r="H9" s="181"/>
      <c r="I9" s="180"/>
    </row>
    <row r="10" spans="1:9" ht="11.25" customHeight="1" x14ac:dyDescent="0.2">
      <c r="A10" s="182"/>
      <c r="B10" s="182"/>
      <c r="C10" s="183" t="s">
        <v>204</v>
      </c>
      <c r="D10" s="184" t="s">
        <v>205</v>
      </c>
      <c r="E10" s="183"/>
      <c r="F10" s="183"/>
      <c r="G10" s="177"/>
      <c r="H10" s="177"/>
      <c r="I10" s="177"/>
    </row>
    <row r="11" spans="1:9" ht="14.25" customHeight="1" x14ac:dyDescent="0.2">
      <c r="A11" s="182" t="s">
        <v>14</v>
      </c>
      <c r="B11" s="182" t="s">
        <v>206</v>
      </c>
      <c r="C11" s="183" t="s">
        <v>207</v>
      </c>
      <c r="D11" s="184" t="s">
        <v>208</v>
      </c>
      <c r="E11" s="183"/>
      <c r="F11" s="183"/>
      <c r="G11" s="183"/>
      <c r="H11" s="183"/>
      <c r="I11" s="183"/>
    </row>
    <row r="12" spans="1:9" ht="32.25" customHeight="1" x14ac:dyDescent="0.2">
      <c r="A12" s="182"/>
      <c r="B12" s="182"/>
      <c r="C12" s="183" t="s">
        <v>209</v>
      </c>
      <c r="D12" s="184" t="s">
        <v>210</v>
      </c>
      <c r="E12" s="183" t="s">
        <v>211</v>
      </c>
      <c r="F12" s="183" t="s">
        <v>212</v>
      </c>
      <c r="G12" s="183" t="s">
        <v>213</v>
      </c>
      <c r="H12" s="183" t="s">
        <v>211</v>
      </c>
      <c r="I12" s="183" t="s">
        <v>212</v>
      </c>
    </row>
    <row r="13" spans="1:9" ht="18.75" customHeight="1" x14ac:dyDescent="0.2">
      <c r="A13" s="185"/>
      <c r="B13" s="185"/>
      <c r="D13" s="186" t="s">
        <v>214</v>
      </c>
      <c r="E13" s="187"/>
      <c r="F13" s="187"/>
      <c r="G13" s="187"/>
      <c r="H13" s="187"/>
      <c r="I13" s="187"/>
    </row>
    <row r="14" spans="1:9" ht="11.25" customHeight="1" x14ac:dyDescent="0.2">
      <c r="A14" s="188">
        <v>1</v>
      </c>
      <c r="B14" s="188">
        <v>2</v>
      </c>
      <c r="C14" s="188">
        <v>3</v>
      </c>
      <c r="D14" s="188">
        <v>4</v>
      </c>
      <c r="E14" s="188">
        <v>5</v>
      </c>
      <c r="F14" s="188">
        <v>6</v>
      </c>
      <c r="G14" s="189">
        <v>7</v>
      </c>
      <c r="H14" s="188">
        <v>8</v>
      </c>
      <c r="I14" s="188">
        <v>9</v>
      </c>
    </row>
    <row r="15" spans="1:9" s="194" customFormat="1" ht="21.75" customHeight="1" x14ac:dyDescent="0.2">
      <c r="A15" s="190"/>
      <c r="B15" s="191" t="s">
        <v>215</v>
      </c>
      <c r="C15" s="192"/>
      <c r="D15" s="193">
        <v>460179202.18999994</v>
      </c>
      <c r="E15" s="193">
        <v>238062168.02000007</v>
      </c>
      <c r="F15" s="193">
        <v>222117034.16999999</v>
      </c>
      <c r="G15" s="193">
        <v>218408515.51000005</v>
      </c>
      <c r="H15" s="193">
        <v>54905804.979999989</v>
      </c>
      <c r="I15" s="193">
        <v>163502710.52999997</v>
      </c>
    </row>
    <row r="16" spans="1:9" s="194" customFormat="1" ht="12" customHeight="1" x14ac:dyDescent="0.2">
      <c r="A16" s="195"/>
      <c r="B16" s="500" t="s">
        <v>216</v>
      </c>
      <c r="C16" s="501"/>
      <c r="D16" s="502">
        <v>42664013.809999995</v>
      </c>
      <c r="E16" s="502">
        <v>8192929.5500000017</v>
      </c>
      <c r="F16" s="502">
        <v>34471084.259999998</v>
      </c>
      <c r="G16" s="502">
        <v>19096496.060000002</v>
      </c>
      <c r="H16" s="502">
        <v>2116399.54</v>
      </c>
      <c r="I16" s="502">
        <v>16980096.519999996</v>
      </c>
    </row>
    <row r="17" spans="1:9" s="194" customFormat="1" ht="12" customHeight="1" x14ac:dyDescent="0.2">
      <c r="A17" s="195"/>
      <c r="B17" s="503" t="s">
        <v>217</v>
      </c>
      <c r="C17" s="504"/>
      <c r="D17" s="505">
        <v>417515188.37999994</v>
      </c>
      <c r="E17" s="505">
        <v>229869238.47000006</v>
      </c>
      <c r="F17" s="505">
        <v>187645949.91</v>
      </c>
      <c r="G17" s="505">
        <v>199312019.45000005</v>
      </c>
      <c r="H17" s="505">
        <v>52789405.43999999</v>
      </c>
      <c r="I17" s="505">
        <v>146522614.00999999</v>
      </c>
    </row>
    <row r="18" spans="1:9" ht="20.25" customHeight="1" thickBot="1" x14ac:dyDescent="0.25">
      <c r="A18" s="198" t="s">
        <v>218</v>
      </c>
      <c r="B18" s="199" t="s">
        <v>219</v>
      </c>
      <c r="C18" s="200"/>
      <c r="D18" s="201">
        <v>188304867.28999999</v>
      </c>
      <c r="E18" s="201">
        <v>130029778.66</v>
      </c>
      <c r="F18" s="201">
        <v>58275088.629999995</v>
      </c>
      <c r="G18" s="201">
        <v>70998803.700000003</v>
      </c>
      <c r="H18" s="201">
        <v>13436215.07</v>
      </c>
      <c r="I18" s="201">
        <v>57562588.629999995</v>
      </c>
    </row>
    <row r="19" spans="1:9" ht="20.25" customHeight="1" x14ac:dyDescent="0.2">
      <c r="A19" s="202" t="s">
        <v>220</v>
      </c>
      <c r="B19" s="203" t="s">
        <v>221</v>
      </c>
      <c r="C19" s="506"/>
      <c r="D19" s="507"/>
      <c r="E19" s="507"/>
      <c r="F19" s="508"/>
      <c r="G19" s="507"/>
      <c r="H19" s="507"/>
      <c r="I19" s="508"/>
    </row>
    <row r="20" spans="1:9" ht="10.5" customHeight="1" x14ac:dyDescent="0.25">
      <c r="A20" s="204"/>
      <c r="B20" s="205" t="s">
        <v>222</v>
      </c>
      <c r="C20" s="509"/>
      <c r="D20" s="510"/>
      <c r="E20" s="510"/>
      <c r="F20" s="511"/>
      <c r="G20" s="510"/>
      <c r="H20" s="510"/>
      <c r="I20" s="206"/>
    </row>
    <row r="21" spans="1:9" ht="10.5" customHeight="1" x14ac:dyDescent="0.2">
      <c r="A21" s="207"/>
      <c r="B21" s="512" t="s">
        <v>216</v>
      </c>
      <c r="C21" s="208" t="s">
        <v>223</v>
      </c>
      <c r="D21" s="209">
        <v>106306</v>
      </c>
      <c r="E21" s="210">
        <v>0</v>
      </c>
      <c r="F21" s="211">
        <v>106306</v>
      </c>
      <c r="G21" s="212">
        <v>106306</v>
      </c>
      <c r="H21" s="213">
        <v>0</v>
      </c>
      <c r="I21" s="214">
        <v>106306</v>
      </c>
    </row>
    <row r="22" spans="1:9" ht="10.5" customHeight="1" x14ac:dyDescent="0.2">
      <c r="A22" s="215"/>
      <c r="B22" s="513" t="s">
        <v>217</v>
      </c>
      <c r="C22" s="216" t="s">
        <v>224</v>
      </c>
      <c r="D22" s="217"/>
      <c r="E22" s="218"/>
      <c r="F22" s="219"/>
      <c r="G22" s="220"/>
      <c r="H22" s="218"/>
      <c r="I22" s="218"/>
    </row>
    <row r="23" spans="1:9" ht="11.1" customHeight="1" x14ac:dyDescent="0.2">
      <c r="A23" s="221"/>
      <c r="C23" s="222"/>
      <c r="D23" s="196"/>
      <c r="E23" s="196"/>
      <c r="F23" s="196"/>
      <c r="G23" s="196"/>
      <c r="H23" s="196"/>
      <c r="I23" s="223"/>
    </row>
    <row r="24" spans="1:9" ht="15.75" customHeight="1" x14ac:dyDescent="0.2">
      <c r="A24" s="514" t="s">
        <v>225</v>
      </c>
      <c r="D24" s="197"/>
      <c r="E24" s="197"/>
      <c r="F24" s="197"/>
      <c r="G24" s="197"/>
      <c r="H24" s="197"/>
      <c r="I24" s="197"/>
    </row>
    <row r="25" spans="1:9" ht="11.1" customHeight="1" x14ac:dyDescent="0.2">
      <c r="A25" s="221"/>
      <c r="D25" s="197"/>
      <c r="E25" s="197"/>
      <c r="F25" s="197"/>
      <c r="G25" s="197"/>
      <c r="H25" s="197"/>
      <c r="I25" s="197"/>
    </row>
    <row r="26" spans="1:9" ht="11.1" customHeight="1" x14ac:dyDescent="0.2">
      <c r="A26" s="221"/>
      <c r="D26" s="197"/>
      <c r="E26" s="197"/>
      <c r="F26" s="197"/>
      <c r="G26" s="197"/>
      <c r="H26" s="197"/>
      <c r="I26" s="197"/>
    </row>
    <row r="27" spans="1:9" ht="11.1" customHeight="1" x14ac:dyDescent="0.2">
      <c r="A27" s="221"/>
      <c r="D27" s="197"/>
      <c r="E27" s="197"/>
      <c r="F27" s="197"/>
      <c r="G27" s="197"/>
      <c r="H27" s="197"/>
      <c r="I27" s="197"/>
    </row>
    <row r="28" spans="1:9" ht="11.1" customHeight="1" x14ac:dyDescent="0.2">
      <c r="A28" s="221"/>
      <c r="D28" s="197"/>
      <c r="E28" s="197"/>
      <c r="F28" s="197"/>
      <c r="G28" s="197"/>
      <c r="H28" s="197"/>
      <c r="I28" s="197"/>
    </row>
    <row r="29" spans="1:9" ht="11.1" customHeight="1" x14ac:dyDescent="0.2">
      <c r="A29" s="221"/>
      <c r="D29" s="197"/>
      <c r="E29" s="197"/>
      <c r="F29" s="197"/>
      <c r="G29" s="197"/>
      <c r="H29" s="197"/>
      <c r="I29" s="197"/>
    </row>
    <row r="30" spans="1:9" ht="11.1" customHeight="1" x14ac:dyDescent="0.2">
      <c r="A30" s="221"/>
      <c r="D30" s="197"/>
      <c r="E30" s="197"/>
      <c r="F30" s="197"/>
      <c r="G30" s="197"/>
      <c r="H30" s="197"/>
      <c r="I30" s="197"/>
    </row>
    <row r="31" spans="1:9" ht="11.1" customHeight="1" x14ac:dyDescent="0.2">
      <c r="A31" s="221"/>
      <c r="D31" s="197"/>
      <c r="E31" s="197"/>
      <c r="F31" s="197"/>
      <c r="G31" s="197"/>
      <c r="H31" s="197"/>
      <c r="I31" s="197"/>
    </row>
    <row r="32" spans="1:9" ht="11.1" customHeight="1" x14ac:dyDescent="0.2">
      <c r="A32" s="221"/>
      <c r="D32" s="197"/>
      <c r="E32" s="197"/>
      <c r="F32" s="197"/>
      <c r="G32" s="197"/>
      <c r="H32" s="197"/>
      <c r="I32" s="197"/>
    </row>
    <row r="33" spans="1:9" ht="11.1" customHeight="1" x14ac:dyDescent="0.2">
      <c r="A33" s="221"/>
      <c r="D33" s="197"/>
      <c r="E33" s="197"/>
      <c r="F33" s="197"/>
      <c r="G33" s="197"/>
      <c r="H33" s="197"/>
      <c r="I33" s="197"/>
    </row>
    <row r="34" spans="1:9" ht="11.1" customHeight="1" x14ac:dyDescent="0.2">
      <c r="A34" s="221"/>
      <c r="D34" s="197"/>
      <c r="E34" s="197"/>
      <c r="F34" s="197"/>
      <c r="G34" s="197"/>
      <c r="H34" s="197"/>
      <c r="I34" s="197"/>
    </row>
    <row r="35" spans="1:9" ht="11.1" customHeight="1" x14ac:dyDescent="0.2">
      <c r="A35" s="221"/>
      <c r="D35" s="197"/>
      <c r="E35" s="197"/>
      <c r="F35" s="197"/>
      <c r="G35" s="197"/>
      <c r="H35" s="197"/>
      <c r="I35" s="197"/>
    </row>
    <row r="36" spans="1:9" ht="11.1" customHeight="1" x14ac:dyDescent="0.2">
      <c r="A36" s="221"/>
      <c r="D36" s="197"/>
      <c r="E36" s="197"/>
      <c r="F36" s="197"/>
      <c r="G36" s="197"/>
      <c r="H36" s="197"/>
      <c r="I36" s="197"/>
    </row>
    <row r="37" spans="1:9" ht="11.1" customHeight="1" x14ac:dyDescent="0.2">
      <c r="A37" s="221"/>
      <c r="D37" s="197"/>
      <c r="E37" s="197"/>
      <c r="F37" s="197"/>
      <c r="G37" s="197"/>
      <c r="H37" s="197"/>
      <c r="I37" s="197"/>
    </row>
    <row r="38" spans="1:9" ht="11.1" customHeight="1" x14ac:dyDescent="0.2">
      <c r="A38" s="221"/>
      <c r="D38" s="197"/>
      <c r="E38" s="197"/>
      <c r="F38" s="197"/>
      <c r="G38" s="197"/>
      <c r="H38" s="197"/>
      <c r="I38" s="197"/>
    </row>
    <row r="39" spans="1:9" ht="11.1" customHeight="1" x14ac:dyDescent="0.2">
      <c r="A39" s="221"/>
      <c r="D39" s="197"/>
      <c r="E39" s="197"/>
      <c r="F39" s="197"/>
      <c r="G39" s="197"/>
      <c r="H39" s="197"/>
      <c r="I39" s="197"/>
    </row>
    <row r="40" spans="1:9" ht="12.75" customHeight="1" x14ac:dyDescent="0.2">
      <c r="D40" s="196"/>
      <c r="E40" s="196"/>
      <c r="F40" s="196"/>
      <c r="G40" s="196"/>
      <c r="H40" s="196"/>
      <c r="I40" s="196"/>
    </row>
    <row r="41" spans="1:9" ht="12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C9FC0-E497-455A-9150-D2BD87A876EB}">
  <sheetPr>
    <tabColor rgb="FFFF0066"/>
  </sheetPr>
  <dimension ref="A1:AF18"/>
  <sheetViews>
    <sheetView zoomScale="140" zoomScaleNormal="140" workbookViewId="0"/>
  </sheetViews>
  <sheetFormatPr defaultRowHeight="12" x14ac:dyDescent="0.2"/>
  <cols>
    <col min="1" max="1" width="4.28515625" style="142" customWidth="1"/>
    <col min="2" max="2" width="7.85546875" style="142" customWidth="1"/>
    <col min="3" max="3" width="5" style="142" customWidth="1"/>
    <col min="4" max="4" width="11.42578125" style="142" customWidth="1"/>
    <col min="5" max="5" width="12" style="142" customWidth="1"/>
    <col min="6" max="6" width="11.7109375" style="142" customWidth="1"/>
    <col min="7" max="7" width="12.5703125" style="142" customWidth="1"/>
    <col min="8" max="8" width="11.7109375" style="145" customWidth="1"/>
    <col min="9" max="9" width="10.42578125" style="145" customWidth="1"/>
    <col min="10" max="32" width="8.85546875" style="145" customWidth="1"/>
    <col min="33" max="256" width="9.140625" style="142"/>
    <col min="257" max="257" width="4.28515625" style="142" customWidth="1"/>
    <col min="258" max="258" width="8.7109375" style="142" customWidth="1"/>
    <col min="259" max="259" width="5.5703125" style="142" customWidth="1"/>
    <col min="260" max="260" width="11.42578125" style="142" customWidth="1"/>
    <col min="261" max="261" width="12" style="142" customWidth="1"/>
    <col min="262" max="262" width="11.7109375" style="142" customWidth="1"/>
    <col min="263" max="263" width="12.5703125" style="142" customWidth="1"/>
    <col min="264" max="264" width="11.7109375" style="142" customWidth="1"/>
    <col min="265" max="265" width="11" style="142" customWidth="1"/>
    <col min="266" max="288" width="8.85546875" style="142" customWidth="1"/>
    <col min="289" max="512" width="9.140625" style="142"/>
    <col min="513" max="513" width="4.28515625" style="142" customWidth="1"/>
    <col min="514" max="514" width="8.7109375" style="142" customWidth="1"/>
    <col min="515" max="515" width="5.5703125" style="142" customWidth="1"/>
    <col min="516" max="516" width="11.42578125" style="142" customWidth="1"/>
    <col min="517" max="517" width="12" style="142" customWidth="1"/>
    <col min="518" max="518" width="11.7109375" style="142" customWidth="1"/>
    <col min="519" max="519" width="12.5703125" style="142" customWidth="1"/>
    <col min="520" max="520" width="11.7109375" style="142" customWidth="1"/>
    <col min="521" max="521" width="11" style="142" customWidth="1"/>
    <col min="522" max="544" width="8.85546875" style="142" customWidth="1"/>
    <col min="545" max="768" width="9.140625" style="142"/>
    <col min="769" max="769" width="4.28515625" style="142" customWidth="1"/>
    <col min="770" max="770" width="8.7109375" style="142" customWidth="1"/>
    <col min="771" max="771" width="5.5703125" style="142" customWidth="1"/>
    <col min="772" max="772" width="11.42578125" style="142" customWidth="1"/>
    <col min="773" max="773" width="12" style="142" customWidth="1"/>
    <col min="774" max="774" width="11.7109375" style="142" customWidth="1"/>
    <col min="775" max="775" width="12.5703125" style="142" customWidth="1"/>
    <col min="776" max="776" width="11.7109375" style="142" customWidth="1"/>
    <col min="777" max="777" width="11" style="142" customWidth="1"/>
    <col min="778" max="800" width="8.85546875" style="142" customWidth="1"/>
    <col min="801" max="1024" width="9.140625" style="142"/>
    <col min="1025" max="1025" width="4.28515625" style="142" customWidth="1"/>
    <col min="1026" max="1026" width="8.7109375" style="142" customWidth="1"/>
    <col min="1027" max="1027" width="5.5703125" style="142" customWidth="1"/>
    <col min="1028" max="1028" width="11.42578125" style="142" customWidth="1"/>
    <col min="1029" max="1029" width="12" style="142" customWidth="1"/>
    <col min="1030" max="1030" width="11.7109375" style="142" customWidth="1"/>
    <col min="1031" max="1031" width="12.5703125" style="142" customWidth="1"/>
    <col min="1032" max="1032" width="11.7109375" style="142" customWidth="1"/>
    <col min="1033" max="1033" width="11" style="142" customWidth="1"/>
    <col min="1034" max="1056" width="8.85546875" style="142" customWidth="1"/>
    <col min="1057" max="1280" width="9.140625" style="142"/>
    <col min="1281" max="1281" width="4.28515625" style="142" customWidth="1"/>
    <col min="1282" max="1282" width="8.7109375" style="142" customWidth="1"/>
    <col min="1283" max="1283" width="5.5703125" style="142" customWidth="1"/>
    <col min="1284" max="1284" width="11.42578125" style="142" customWidth="1"/>
    <col min="1285" max="1285" width="12" style="142" customWidth="1"/>
    <col min="1286" max="1286" width="11.7109375" style="142" customWidth="1"/>
    <col min="1287" max="1287" width="12.5703125" style="142" customWidth="1"/>
    <col min="1288" max="1288" width="11.7109375" style="142" customWidth="1"/>
    <col min="1289" max="1289" width="11" style="142" customWidth="1"/>
    <col min="1290" max="1312" width="8.85546875" style="142" customWidth="1"/>
    <col min="1313" max="1536" width="9.140625" style="142"/>
    <col min="1537" max="1537" width="4.28515625" style="142" customWidth="1"/>
    <col min="1538" max="1538" width="8.7109375" style="142" customWidth="1"/>
    <col min="1539" max="1539" width="5.5703125" style="142" customWidth="1"/>
    <col min="1540" max="1540" width="11.42578125" style="142" customWidth="1"/>
    <col min="1541" max="1541" width="12" style="142" customWidth="1"/>
    <col min="1542" max="1542" width="11.7109375" style="142" customWidth="1"/>
    <col min="1543" max="1543" width="12.5703125" style="142" customWidth="1"/>
    <col min="1544" max="1544" width="11.7109375" style="142" customWidth="1"/>
    <col min="1545" max="1545" width="11" style="142" customWidth="1"/>
    <col min="1546" max="1568" width="8.85546875" style="142" customWidth="1"/>
    <col min="1569" max="1792" width="9.140625" style="142"/>
    <col min="1793" max="1793" width="4.28515625" style="142" customWidth="1"/>
    <col min="1794" max="1794" width="8.7109375" style="142" customWidth="1"/>
    <col min="1795" max="1795" width="5.5703125" style="142" customWidth="1"/>
    <col min="1796" max="1796" width="11.42578125" style="142" customWidth="1"/>
    <col min="1797" max="1797" width="12" style="142" customWidth="1"/>
    <col min="1798" max="1798" width="11.7109375" style="142" customWidth="1"/>
    <col min="1799" max="1799" width="12.5703125" style="142" customWidth="1"/>
    <col min="1800" max="1800" width="11.7109375" style="142" customWidth="1"/>
    <col min="1801" max="1801" width="11" style="142" customWidth="1"/>
    <col min="1802" max="1824" width="8.85546875" style="142" customWidth="1"/>
    <col min="1825" max="2048" width="9.140625" style="142"/>
    <col min="2049" max="2049" width="4.28515625" style="142" customWidth="1"/>
    <col min="2050" max="2050" width="8.7109375" style="142" customWidth="1"/>
    <col min="2051" max="2051" width="5.5703125" style="142" customWidth="1"/>
    <col min="2052" max="2052" width="11.42578125" style="142" customWidth="1"/>
    <col min="2053" max="2053" width="12" style="142" customWidth="1"/>
    <col min="2054" max="2054" width="11.7109375" style="142" customWidth="1"/>
    <col min="2055" max="2055" width="12.5703125" style="142" customWidth="1"/>
    <col min="2056" max="2056" width="11.7109375" style="142" customWidth="1"/>
    <col min="2057" max="2057" width="11" style="142" customWidth="1"/>
    <col min="2058" max="2080" width="8.85546875" style="142" customWidth="1"/>
    <col min="2081" max="2304" width="9.140625" style="142"/>
    <col min="2305" max="2305" width="4.28515625" style="142" customWidth="1"/>
    <col min="2306" max="2306" width="8.7109375" style="142" customWidth="1"/>
    <col min="2307" max="2307" width="5.5703125" style="142" customWidth="1"/>
    <col min="2308" max="2308" width="11.42578125" style="142" customWidth="1"/>
    <col min="2309" max="2309" width="12" style="142" customWidth="1"/>
    <col min="2310" max="2310" width="11.7109375" style="142" customWidth="1"/>
    <col min="2311" max="2311" width="12.5703125" style="142" customWidth="1"/>
    <col min="2312" max="2312" width="11.7109375" style="142" customWidth="1"/>
    <col min="2313" max="2313" width="11" style="142" customWidth="1"/>
    <col min="2314" max="2336" width="8.85546875" style="142" customWidth="1"/>
    <col min="2337" max="2560" width="9.140625" style="142"/>
    <col min="2561" max="2561" width="4.28515625" style="142" customWidth="1"/>
    <col min="2562" max="2562" width="8.7109375" style="142" customWidth="1"/>
    <col min="2563" max="2563" width="5.5703125" style="142" customWidth="1"/>
    <col min="2564" max="2564" width="11.42578125" style="142" customWidth="1"/>
    <col min="2565" max="2565" width="12" style="142" customWidth="1"/>
    <col min="2566" max="2566" width="11.7109375" style="142" customWidth="1"/>
    <col min="2567" max="2567" width="12.5703125" style="142" customWidth="1"/>
    <col min="2568" max="2568" width="11.7109375" style="142" customWidth="1"/>
    <col min="2569" max="2569" width="11" style="142" customWidth="1"/>
    <col min="2570" max="2592" width="8.85546875" style="142" customWidth="1"/>
    <col min="2593" max="2816" width="9.140625" style="142"/>
    <col min="2817" max="2817" width="4.28515625" style="142" customWidth="1"/>
    <col min="2818" max="2818" width="8.7109375" style="142" customWidth="1"/>
    <col min="2819" max="2819" width="5.5703125" style="142" customWidth="1"/>
    <col min="2820" max="2820" width="11.42578125" style="142" customWidth="1"/>
    <col min="2821" max="2821" width="12" style="142" customWidth="1"/>
    <col min="2822" max="2822" width="11.7109375" style="142" customWidth="1"/>
    <col min="2823" max="2823" width="12.5703125" style="142" customWidth="1"/>
    <col min="2824" max="2824" width="11.7109375" style="142" customWidth="1"/>
    <col min="2825" max="2825" width="11" style="142" customWidth="1"/>
    <col min="2826" max="2848" width="8.85546875" style="142" customWidth="1"/>
    <col min="2849" max="3072" width="9.140625" style="142"/>
    <col min="3073" max="3073" width="4.28515625" style="142" customWidth="1"/>
    <col min="3074" max="3074" width="8.7109375" style="142" customWidth="1"/>
    <col min="3075" max="3075" width="5.5703125" style="142" customWidth="1"/>
    <col min="3076" max="3076" width="11.42578125" style="142" customWidth="1"/>
    <col min="3077" max="3077" width="12" style="142" customWidth="1"/>
    <col min="3078" max="3078" width="11.7109375" style="142" customWidth="1"/>
    <col min="3079" max="3079" width="12.5703125" style="142" customWidth="1"/>
    <col min="3080" max="3080" width="11.7109375" style="142" customWidth="1"/>
    <col min="3081" max="3081" width="11" style="142" customWidth="1"/>
    <col min="3082" max="3104" width="8.85546875" style="142" customWidth="1"/>
    <col min="3105" max="3328" width="9.140625" style="142"/>
    <col min="3329" max="3329" width="4.28515625" style="142" customWidth="1"/>
    <col min="3330" max="3330" width="8.7109375" style="142" customWidth="1"/>
    <col min="3331" max="3331" width="5.5703125" style="142" customWidth="1"/>
    <col min="3332" max="3332" width="11.42578125" style="142" customWidth="1"/>
    <col min="3333" max="3333" width="12" style="142" customWidth="1"/>
    <col min="3334" max="3334" width="11.7109375" style="142" customWidth="1"/>
    <col min="3335" max="3335" width="12.5703125" style="142" customWidth="1"/>
    <col min="3336" max="3336" width="11.7109375" style="142" customWidth="1"/>
    <col min="3337" max="3337" width="11" style="142" customWidth="1"/>
    <col min="3338" max="3360" width="8.85546875" style="142" customWidth="1"/>
    <col min="3361" max="3584" width="9.140625" style="142"/>
    <col min="3585" max="3585" width="4.28515625" style="142" customWidth="1"/>
    <col min="3586" max="3586" width="8.7109375" style="142" customWidth="1"/>
    <col min="3587" max="3587" width="5.5703125" style="142" customWidth="1"/>
    <col min="3588" max="3588" width="11.42578125" style="142" customWidth="1"/>
    <col min="3589" max="3589" width="12" style="142" customWidth="1"/>
    <col min="3590" max="3590" width="11.7109375" style="142" customWidth="1"/>
    <col min="3591" max="3591" width="12.5703125" style="142" customWidth="1"/>
    <col min="3592" max="3592" width="11.7109375" style="142" customWidth="1"/>
    <col min="3593" max="3593" width="11" style="142" customWidth="1"/>
    <col min="3594" max="3616" width="8.85546875" style="142" customWidth="1"/>
    <col min="3617" max="3840" width="9.140625" style="142"/>
    <col min="3841" max="3841" width="4.28515625" style="142" customWidth="1"/>
    <col min="3842" max="3842" width="8.7109375" style="142" customWidth="1"/>
    <col min="3843" max="3843" width="5.5703125" style="142" customWidth="1"/>
    <col min="3844" max="3844" width="11.42578125" style="142" customWidth="1"/>
    <col min="3845" max="3845" width="12" style="142" customWidth="1"/>
    <col min="3846" max="3846" width="11.7109375" style="142" customWidth="1"/>
    <col min="3847" max="3847" width="12.5703125" style="142" customWidth="1"/>
    <col min="3848" max="3848" width="11.7109375" style="142" customWidth="1"/>
    <col min="3849" max="3849" width="11" style="142" customWidth="1"/>
    <col min="3850" max="3872" width="8.85546875" style="142" customWidth="1"/>
    <col min="3873" max="4096" width="9.140625" style="142"/>
    <col min="4097" max="4097" width="4.28515625" style="142" customWidth="1"/>
    <col min="4098" max="4098" width="8.7109375" style="142" customWidth="1"/>
    <col min="4099" max="4099" width="5.5703125" style="142" customWidth="1"/>
    <col min="4100" max="4100" width="11.42578125" style="142" customWidth="1"/>
    <col min="4101" max="4101" width="12" style="142" customWidth="1"/>
    <col min="4102" max="4102" width="11.7109375" style="142" customWidth="1"/>
    <col min="4103" max="4103" width="12.5703125" style="142" customWidth="1"/>
    <col min="4104" max="4104" width="11.7109375" style="142" customWidth="1"/>
    <col min="4105" max="4105" width="11" style="142" customWidth="1"/>
    <col min="4106" max="4128" width="8.85546875" style="142" customWidth="1"/>
    <col min="4129" max="4352" width="9.140625" style="142"/>
    <col min="4353" max="4353" width="4.28515625" style="142" customWidth="1"/>
    <col min="4354" max="4354" width="8.7109375" style="142" customWidth="1"/>
    <col min="4355" max="4355" width="5.5703125" style="142" customWidth="1"/>
    <col min="4356" max="4356" width="11.42578125" style="142" customWidth="1"/>
    <col min="4357" max="4357" width="12" style="142" customWidth="1"/>
    <col min="4358" max="4358" width="11.7109375" style="142" customWidth="1"/>
    <col min="4359" max="4359" width="12.5703125" style="142" customWidth="1"/>
    <col min="4360" max="4360" width="11.7109375" style="142" customWidth="1"/>
    <col min="4361" max="4361" width="11" style="142" customWidth="1"/>
    <col min="4362" max="4384" width="8.85546875" style="142" customWidth="1"/>
    <col min="4385" max="4608" width="9.140625" style="142"/>
    <col min="4609" max="4609" width="4.28515625" style="142" customWidth="1"/>
    <col min="4610" max="4610" width="8.7109375" style="142" customWidth="1"/>
    <col min="4611" max="4611" width="5.5703125" style="142" customWidth="1"/>
    <col min="4612" max="4612" width="11.42578125" style="142" customWidth="1"/>
    <col min="4613" max="4613" width="12" style="142" customWidth="1"/>
    <col min="4614" max="4614" width="11.7109375" style="142" customWidth="1"/>
    <col min="4615" max="4615" width="12.5703125" style="142" customWidth="1"/>
    <col min="4616" max="4616" width="11.7109375" style="142" customWidth="1"/>
    <col min="4617" max="4617" width="11" style="142" customWidth="1"/>
    <col min="4618" max="4640" width="8.85546875" style="142" customWidth="1"/>
    <col min="4641" max="4864" width="9.140625" style="142"/>
    <col min="4865" max="4865" width="4.28515625" style="142" customWidth="1"/>
    <col min="4866" max="4866" width="8.7109375" style="142" customWidth="1"/>
    <col min="4867" max="4867" width="5.5703125" style="142" customWidth="1"/>
    <col min="4868" max="4868" width="11.42578125" style="142" customWidth="1"/>
    <col min="4869" max="4869" width="12" style="142" customWidth="1"/>
    <col min="4870" max="4870" width="11.7109375" style="142" customWidth="1"/>
    <col min="4871" max="4871" width="12.5703125" style="142" customWidth="1"/>
    <col min="4872" max="4872" width="11.7109375" style="142" customWidth="1"/>
    <col min="4873" max="4873" width="11" style="142" customWidth="1"/>
    <col min="4874" max="4896" width="8.85546875" style="142" customWidth="1"/>
    <col min="4897" max="5120" width="9.140625" style="142"/>
    <col min="5121" max="5121" width="4.28515625" style="142" customWidth="1"/>
    <col min="5122" max="5122" width="8.7109375" style="142" customWidth="1"/>
    <col min="5123" max="5123" width="5.5703125" style="142" customWidth="1"/>
    <col min="5124" max="5124" width="11.42578125" style="142" customWidth="1"/>
    <col min="5125" max="5125" width="12" style="142" customWidth="1"/>
    <col min="5126" max="5126" width="11.7109375" style="142" customWidth="1"/>
    <col min="5127" max="5127" width="12.5703125" style="142" customWidth="1"/>
    <col min="5128" max="5128" width="11.7109375" style="142" customWidth="1"/>
    <col min="5129" max="5129" width="11" style="142" customWidth="1"/>
    <col min="5130" max="5152" width="8.85546875" style="142" customWidth="1"/>
    <col min="5153" max="5376" width="9.140625" style="142"/>
    <col min="5377" max="5377" width="4.28515625" style="142" customWidth="1"/>
    <col min="5378" max="5378" width="8.7109375" style="142" customWidth="1"/>
    <col min="5379" max="5379" width="5.5703125" style="142" customWidth="1"/>
    <col min="5380" max="5380" width="11.42578125" style="142" customWidth="1"/>
    <col min="5381" max="5381" width="12" style="142" customWidth="1"/>
    <col min="5382" max="5382" width="11.7109375" style="142" customWidth="1"/>
    <col min="5383" max="5383" width="12.5703125" style="142" customWidth="1"/>
    <col min="5384" max="5384" width="11.7109375" style="142" customWidth="1"/>
    <col min="5385" max="5385" width="11" style="142" customWidth="1"/>
    <col min="5386" max="5408" width="8.85546875" style="142" customWidth="1"/>
    <col min="5409" max="5632" width="9.140625" style="142"/>
    <col min="5633" max="5633" width="4.28515625" style="142" customWidth="1"/>
    <col min="5634" max="5634" width="8.7109375" style="142" customWidth="1"/>
    <col min="5635" max="5635" width="5.5703125" style="142" customWidth="1"/>
    <col min="5636" max="5636" width="11.42578125" style="142" customWidth="1"/>
    <col min="5637" max="5637" width="12" style="142" customWidth="1"/>
    <col min="5638" max="5638" width="11.7109375" style="142" customWidth="1"/>
    <col min="5639" max="5639" width="12.5703125" style="142" customWidth="1"/>
    <col min="5640" max="5640" width="11.7109375" style="142" customWidth="1"/>
    <col min="5641" max="5641" width="11" style="142" customWidth="1"/>
    <col min="5642" max="5664" width="8.85546875" style="142" customWidth="1"/>
    <col min="5665" max="5888" width="9.140625" style="142"/>
    <col min="5889" max="5889" width="4.28515625" style="142" customWidth="1"/>
    <col min="5890" max="5890" width="8.7109375" style="142" customWidth="1"/>
    <col min="5891" max="5891" width="5.5703125" style="142" customWidth="1"/>
    <col min="5892" max="5892" width="11.42578125" style="142" customWidth="1"/>
    <col min="5893" max="5893" width="12" style="142" customWidth="1"/>
    <col min="5894" max="5894" width="11.7109375" style="142" customWidth="1"/>
    <col min="5895" max="5895" width="12.5703125" style="142" customWidth="1"/>
    <col min="5896" max="5896" width="11.7109375" style="142" customWidth="1"/>
    <col min="5897" max="5897" width="11" style="142" customWidth="1"/>
    <col min="5898" max="5920" width="8.85546875" style="142" customWidth="1"/>
    <col min="5921" max="6144" width="9.140625" style="142"/>
    <col min="6145" max="6145" width="4.28515625" style="142" customWidth="1"/>
    <col min="6146" max="6146" width="8.7109375" style="142" customWidth="1"/>
    <col min="6147" max="6147" width="5.5703125" style="142" customWidth="1"/>
    <col min="6148" max="6148" width="11.42578125" style="142" customWidth="1"/>
    <col min="6149" max="6149" width="12" style="142" customWidth="1"/>
    <col min="6150" max="6150" width="11.7109375" style="142" customWidth="1"/>
    <col min="6151" max="6151" width="12.5703125" style="142" customWidth="1"/>
    <col min="6152" max="6152" width="11.7109375" style="142" customWidth="1"/>
    <col min="6153" max="6153" width="11" style="142" customWidth="1"/>
    <col min="6154" max="6176" width="8.85546875" style="142" customWidth="1"/>
    <col min="6177" max="6400" width="9.140625" style="142"/>
    <col min="6401" max="6401" width="4.28515625" style="142" customWidth="1"/>
    <col min="6402" max="6402" width="8.7109375" style="142" customWidth="1"/>
    <col min="6403" max="6403" width="5.5703125" style="142" customWidth="1"/>
    <col min="6404" max="6404" width="11.42578125" style="142" customWidth="1"/>
    <col min="6405" max="6405" width="12" style="142" customWidth="1"/>
    <col min="6406" max="6406" width="11.7109375" style="142" customWidth="1"/>
    <col min="6407" max="6407" width="12.5703125" style="142" customWidth="1"/>
    <col min="6408" max="6408" width="11.7109375" style="142" customWidth="1"/>
    <col min="6409" max="6409" width="11" style="142" customWidth="1"/>
    <col min="6410" max="6432" width="8.85546875" style="142" customWidth="1"/>
    <col min="6433" max="6656" width="9.140625" style="142"/>
    <col min="6657" max="6657" width="4.28515625" style="142" customWidth="1"/>
    <col min="6658" max="6658" width="8.7109375" style="142" customWidth="1"/>
    <col min="6659" max="6659" width="5.5703125" style="142" customWidth="1"/>
    <col min="6660" max="6660" width="11.42578125" style="142" customWidth="1"/>
    <col min="6661" max="6661" width="12" style="142" customWidth="1"/>
    <col min="6662" max="6662" width="11.7109375" style="142" customWidth="1"/>
    <col min="6663" max="6663" width="12.5703125" style="142" customWidth="1"/>
    <col min="6664" max="6664" width="11.7109375" style="142" customWidth="1"/>
    <col min="6665" max="6665" width="11" style="142" customWidth="1"/>
    <col min="6666" max="6688" width="8.85546875" style="142" customWidth="1"/>
    <col min="6689" max="6912" width="9.140625" style="142"/>
    <col min="6913" max="6913" width="4.28515625" style="142" customWidth="1"/>
    <col min="6914" max="6914" width="8.7109375" style="142" customWidth="1"/>
    <col min="6915" max="6915" width="5.5703125" style="142" customWidth="1"/>
    <col min="6916" max="6916" width="11.42578125" style="142" customWidth="1"/>
    <col min="6917" max="6917" width="12" style="142" customWidth="1"/>
    <col min="6918" max="6918" width="11.7109375" style="142" customWidth="1"/>
    <col min="6919" max="6919" width="12.5703125" style="142" customWidth="1"/>
    <col min="6920" max="6920" width="11.7109375" style="142" customWidth="1"/>
    <col min="6921" max="6921" width="11" style="142" customWidth="1"/>
    <col min="6922" max="6944" width="8.85546875" style="142" customWidth="1"/>
    <col min="6945" max="7168" width="9.140625" style="142"/>
    <col min="7169" max="7169" width="4.28515625" style="142" customWidth="1"/>
    <col min="7170" max="7170" width="8.7109375" style="142" customWidth="1"/>
    <col min="7171" max="7171" width="5.5703125" style="142" customWidth="1"/>
    <col min="7172" max="7172" width="11.42578125" style="142" customWidth="1"/>
    <col min="7173" max="7173" width="12" style="142" customWidth="1"/>
    <col min="7174" max="7174" width="11.7109375" style="142" customWidth="1"/>
    <col min="7175" max="7175" width="12.5703125" style="142" customWidth="1"/>
    <col min="7176" max="7176" width="11.7109375" style="142" customWidth="1"/>
    <col min="7177" max="7177" width="11" style="142" customWidth="1"/>
    <col min="7178" max="7200" width="8.85546875" style="142" customWidth="1"/>
    <col min="7201" max="7424" width="9.140625" style="142"/>
    <col min="7425" max="7425" width="4.28515625" style="142" customWidth="1"/>
    <col min="7426" max="7426" width="8.7109375" style="142" customWidth="1"/>
    <col min="7427" max="7427" width="5.5703125" style="142" customWidth="1"/>
    <col min="7428" max="7428" width="11.42578125" style="142" customWidth="1"/>
    <col min="7429" max="7429" width="12" style="142" customWidth="1"/>
    <col min="7430" max="7430" width="11.7109375" style="142" customWidth="1"/>
    <col min="7431" max="7431" width="12.5703125" style="142" customWidth="1"/>
    <col min="7432" max="7432" width="11.7109375" style="142" customWidth="1"/>
    <col min="7433" max="7433" width="11" style="142" customWidth="1"/>
    <col min="7434" max="7456" width="8.85546875" style="142" customWidth="1"/>
    <col min="7457" max="7680" width="9.140625" style="142"/>
    <col min="7681" max="7681" width="4.28515625" style="142" customWidth="1"/>
    <col min="7682" max="7682" width="8.7109375" style="142" customWidth="1"/>
    <col min="7683" max="7683" width="5.5703125" style="142" customWidth="1"/>
    <col min="7684" max="7684" width="11.42578125" style="142" customWidth="1"/>
    <col min="7685" max="7685" width="12" style="142" customWidth="1"/>
    <col min="7686" max="7686" width="11.7109375" style="142" customWidth="1"/>
    <col min="7687" max="7687" width="12.5703125" style="142" customWidth="1"/>
    <col min="7688" max="7688" width="11.7109375" style="142" customWidth="1"/>
    <col min="7689" max="7689" width="11" style="142" customWidth="1"/>
    <col min="7690" max="7712" width="8.85546875" style="142" customWidth="1"/>
    <col min="7713" max="7936" width="9.140625" style="142"/>
    <col min="7937" max="7937" width="4.28515625" style="142" customWidth="1"/>
    <col min="7938" max="7938" width="8.7109375" style="142" customWidth="1"/>
    <col min="7939" max="7939" width="5.5703125" style="142" customWidth="1"/>
    <col min="7940" max="7940" width="11.42578125" style="142" customWidth="1"/>
    <col min="7941" max="7941" width="12" style="142" customWidth="1"/>
    <col min="7942" max="7942" width="11.7109375" style="142" customWidth="1"/>
    <col min="7943" max="7943" width="12.5703125" style="142" customWidth="1"/>
    <col min="7944" max="7944" width="11.7109375" style="142" customWidth="1"/>
    <col min="7945" max="7945" width="11" style="142" customWidth="1"/>
    <col min="7946" max="7968" width="8.85546875" style="142" customWidth="1"/>
    <col min="7969" max="8192" width="9.140625" style="142"/>
    <col min="8193" max="8193" width="4.28515625" style="142" customWidth="1"/>
    <col min="8194" max="8194" width="8.7109375" style="142" customWidth="1"/>
    <col min="8195" max="8195" width="5.5703125" style="142" customWidth="1"/>
    <col min="8196" max="8196" width="11.42578125" style="142" customWidth="1"/>
    <col min="8197" max="8197" width="12" style="142" customWidth="1"/>
    <col min="8198" max="8198" width="11.7109375" style="142" customWidth="1"/>
    <col min="8199" max="8199" width="12.5703125" style="142" customWidth="1"/>
    <col min="8200" max="8200" width="11.7109375" style="142" customWidth="1"/>
    <col min="8201" max="8201" width="11" style="142" customWidth="1"/>
    <col min="8202" max="8224" width="8.85546875" style="142" customWidth="1"/>
    <col min="8225" max="8448" width="9.140625" style="142"/>
    <col min="8449" max="8449" width="4.28515625" style="142" customWidth="1"/>
    <col min="8450" max="8450" width="8.7109375" style="142" customWidth="1"/>
    <col min="8451" max="8451" width="5.5703125" style="142" customWidth="1"/>
    <col min="8452" max="8452" width="11.42578125" style="142" customWidth="1"/>
    <col min="8453" max="8453" width="12" style="142" customWidth="1"/>
    <col min="8454" max="8454" width="11.7109375" style="142" customWidth="1"/>
    <col min="8455" max="8455" width="12.5703125" style="142" customWidth="1"/>
    <col min="8456" max="8456" width="11.7109375" style="142" customWidth="1"/>
    <col min="8457" max="8457" width="11" style="142" customWidth="1"/>
    <col min="8458" max="8480" width="8.85546875" style="142" customWidth="1"/>
    <col min="8481" max="8704" width="9.140625" style="142"/>
    <col min="8705" max="8705" width="4.28515625" style="142" customWidth="1"/>
    <col min="8706" max="8706" width="8.7109375" style="142" customWidth="1"/>
    <col min="8707" max="8707" width="5.5703125" style="142" customWidth="1"/>
    <col min="8708" max="8708" width="11.42578125" style="142" customWidth="1"/>
    <col min="8709" max="8709" width="12" style="142" customWidth="1"/>
    <col min="8710" max="8710" width="11.7109375" style="142" customWidth="1"/>
    <col min="8711" max="8711" width="12.5703125" style="142" customWidth="1"/>
    <col min="8712" max="8712" width="11.7109375" style="142" customWidth="1"/>
    <col min="8713" max="8713" width="11" style="142" customWidth="1"/>
    <col min="8714" max="8736" width="8.85546875" style="142" customWidth="1"/>
    <col min="8737" max="8960" width="9.140625" style="142"/>
    <col min="8961" max="8961" width="4.28515625" style="142" customWidth="1"/>
    <col min="8962" max="8962" width="8.7109375" style="142" customWidth="1"/>
    <col min="8963" max="8963" width="5.5703125" style="142" customWidth="1"/>
    <col min="8964" max="8964" width="11.42578125" style="142" customWidth="1"/>
    <col min="8965" max="8965" width="12" style="142" customWidth="1"/>
    <col min="8966" max="8966" width="11.7109375" style="142" customWidth="1"/>
    <col min="8967" max="8967" width="12.5703125" style="142" customWidth="1"/>
    <col min="8968" max="8968" width="11.7109375" style="142" customWidth="1"/>
    <col min="8969" max="8969" width="11" style="142" customWidth="1"/>
    <col min="8970" max="8992" width="8.85546875" style="142" customWidth="1"/>
    <col min="8993" max="9216" width="9.140625" style="142"/>
    <col min="9217" max="9217" width="4.28515625" style="142" customWidth="1"/>
    <col min="9218" max="9218" width="8.7109375" style="142" customWidth="1"/>
    <col min="9219" max="9219" width="5.5703125" style="142" customWidth="1"/>
    <col min="9220" max="9220" width="11.42578125" style="142" customWidth="1"/>
    <col min="9221" max="9221" width="12" style="142" customWidth="1"/>
    <col min="9222" max="9222" width="11.7109375" style="142" customWidth="1"/>
    <col min="9223" max="9223" width="12.5703125" style="142" customWidth="1"/>
    <col min="9224" max="9224" width="11.7109375" style="142" customWidth="1"/>
    <col min="9225" max="9225" width="11" style="142" customWidth="1"/>
    <col min="9226" max="9248" width="8.85546875" style="142" customWidth="1"/>
    <col min="9249" max="9472" width="9.140625" style="142"/>
    <col min="9473" max="9473" width="4.28515625" style="142" customWidth="1"/>
    <col min="9474" max="9474" width="8.7109375" style="142" customWidth="1"/>
    <col min="9475" max="9475" width="5.5703125" style="142" customWidth="1"/>
    <col min="9476" max="9476" width="11.42578125" style="142" customWidth="1"/>
    <col min="9477" max="9477" width="12" style="142" customWidth="1"/>
    <col min="9478" max="9478" width="11.7109375" style="142" customWidth="1"/>
    <col min="9479" max="9479" width="12.5703125" style="142" customWidth="1"/>
    <col min="9480" max="9480" width="11.7109375" style="142" customWidth="1"/>
    <col min="9481" max="9481" width="11" style="142" customWidth="1"/>
    <col min="9482" max="9504" width="8.85546875" style="142" customWidth="1"/>
    <col min="9505" max="9728" width="9.140625" style="142"/>
    <col min="9729" max="9729" width="4.28515625" style="142" customWidth="1"/>
    <col min="9730" max="9730" width="8.7109375" style="142" customWidth="1"/>
    <col min="9731" max="9731" width="5.5703125" style="142" customWidth="1"/>
    <col min="9732" max="9732" width="11.42578125" style="142" customWidth="1"/>
    <col min="9733" max="9733" width="12" style="142" customWidth="1"/>
    <col min="9734" max="9734" width="11.7109375" style="142" customWidth="1"/>
    <col min="9735" max="9735" width="12.5703125" style="142" customWidth="1"/>
    <col min="9736" max="9736" width="11.7109375" style="142" customWidth="1"/>
    <col min="9737" max="9737" width="11" style="142" customWidth="1"/>
    <col min="9738" max="9760" width="8.85546875" style="142" customWidth="1"/>
    <col min="9761" max="9984" width="9.140625" style="142"/>
    <col min="9985" max="9985" width="4.28515625" style="142" customWidth="1"/>
    <col min="9986" max="9986" width="8.7109375" style="142" customWidth="1"/>
    <col min="9987" max="9987" width="5.5703125" style="142" customWidth="1"/>
    <col min="9988" max="9988" width="11.42578125" style="142" customWidth="1"/>
    <col min="9989" max="9989" width="12" style="142" customWidth="1"/>
    <col min="9990" max="9990" width="11.7109375" style="142" customWidth="1"/>
    <col min="9991" max="9991" width="12.5703125" style="142" customWidth="1"/>
    <col min="9992" max="9992" width="11.7109375" style="142" customWidth="1"/>
    <col min="9993" max="9993" width="11" style="142" customWidth="1"/>
    <col min="9994" max="10016" width="8.85546875" style="142" customWidth="1"/>
    <col min="10017" max="10240" width="9.140625" style="142"/>
    <col min="10241" max="10241" width="4.28515625" style="142" customWidth="1"/>
    <col min="10242" max="10242" width="8.7109375" style="142" customWidth="1"/>
    <col min="10243" max="10243" width="5.5703125" style="142" customWidth="1"/>
    <col min="10244" max="10244" width="11.42578125" style="142" customWidth="1"/>
    <col min="10245" max="10245" width="12" style="142" customWidth="1"/>
    <col min="10246" max="10246" width="11.7109375" style="142" customWidth="1"/>
    <col min="10247" max="10247" width="12.5703125" style="142" customWidth="1"/>
    <col min="10248" max="10248" width="11.7109375" style="142" customWidth="1"/>
    <col min="10249" max="10249" width="11" style="142" customWidth="1"/>
    <col min="10250" max="10272" width="8.85546875" style="142" customWidth="1"/>
    <col min="10273" max="10496" width="9.140625" style="142"/>
    <col min="10497" max="10497" width="4.28515625" style="142" customWidth="1"/>
    <col min="10498" max="10498" width="8.7109375" style="142" customWidth="1"/>
    <col min="10499" max="10499" width="5.5703125" style="142" customWidth="1"/>
    <col min="10500" max="10500" width="11.42578125" style="142" customWidth="1"/>
    <col min="10501" max="10501" width="12" style="142" customWidth="1"/>
    <col min="10502" max="10502" width="11.7109375" style="142" customWidth="1"/>
    <col min="10503" max="10503" width="12.5703125" style="142" customWidth="1"/>
    <col min="10504" max="10504" width="11.7109375" style="142" customWidth="1"/>
    <col min="10505" max="10505" width="11" style="142" customWidth="1"/>
    <col min="10506" max="10528" width="8.85546875" style="142" customWidth="1"/>
    <col min="10529" max="10752" width="9.140625" style="142"/>
    <col min="10753" max="10753" width="4.28515625" style="142" customWidth="1"/>
    <col min="10754" max="10754" width="8.7109375" style="142" customWidth="1"/>
    <col min="10755" max="10755" width="5.5703125" style="142" customWidth="1"/>
    <col min="10756" max="10756" width="11.42578125" style="142" customWidth="1"/>
    <col min="10757" max="10757" width="12" style="142" customWidth="1"/>
    <col min="10758" max="10758" width="11.7109375" style="142" customWidth="1"/>
    <col min="10759" max="10759" width="12.5703125" style="142" customWidth="1"/>
    <col min="10760" max="10760" width="11.7109375" style="142" customWidth="1"/>
    <col min="10761" max="10761" width="11" style="142" customWidth="1"/>
    <col min="10762" max="10784" width="8.85546875" style="142" customWidth="1"/>
    <col min="10785" max="11008" width="9.140625" style="142"/>
    <col min="11009" max="11009" width="4.28515625" style="142" customWidth="1"/>
    <col min="11010" max="11010" width="8.7109375" style="142" customWidth="1"/>
    <col min="11011" max="11011" width="5.5703125" style="142" customWidth="1"/>
    <col min="11012" max="11012" width="11.42578125" style="142" customWidth="1"/>
    <col min="11013" max="11013" width="12" style="142" customWidth="1"/>
    <col min="11014" max="11014" width="11.7109375" style="142" customWidth="1"/>
    <col min="11015" max="11015" width="12.5703125" style="142" customWidth="1"/>
    <col min="11016" max="11016" width="11.7109375" style="142" customWidth="1"/>
    <col min="11017" max="11017" width="11" style="142" customWidth="1"/>
    <col min="11018" max="11040" width="8.85546875" style="142" customWidth="1"/>
    <col min="11041" max="11264" width="9.140625" style="142"/>
    <col min="11265" max="11265" width="4.28515625" style="142" customWidth="1"/>
    <col min="11266" max="11266" width="8.7109375" style="142" customWidth="1"/>
    <col min="11267" max="11267" width="5.5703125" style="142" customWidth="1"/>
    <col min="11268" max="11268" width="11.42578125" style="142" customWidth="1"/>
    <col min="11269" max="11269" width="12" style="142" customWidth="1"/>
    <col min="11270" max="11270" width="11.7109375" style="142" customWidth="1"/>
    <col min="11271" max="11271" width="12.5703125" style="142" customWidth="1"/>
    <col min="11272" max="11272" width="11.7109375" style="142" customWidth="1"/>
    <col min="11273" max="11273" width="11" style="142" customWidth="1"/>
    <col min="11274" max="11296" width="8.85546875" style="142" customWidth="1"/>
    <col min="11297" max="11520" width="9.140625" style="142"/>
    <col min="11521" max="11521" width="4.28515625" style="142" customWidth="1"/>
    <col min="11522" max="11522" width="8.7109375" style="142" customWidth="1"/>
    <col min="11523" max="11523" width="5.5703125" style="142" customWidth="1"/>
    <col min="11524" max="11524" width="11.42578125" style="142" customWidth="1"/>
    <col min="11525" max="11525" width="12" style="142" customWidth="1"/>
    <col min="11526" max="11526" width="11.7109375" style="142" customWidth="1"/>
    <col min="11527" max="11527" width="12.5703125" style="142" customWidth="1"/>
    <col min="11528" max="11528" width="11.7109375" style="142" customWidth="1"/>
    <col min="11529" max="11529" width="11" style="142" customWidth="1"/>
    <col min="11530" max="11552" width="8.85546875" style="142" customWidth="1"/>
    <col min="11553" max="11776" width="9.140625" style="142"/>
    <col min="11777" max="11777" width="4.28515625" style="142" customWidth="1"/>
    <col min="11778" max="11778" width="8.7109375" style="142" customWidth="1"/>
    <col min="11779" max="11779" width="5.5703125" style="142" customWidth="1"/>
    <col min="11780" max="11780" width="11.42578125" style="142" customWidth="1"/>
    <col min="11781" max="11781" width="12" style="142" customWidth="1"/>
    <col min="11782" max="11782" width="11.7109375" style="142" customWidth="1"/>
    <col min="11783" max="11783" width="12.5703125" style="142" customWidth="1"/>
    <col min="11784" max="11784" width="11.7109375" style="142" customWidth="1"/>
    <col min="11785" max="11785" width="11" style="142" customWidth="1"/>
    <col min="11786" max="11808" width="8.85546875" style="142" customWidth="1"/>
    <col min="11809" max="12032" width="9.140625" style="142"/>
    <col min="12033" max="12033" width="4.28515625" style="142" customWidth="1"/>
    <col min="12034" max="12034" width="8.7109375" style="142" customWidth="1"/>
    <col min="12035" max="12035" width="5.5703125" style="142" customWidth="1"/>
    <col min="12036" max="12036" width="11.42578125" style="142" customWidth="1"/>
    <col min="12037" max="12037" width="12" style="142" customWidth="1"/>
    <col min="12038" max="12038" width="11.7109375" style="142" customWidth="1"/>
    <col min="12039" max="12039" width="12.5703125" style="142" customWidth="1"/>
    <col min="12040" max="12040" width="11.7109375" style="142" customWidth="1"/>
    <col min="12041" max="12041" width="11" style="142" customWidth="1"/>
    <col min="12042" max="12064" width="8.85546875" style="142" customWidth="1"/>
    <col min="12065" max="12288" width="9.140625" style="142"/>
    <col min="12289" max="12289" width="4.28515625" style="142" customWidth="1"/>
    <col min="12290" max="12290" width="8.7109375" style="142" customWidth="1"/>
    <col min="12291" max="12291" width="5.5703125" style="142" customWidth="1"/>
    <col min="12292" max="12292" width="11.42578125" style="142" customWidth="1"/>
    <col min="12293" max="12293" width="12" style="142" customWidth="1"/>
    <col min="12294" max="12294" width="11.7109375" style="142" customWidth="1"/>
    <col min="12295" max="12295" width="12.5703125" style="142" customWidth="1"/>
    <col min="12296" max="12296" width="11.7109375" style="142" customWidth="1"/>
    <col min="12297" max="12297" width="11" style="142" customWidth="1"/>
    <col min="12298" max="12320" width="8.85546875" style="142" customWidth="1"/>
    <col min="12321" max="12544" width="9.140625" style="142"/>
    <col min="12545" max="12545" width="4.28515625" style="142" customWidth="1"/>
    <col min="12546" max="12546" width="8.7109375" style="142" customWidth="1"/>
    <col min="12547" max="12547" width="5.5703125" style="142" customWidth="1"/>
    <col min="12548" max="12548" width="11.42578125" style="142" customWidth="1"/>
    <col min="12549" max="12549" width="12" style="142" customWidth="1"/>
    <col min="12550" max="12550" width="11.7109375" style="142" customWidth="1"/>
    <col min="12551" max="12551" width="12.5703125" style="142" customWidth="1"/>
    <col min="12552" max="12552" width="11.7109375" style="142" customWidth="1"/>
    <col min="12553" max="12553" width="11" style="142" customWidth="1"/>
    <col min="12554" max="12576" width="8.85546875" style="142" customWidth="1"/>
    <col min="12577" max="12800" width="9.140625" style="142"/>
    <col min="12801" max="12801" width="4.28515625" style="142" customWidth="1"/>
    <col min="12802" max="12802" width="8.7109375" style="142" customWidth="1"/>
    <col min="12803" max="12803" width="5.5703125" style="142" customWidth="1"/>
    <col min="12804" max="12804" width="11.42578125" style="142" customWidth="1"/>
    <col min="12805" max="12805" width="12" style="142" customWidth="1"/>
    <col min="12806" max="12806" width="11.7109375" style="142" customWidth="1"/>
    <col min="12807" max="12807" width="12.5703125" style="142" customWidth="1"/>
    <col min="12808" max="12808" width="11.7109375" style="142" customWidth="1"/>
    <col min="12809" max="12809" width="11" style="142" customWidth="1"/>
    <col min="12810" max="12832" width="8.85546875" style="142" customWidth="1"/>
    <col min="12833" max="13056" width="9.140625" style="142"/>
    <col min="13057" max="13057" width="4.28515625" style="142" customWidth="1"/>
    <col min="13058" max="13058" width="8.7109375" style="142" customWidth="1"/>
    <col min="13059" max="13059" width="5.5703125" style="142" customWidth="1"/>
    <col min="13060" max="13060" width="11.42578125" style="142" customWidth="1"/>
    <col min="13061" max="13061" width="12" style="142" customWidth="1"/>
    <col min="13062" max="13062" width="11.7109375" style="142" customWidth="1"/>
    <col min="13063" max="13063" width="12.5703125" style="142" customWidth="1"/>
    <col min="13064" max="13064" width="11.7109375" style="142" customWidth="1"/>
    <col min="13065" max="13065" width="11" style="142" customWidth="1"/>
    <col min="13066" max="13088" width="8.85546875" style="142" customWidth="1"/>
    <col min="13089" max="13312" width="9.140625" style="142"/>
    <col min="13313" max="13313" width="4.28515625" style="142" customWidth="1"/>
    <col min="13314" max="13314" width="8.7109375" style="142" customWidth="1"/>
    <col min="13315" max="13315" width="5.5703125" style="142" customWidth="1"/>
    <col min="13316" max="13316" width="11.42578125" style="142" customWidth="1"/>
    <col min="13317" max="13317" width="12" style="142" customWidth="1"/>
    <col min="13318" max="13318" width="11.7109375" style="142" customWidth="1"/>
    <col min="13319" max="13319" width="12.5703125" style="142" customWidth="1"/>
    <col min="13320" max="13320" width="11.7109375" style="142" customWidth="1"/>
    <col min="13321" max="13321" width="11" style="142" customWidth="1"/>
    <col min="13322" max="13344" width="8.85546875" style="142" customWidth="1"/>
    <col min="13345" max="13568" width="9.140625" style="142"/>
    <col min="13569" max="13569" width="4.28515625" style="142" customWidth="1"/>
    <col min="13570" max="13570" width="8.7109375" style="142" customWidth="1"/>
    <col min="13571" max="13571" width="5.5703125" style="142" customWidth="1"/>
    <col min="13572" max="13572" width="11.42578125" style="142" customWidth="1"/>
    <col min="13573" max="13573" width="12" style="142" customWidth="1"/>
    <col min="13574" max="13574" width="11.7109375" style="142" customWidth="1"/>
    <col min="13575" max="13575" width="12.5703125" style="142" customWidth="1"/>
    <col min="13576" max="13576" width="11.7109375" style="142" customWidth="1"/>
    <col min="13577" max="13577" width="11" style="142" customWidth="1"/>
    <col min="13578" max="13600" width="8.85546875" style="142" customWidth="1"/>
    <col min="13601" max="13824" width="9.140625" style="142"/>
    <col min="13825" max="13825" width="4.28515625" style="142" customWidth="1"/>
    <col min="13826" max="13826" width="8.7109375" style="142" customWidth="1"/>
    <col min="13827" max="13827" width="5.5703125" style="142" customWidth="1"/>
    <col min="13828" max="13828" width="11.42578125" style="142" customWidth="1"/>
    <col min="13829" max="13829" width="12" style="142" customWidth="1"/>
    <col min="13830" max="13830" width="11.7109375" style="142" customWidth="1"/>
    <col min="13831" max="13831" width="12.5703125" style="142" customWidth="1"/>
    <col min="13832" max="13832" width="11.7109375" style="142" customWidth="1"/>
    <col min="13833" max="13833" width="11" style="142" customWidth="1"/>
    <col min="13834" max="13856" width="8.85546875" style="142" customWidth="1"/>
    <col min="13857" max="14080" width="9.140625" style="142"/>
    <col min="14081" max="14081" width="4.28515625" style="142" customWidth="1"/>
    <col min="14082" max="14082" width="8.7109375" style="142" customWidth="1"/>
    <col min="14083" max="14083" width="5.5703125" style="142" customWidth="1"/>
    <col min="14084" max="14084" width="11.42578125" style="142" customWidth="1"/>
    <col min="14085" max="14085" width="12" style="142" customWidth="1"/>
    <col min="14086" max="14086" width="11.7109375" style="142" customWidth="1"/>
    <col min="14087" max="14087" width="12.5703125" style="142" customWidth="1"/>
    <col min="14088" max="14088" width="11.7109375" style="142" customWidth="1"/>
    <col min="14089" max="14089" width="11" style="142" customWidth="1"/>
    <col min="14090" max="14112" width="8.85546875" style="142" customWidth="1"/>
    <col min="14113" max="14336" width="9.140625" style="142"/>
    <col min="14337" max="14337" width="4.28515625" style="142" customWidth="1"/>
    <col min="14338" max="14338" width="8.7109375" style="142" customWidth="1"/>
    <col min="14339" max="14339" width="5.5703125" style="142" customWidth="1"/>
    <col min="14340" max="14340" width="11.42578125" style="142" customWidth="1"/>
    <col min="14341" max="14341" width="12" style="142" customWidth="1"/>
    <col min="14342" max="14342" width="11.7109375" style="142" customWidth="1"/>
    <col min="14343" max="14343" width="12.5703125" style="142" customWidth="1"/>
    <col min="14344" max="14344" width="11.7109375" style="142" customWidth="1"/>
    <col min="14345" max="14345" width="11" style="142" customWidth="1"/>
    <col min="14346" max="14368" width="8.85546875" style="142" customWidth="1"/>
    <col min="14369" max="14592" width="9.140625" style="142"/>
    <col min="14593" max="14593" width="4.28515625" style="142" customWidth="1"/>
    <col min="14594" max="14594" width="8.7109375" style="142" customWidth="1"/>
    <col min="14595" max="14595" width="5.5703125" style="142" customWidth="1"/>
    <col min="14596" max="14596" width="11.42578125" style="142" customWidth="1"/>
    <col min="14597" max="14597" width="12" style="142" customWidth="1"/>
    <col min="14598" max="14598" width="11.7109375" style="142" customWidth="1"/>
    <col min="14599" max="14599" width="12.5703125" style="142" customWidth="1"/>
    <col min="14600" max="14600" width="11.7109375" style="142" customWidth="1"/>
    <col min="14601" max="14601" width="11" style="142" customWidth="1"/>
    <col min="14602" max="14624" width="8.85546875" style="142" customWidth="1"/>
    <col min="14625" max="14848" width="9.140625" style="142"/>
    <col min="14849" max="14849" width="4.28515625" style="142" customWidth="1"/>
    <col min="14850" max="14850" width="8.7109375" style="142" customWidth="1"/>
    <col min="14851" max="14851" width="5.5703125" style="142" customWidth="1"/>
    <col min="14852" max="14852" width="11.42578125" style="142" customWidth="1"/>
    <col min="14853" max="14853" width="12" style="142" customWidth="1"/>
    <col min="14854" max="14854" width="11.7109375" style="142" customWidth="1"/>
    <col min="14855" max="14855" width="12.5703125" style="142" customWidth="1"/>
    <col min="14856" max="14856" width="11.7109375" style="142" customWidth="1"/>
    <col min="14857" max="14857" width="11" style="142" customWidth="1"/>
    <col min="14858" max="14880" width="8.85546875" style="142" customWidth="1"/>
    <col min="14881" max="15104" width="9.140625" style="142"/>
    <col min="15105" max="15105" width="4.28515625" style="142" customWidth="1"/>
    <col min="15106" max="15106" width="8.7109375" style="142" customWidth="1"/>
    <col min="15107" max="15107" width="5.5703125" style="142" customWidth="1"/>
    <col min="15108" max="15108" width="11.42578125" style="142" customWidth="1"/>
    <col min="15109" max="15109" width="12" style="142" customWidth="1"/>
    <col min="15110" max="15110" width="11.7109375" style="142" customWidth="1"/>
    <col min="15111" max="15111" width="12.5703125" style="142" customWidth="1"/>
    <col min="15112" max="15112" width="11.7109375" style="142" customWidth="1"/>
    <col min="15113" max="15113" width="11" style="142" customWidth="1"/>
    <col min="15114" max="15136" width="8.85546875" style="142" customWidth="1"/>
    <col min="15137" max="15360" width="9.140625" style="142"/>
    <col min="15361" max="15361" width="4.28515625" style="142" customWidth="1"/>
    <col min="15362" max="15362" width="8.7109375" style="142" customWidth="1"/>
    <col min="15363" max="15363" width="5.5703125" style="142" customWidth="1"/>
    <col min="15364" max="15364" width="11.42578125" style="142" customWidth="1"/>
    <col min="15365" max="15365" width="12" style="142" customWidth="1"/>
    <col min="15366" max="15366" width="11.7109375" style="142" customWidth="1"/>
    <col min="15367" max="15367" width="12.5703125" style="142" customWidth="1"/>
    <col min="15368" max="15368" width="11.7109375" style="142" customWidth="1"/>
    <col min="15369" max="15369" width="11" style="142" customWidth="1"/>
    <col min="15370" max="15392" width="8.85546875" style="142" customWidth="1"/>
    <col min="15393" max="15616" width="9.140625" style="142"/>
    <col min="15617" max="15617" width="4.28515625" style="142" customWidth="1"/>
    <col min="15618" max="15618" width="8.7109375" style="142" customWidth="1"/>
    <col min="15619" max="15619" width="5.5703125" style="142" customWidth="1"/>
    <col min="15620" max="15620" width="11.42578125" style="142" customWidth="1"/>
    <col min="15621" max="15621" width="12" style="142" customWidth="1"/>
    <col min="15622" max="15622" width="11.7109375" style="142" customWidth="1"/>
    <col min="15623" max="15623" width="12.5703125" style="142" customWidth="1"/>
    <col min="15624" max="15624" width="11.7109375" style="142" customWidth="1"/>
    <col min="15625" max="15625" width="11" style="142" customWidth="1"/>
    <col min="15626" max="15648" width="8.85546875" style="142" customWidth="1"/>
    <col min="15649" max="15872" width="9.140625" style="142"/>
    <col min="15873" max="15873" width="4.28515625" style="142" customWidth="1"/>
    <col min="15874" max="15874" width="8.7109375" style="142" customWidth="1"/>
    <col min="15875" max="15875" width="5.5703125" style="142" customWidth="1"/>
    <col min="15876" max="15876" width="11.42578125" style="142" customWidth="1"/>
    <col min="15877" max="15877" width="12" style="142" customWidth="1"/>
    <col min="15878" max="15878" width="11.7109375" style="142" customWidth="1"/>
    <col min="15879" max="15879" width="12.5703125" style="142" customWidth="1"/>
    <col min="15880" max="15880" width="11.7109375" style="142" customWidth="1"/>
    <col min="15881" max="15881" width="11" style="142" customWidth="1"/>
    <col min="15882" max="15904" width="8.85546875" style="142" customWidth="1"/>
    <col min="15905" max="16128" width="9.140625" style="142"/>
    <col min="16129" max="16129" width="4.28515625" style="142" customWidth="1"/>
    <col min="16130" max="16130" width="8.7109375" style="142" customWidth="1"/>
    <col min="16131" max="16131" width="5.5703125" style="142" customWidth="1"/>
    <col min="16132" max="16132" width="11.42578125" style="142" customWidth="1"/>
    <col min="16133" max="16133" width="12" style="142" customWidth="1"/>
    <col min="16134" max="16134" width="11.7109375" style="142" customWidth="1"/>
    <col min="16135" max="16135" width="12.5703125" style="142" customWidth="1"/>
    <col min="16136" max="16136" width="11.7109375" style="142" customWidth="1"/>
    <col min="16137" max="16137" width="11" style="142" customWidth="1"/>
    <col min="16138" max="16160" width="8.85546875" style="142" customWidth="1"/>
    <col min="16161" max="16384" width="9.140625" style="142"/>
  </cols>
  <sheetData>
    <row r="1" spans="1:32" ht="12.75" x14ac:dyDescent="0.25">
      <c r="G1" s="143"/>
      <c r="H1" s="144" t="s">
        <v>187</v>
      </c>
    </row>
    <row r="2" spans="1:32" ht="12.75" x14ac:dyDescent="0.25">
      <c r="G2" s="143"/>
      <c r="H2" s="144" t="s">
        <v>185</v>
      </c>
    </row>
    <row r="3" spans="1:32" ht="12.75" x14ac:dyDescent="0.25">
      <c r="G3" s="143"/>
      <c r="H3" s="146" t="s">
        <v>1</v>
      </c>
    </row>
    <row r="4" spans="1:32" s="147" customFormat="1" ht="13.5" x14ac:dyDescent="0.25">
      <c r="G4" s="148"/>
      <c r="H4" s="144" t="s">
        <v>186</v>
      </c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</row>
    <row r="5" spans="1:32" s="147" customFormat="1" ht="13.5" x14ac:dyDescent="0.25"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</row>
    <row r="6" spans="1:32" s="147" customFormat="1" ht="13.5" x14ac:dyDescent="0.25"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</row>
    <row r="7" spans="1:32" s="147" customFormat="1" ht="35.25" customHeight="1" x14ac:dyDescent="0.25">
      <c r="A7" s="149" t="s">
        <v>188</v>
      </c>
      <c r="B7" s="149"/>
      <c r="C7" s="149"/>
      <c r="D7" s="149"/>
      <c r="E7" s="149"/>
      <c r="F7" s="149"/>
      <c r="G7" s="149"/>
      <c r="H7" s="149"/>
      <c r="I7" s="149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</row>
    <row r="8" spans="1:32" s="147" customFormat="1" ht="18" customHeight="1" x14ac:dyDescent="0.25">
      <c r="A8" s="150"/>
      <c r="B8" s="150"/>
      <c r="C8" s="150"/>
      <c r="D8" s="150"/>
      <c r="E8" s="150"/>
      <c r="F8" s="150"/>
      <c r="G8" s="150"/>
      <c r="H8" s="150"/>
      <c r="I8" s="150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</row>
    <row r="9" spans="1:32" s="147" customFormat="1" ht="13.5" customHeight="1" x14ac:dyDescent="0.25">
      <c r="H9" s="148"/>
      <c r="I9" s="151" t="s">
        <v>2</v>
      </c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</row>
    <row r="10" spans="1:32" s="147" customFormat="1" ht="13.5" customHeight="1" x14ac:dyDescent="0.25">
      <c r="A10" s="152"/>
      <c r="B10" s="152"/>
      <c r="C10" s="152"/>
      <c r="D10" s="153"/>
      <c r="E10" s="153"/>
      <c r="F10" s="154" t="s">
        <v>189</v>
      </c>
      <c r="G10" s="155"/>
      <c r="H10" s="155"/>
      <c r="I10" s="156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</row>
    <row r="11" spans="1:32" s="147" customFormat="1" ht="33.75" customHeight="1" x14ac:dyDescent="0.25">
      <c r="A11" s="157" t="s">
        <v>190</v>
      </c>
      <c r="B11" s="157" t="s">
        <v>20</v>
      </c>
      <c r="C11" s="157" t="s">
        <v>6</v>
      </c>
      <c r="D11" s="158" t="s">
        <v>191</v>
      </c>
      <c r="E11" s="158" t="s">
        <v>192</v>
      </c>
      <c r="F11" s="153"/>
      <c r="G11" s="154" t="s">
        <v>193</v>
      </c>
      <c r="H11" s="156"/>
      <c r="I11" s="153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</row>
    <row r="12" spans="1:32" s="147" customFormat="1" ht="39.75" customHeight="1" x14ac:dyDescent="0.25">
      <c r="A12" s="159"/>
      <c r="B12" s="159"/>
      <c r="C12" s="159"/>
      <c r="D12" s="159"/>
      <c r="E12" s="160"/>
      <c r="F12" s="161" t="s">
        <v>194</v>
      </c>
      <c r="G12" s="162" t="s">
        <v>195</v>
      </c>
      <c r="H12" s="162" t="s">
        <v>196</v>
      </c>
      <c r="I12" s="161" t="s">
        <v>197</v>
      </c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</row>
    <row r="13" spans="1:32" s="165" customFormat="1" ht="10.5" customHeight="1" x14ac:dyDescent="0.25">
      <c r="A13" s="163">
        <v>1</v>
      </c>
      <c r="B13" s="163">
        <v>2</v>
      </c>
      <c r="C13" s="163">
        <v>3</v>
      </c>
      <c r="D13" s="163">
        <v>4</v>
      </c>
      <c r="E13" s="163">
        <v>5</v>
      </c>
      <c r="F13" s="163">
        <v>6</v>
      </c>
      <c r="G13" s="163">
        <v>7</v>
      </c>
      <c r="H13" s="163">
        <v>8</v>
      </c>
      <c r="I13" s="163">
        <v>9</v>
      </c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</row>
    <row r="14" spans="1:32" s="147" customFormat="1" ht="20.25" customHeight="1" x14ac:dyDescent="0.25">
      <c r="A14" s="166">
        <v>710</v>
      </c>
      <c r="B14" s="166">
        <v>71035</v>
      </c>
      <c r="C14" s="166">
        <v>2020</v>
      </c>
      <c r="D14" s="167">
        <v>40000</v>
      </c>
      <c r="E14" s="167">
        <f>SUM(F14,I14)</f>
        <v>40000</v>
      </c>
      <c r="F14" s="167">
        <v>40000</v>
      </c>
      <c r="G14" s="167">
        <v>0</v>
      </c>
      <c r="H14" s="167">
        <v>0</v>
      </c>
      <c r="I14" s="167">
        <v>0</v>
      </c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</row>
    <row r="15" spans="1:32" s="147" customFormat="1" ht="20.25" customHeight="1" x14ac:dyDescent="0.25">
      <c r="A15" s="166">
        <v>752</v>
      </c>
      <c r="B15" s="166">
        <v>75224</v>
      </c>
      <c r="C15" s="168">
        <v>2120</v>
      </c>
      <c r="D15" s="169">
        <v>80000</v>
      </c>
      <c r="E15" s="167">
        <f>SUM(F15,I15)</f>
        <v>80000</v>
      </c>
      <c r="F15" s="167">
        <v>80000</v>
      </c>
      <c r="G15" s="167">
        <f>65000-17300+2000+300</f>
        <v>50000</v>
      </c>
      <c r="H15" s="167">
        <v>0</v>
      </c>
      <c r="I15" s="167">
        <v>0</v>
      </c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</row>
    <row r="16" spans="1:32" s="147" customFormat="1" ht="20.25" customHeight="1" x14ac:dyDescent="0.25">
      <c r="A16" s="166">
        <v>801</v>
      </c>
      <c r="B16" s="166">
        <v>80146</v>
      </c>
      <c r="C16" s="168">
        <v>2120</v>
      </c>
      <c r="D16" s="169">
        <v>700000</v>
      </c>
      <c r="E16" s="167">
        <f>SUM(F16,I16)</f>
        <v>700000</v>
      </c>
      <c r="F16" s="167">
        <v>700000</v>
      </c>
      <c r="G16" s="167">
        <f>667717-969</f>
        <v>666748</v>
      </c>
      <c r="H16" s="167">
        <v>0</v>
      </c>
      <c r="I16" s="167">
        <v>0</v>
      </c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</row>
    <row r="17" spans="1:9" s="148" customFormat="1" ht="20.25" customHeight="1" x14ac:dyDescent="0.25">
      <c r="A17" s="166">
        <v>801</v>
      </c>
      <c r="B17" s="166">
        <v>80195</v>
      </c>
      <c r="C17" s="168">
        <v>2120</v>
      </c>
      <c r="D17" s="169">
        <v>387860</v>
      </c>
      <c r="E17" s="167">
        <f>SUM(F17,I17)</f>
        <v>387860</v>
      </c>
      <c r="F17" s="167">
        <v>387860</v>
      </c>
      <c r="G17" s="167">
        <v>352600</v>
      </c>
      <c r="H17" s="167">
        <v>0</v>
      </c>
      <c r="I17" s="167">
        <v>0</v>
      </c>
    </row>
    <row r="18" spans="1:9" s="148" customFormat="1" ht="23.25" customHeight="1" x14ac:dyDescent="0.25">
      <c r="A18" s="515" t="s">
        <v>23</v>
      </c>
      <c r="B18" s="516"/>
      <c r="C18" s="517"/>
      <c r="D18" s="518">
        <f t="shared" ref="D18:I18" si="0">SUM(D14:D17)</f>
        <v>1207860</v>
      </c>
      <c r="E18" s="518">
        <f t="shared" si="0"/>
        <v>1207860</v>
      </c>
      <c r="F18" s="518">
        <f t="shared" si="0"/>
        <v>1207860</v>
      </c>
      <c r="G18" s="518">
        <f t="shared" si="0"/>
        <v>1069348</v>
      </c>
      <c r="H18" s="518">
        <f t="shared" si="0"/>
        <v>0</v>
      </c>
      <c r="I18" s="518">
        <f t="shared" si="0"/>
        <v>0</v>
      </c>
    </row>
  </sheetData>
  <mergeCells count="1">
    <mergeCell ref="A18:C18"/>
  </mergeCells>
  <pageMargins left="0.70866141732283472" right="0.70866141732283472" top="0.74803149606299213" bottom="0.74803149606299213" header="0.31496062992125984" footer="0.31496062992125984"/>
  <pageSetup paperSize="9" firstPageNumber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A05A-DF43-4D1D-BF84-74E39BB03CB9}">
  <sheetPr>
    <tabColor rgb="FFCC00CC"/>
    <pageSetUpPr fitToPage="1"/>
  </sheetPr>
  <dimension ref="A1:H52"/>
  <sheetViews>
    <sheetView zoomScale="130" zoomScaleNormal="130" workbookViewId="0">
      <selection activeCell="E26" sqref="E26"/>
    </sheetView>
  </sheetViews>
  <sheetFormatPr defaultRowHeight="13.5" x14ac:dyDescent="0.25"/>
  <cols>
    <col min="1" max="1" width="4" style="148" customWidth="1"/>
    <col min="2" max="2" width="5.28515625" style="148" customWidth="1"/>
    <col min="3" max="3" width="8.42578125" style="148" customWidth="1"/>
    <col min="4" max="4" width="8" style="224" customWidth="1"/>
    <col min="5" max="5" width="49.7109375" style="148" customWidth="1"/>
    <col min="6" max="6" width="23" style="148" customWidth="1"/>
    <col min="7" max="7" width="13" style="148" customWidth="1"/>
    <col min="8" max="8" width="10.7109375" style="148" customWidth="1"/>
    <col min="9" max="256" width="9.140625" style="148"/>
    <col min="257" max="257" width="4" style="148" customWidth="1"/>
    <col min="258" max="258" width="5.28515625" style="148" customWidth="1"/>
    <col min="259" max="259" width="8.42578125" style="148" customWidth="1"/>
    <col min="260" max="260" width="8" style="148" customWidth="1"/>
    <col min="261" max="261" width="49.7109375" style="148" customWidth="1"/>
    <col min="262" max="262" width="23" style="148" customWidth="1"/>
    <col min="263" max="263" width="13" style="148" customWidth="1"/>
    <col min="264" max="264" width="10.7109375" style="148" customWidth="1"/>
    <col min="265" max="512" width="9.140625" style="148"/>
    <col min="513" max="513" width="4" style="148" customWidth="1"/>
    <col min="514" max="514" width="5.28515625" style="148" customWidth="1"/>
    <col min="515" max="515" width="8.42578125" style="148" customWidth="1"/>
    <col min="516" max="516" width="8" style="148" customWidth="1"/>
    <col min="517" max="517" width="49.7109375" style="148" customWidth="1"/>
    <col min="518" max="518" width="23" style="148" customWidth="1"/>
    <col min="519" max="519" width="13" style="148" customWidth="1"/>
    <col min="520" max="520" width="10.7109375" style="148" customWidth="1"/>
    <col min="521" max="768" width="9.140625" style="148"/>
    <col min="769" max="769" width="4" style="148" customWidth="1"/>
    <col min="770" max="770" width="5.28515625" style="148" customWidth="1"/>
    <col min="771" max="771" width="8.42578125" style="148" customWidth="1"/>
    <col min="772" max="772" width="8" style="148" customWidth="1"/>
    <col min="773" max="773" width="49.7109375" style="148" customWidth="1"/>
    <col min="774" max="774" width="23" style="148" customWidth="1"/>
    <col min="775" max="775" width="13" style="148" customWidth="1"/>
    <col min="776" max="776" width="10.7109375" style="148" customWidth="1"/>
    <col min="777" max="1024" width="9.140625" style="148"/>
    <col min="1025" max="1025" width="4" style="148" customWidth="1"/>
    <col min="1026" max="1026" width="5.28515625" style="148" customWidth="1"/>
    <col min="1027" max="1027" width="8.42578125" style="148" customWidth="1"/>
    <col min="1028" max="1028" width="8" style="148" customWidth="1"/>
    <col min="1029" max="1029" width="49.7109375" style="148" customWidth="1"/>
    <col min="1030" max="1030" width="23" style="148" customWidth="1"/>
    <col min="1031" max="1031" width="13" style="148" customWidth="1"/>
    <col min="1032" max="1032" width="10.7109375" style="148" customWidth="1"/>
    <col min="1033" max="1280" width="9.140625" style="148"/>
    <col min="1281" max="1281" width="4" style="148" customWidth="1"/>
    <col min="1282" max="1282" width="5.28515625" style="148" customWidth="1"/>
    <col min="1283" max="1283" width="8.42578125" style="148" customWidth="1"/>
    <col min="1284" max="1284" width="8" style="148" customWidth="1"/>
    <col min="1285" max="1285" width="49.7109375" style="148" customWidth="1"/>
    <col min="1286" max="1286" width="23" style="148" customWidth="1"/>
    <col min="1287" max="1287" width="13" style="148" customWidth="1"/>
    <col min="1288" max="1288" width="10.7109375" style="148" customWidth="1"/>
    <col min="1289" max="1536" width="9.140625" style="148"/>
    <col min="1537" max="1537" width="4" style="148" customWidth="1"/>
    <col min="1538" max="1538" width="5.28515625" style="148" customWidth="1"/>
    <col min="1539" max="1539" width="8.42578125" style="148" customWidth="1"/>
    <col min="1540" max="1540" width="8" style="148" customWidth="1"/>
    <col min="1541" max="1541" width="49.7109375" style="148" customWidth="1"/>
    <col min="1542" max="1542" width="23" style="148" customWidth="1"/>
    <col min="1543" max="1543" width="13" style="148" customWidth="1"/>
    <col min="1544" max="1544" width="10.7109375" style="148" customWidth="1"/>
    <col min="1545" max="1792" width="9.140625" style="148"/>
    <col min="1793" max="1793" width="4" style="148" customWidth="1"/>
    <col min="1794" max="1794" width="5.28515625" style="148" customWidth="1"/>
    <col min="1795" max="1795" width="8.42578125" style="148" customWidth="1"/>
    <col min="1796" max="1796" width="8" style="148" customWidth="1"/>
    <col min="1797" max="1797" width="49.7109375" style="148" customWidth="1"/>
    <col min="1798" max="1798" width="23" style="148" customWidth="1"/>
    <col min="1799" max="1799" width="13" style="148" customWidth="1"/>
    <col min="1800" max="1800" width="10.7109375" style="148" customWidth="1"/>
    <col min="1801" max="2048" width="9.140625" style="148"/>
    <col min="2049" max="2049" width="4" style="148" customWidth="1"/>
    <col min="2050" max="2050" width="5.28515625" style="148" customWidth="1"/>
    <col min="2051" max="2051" width="8.42578125" style="148" customWidth="1"/>
    <col min="2052" max="2052" width="8" style="148" customWidth="1"/>
    <col min="2053" max="2053" width="49.7109375" style="148" customWidth="1"/>
    <col min="2054" max="2054" width="23" style="148" customWidth="1"/>
    <col min="2055" max="2055" width="13" style="148" customWidth="1"/>
    <col min="2056" max="2056" width="10.7109375" style="148" customWidth="1"/>
    <col min="2057" max="2304" width="9.140625" style="148"/>
    <col min="2305" max="2305" width="4" style="148" customWidth="1"/>
    <col min="2306" max="2306" width="5.28515625" style="148" customWidth="1"/>
    <col min="2307" max="2307" width="8.42578125" style="148" customWidth="1"/>
    <col min="2308" max="2308" width="8" style="148" customWidth="1"/>
    <col min="2309" max="2309" width="49.7109375" style="148" customWidth="1"/>
    <col min="2310" max="2310" width="23" style="148" customWidth="1"/>
    <col min="2311" max="2311" width="13" style="148" customWidth="1"/>
    <col min="2312" max="2312" width="10.7109375" style="148" customWidth="1"/>
    <col min="2313" max="2560" width="9.140625" style="148"/>
    <col min="2561" max="2561" width="4" style="148" customWidth="1"/>
    <col min="2562" max="2562" width="5.28515625" style="148" customWidth="1"/>
    <col min="2563" max="2563" width="8.42578125" style="148" customWidth="1"/>
    <col min="2564" max="2564" width="8" style="148" customWidth="1"/>
    <col min="2565" max="2565" width="49.7109375" style="148" customWidth="1"/>
    <col min="2566" max="2566" width="23" style="148" customWidth="1"/>
    <col min="2567" max="2567" width="13" style="148" customWidth="1"/>
    <col min="2568" max="2568" width="10.7109375" style="148" customWidth="1"/>
    <col min="2569" max="2816" width="9.140625" style="148"/>
    <col min="2817" max="2817" width="4" style="148" customWidth="1"/>
    <col min="2818" max="2818" width="5.28515625" style="148" customWidth="1"/>
    <col min="2819" max="2819" width="8.42578125" style="148" customWidth="1"/>
    <col min="2820" max="2820" width="8" style="148" customWidth="1"/>
    <col min="2821" max="2821" width="49.7109375" style="148" customWidth="1"/>
    <col min="2822" max="2822" width="23" style="148" customWidth="1"/>
    <col min="2823" max="2823" width="13" style="148" customWidth="1"/>
    <col min="2824" max="2824" width="10.7109375" style="148" customWidth="1"/>
    <col min="2825" max="3072" width="9.140625" style="148"/>
    <col min="3073" max="3073" width="4" style="148" customWidth="1"/>
    <col min="3074" max="3074" width="5.28515625" style="148" customWidth="1"/>
    <col min="3075" max="3075" width="8.42578125" style="148" customWidth="1"/>
    <col min="3076" max="3076" width="8" style="148" customWidth="1"/>
    <col min="3077" max="3077" width="49.7109375" style="148" customWidth="1"/>
    <col min="3078" max="3078" width="23" style="148" customWidth="1"/>
    <col min="3079" max="3079" width="13" style="148" customWidth="1"/>
    <col min="3080" max="3080" width="10.7109375" style="148" customWidth="1"/>
    <col min="3081" max="3328" width="9.140625" style="148"/>
    <col min="3329" max="3329" width="4" style="148" customWidth="1"/>
    <col min="3330" max="3330" width="5.28515625" style="148" customWidth="1"/>
    <col min="3331" max="3331" width="8.42578125" style="148" customWidth="1"/>
    <col min="3332" max="3332" width="8" style="148" customWidth="1"/>
    <col min="3333" max="3333" width="49.7109375" style="148" customWidth="1"/>
    <col min="3334" max="3334" width="23" style="148" customWidth="1"/>
    <col min="3335" max="3335" width="13" style="148" customWidth="1"/>
    <col min="3336" max="3336" width="10.7109375" style="148" customWidth="1"/>
    <col min="3337" max="3584" width="9.140625" style="148"/>
    <col min="3585" max="3585" width="4" style="148" customWidth="1"/>
    <col min="3586" max="3586" width="5.28515625" style="148" customWidth="1"/>
    <col min="3587" max="3587" width="8.42578125" style="148" customWidth="1"/>
    <col min="3588" max="3588" width="8" style="148" customWidth="1"/>
    <col min="3589" max="3589" width="49.7109375" style="148" customWidth="1"/>
    <col min="3590" max="3590" width="23" style="148" customWidth="1"/>
    <col min="3591" max="3591" width="13" style="148" customWidth="1"/>
    <col min="3592" max="3592" width="10.7109375" style="148" customWidth="1"/>
    <col min="3593" max="3840" width="9.140625" style="148"/>
    <col min="3841" max="3841" width="4" style="148" customWidth="1"/>
    <col min="3842" max="3842" width="5.28515625" style="148" customWidth="1"/>
    <col min="3843" max="3843" width="8.42578125" style="148" customWidth="1"/>
    <col min="3844" max="3844" width="8" style="148" customWidth="1"/>
    <col min="3845" max="3845" width="49.7109375" style="148" customWidth="1"/>
    <col min="3846" max="3846" width="23" style="148" customWidth="1"/>
    <col min="3847" max="3847" width="13" style="148" customWidth="1"/>
    <col min="3848" max="3848" width="10.7109375" style="148" customWidth="1"/>
    <col min="3849" max="4096" width="9.140625" style="148"/>
    <col min="4097" max="4097" width="4" style="148" customWidth="1"/>
    <col min="4098" max="4098" width="5.28515625" style="148" customWidth="1"/>
    <col min="4099" max="4099" width="8.42578125" style="148" customWidth="1"/>
    <col min="4100" max="4100" width="8" style="148" customWidth="1"/>
    <col min="4101" max="4101" width="49.7109375" style="148" customWidth="1"/>
    <col min="4102" max="4102" width="23" style="148" customWidth="1"/>
    <col min="4103" max="4103" width="13" style="148" customWidth="1"/>
    <col min="4104" max="4104" width="10.7109375" style="148" customWidth="1"/>
    <col min="4105" max="4352" width="9.140625" style="148"/>
    <col min="4353" max="4353" width="4" style="148" customWidth="1"/>
    <col min="4354" max="4354" width="5.28515625" style="148" customWidth="1"/>
    <col min="4355" max="4355" width="8.42578125" style="148" customWidth="1"/>
    <col min="4356" max="4356" width="8" style="148" customWidth="1"/>
    <col min="4357" max="4357" width="49.7109375" style="148" customWidth="1"/>
    <col min="4358" max="4358" width="23" style="148" customWidth="1"/>
    <col min="4359" max="4359" width="13" style="148" customWidth="1"/>
    <col min="4360" max="4360" width="10.7109375" style="148" customWidth="1"/>
    <col min="4361" max="4608" width="9.140625" style="148"/>
    <col min="4609" max="4609" width="4" style="148" customWidth="1"/>
    <col min="4610" max="4610" width="5.28515625" style="148" customWidth="1"/>
    <col min="4611" max="4611" width="8.42578125" style="148" customWidth="1"/>
    <col min="4612" max="4612" width="8" style="148" customWidth="1"/>
    <col min="4613" max="4613" width="49.7109375" style="148" customWidth="1"/>
    <col min="4614" max="4614" width="23" style="148" customWidth="1"/>
    <col min="4615" max="4615" width="13" style="148" customWidth="1"/>
    <col min="4616" max="4616" width="10.7109375" style="148" customWidth="1"/>
    <col min="4617" max="4864" width="9.140625" style="148"/>
    <col min="4865" max="4865" width="4" style="148" customWidth="1"/>
    <col min="4866" max="4866" width="5.28515625" style="148" customWidth="1"/>
    <col min="4867" max="4867" width="8.42578125" style="148" customWidth="1"/>
    <col min="4868" max="4868" width="8" style="148" customWidth="1"/>
    <col min="4869" max="4869" width="49.7109375" style="148" customWidth="1"/>
    <col min="4870" max="4870" width="23" style="148" customWidth="1"/>
    <col min="4871" max="4871" width="13" style="148" customWidth="1"/>
    <col min="4872" max="4872" width="10.7109375" style="148" customWidth="1"/>
    <col min="4873" max="5120" width="9.140625" style="148"/>
    <col min="5121" max="5121" width="4" style="148" customWidth="1"/>
    <col min="5122" max="5122" width="5.28515625" style="148" customWidth="1"/>
    <col min="5123" max="5123" width="8.42578125" style="148" customWidth="1"/>
    <col min="5124" max="5124" width="8" style="148" customWidth="1"/>
    <col min="5125" max="5125" width="49.7109375" style="148" customWidth="1"/>
    <col min="5126" max="5126" width="23" style="148" customWidth="1"/>
    <col min="5127" max="5127" width="13" style="148" customWidth="1"/>
    <col min="5128" max="5128" width="10.7109375" style="148" customWidth="1"/>
    <col min="5129" max="5376" width="9.140625" style="148"/>
    <col min="5377" max="5377" width="4" style="148" customWidth="1"/>
    <col min="5378" max="5378" width="5.28515625" style="148" customWidth="1"/>
    <col min="5379" max="5379" width="8.42578125" style="148" customWidth="1"/>
    <col min="5380" max="5380" width="8" style="148" customWidth="1"/>
    <col min="5381" max="5381" width="49.7109375" style="148" customWidth="1"/>
    <col min="5382" max="5382" width="23" style="148" customWidth="1"/>
    <col min="5383" max="5383" width="13" style="148" customWidth="1"/>
    <col min="5384" max="5384" width="10.7109375" style="148" customWidth="1"/>
    <col min="5385" max="5632" width="9.140625" style="148"/>
    <col min="5633" max="5633" width="4" style="148" customWidth="1"/>
    <col min="5634" max="5634" width="5.28515625" style="148" customWidth="1"/>
    <col min="5635" max="5635" width="8.42578125" style="148" customWidth="1"/>
    <col min="5636" max="5636" width="8" style="148" customWidth="1"/>
    <col min="5637" max="5637" width="49.7109375" style="148" customWidth="1"/>
    <col min="5638" max="5638" width="23" style="148" customWidth="1"/>
    <col min="5639" max="5639" width="13" style="148" customWidth="1"/>
    <col min="5640" max="5640" width="10.7109375" style="148" customWidth="1"/>
    <col min="5641" max="5888" width="9.140625" style="148"/>
    <col min="5889" max="5889" width="4" style="148" customWidth="1"/>
    <col min="5890" max="5890" width="5.28515625" style="148" customWidth="1"/>
    <col min="5891" max="5891" width="8.42578125" style="148" customWidth="1"/>
    <col min="5892" max="5892" width="8" style="148" customWidth="1"/>
    <col min="5893" max="5893" width="49.7109375" style="148" customWidth="1"/>
    <col min="5894" max="5894" width="23" style="148" customWidth="1"/>
    <col min="5895" max="5895" width="13" style="148" customWidth="1"/>
    <col min="5896" max="5896" width="10.7109375" style="148" customWidth="1"/>
    <col min="5897" max="6144" width="9.140625" style="148"/>
    <col min="6145" max="6145" width="4" style="148" customWidth="1"/>
    <col min="6146" max="6146" width="5.28515625" style="148" customWidth="1"/>
    <col min="6147" max="6147" width="8.42578125" style="148" customWidth="1"/>
    <col min="6148" max="6148" width="8" style="148" customWidth="1"/>
    <col min="6149" max="6149" width="49.7109375" style="148" customWidth="1"/>
    <col min="6150" max="6150" width="23" style="148" customWidth="1"/>
    <col min="6151" max="6151" width="13" style="148" customWidth="1"/>
    <col min="6152" max="6152" width="10.7109375" style="148" customWidth="1"/>
    <col min="6153" max="6400" width="9.140625" style="148"/>
    <col min="6401" max="6401" width="4" style="148" customWidth="1"/>
    <col min="6402" max="6402" width="5.28515625" style="148" customWidth="1"/>
    <col min="6403" max="6403" width="8.42578125" style="148" customWidth="1"/>
    <col min="6404" max="6404" width="8" style="148" customWidth="1"/>
    <col min="6405" max="6405" width="49.7109375" style="148" customWidth="1"/>
    <col min="6406" max="6406" width="23" style="148" customWidth="1"/>
    <col min="6407" max="6407" width="13" style="148" customWidth="1"/>
    <col min="6408" max="6408" width="10.7109375" style="148" customWidth="1"/>
    <col min="6409" max="6656" width="9.140625" style="148"/>
    <col min="6657" max="6657" width="4" style="148" customWidth="1"/>
    <col min="6658" max="6658" width="5.28515625" style="148" customWidth="1"/>
    <col min="6659" max="6659" width="8.42578125" style="148" customWidth="1"/>
    <col min="6660" max="6660" width="8" style="148" customWidth="1"/>
    <col min="6661" max="6661" width="49.7109375" style="148" customWidth="1"/>
    <col min="6662" max="6662" width="23" style="148" customWidth="1"/>
    <col min="6663" max="6663" width="13" style="148" customWidth="1"/>
    <col min="6664" max="6664" width="10.7109375" style="148" customWidth="1"/>
    <col min="6665" max="6912" width="9.140625" style="148"/>
    <col min="6913" max="6913" width="4" style="148" customWidth="1"/>
    <col min="6914" max="6914" width="5.28515625" style="148" customWidth="1"/>
    <col min="6915" max="6915" width="8.42578125" style="148" customWidth="1"/>
    <col min="6916" max="6916" width="8" style="148" customWidth="1"/>
    <col min="6917" max="6917" width="49.7109375" style="148" customWidth="1"/>
    <col min="6918" max="6918" width="23" style="148" customWidth="1"/>
    <col min="6919" max="6919" width="13" style="148" customWidth="1"/>
    <col min="6920" max="6920" width="10.7109375" style="148" customWidth="1"/>
    <col min="6921" max="7168" width="9.140625" style="148"/>
    <col min="7169" max="7169" width="4" style="148" customWidth="1"/>
    <col min="7170" max="7170" width="5.28515625" style="148" customWidth="1"/>
    <col min="7171" max="7171" width="8.42578125" style="148" customWidth="1"/>
    <col min="7172" max="7172" width="8" style="148" customWidth="1"/>
    <col min="7173" max="7173" width="49.7109375" style="148" customWidth="1"/>
    <col min="7174" max="7174" width="23" style="148" customWidth="1"/>
    <col min="7175" max="7175" width="13" style="148" customWidth="1"/>
    <col min="7176" max="7176" width="10.7109375" style="148" customWidth="1"/>
    <col min="7177" max="7424" width="9.140625" style="148"/>
    <col min="7425" max="7425" width="4" style="148" customWidth="1"/>
    <col min="7426" max="7426" width="5.28515625" style="148" customWidth="1"/>
    <col min="7427" max="7427" width="8.42578125" style="148" customWidth="1"/>
    <col min="7428" max="7428" width="8" style="148" customWidth="1"/>
    <col min="7429" max="7429" width="49.7109375" style="148" customWidth="1"/>
    <col min="7430" max="7430" width="23" style="148" customWidth="1"/>
    <col min="7431" max="7431" width="13" style="148" customWidth="1"/>
    <col min="7432" max="7432" width="10.7109375" style="148" customWidth="1"/>
    <col min="7433" max="7680" width="9.140625" style="148"/>
    <col min="7681" max="7681" width="4" style="148" customWidth="1"/>
    <col min="7682" max="7682" width="5.28515625" style="148" customWidth="1"/>
    <col min="7683" max="7683" width="8.42578125" style="148" customWidth="1"/>
    <col min="7684" max="7684" width="8" style="148" customWidth="1"/>
    <col min="7685" max="7685" width="49.7109375" style="148" customWidth="1"/>
    <col min="7686" max="7686" width="23" style="148" customWidth="1"/>
    <col min="7687" max="7687" width="13" style="148" customWidth="1"/>
    <col min="7688" max="7688" width="10.7109375" style="148" customWidth="1"/>
    <col min="7689" max="7936" width="9.140625" style="148"/>
    <col min="7937" max="7937" width="4" style="148" customWidth="1"/>
    <col min="7938" max="7938" width="5.28515625" style="148" customWidth="1"/>
    <col min="7939" max="7939" width="8.42578125" style="148" customWidth="1"/>
    <col min="7940" max="7940" width="8" style="148" customWidth="1"/>
    <col min="7941" max="7941" width="49.7109375" style="148" customWidth="1"/>
    <col min="7942" max="7942" width="23" style="148" customWidth="1"/>
    <col min="7943" max="7943" width="13" style="148" customWidth="1"/>
    <col min="7944" max="7944" width="10.7109375" style="148" customWidth="1"/>
    <col min="7945" max="8192" width="9.140625" style="148"/>
    <col min="8193" max="8193" width="4" style="148" customWidth="1"/>
    <col min="8194" max="8194" width="5.28515625" style="148" customWidth="1"/>
    <col min="8195" max="8195" width="8.42578125" style="148" customWidth="1"/>
    <col min="8196" max="8196" width="8" style="148" customWidth="1"/>
    <col min="8197" max="8197" width="49.7109375" style="148" customWidth="1"/>
    <col min="8198" max="8198" width="23" style="148" customWidth="1"/>
    <col min="8199" max="8199" width="13" style="148" customWidth="1"/>
    <col min="8200" max="8200" width="10.7109375" style="148" customWidth="1"/>
    <col min="8201" max="8448" width="9.140625" style="148"/>
    <col min="8449" max="8449" width="4" style="148" customWidth="1"/>
    <col min="8450" max="8450" width="5.28515625" style="148" customWidth="1"/>
    <col min="8451" max="8451" width="8.42578125" style="148" customWidth="1"/>
    <col min="8452" max="8452" width="8" style="148" customWidth="1"/>
    <col min="8453" max="8453" width="49.7109375" style="148" customWidth="1"/>
    <col min="8454" max="8454" width="23" style="148" customWidth="1"/>
    <col min="8455" max="8455" width="13" style="148" customWidth="1"/>
    <col min="8456" max="8456" width="10.7109375" style="148" customWidth="1"/>
    <col min="8457" max="8704" width="9.140625" style="148"/>
    <col min="8705" max="8705" width="4" style="148" customWidth="1"/>
    <col min="8706" max="8706" width="5.28515625" style="148" customWidth="1"/>
    <col min="8707" max="8707" width="8.42578125" style="148" customWidth="1"/>
    <col min="8708" max="8708" width="8" style="148" customWidth="1"/>
    <col min="8709" max="8709" width="49.7109375" style="148" customWidth="1"/>
    <col min="8710" max="8710" width="23" style="148" customWidth="1"/>
    <col min="8711" max="8711" width="13" style="148" customWidth="1"/>
    <col min="8712" max="8712" width="10.7109375" style="148" customWidth="1"/>
    <col min="8713" max="8960" width="9.140625" style="148"/>
    <col min="8961" max="8961" width="4" style="148" customWidth="1"/>
    <col min="8962" max="8962" width="5.28515625" style="148" customWidth="1"/>
    <col min="8963" max="8963" width="8.42578125" style="148" customWidth="1"/>
    <col min="8964" max="8964" width="8" style="148" customWidth="1"/>
    <col min="8965" max="8965" width="49.7109375" style="148" customWidth="1"/>
    <col min="8966" max="8966" width="23" style="148" customWidth="1"/>
    <col min="8967" max="8967" width="13" style="148" customWidth="1"/>
    <col min="8968" max="8968" width="10.7109375" style="148" customWidth="1"/>
    <col min="8969" max="9216" width="9.140625" style="148"/>
    <col min="9217" max="9217" width="4" style="148" customWidth="1"/>
    <col min="9218" max="9218" width="5.28515625" style="148" customWidth="1"/>
    <col min="9219" max="9219" width="8.42578125" style="148" customWidth="1"/>
    <col min="9220" max="9220" width="8" style="148" customWidth="1"/>
    <col min="9221" max="9221" width="49.7109375" style="148" customWidth="1"/>
    <col min="9222" max="9222" width="23" style="148" customWidth="1"/>
    <col min="9223" max="9223" width="13" style="148" customWidth="1"/>
    <col min="9224" max="9224" width="10.7109375" style="148" customWidth="1"/>
    <col min="9225" max="9472" width="9.140625" style="148"/>
    <col min="9473" max="9473" width="4" style="148" customWidth="1"/>
    <col min="9474" max="9474" width="5.28515625" style="148" customWidth="1"/>
    <col min="9475" max="9475" width="8.42578125" style="148" customWidth="1"/>
    <col min="9476" max="9476" width="8" style="148" customWidth="1"/>
    <col min="9477" max="9477" width="49.7109375" style="148" customWidth="1"/>
    <col min="9478" max="9478" width="23" style="148" customWidth="1"/>
    <col min="9479" max="9479" width="13" style="148" customWidth="1"/>
    <col min="9480" max="9480" width="10.7109375" style="148" customWidth="1"/>
    <col min="9481" max="9728" width="9.140625" style="148"/>
    <col min="9729" max="9729" width="4" style="148" customWidth="1"/>
    <col min="9730" max="9730" width="5.28515625" style="148" customWidth="1"/>
    <col min="9731" max="9731" width="8.42578125" style="148" customWidth="1"/>
    <col min="9732" max="9732" width="8" style="148" customWidth="1"/>
    <col min="9733" max="9733" width="49.7109375" style="148" customWidth="1"/>
    <col min="9734" max="9734" width="23" style="148" customWidth="1"/>
    <col min="9735" max="9735" width="13" style="148" customWidth="1"/>
    <col min="9736" max="9736" width="10.7109375" style="148" customWidth="1"/>
    <col min="9737" max="9984" width="9.140625" style="148"/>
    <col min="9985" max="9985" width="4" style="148" customWidth="1"/>
    <col min="9986" max="9986" width="5.28515625" style="148" customWidth="1"/>
    <col min="9987" max="9987" width="8.42578125" style="148" customWidth="1"/>
    <col min="9988" max="9988" width="8" style="148" customWidth="1"/>
    <col min="9989" max="9989" width="49.7109375" style="148" customWidth="1"/>
    <col min="9990" max="9990" width="23" style="148" customWidth="1"/>
    <col min="9991" max="9991" width="13" style="148" customWidth="1"/>
    <col min="9992" max="9992" width="10.7109375" style="148" customWidth="1"/>
    <col min="9993" max="10240" width="9.140625" style="148"/>
    <col min="10241" max="10241" width="4" style="148" customWidth="1"/>
    <col min="10242" max="10242" width="5.28515625" style="148" customWidth="1"/>
    <col min="10243" max="10243" width="8.42578125" style="148" customWidth="1"/>
    <col min="10244" max="10244" width="8" style="148" customWidth="1"/>
    <col min="10245" max="10245" width="49.7109375" style="148" customWidth="1"/>
    <col min="10246" max="10246" width="23" style="148" customWidth="1"/>
    <col min="10247" max="10247" width="13" style="148" customWidth="1"/>
    <col min="10248" max="10248" width="10.7109375" style="148" customWidth="1"/>
    <col min="10249" max="10496" width="9.140625" style="148"/>
    <col min="10497" max="10497" width="4" style="148" customWidth="1"/>
    <col min="10498" max="10498" width="5.28515625" style="148" customWidth="1"/>
    <col min="10499" max="10499" width="8.42578125" style="148" customWidth="1"/>
    <col min="10500" max="10500" width="8" style="148" customWidth="1"/>
    <col min="10501" max="10501" width="49.7109375" style="148" customWidth="1"/>
    <col min="10502" max="10502" width="23" style="148" customWidth="1"/>
    <col min="10503" max="10503" width="13" style="148" customWidth="1"/>
    <col min="10504" max="10504" width="10.7109375" style="148" customWidth="1"/>
    <col min="10505" max="10752" width="9.140625" style="148"/>
    <col min="10753" max="10753" width="4" style="148" customWidth="1"/>
    <col min="10754" max="10754" width="5.28515625" style="148" customWidth="1"/>
    <col min="10755" max="10755" width="8.42578125" style="148" customWidth="1"/>
    <col min="10756" max="10756" width="8" style="148" customWidth="1"/>
    <col min="10757" max="10757" width="49.7109375" style="148" customWidth="1"/>
    <col min="10758" max="10758" width="23" style="148" customWidth="1"/>
    <col min="10759" max="10759" width="13" style="148" customWidth="1"/>
    <col min="10760" max="10760" width="10.7109375" style="148" customWidth="1"/>
    <col min="10761" max="11008" width="9.140625" style="148"/>
    <col min="11009" max="11009" width="4" style="148" customWidth="1"/>
    <col min="11010" max="11010" width="5.28515625" style="148" customWidth="1"/>
    <col min="11011" max="11011" width="8.42578125" style="148" customWidth="1"/>
    <col min="11012" max="11012" width="8" style="148" customWidth="1"/>
    <col min="11013" max="11013" width="49.7109375" style="148" customWidth="1"/>
    <col min="11014" max="11014" width="23" style="148" customWidth="1"/>
    <col min="11015" max="11015" width="13" style="148" customWidth="1"/>
    <col min="11016" max="11016" width="10.7109375" style="148" customWidth="1"/>
    <col min="11017" max="11264" width="9.140625" style="148"/>
    <col min="11265" max="11265" width="4" style="148" customWidth="1"/>
    <col min="11266" max="11266" width="5.28515625" style="148" customWidth="1"/>
    <col min="11267" max="11267" width="8.42578125" style="148" customWidth="1"/>
    <col min="11268" max="11268" width="8" style="148" customWidth="1"/>
    <col min="11269" max="11269" width="49.7109375" style="148" customWidth="1"/>
    <col min="11270" max="11270" width="23" style="148" customWidth="1"/>
    <col min="11271" max="11271" width="13" style="148" customWidth="1"/>
    <col min="11272" max="11272" width="10.7109375" style="148" customWidth="1"/>
    <col min="11273" max="11520" width="9.140625" style="148"/>
    <col min="11521" max="11521" width="4" style="148" customWidth="1"/>
    <col min="11522" max="11522" width="5.28515625" style="148" customWidth="1"/>
    <col min="11523" max="11523" width="8.42578125" style="148" customWidth="1"/>
    <col min="11524" max="11524" width="8" style="148" customWidth="1"/>
    <col min="11525" max="11525" width="49.7109375" style="148" customWidth="1"/>
    <col min="11526" max="11526" width="23" style="148" customWidth="1"/>
    <col min="11527" max="11527" width="13" style="148" customWidth="1"/>
    <col min="11528" max="11528" width="10.7109375" style="148" customWidth="1"/>
    <col min="11529" max="11776" width="9.140625" style="148"/>
    <col min="11777" max="11777" width="4" style="148" customWidth="1"/>
    <col min="11778" max="11778" width="5.28515625" style="148" customWidth="1"/>
    <col min="11779" max="11779" width="8.42578125" style="148" customWidth="1"/>
    <col min="11780" max="11780" width="8" style="148" customWidth="1"/>
    <col min="11781" max="11781" width="49.7109375" style="148" customWidth="1"/>
    <col min="11782" max="11782" width="23" style="148" customWidth="1"/>
    <col min="11783" max="11783" width="13" style="148" customWidth="1"/>
    <col min="11784" max="11784" width="10.7109375" style="148" customWidth="1"/>
    <col min="11785" max="12032" width="9.140625" style="148"/>
    <col min="12033" max="12033" width="4" style="148" customWidth="1"/>
    <col min="12034" max="12034" width="5.28515625" style="148" customWidth="1"/>
    <col min="12035" max="12035" width="8.42578125" style="148" customWidth="1"/>
    <col min="12036" max="12036" width="8" style="148" customWidth="1"/>
    <col min="12037" max="12037" width="49.7109375" style="148" customWidth="1"/>
    <col min="12038" max="12038" width="23" style="148" customWidth="1"/>
    <col min="12039" max="12039" width="13" style="148" customWidth="1"/>
    <col min="12040" max="12040" width="10.7109375" style="148" customWidth="1"/>
    <col min="12041" max="12288" width="9.140625" style="148"/>
    <col min="12289" max="12289" width="4" style="148" customWidth="1"/>
    <col min="12290" max="12290" width="5.28515625" style="148" customWidth="1"/>
    <col min="12291" max="12291" width="8.42578125" style="148" customWidth="1"/>
    <col min="12292" max="12292" width="8" style="148" customWidth="1"/>
    <col min="12293" max="12293" width="49.7109375" style="148" customWidth="1"/>
    <col min="12294" max="12294" width="23" style="148" customWidth="1"/>
    <col min="12295" max="12295" width="13" style="148" customWidth="1"/>
    <col min="12296" max="12296" width="10.7109375" style="148" customWidth="1"/>
    <col min="12297" max="12544" width="9.140625" style="148"/>
    <col min="12545" max="12545" width="4" style="148" customWidth="1"/>
    <col min="12546" max="12546" width="5.28515625" style="148" customWidth="1"/>
    <col min="12547" max="12547" width="8.42578125" style="148" customWidth="1"/>
    <col min="12548" max="12548" width="8" style="148" customWidth="1"/>
    <col min="12549" max="12549" width="49.7109375" style="148" customWidth="1"/>
    <col min="12550" max="12550" width="23" style="148" customWidth="1"/>
    <col min="12551" max="12551" width="13" style="148" customWidth="1"/>
    <col min="12552" max="12552" width="10.7109375" style="148" customWidth="1"/>
    <col min="12553" max="12800" width="9.140625" style="148"/>
    <col min="12801" max="12801" width="4" style="148" customWidth="1"/>
    <col min="12802" max="12802" width="5.28515625" style="148" customWidth="1"/>
    <col min="12803" max="12803" width="8.42578125" style="148" customWidth="1"/>
    <col min="12804" max="12804" width="8" style="148" customWidth="1"/>
    <col min="12805" max="12805" width="49.7109375" style="148" customWidth="1"/>
    <col min="12806" max="12806" width="23" style="148" customWidth="1"/>
    <col min="12807" max="12807" width="13" style="148" customWidth="1"/>
    <col min="12808" max="12808" width="10.7109375" style="148" customWidth="1"/>
    <col min="12809" max="13056" width="9.140625" style="148"/>
    <col min="13057" max="13057" width="4" style="148" customWidth="1"/>
    <col min="13058" max="13058" width="5.28515625" style="148" customWidth="1"/>
    <col min="13059" max="13059" width="8.42578125" style="148" customWidth="1"/>
    <col min="13060" max="13060" width="8" style="148" customWidth="1"/>
    <col min="13061" max="13061" width="49.7109375" style="148" customWidth="1"/>
    <col min="13062" max="13062" width="23" style="148" customWidth="1"/>
    <col min="13063" max="13063" width="13" style="148" customWidth="1"/>
    <col min="13064" max="13064" width="10.7109375" style="148" customWidth="1"/>
    <col min="13065" max="13312" width="9.140625" style="148"/>
    <col min="13313" max="13313" width="4" style="148" customWidth="1"/>
    <col min="13314" max="13314" width="5.28515625" style="148" customWidth="1"/>
    <col min="13315" max="13315" width="8.42578125" style="148" customWidth="1"/>
    <col min="13316" max="13316" width="8" style="148" customWidth="1"/>
    <col min="13317" max="13317" width="49.7109375" style="148" customWidth="1"/>
    <col min="13318" max="13318" width="23" style="148" customWidth="1"/>
    <col min="13319" max="13319" width="13" style="148" customWidth="1"/>
    <col min="13320" max="13320" width="10.7109375" style="148" customWidth="1"/>
    <col min="13321" max="13568" width="9.140625" style="148"/>
    <col min="13569" max="13569" width="4" style="148" customWidth="1"/>
    <col min="13570" max="13570" width="5.28515625" style="148" customWidth="1"/>
    <col min="13571" max="13571" width="8.42578125" style="148" customWidth="1"/>
    <col min="13572" max="13572" width="8" style="148" customWidth="1"/>
    <col min="13573" max="13573" width="49.7109375" style="148" customWidth="1"/>
    <col min="13574" max="13574" width="23" style="148" customWidth="1"/>
    <col min="13575" max="13575" width="13" style="148" customWidth="1"/>
    <col min="13576" max="13576" width="10.7109375" style="148" customWidth="1"/>
    <col min="13577" max="13824" width="9.140625" style="148"/>
    <col min="13825" max="13825" width="4" style="148" customWidth="1"/>
    <col min="13826" max="13826" width="5.28515625" style="148" customWidth="1"/>
    <col min="13827" max="13827" width="8.42578125" style="148" customWidth="1"/>
    <col min="13828" max="13828" width="8" style="148" customWidth="1"/>
    <col min="13829" max="13829" width="49.7109375" style="148" customWidth="1"/>
    <col min="13830" max="13830" width="23" style="148" customWidth="1"/>
    <col min="13831" max="13831" width="13" style="148" customWidth="1"/>
    <col min="13832" max="13832" width="10.7109375" style="148" customWidth="1"/>
    <col min="13833" max="14080" width="9.140625" style="148"/>
    <col min="14081" max="14081" width="4" style="148" customWidth="1"/>
    <col min="14082" max="14082" width="5.28515625" style="148" customWidth="1"/>
    <col min="14083" max="14083" width="8.42578125" style="148" customWidth="1"/>
    <col min="14084" max="14084" width="8" style="148" customWidth="1"/>
    <col min="14085" max="14085" width="49.7109375" style="148" customWidth="1"/>
    <col min="14086" max="14086" width="23" style="148" customWidth="1"/>
    <col min="14087" max="14087" width="13" style="148" customWidth="1"/>
    <col min="14088" max="14088" width="10.7109375" style="148" customWidth="1"/>
    <col min="14089" max="14336" width="9.140625" style="148"/>
    <col min="14337" max="14337" width="4" style="148" customWidth="1"/>
    <col min="14338" max="14338" width="5.28515625" style="148" customWidth="1"/>
    <col min="14339" max="14339" width="8.42578125" style="148" customWidth="1"/>
    <col min="14340" max="14340" width="8" style="148" customWidth="1"/>
    <col min="14341" max="14341" width="49.7109375" style="148" customWidth="1"/>
    <col min="14342" max="14342" width="23" style="148" customWidth="1"/>
    <col min="14343" max="14343" width="13" style="148" customWidth="1"/>
    <col min="14344" max="14344" width="10.7109375" style="148" customWidth="1"/>
    <col min="14345" max="14592" width="9.140625" style="148"/>
    <col min="14593" max="14593" width="4" style="148" customWidth="1"/>
    <col min="14594" max="14594" width="5.28515625" style="148" customWidth="1"/>
    <col min="14595" max="14595" width="8.42578125" style="148" customWidth="1"/>
    <col min="14596" max="14596" width="8" style="148" customWidth="1"/>
    <col min="14597" max="14597" width="49.7109375" style="148" customWidth="1"/>
    <col min="14598" max="14598" width="23" style="148" customWidth="1"/>
    <col min="14599" max="14599" width="13" style="148" customWidth="1"/>
    <col min="14600" max="14600" width="10.7109375" style="148" customWidth="1"/>
    <col min="14601" max="14848" width="9.140625" style="148"/>
    <col min="14849" max="14849" width="4" style="148" customWidth="1"/>
    <col min="14850" max="14850" width="5.28515625" style="148" customWidth="1"/>
    <col min="14851" max="14851" width="8.42578125" style="148" customWidth="1"/>
    <col min="14852" max="14852" width="8" style="148" customWidth="1"/>
    <col min="14853" max="14853" width="49.7109375" style="148" customWidth="1"/>
    <col min="14854" max="14854" width="23" style="148" customWidth="1"/>
    <col min="14855" max="14855" width="13" style="148" customWidth="1"/>
    <col min="14856" max="14856" width="10.7109375" style="148" customWidth="1"/>
    <col min="14857" max="15104" width="9.140625" style="148"/>
    <col min="15105" max="15105" width="4" style="148" customWidth="1"/>
    <col min="15106" max="15106" width="5.28515625" style="148" customWidth="1"/>
    <col min="15107" max="15107" width="8.42578125" style="148" customWidth="1"/>
    <col min="15108" max="15108" width="8" style="148" customWidth="1"/>
    <col min="15109" max="15109" width="49.7109375" style="148" customWidth="1"/>
    <col min="15110" max="15110" width="23" style="148" customWidth="1"/>
    <col min="15111" max="15111" width="13" style="148" customWidth="1"/>
    <col min="15112" max="15112" width="10.7109375" style="148" customWidth="1"/>
    <col min="15113" max="15360" width="9.140625" style="148"/>
    <col min="15361" max="15361" width="4" style="148" customWidth="1"/>
    <col min="15362" max="15362" width="5.28515625" style="148" customWidth="1"/>
    <col min="15363" max="15363" width="8.42578125" style="148" customWidth="1"/>
    <col min="15364" max="15364" width="8" style="148" customWidth="1"/>
    <col min="15365" max="15365" width="49.7109375" style="148" customWidth="1"/>
    <col min="15366" max="15366" width="23" style="148" customWidth="1"/>
    <col min="15367" max="15367" width="13" style="148" customWidth="1"/>
    <col min="15368" max="15368" width="10.7109375" style="148" customWidth="1"/>
    <col min="15369" max="15616" width="9.140625" style="148"/>
    <col min="15617" max="15617" width="4" style="148" customWidth="1"/>
    <col min="15618" max="15618" width="5.28515625" style="148" customWidth="1"/>
    <col min="15619" max="15619" width="8.42578125" style="148" customWidth="1"/>
    <col min="15620" max="15620" width="8" style="148" customWidth="1"/>
    <col min="15621" max="15621" width="49.7109375" style="148" customWidth="1"/>
    <col min="15622" max="15622" width="23" style="148" customWidth="1"/>
    <col min="15623" max="15623" width="13" style="148" customWidth="1"/>
    <col min="15624" max="15624" width="10.7109375" style="148" customWidth="1"/>
    <col min="15625" max="15872" width="9.140625" style="148"/>
    <col min="15873" max="15873" width="4" style="148" customWidth="1"/>
    <col min="15874" max="15874" width="5.28515625" style="148" customWidth="1"/>
    <col min="15875" max="15875" width="8.42578125" style="148" customWidth="1"/>
    <col min="15876" max="15876" width="8" style="148" customWidth="1"/>
    <col min="15877" max="15877" width="49.7109375" style="148" customWidth="1"/>
    <col min="15878" max="15878" width="23" style="148" customWidth="1"/>
    <col min="15879" max="15879" width="13" style="148" customWidth="1"/>
    <col min="15880" max="15880" width="10.7109375" style="148" customWidth="1"/>
    <col min="15881" max="16128" width="9.140625" style="148"/>
    <col min="16129" max="16129" width="4" style="148" customWidth="1"/>
    <col min="16130" max="16130" width="5.28515625" style="148" customWidth="1"/>
    <col min="16131" max="16131" width="8.42578125" style="148" customWidth="1"/>
    <col min="16132" max="16132" width="8" style="148" customWidth="1"/>
    <col min="16133" max="16133" width="49.7109375" style="148" customWidth="1"/>
    <col min="16134" max="16134" width="23" style="148" customWidth="1"/>
    <col min="16135" max="16135" width="13" style="148" customWidth="1"/>
    <col min="16136" max="16136" width="10.7109375" style="148" customWidth="1"/>
    <col min="16137" max="16384" width="9.140625" style="148"/>
  </cols>
  <sheetData>
    <row r="1" spans="1:8" s="148" customFormat="1" ht="12" customHeight="1" x14ac:dyDescent="0.25">
      <c r="D1" s="224"/>
      <c r="F1" s="144" t="s">
        <v>226</v>
      </c>
    </row>
    <row r="2" spans="1:8" s="148" customFormat="1" ht="12" customHeight="1" x14ac:dyDescent="0.25">
      <c r="D2" s="224"/>
      <c r="E2" s="225"/>
      <c r="F2" s="144" t="s">
        <v>185</v>
      </c>
    </row>
    <row r="3" spans="1:8" s="148" customFormat="1" ht="12" customHeight="1" x14ac:dyDescent="0.25">
      <c r="D3" s="224"/>
      <c r="E3" s="225"/>
      <c r="F3" s="146" t="s">
        <v>1</v>
      </c>
    </row>
    <row r="4" spans="1:8" s="148" customFormat="1" ht="12" customHeight="1" x14ac:dyDescent="0.25">
      <c r="D4" s="224"/>
      <c r="E4" s="225"/>
      <c r="F4" s="144" t="s">
        <v>186</v>
      </c>
    </row>
    <row r="5" spans="1:8" s="148" customFormat="1" x14ac:dyDescent="0.25">
      <c r="D5" s="224"/>
      <c r="E5" s="225"/>
      <c r="F5" s="225"/>
    </row>
    <row r="6" spans="1:8" s="148" customFormat="1" ht="15" customHeight="1" x14ac:dyDescent="0.25">
      <c r="A6" s="467" t="s">
        <v>227</v>
      </c>
      <c r="B6" s="467"/>
      <c r="C6" s="467"/>
      <c r="D6" s="467"/>
      <c r="E6" s="467"/>
      <c r="F6" s="467"/>
    </row>
    <row r="7" spans="1:8" s="148" customFormat="1" ht="15" customHeight="1" x14ac:dyDescent="0.25">
      <c r="A7" s="467" t="s">
        <v>228</v>
      </c>
      <c r="B7" s="467"/>
      <c r="C7" s="467"/>
      <c r="D7" s="467"/>
      <c r="E7" s="467"/>
      <c r="F7" s="467"/>
    </row>
    <row r="8" spans="1:8" s="148" customFormat="1" ht="13.9" customHeight="1" x14ac:dyDescent="0.25">
      <c r="D8" s="224"/>
      <c r="E8" s="226"/>
      <c r="F8" s="226"/>
    </row>
    <row r="9" spans="1:8" s="148" customFormat="1" ht="12" customHeight="1" x14ac:dyDescent="0.25">
      <c r="D9" s="224"/>
      <c r="E9" s="147"/>
      <c r="F9" s="227" t="s">
        <v>2</v>
      </c>
    </row>
    <row r="10" spans="1:8" s="148" customFormat="1" ht="19.5" customHeight="1" x14ac:dyDescent="0.25">
      <c r="A10" s="228" t="s">
        <v>14</v>
      </c>
      <c r="B10" s="229" t="s">
        <v>190</v>
      </c>
      <c r="C10" s="229" t="s">
        <v>20</v>
      </c>
      <c r="D10" s="228" t="s">
        <v>229</v>
      </c>
      <c r="E10" s="229" t="s">
        <v>21</v>
      </c>
      <c r="F10" s="229" t="s">
        <v>230</v>
      </c>
    </row>
    <row r="11" spans="1:8" s="164" customFormat="1" ht="9.75" customHeight="1" x14ac:dyDescent="0.25">
      <c r="A11" s="163">
        <v>1</v>
      </c>
      <c r="B11" s="163">
        <v>2</v>
      </c>
      <c r="C11" s="163">
        <v>3</v>
      </c>
      <c r="D11" s="230">
        <v>4</v>
      </c>
      <c r="E11" s="163">
        <v>5</v>
      </c>
      <c r="F11" s="163">
        <v>6</v>
      </c>
    </row>
    <row r="12" spans="1:8" s="148" customFormat="1" ht="18" customHeight="1" x14ac:dyDescent="0.25">
      <c r="A12" s="231" t="s">
        <v>231</v>
      </c>
      <c r="B12" s="232"/>
      <c r="C12" s="232"/>
      <c r="D12" s="233"/>
      <c r="E12" s="232"/>
      <c r="F12" s="234"/>
    </row>
    <row r="13" spans="1:8" s="148" customFormat="1" ht="15" customHeight="1" x14ac:dyDescent="0.25">
      <c r="A13" s="235">
        <v>1</v>
      </c>
      <c r="B13" s="235">
        <v>801</v>
      </c>
      <c r="C13" s="235">
        <v>80104</v>
      </c>
      <c r="D13" s="235">
        <v>2310</v>
      </c>
      <c r="E13" s="236" t="s">
        <v>90</v>
      </c>
      <c r="F13" s="167">
        <v>500000</v>
      </c>
      <c r="H13" s="237"/>
    </row>
    <row r="14" spans="1:8" s="148" customFormat="1" ht="16.5" customHeight="1" x14ac:dyDescent="0.25">
      <c r="A14" s="235">
        <v>2</v>
      </c>
      <c r="B14" s="238">
        <v>851</v>
      </c>
      <c r="C14" s="238">
        <v>85149</v>
      </c>
      <c r="D14" s="238">
        <v>2780</v>
      </c>
      <c r="E14" s="236" t="s">
        <v>232</v>
      </c>
      <c r="F14" s="167">
        <v>21000</v>
      </c>
      <c r="G14" s="239"/>
      <c r="H14" s="237"/>
    </row>
    <row r="15" spans="1:8" s="148" customFormat="1" ht="17.25" customHeight="1" x14ac:dyDescent="0.25">
      <c r="A15" s="238">
        <v>3</v>
      </c>
      <c r="B15" s="235">
        <v>851</v>
      </c>
      <c r="C15" s="235">
        <v>85154</v>
      </c>
      <c r="D15" s="235">
        <v>2330</v>
      </c>
      <c r="E15" s="236" t="s">
        <v>233</v>
      </c>
      <c r="F15" s="167">
        <v>5000</v>
      </c>
    </row>
    <row r="16" spans="1:8" s="148" customFormat="1" ht="24" customHeight="1" x14ac:dyDescent="0.25">
      <c r="A16" s="238">
        <v>4</v>
      </c>
      <c r="B16" s="235">
        <v>851</v>
      </c>
      <c r="C16" s="235">
        <v>85154</v>
      </c>
      <c r="D16" s="235">
        <v>2800</v>
      </c>
      <c r="E16" s="236" t="s">
        <v>234</v>
      </c>
      <c r="F16" s="167">
        <f>0+100000+20000</f>
        <v>120000</v>
      </c>
    </row>
    <row r="17" spans="1:6" s="148" customFormat="1" ht="38.25" customHeight="1" x14ac:dyDescent="0.25">
      <c r="A17" s="238">
        <v>5</v>
      </c>
      <c r="B17" s="238">
        <v>851</v>
      </c>
      <c r="C17" s="238">
        <v>85195</v>
      </c>
      <c r="D17" s="240" t="s">
        <v>235</v>
      </c>
      <c r="E17" s="236" t="s">
        <v>236</v>
      </c>
      <c r="F17" s="167">
        <f>689557.5+3907492.5</f>
        <v>4597050</v>
      </c>
    </row>
    <row r="18" spans="1:6" s="148" customFormat="1" ht="14.25" customHeight="1" x14ac:dyDescent="0.25">
      <c r="A18" s="238">
        <v>6</v>
      </c>
      <c r="B18" s="238">
        <v>852</v>
      </c>
      <c r="C18" s="238">
        <v>85203</v>
      </c>
      <c r="D18" s="238">
        <v>2320</v>
      </c>
      <c r="E18" s="166" t="s">
        <v>237</v>
      </c>
      <c r="F18" s="167">
        <v>12000</v>
      </c>
    </row>
    <row r="19" spans="1:6" s="148" customFormat="1" ht="14.25" customHeight="1" x14ac:dyDescent="0.25">
      <c r="A19" s="238">
        <v>7</v>
      </c>
      <c r="B19" s="238">
        <v>853</v>
      </c>
      <c r="C19" s="238">
        <v>85333</v>
      </c>
      <c r="D19" s="238">
        <v>2320</v>
      </c>
      <c r="E19" s="166" t="s">
        <v>238</v>
      </c>
      <c r="F19" s="167">
        <f>5090084</f>
        <v>5090084</v>
      </c>
    </row>
    <row r="20" spans="1:6" s="148" customFormat="1" ht="25.5" customHeight="1" x14ac:dyDescent="0.25">
      <c r="A20" s="241">
        <v>8</v>
      </c>
      <c r="B20" s="242">
        <v>853</v>
      </c>
      <c r="C20" s="242">
        <v>85395</v>
      </c>
      <c r="D20" s="243">
        <v>2800</v>
      </c>
      <c r="E20" s="244" t="s">
        <v>239</v>
      </c>
      <c r="F20" s="167">
        <v>90000</v>
      </c>
    </row>
    <row r="21" spans="1:6" s="148" customFormat="1" ht="16.899999999999999" customHeight="1" x14ac:dyDescent="0.25">
      <c r="A21" s="238">
        <v>9</v>
      </c>
      <c r="B21" s="235">
        <v>921</v>
      </c>
      <c r="C21" s="235">
        <v>92110</v>
      </c>
      <c r="D21" s="235">
        <v>6229</v>
      </c>
      <c r="E21" s="166" t="s">
        <v>240</v>
      </c>
      <c r="F21" s="167">
        <f>F22</f>
        <v>5156.78</v>
      </c>
    </row>
    <row r="22" spans="1:6" s="146" customFormat="1" ht="12.75" customHeight="1" x14ac:dyDescent="0.25">
      <c r="A22" s="245"/>
      <c r="B22" s="246"/>
      <c r="C22" s="247"/>
      <c r="D22" s="248"/>
      <c r="E22" s="249" t="s">
        <v>241</v>
      </c>
      <c r="F22" s="250">
        <v>5156.78</v>
      </c>
    </row>
    <row r="23" spans="1:6" s="146" customFormat="1" ht="16.5" customHeight="1" x14ac:dyDescent="0.25">
      <c r="A23" s="238">
        <v>10</v>
      </c>
      <c r="B23" s="235">
        <v>921</v>
      </c>
      <c r="C23" s="235">
        <v>92110</v>
      </c>
      <c r="D23" s="235">
        <v>2800</v>
      </c>
      <c r="E23" s="166" t="s">
        <v>242</v>
      </c>
      <c r="F23" s="167">
        <f>F24</f>
        <v>28000</v>
      </c>
    </row>
    <row r="24" spans="1:6" s="146" customFormat="1" ht="12.75" customHeight="1" x14ac:dyDescent="0.25">
      <c r="A24" s="245"/>
      <c r="B24" s="246"/>
      <c r="C24" s="247"/>
      <c r="D24" s="248"/>
      <c r="E24" s="249" t="s">
        <v>241</v>
      </c>
      <c r="F24" s="250">
        <v>28000</v>
      </c>
    </row>
    <row r="25" spans="1:6" s="148" customFormat="1" ht="15.75" customHeight="1" x14ac:dyDescent="0.25">
      <c r="A25" s="235">
        <v>11</v>
      </c>
      <c r="B25" s="235">
        <v>921</v>
      </c>
      <c r="C25" s="235">
        <v>92113</v>
      </c>
      <c r="D25" s="235">
        <v>2800</v>
      </c>
      <c r="E25" s="251" t="s">
        <v>151</v>
      </c>
      <c r="F25" s="252">
        <f>F26</f>
        <v>263000</v>
      </c>
    </row>
    <row r="26" spans="1:6" s="146" customFormat="1" ht="12.75" customHeight="1" x14ac:dyDescent="0.25">
      <c r="A26" s="253"/>
      <c r="B26" s="254"/>
      <c r="C26" s="255"/>
      <c r="D26" s="256"/>
      <c r="E26" s="257" t="s">
        <v>243</v>
      </c>
      <c r="F26" s="258">
        <f>240000+23000</f>
        <v>263000</v>
      </c>
    </row>
    <row r="27" spans="1:6" s="146" customFormat="1" ht="16.5" customHeight="1" x14ac:dyDescent="0.25">
      <c r="A27" s="235">
        <v>12</v>
      </c>
      <c r="B27" s="235">
        <v>921</v>
      </c>
      <c r="C27" s="235">
        <v>92113</v>
      </c>
      <c r="D27" s="235">
        <v>6229</v>
      </c>
      <c r="E27" s="251" t="s">
        <v>244</v>
      </c>
      <c r="F27" s="252">
        <f>F28</f>
        <v>25880.37</v>
      </c>
    </row>
    <row r="28" spans="1:6" s="146" customFormat="1" ht="12.75" customHeight="1" x14ac:dyDescent="0.25">
      <c r="A28" s="253"/>
      <c r="B28" s="254"/>
      <c r="C28" s="255"/>
      <c r="D28" s="256"/>
      <c r="E28" s="257" t="s">
        <v>243</v>
      </c>
      <c r="F28" s="258">
        <v>25880.37</v>
      </c>
    </row>
    <row r="29" spans="1:6" s="146" customFormat="1" ht="16.899999999999999" customHeight="1" x14ac:dyDescent="0.25">
      <c r="A29" s="235">
        <v>13</v>
      </c>
      <c r="B29" s="235">
        <v>921</v>
      </c>
      <c r="C29" s="235">
        <v>92114</v>
      </c>
      <c r="D29" s="235">
        <v>6229</v>
      </c>
      <c r="E29" s="166" t="s">
        <v>245</v>
      </c>
      <c r="F29" s="167">
        <f>F30</f>
        <v>8856.59</v>
      </c>
    </row>
    <row r="30" spans="1:6" s="146" customFormat="1" ht="12.75" customHeight="1" x14ac:dyDescent="0.25">
      <c r="A30" s="253"/>
      <c r="B30" s="254"/>
      <c r="C30" s="254"/>
      <c r="D30" s="259"/>
      <c r="E30" s="260" t="s">
        <v>246</v>
      </c>
      <c r="F30" s="261">
        <v>8856.59</v>
      </c>
    </row>
    <row r="31" spans="1:6" s="148" customFormat="1" ht="16.899999999999999" customHeight="1" x14ac:dyDescent="0.25">
      <c r="A31" s="235">
        <v>14</v>
      </c>
      <c r="B31" s="235">
        <v>921</v>
      </c>
      <c r="C31" s="235">
        <v>92116</v>
      </c>
      <c r="D31" s="235">
        <v>2800</v>
      </c>
      <c r="E31" s="166" t="s">
        <v>247</v>
      </c>
      <c r="F31" s="167">
        <f>F32</f>
        <v>50000</v>
      </c>
    </row>
    <row r="32" spans="1:6" s="146" customFormat="1" ht="12.75" customHeight="1" x14ac:dyDescent="0.25">
      <c r="A32" s="253"/>
      <c r="B32" s="254"/>
      <c r="C32" s="254"/>
      <c r="D32" s="259"/>
      <c r="E32" s="262" t="s">
        <v>248</v>
      </c>
      <c r="F32" s="261">
        <v>50000</v>
      </c>
    </row>
    <row r="33" spans="1:6" s="146" customFormat="1" ht="16.5" customHeight="1" x14ac:dyDescent="0.25">
      <c r="A33" s="235">
        <v>15</v>
      </c>
      <c r="B33" s="235">
        <v>921</v>
      </c>
      <c r="C33" s="235">
        <v>92116</v>
      </c>
      <c r="D33" s="235">
        <v>6229</v>
      </c>
      <c r="E33" s="166" t="s">
        <v>249</v>
      </c>
      <c r="F33" s="167">
        <f>F34</f>
        <v>37139.85</v>
      </c>
    </row>
    <row r="34" spans="1:6" s="146" customFormat="1" ht="12.75" customHeight="1" x14ac:dyDescent="0.25">
      <c r="A34" s="253"/>
      <c r="B34" s="254"/>
      <c r="C34" s="254"/>
      <c r="D34" s="259"/>
      <c r="E34" s="262" t="s">
        <v>248</v>
      </c>
      <c r="F34" s="261">
        <v>37139.85</v>
      </c>
    </row>
    <row r="35" spans="1:6" s="148" customFormat="1" ht="17.25" customHeight="1" x14ac:dyDescent="0.25">
      <c r="A35" s="519"/>
      <c r="B35" s="520"/>
      <c r="C35" s="520"/>
      <c r="D35" s="521"/>
      <c r="E35" s="522" t="s">
        <v>250</v>
      </c>
      <c r="F35" s="309">
        <f>SUM(F13,F14,F15,F16,F17,F18,F19,F20,F21,F23,F25,F27,F29,F31,F33)</f>
        <v>10853167.589999998</v>
      </c>
    </row>
    <row r="36" spans="1:6" s="148" customFormat="1" ht="15.75" customHeight="1" x14ac:dyDescent="0.25">
      <c r="A36" s="231" t="s">
        <v>251</v>
      </c>
      <c r="B36" s="232"/>
      <c r="C36" s="232"/>
      <c r="D36" s="233"/>
      <c r="E36" s="232"/>
      <c r="F36" s="234"/>
    </row>
    <row r="37" spans="1:6" s="148" customFormat="1" ht="16.899999999999999" customHeight="1" x14ac:dyDescent="0.25">
      <c r="A37" s="235">
        <v>1</v>
      </c>
      <c r="B37" s="235">
        <v>853</v>
      </c>
      <c r="C37" s="235">
        <v>85395</v>
      </c>
      <c r="D37" s="235">
        <v>2510</v>
      </c>
      <c r="E37" s="166" t="s">
        <v>17</v>
      </c>
      <c r="F37" s="167">
        <f>F38</f>
        <v>1186180</v>
      </c>
    </row>
    <row r="38" spans="1:6" s="146" customFormat="1" ht="12.75" customHeight="1" x14ac:dyDescent="0.25">
      <c r="A38" s="253"/>
      <c r="B38" s="254"/>
      <c r="C38" s="255"/>
      <c r="D38" s="256"/>
      <c r="E38" s="263" t="s">
        <v>252</v>
      </c>
      <c r="F38" s="264">
        <v>1186180</v>
      </c>
    </row>
    <row r="39" spans="1:6" s="148" customFormat="1" ht="16.899999999999999" customHeight="1" x14ac:dyDescent="0.25">
      <c r="A39" s="235">
        <v>2</v>
      </c>
      <c r="B39" s="235">
        <v>921</v>
      </c>
      <c r="C39" s="235">
        <v>92110</v>
      </c>
      <c r="D39" s="235">
        <v>2480</v>
      </c>
      <c r="E39" s="166" t="s">
        <v>148</v>
      </c>
      <c r="F39" s="265">
        <f>F40</f>
        <v>1380000</v>
      </c>
    </row>
    <row r="40" spans="1:6" s="146" customFormat="1" ht="12.75" customHeight="1" x14ac:dyDescent="0.25">
      <c r="A40" s="253"/>
      <c r="B40" s="254"/>
      <c r="C40" s="255"/>
      <c r="D40" s="266"/>
      <c r="E40" s="267" t="s">
        <v>241</v>
      </c>
      <c r="F40" s="264">
        <v>1380000</v>
      </c>
    </row>
    <row r="41" spans="1:6" s="148" customFormat="1" ht="16.899999999999999" customHeight="1" x14ac:dyDescent="0.25">
      <c r="A41" s="235">
        <v>3</v>
      </c>
      <c r="B41" s="235">
        <v>921</v>
      </c>
      <c r="C41" s="235">
        <v>92113</v>
      </c>
      <c r="D41" s="235">
        <v>2480</v>
      </c>
      <c r="E41" s="166" t="s">
        <v>151</v>
      </c>
      <c r="F41" s="265">
        <f>F42</f>
        <v>10500000</v>
      </c>
    </row>
    <row r="42" spans="1:6" s="146" customFormat="1" ht="12" customHeight="1" x14ac:dyDescent="0.25">
      <c r="A42" s="268"/>
      <c r="B42" s="255"/>
      <c r="C42" s="255"/>
      <c r="D42" s="255"/>
      <c r="E42" s="260" t="s">
        <v>253</v>
      </c>
      <c r="F42" s="269">
        <v>10500000</v>
      </c>
    </row>
    <row r="43" spans="1:6" s="148" customFormat="1" ht="16.899999999999999" customHeight="1" x14ac:dyDescent="0.25">
      <c r="A43" s="235">
        <v>4</v>
      </c>
      <c r="B43" s="235">
        <v>921</v>
      </c>
      <c r="C43" s="235">
        <v>92114</v>
      </c>
      <c r="D43" s="235">
        <v>2480</v>
      </c>
      <c r="E43" s="166" t="s">
        <v>254</v>
      </c>
      <c r="F43" s="265">
        <f>F44</f>
        <v>2220000</v>
      </c>
    </row>
    <row r="44" spans="1:6" s="146" customFormat="1" ht="12.75" customHeight="1" x14ac:dyDescent="0.25">
      <c r="A44" s="253"/>
      <c r="B44" s="254"/>
      <c r="C44" s="254"/>
      <c r="D44" s="254"/>
      <c r="E44" s="260" t="s">
        <v>246</v>
      </c>
      <c r="F44" s="264">
        <v>2220000</v>
      </c>
    </row>
    <row r="45" spans="1:6" s="148" customFormat="1" ht="16.899999999999999" customHeight="1" x14ac:dyDescent="0.25">
      <c r="A45" s="235">
        <v>5</v>
      </c>
      <c r="B45" s="235">
        <v>921</v>
      </c>
      <c r="C45" s="235">
        <v>92116</v>
      </c>
      <c r="D45" s="235">
        <v>2480</v>
      </c>
      <c r="E45" s="166" t="s">
        <v>247</v>
      </c>
      <c r="F45" s="167">
        <f>F46</f>
        <v>6400000</v>
      </c>
    </row>
    <row r="46" spans="1:6" s="146" customFormat="1" ht="12.75" customHeight="1" x14ac:dyDescent="0.25">
      <c r="A46" s="253"/>
      <c r="B46" s="270"/>
      <c r="C46" s="270"/>
      <c r="D46" s="259"/>
      <c r="E46" s="260" t="s">
        <v>248</v>
      </c>
      <c r="F46" s="264">
        <v>6400000</v>
      </c>
    </row>
    <row r="47" spans="1:6" s="148" customFormat="1" ht="18" customHeight="1" x14ac:dyDescent="0.25">
      <c r="A47" s="519"/>
      <c r="B47" s="520"/>
      <c r="C47" s="520"/>
      <c r="D47" s="521"/>
      <c r="E47" s="522" t="s">
        <v>250</v>
      </c>
      <c r="F47" s="309">
        <f>SUM(F37,F39,F41,F43,F45)</f>
        <v>21686180</v>
      </c>
    </row>
    <row r="48" spans="1:6" s="148" customFormat="1" ht="22.5" customHeight="1" x14ac:dyDescent="0.25">
      <c r="A48" s="231"/>
      <c r="B48" s="461"/>
      <c r="C48" s="461"/>
      <c r="D48" s="233"/>
      <c r="E48" s="386" t="s">
        <v>23</v>
      </c>
      <c r="F48" s="387">
        <f>SUM(F35,F47)</f>
        <v>32539347.589999996</v>
      </c>
    </row>
    <row r="50" spans="1:6" s="148" customFormat="1" x14ac:dyDescent="0.25">
      <c r="A50" s="147"/>
      <c r="D50" s="224"/>
      <c r="F50" s="237"/>
    </row>
    <row r="51" spans="1:6" s="148" customFormat="1" x14ac:dyDescent="0.25">
      <c r="A51" s="164"/>
      <c r="D51" s="224"/>
      <c r="F51" s="237"/>
    </row>
    <row r="52" spans="1:6" s="148" customFormat="1" x14ac:dyDescent="0.25">
      <c r="A52" s="164"/>
      <c r="D52" s="224"/>
    </row>
  </sheetData>
  <mergeCells count="2">
    <mergeCell ref="A6:F6"/>
    <mergeCell ref="A7:F7"/>
  </mergeCells>
  <printOptions horizontalCentered="1"/>
  <pageMargins left="0.59055118110236227" right="0.59055118110236227" top="0.74803149606299213" bottom="0.62992125984251968" header="0.31496062992125984" footer="0.31496062992125984"/>
  <pageSetup paperSize="9" scale="91" firstPageNumber="65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49621-470D-4CE0-8FF8-0B35D5754B44}">
  <sheetPr>
    <tabColor rgb="FF00FF00"/>
  </sheetPr>
  <dimension ref="A1:H149"/>
  <sheetViews>
    <sheetView zoomScale="130" zoomScaleNormal="130" workbookViewId="0"/>
  </sheetViews>
  <sheetFormatPr defaultRowHeight="13.5" x14ac:dyDescent="0.25"/>
  <cols>
    <col min="1" max="1" width="4.42578125" style="148" customWidth="1"/>
    <col min="2" max="2" width="5.7109375" style="148" customWidth="1"/>
    <col min="3" max="3" width="7.5703125" style="148" customWidth="1"/>
    <col min="4" max="4" width="5.28515625" style="271" customWidth="1"/>
    <col min="5" max="5" width="46.140625" style="148" customWidth="1"/>
    <col min="6" max="6" width="22.28515625" style="148" customWidth="1"/>
    <col min="7" max="7" width="9.140625" style="148" customWidth="1"/>
    <col min="8" max="8" width="12.28515625" style="148" customWidth="1"/>
    <col min="9" max="256" width="9.140625" style="148"/>
    <col min="257" max="257" width="4.42578125" style="148" customWidth="1"/>
    <col min="258" max="258" width="5.7109375" style="148" customWidth="1"/>
    <col min="259" max="259" width="7.5703125" style="148" customWidth="1"/>
    <col min="260" max="260" width="6.5703125" style="148" customWidth="1"/>
    <col min="261" max="261" width="47.42578125" style="148" customWidth="1"/>
    <col min="262" max="262" width="22.28515625" style="148" customWidth="1"/>
    <col min="263" max="263" width="9.140625" style="148"/>
    <col min="264" max="264" width="12.28515625" style="148" customWidth="1"/>
    <col min="265" max="512" width="9.140625" style="148"/>
    <col min="513" max="513" width="4.42578125" style="148" customWidth="1"/>
    <col min="514" max="514" width="5.7109375" style="148" customWidth="1"/>
    <col min="515" max="515" width="7.5703125" style="148" customWidth="1"/>
    <col min="516" max="516" width="6.5703125" style="148" customWidth="1"/>
    <col min="517" max="517" width="47.42578125" style="148" customWidth="1"/>
    <col min="518" max="518" width="22.28515625" style="148" customWidth="1"/>
    <col min="519" max="519" width="9.140625" style="148"/>
    <col min="520" max="520" width="12.28515625" style="148" customWidth="1"/>
    <col min="521" max="768" width="9.140625" style="148"/>
    <col min="769" max="769" width="4.42578125" style="148" customWidth="1"/>
    <col min="770" max="770" width="5.7109375" style="148" customWidth="1"/>
    <col min="771" max="771" width="7.5703125" style="148" customWidth="1"/>
    <col min="772" max="772" width="6.5703125" style="148" customWidth="1"/>
    <col min="773" max="773" width="47.42578125" style="148" customWidth="1"/>
    <col min="774" max="774" width="22.28515625" style="148" customWidth="1"/>
    <col min="775" max="775" width="9.140625" style="148"/>
    <col min="776" max="776" width="12.28515625" style="148" customWidth="1"/>
    <col min="777" max="1024" width="9.140625" style="148"/>
    <col min="1025" max="1025" width="4.42578125" style="148" customWidth="1"/>
    <col min="1026" max="1026" width="5.7109375" style="148" customWidth="1"/>
    <col min="1027" max="1027" width="7.5703125" style="148" customWidth="1"/>
    <col min="1028" max="1028" width="6.5703125" style="148" customWidth="1"/>
    <col min="1029" max="1029" width="47.42578125" style="148" customWidth="1"/>
    <col min="1030" max="1030" width="22.28515625" style="148" customWidth="1"/>
    <col min="1031" max="1031" width="9.140625" style="148"/>
    <col min="1032" max="1032" width="12.28515625" style="148" customWidth="1"/>
    <col min="1033" max="1280" width="9.140625" style="148"/>
    <col min="1281" max="1281" width="4.42578125" style="148" customWidth="1"/>
    <col min="1282" max="1282" width="5.7109375" style="148" customWidth="1"/>
    <col min="1283" max="1283" width="7.5703125" style="148" customWidth="1"/>
    <col min="1284" max="1284" width="6.5703125" style="148" customWidth="1"/>
    <col min="1285" max="1285" width="47.42578125" style="148" customWidth="1"/>
    <col min="1286" max="1286" width="22.28515625" style="148" customWidth="1"/>
    <col min="1287" max="1287" width="9.140625" style="148"/>
    <col min="1288" max="1288" width="12.28515625" style="148" customWidth="1"/>
    <col min="1289" max="1536" width="9.140625" style="148"/>
    <col min="1537" max="1537" width="4.42578125" style="148" customWidth="1"/>
    <col min="1538" max="1538" width="5.7109375" style="148" customWidth="1"/>
    <col min="1539" max="1539" width="7.5703125" style="148" customWidth="1"/>
    <col min="1540" max="1540" width="6.5703125" style="148" customWidth="1"/>
    <col min="1541" max="1541" width="47.42578125" style="148" customWidth="1"/>
    <col min="1542" max="1542" width="22.28515625" style="148" customWidth="1"/>
    <col min="1543" max="1543" width="9.140625" style="148"/>
    <col min="1544" max="1544" width="12.28515625" style="148" customWidth="1"/>
    <col min="1545" max="1792" width="9.140625" style="148"/>
    <col min="1793" max="1793" width="4.42578125" style="148" customWidth="1"/>
    <col min="1794" max="1794" width="5.7109375" style="148" customWidth="1"/>
    <col min="1795" max="1795" width="7.5703125" style="148" customWidth="1"/>
    <col min="1796" max="1796" width="6.5703125" style="148" customWidth="1"/>
    <col min="1797" max="1797" width="47.42578125" style="148" customWidth="1"/>
    <col min="1798" max="1798" width="22.28515625" style="148" customWidth="1"/>
    <col min="1799" max="1799" width="9.140625" style="148"/>
    <col min="1800" max="1800" width="12.28515625" style="148" customWidth="1"/>
    <col min="1801" max="2048" width="9.140625" style="148"/>
    <col min="2049" max="2049" width="4.42578125" style="148" customWidth="1"/>
    <col min="2050" max="2050" width="5.7109375" style="148" customWidth="1"/>
    <col min="2051" max="2051" width="7.5703125" style="148" customWidth="1"/>
    <col min="2052" max="2052" width="6.5703125" style="148" customWidth="1"/>
    <col min="2053" max="2053" width="47.42578125" style="148" customWidth="1"/>
    <col min="2054" max="2054" width="22.28515625" style="148" customWidth="1"/>
    <col min="2055" max="2055" width="9.140625" style="148"/>
    <col min="2056" max="2056" width="12.28515625" style="148" customWidth="1"/>
    <col min="2057" max="2304" width="9.140625" style="148"/>
    <col min="2305" max="2305" width="4.42578125" style="148" customWidth="1"/>
    <col min="2306" max="2306" width="5.7109375" style="148" customWidth="1"/>
    <col min="2307" max="2307" width="7.5703125" style="148" customWidth="1"/>
    <col min="2308" max="2308" width="6.5703125" style="148" customWidth="1"/>
    <col min="2309" max="2309" width="47.42578125" style="148" customWidth="1"/>
    <col min="2310" max="2310" width="22.28515625" style="148" customWidth="1"/>
    <col min="2311" max="2311" width="9.140625" style="148"/>
    <col min="2312" max="2312" width="12.28515625" style="148" customWidth="1"/>
    <col min="2313" max="2560" width="9.140625" style="148"/>
    <col min="2561" max="2561" width="4.42578125" style="148" customWidth="1"/>
    <col min="2562" max="2562" width="5.7109375" style="148" customWidth="1"/>
    <col min="2563" max="2563" width="7.5703125" style="148" customWidth="1"/>
    <col min="2564" max="2564" width="6.5703125" style="148" customWidth="1"/>
    <col min="2565" max="2565" width="47.42578125" style="148" customWidth="1"/>
    <col min="2566" max="2566" width="22.28515625" style="148" customWidth="1"/>
    <col min="2567" max="2567" width="9.140625" style="148"/>
    <col min="2568" max="2568" width="12.28515625" style="148" customWidth="1"/>
    <col min="2569" max="2816" width="9.140625" style="148"/>
    <col min="2817" max="2817" width="4.42578125" style="148" customWidth="1"/>
    <col min="2818" max="2818" width="5.7109375" style="148" customWidth="1"/>
    <col min="2819" max="2819" width="7.5703125" style="148" customWidth="1"/>
    <col min="2820" max="2820" width="6.5703125" style="148" customWidth="1"/>
    <col min="2821" max="2821" width="47.42578125" style="148" customWidth="1"/>
    <col min="2822" max="2822" width="22.28515625" style="148" customWidth="1"/>
    <col min="2823" max="2823" width="9.140625" style="148"/>
    <col min="2824" max="2824" width="12.28515625" style="148" customWidth="1"/>
    <col min="2825" max="3072" width="9.140625" style="148"/>
    <col min="3073" max="3073" width="4.42578125" style="148" customWidth="1"/>
    <col min="3074" max="3074" width="5.7109375" style="148" customWidth="1"/>
    <col min="3075" max="3075" width="7.5703125" style="148" customWidth="1"/>
    <col min="3076" max="3076" width="6.5703125" style="148" customWidth="1"/>
    <col min="3077" max="3077" width="47.42578125" style="148" customWidth="1"/>
    <col min="3078" max="3078" width="22.28515625" style="148" customWidth="1"/>
    <col min="3079" max="3079" width="9.140625" style="148"/>
    <col min="3080" max="3080" width="12.28515625" style="148" customWidth="1"/>
    <col min="3081" max="3328" width="9.140625" style="148"/>
    <col min="3329" max="3329" width="4.42578125" style="148" customWidth="1"/>
    <col min="3330" max="3330" width="5.7109375" style="148" customWidth="1"/>
    <col min="3331" max="3331" width="7.5703125" style="148" customWidth="1"/>
    <col min="3332" max="3332" width="6.5703125" style="148" customWidth="1"/>
    <col min="3333" max="3333" width="47.42578125" style="148" customWidth="1"/>
    <col min="3334" max="3334" width="22.28515625" style="148" customWidth="1"/>
    <col min="3335" max="3335" width="9.140625" style="148"/>
    <col min="3336" max="3336" width="12.28515625" style="148" customWidth="1"/>
    <col min="3337" max="3584" width="9.140625" style="148"/>
    <col min="3585" max="3585" width="4.42578125" style="148" customWidth="1"/>
    <col min="3586" max="3586" width="5.7109375" style="148" customWidth="1"/>
    <col min="3587" max="3587" width="7.5703125" style="148" customWidth="1"/>
    <col min="3588" max="3588" width="6.5703125" style="148" customWidth="1"/>
    <col min="3589" max="3589" width="47.42578125" style="148" customWidth="1"/>
    <col min="3590" max="3590" width="22.28515625" style="148" customWidth="1"/>
    <col min="3591" max="3591" width="9.140625" style="148"/>
    <col min="3592" max="3592" width="12.28515625" style="148" customWidth="1"/>
    <col min="3593" max="3840" width="9.140625" style="148"/>
    <col min="3841" max="3841" width="4.42578125" style="148" customWidth="1"/>
    <col min="3842" max="3842" width="5.7109375" style="148" customWidth="1"/>
    <col min="3843" max="3843" width="7.5703125" style="148" customWidth="1"/>
    <col min="3844" max="3844" width="6.5703125" style="148" customWidth="1"/>
    <col min="3845" max="3845" width="47.42578125" style="148" customWidth="1"/>
    <col min="3846" max="3846" width="22.28515625" style="148" customWidth="1"/>
    <col min="3847" max="3847" width="9.140625" style="148"/>
    <col min="3848" max="3848" width="12.28515625" style="148" customWidth="1"/>
    <col min="3849" max="4096" width="9.140625" style="148"/>
    <col min="4097" max="4097" width="4.42578125" style="148" customWidth="1"/>
    <col min="4098" max="4098" width="5.7109375" style="148" customWidth="1"/>
    <col min="4099" max="4099" width="7.5703125" style="148" customWidth="1"/>
    <col min="4100" max="4100" width="6.5703125" style="148" customWidth="1"/>
    <col min="4101" max="4101" width="47.42578125" style="148" customWidth="1"/>
    <col min="4102" max="4102" width="22.28515625" style="148" customWidth="1"/>
    <col min="4103" max="4103" width="9.140625" style="148"/>
    <col min="4104" max="4104" width="12.28515625" style="148" customWidth="1"/>
    <col min="4105" max="4352" width="9.140625" style="148"/>
    <col min="4353" max="4353" width="4.42578125" style="148" customWidth="1"/>
    <col min="4354" max="4354" width="5.7109375" style="148" customWidth="1"/>
    <col min="4355" max="4355" width="7.5703125" style="148" customWidth="1"/>
    <col min="4356" max="4356" width="6.5703125" style="148" customWidth="1"/>
    <col min="4357" max="4357" width="47.42578125" style="148" customWidth="1"/>
    <col min="4358" max="4358" width="22.28515625" style="148" customWidth="1"/>
    <col min="4359" max="4359" width="9.140625" style="148"/>
    <col min="4360" max="4360" width="12.28515625" style="148" customWidth="1"/>
    <col min="4361" max="4608" width="9.140625" style="148"/>
    <col min="4609" max="4609" width="4.42578125" style="148" customWidth="1"/>
    <col min="4610" max="4610" width="5.7109375" style="148" customWidth="1"/>
    <col min="4611" max="4611" width="7.5703125" style="148" customWidth="1"/>
    <col min="4612" max="4612" width="6.5703125" style="148" customWidth="1"/>
    <col min="4613" max="4613" width="47.42578125" style="148" customWidth="1"/>
    <col min="4614" max="4614" width="22.28515625" style="148" customWidth="1"/>
    <col min="4615" max="4615" width="9.140625" style="148"/>
    <col min="4616" max="4616" width="12.28515625" style="148" customWidth="1"/>
    <col min="4617" max="4864" width="9.140625" style="148"/>
    <col min="4865" max="4865" width="4.42578125" style="148" customWidth="1"/>
    <col min="4866" max="4866" width="5.7109375" style="148" customWidth="1"/>
    <col min="4867" max="4867" width="7.5703125" style="148" customWidth="1"/>
    <col min="4868" max="4868" width="6.5703125" style="148" customWidth="1"/>
    <col min="4869" max="4869" width="47.42578125" style="148" customWidth="1"/>
    <col min="4870" max="4870" width="22.28515625" style="148" customWidth="1"/>
    <col min="4871" max="4871" width="9.140625" style="148"/>
    <col min="4872" max="4872" width="12.28515625" style="148" customWidth="1"/>
    <col min="4873" max="5120" width="9.140625" style="148"/>
    <col min="5121" max="5121" width="4.42578125" style="148" customWidth="1"/>
    <col min="5122" max="5122" width="5.7109375" style="148" customWidth="1"/>
    <col min="5123" max="5123" width="7.5703125" style="148" customWidth="1"/>
    <col min="5124" max="5124" width="6.5703125" style="148" customWidth="1"/>
    <col min="5125" max="5125" width="47.42578125" style="148" customWidth="1"/>
    <col min="5126" max="5126" width="22.28515625" style="148" customWidth="1"/>
    <col min="5127" max="5127" width="9.140625" style="148"/>
    <col min="5128" max="5128" width="12.28515625" style="148" customWidth="1"/>
    <col min="5129" max="5376" width="9.140625" style="148"/>
    <col min="5377" max="5377" width="4.42578125" style="148" customWidth="1"/>
    <col min="5378" max="5378" width="5.7109375" style="148" customWidth="1"/>
    <col min="5379" max="5379" width="7.5703125" style="148" customWidth="1"/>
    <col min="5380" max="5380" width="6.5703125" style="148" customWidth="1"/>
    <col min="5381" max="5381" width="47.42578125" style="148" customWidth="1"/>
    <col min="5382" max="5382" width="22.28515625" style="148" customWidth="1"/>
    <col min="5383" max="5383" width="9.140625" style="148"/>
    <col min="5384" max="5384" width="12.28515625" style="148" customWidth="1"/>
    <col min="5385" max="5632" width="9.140625" style="148"/>
    <col min="5633" max="5633" width="4.42578125" style="148" customWidth="1"/>
    <col min="5634" max="5634" width="5.7109375" style="148" customWidth="1"/>
    <col min="5635" max="5635" width="7.5703125" style="148" customWidth="1"/>
    <col min="5636" max="5636" width="6.5703125" style="148" customWidth="1"/>
    <col min="5637" max="5637" width="47.42578125" style="148" customWidth="1"/>
    <col min="5638" max="5638" width="22.28515625" style="148" customWidth="1"/>
    <col min="5639" max="5639" width="9.140625" style="148"/>
    <col min="5640" max="5640" width="12.28515625" style="148" customWidth="1"/>
    <col min="5641" max="5888" width="9.140625" style="148"/>
    <col min="5889" max="5889" width="4.42578125" style="148" customWidth="1"/>
    <col min="5890" max="5890" width="5.7109375" style="148" customWidth="1"/>
    <col min="5891" max="5891" width="7.5703125" style="148" customWidth="1"/>
    <col min="5892" max="5892" width="6.5703125" style="148" customWidth="1"/>
    <col min="5893" max="5893" width="47.42578125" style="148" customWidth="1"/>
    <col min="5894" max="5894" width="22.28515625" style="148" customWidth="1"/>
    <col min="5895" max="5895" width="9.140625" style="148"/>
    <col min="5896" max="5896" width="12.28515625" style="148" customWidth="1"/>
    <col min="5897" max="6144" width="9.140625" style="148"/>
    <col min="6145" max="6145" width="4.42578125" style="148" customWidth="1"/>
    <col min="6146" max="6146" width="5.7109375" style="148" customWidth="1"/>
    <col min="6147" max="6147" width="7.5703125" style="148" customWidth="1"/>
    <col min="6148" max="6148" width="6.5703125" style="148" customWidth="1"/>
    <col min="6149" max="6149" width="47.42578125" style="148" customWidth="1"/>
    <col min="6150" max="6150" width="22.28515625" style="148" customWidth="1"/>
    <col min="6151" max="6151" width="9.140625" style="148"/>
    <col min="6152" max="6152" width="12.28515625" style="148" customWidth="1"/>
    <col min="6153" max="6400" width="9.140625" style="148"/>
    <col min="6401" max="6401" width="4.42578125" style="148" customWidth="1"/>
    <col min="6402" max="6402" width="5.7109375" style="148" customWidth="1"/>
    <col min="6403" max="6403" width="7.5703125" style="148" customWidth="1"/>
    <col min="6404" max="6404" width="6.5703125" style="148" customWidth="1"/>
    <col min="6405" max="6405" width="47.42578125" style="148" customWidth="1"/>
    <col min="6406" max="6406" width="22.28515625" style="148" customWidth="1"/>
    <col min="6407" max="6407" width="9.140625" style="148"/>
    <col min="6408" max="6408" width="12.28515625" style="148" customWidth="1"/>
    <col min="6409" max="6656" width="9.140625" style="148"/>
    <col min="6657" max="6657" width="4.42578125" style="148" customWidth="1"/>
    <col min="6658" max="6658" width="5.7109375" style="148" customWidth="1"/>
    <col min="6659" max="6659" width="7.5703125" style="148" customWidth="1"/>
    <col min="6660" max="6660" width="6.5703125" style="148" customWidth="1"/>
    <col min="6661" max="6661" width="47.42578125" style="148" customWidth="1"/>
    <col min="6662" max="6662" width="22.28515625" style="148" customWidth="1"/>
    <col min="6663" max="6663" width="9.140625" style="148"/>
    <col min="6664" max="6664" width="12.28515625" style="148" customWidth="1"/>
    <col min="6665" max="6912" width="9.140625" style="148"/>
    <col min="6913" max="6913" width="4.42578125" style="148" customWidth="1"/>
    <col min="6914" max="6914" width="5.7109375" style="148" customWidth="1"/>
    <col min="6915" max="6915" width="7.5703125" style="148" customWidth="1"/>
    <col min="6916" max="6916" width="6.5703125" style="148" customWidth="1"/>
    <col min="6917" max="6917" width="47.42578125" style="148" customWidth="1"/>
    <col min="6918" max="6918" width="22.28515625" style="148" customWidth="1"/>
    <col min="6919" max="6919" width="9.140625" style="148"/>
    <col min="6920" max="6920" width="12.28515625" style="148" customWidth="1"/>
    <col min="6921" max="7168" width="9.140625" style="148"/>
    <col min="7169" max="7169" width="4.42578125" style="148" customWidth="1"/>
    <col min="7170" max="7170" width="5.7109375" style="148" customWidth="1"/>
    <col min="7171" max="7171" width="7.5703125" style="148" customWidth="1"/>
    <col min="7172" max="7172" width="6.5703125" style="148" customWidth="1"/>
    <col min="7173" max="7173" width="47.42578125" style="148" customWidth="1"/>
    <col min="7174" max="7174" width="22.28515625" style="148" customWidth="1"/>
    <col min="7175" max="7175" width="9.140625" style="148"/>
    <col min="7176" max="7176" width="12.28515625" style="148" customWidth="1"/>
    <col min="7177" max="7424" width="9.140625" style="148"/>
    <col min="7425" max="7425" width="4.42578125" style="148" customWidth="1"/>
    <col min="7426" max="7426" width="5.7109375" style="148" customWidth="1"/>
    <col min="7427" max="7427" width="7.5703125" style="148" customWidth="1"/>
    <col min="7428" max="7428" width="6.5703125" style="148" customWidth="1"/>
    <col min="7429" max="7429" width="47.42578125" style="148" customWidth="1"/>
    <col min="7430" max="7430" width="22.28515625" style="148" customWidth="1"/>
    <col min="7431" max="7431" width="9.140625" style="148"/>
    <col min="7432" max="7432" width="12.28515625" style="148" customWidth="1"/>
    <col min="7433" max="7680" width="9.140625" style="148"/>
    <col min="7681" max="7681" width="4.42578125" style="148" customWidth="1"/>
    <col min="7682" max="7682" width="5.7109375" style="148" customWidth="1"/>
    <col min="7683" max="7683" width="7.5703125" style="148" customWidth="1"/>
    <col min="7684" max="7684" width="6.5703125" style="148" customWidth="1"/>
    <col min="7685" max="7685" width="47.42578125" style="148" customWidth="1"/>
    <col min="7686" max="7686" width="22.28515625" style="148" customWidth="1"/>
    <col min="7687" max="7687" width="9.140625" style="148"/>
    <col min="7688" max="7688" width="12.28515625" style="148" customWidth="1"/>
    <col min="7689" max="7936" width="9.140625" style="148"/>
    <col min="7937" max="7937" width="4.42578125" style="148" customWidth="1"/>
    <col min="7938" max="7938" width="5.7109375" style="148" customWidth="1"/>
    <col min="7939" max="7939" width="7.5703125" style="148" customWidth="1"/>
    <col min="7940" max="7940" width="6.5703125" style="148" customWidth="1"/>
    <col min="7941" max="7941" width="47.42578125" style="148" customWidth="1"/>
    <col min="7942" max="7942" width="22.28515625" style="148" customWidth="1"/>
    <col min="7943" max="7943" width="9.140625" style="148"/>
    <col min="7944" max="7944" width="12.28515625" style="148" customWidth="1"/>
    <col min="7945" max="8192" width="9.140625" style="148"/>
    <col min="8193" max="8193" width="4.42578125" style="148" customWidth="1"/>
    <col min="8194" max="8194" width="5.7109375" style="148" customWidth="1"/>
    <col min="8195" max="8195" width="7.5703125" style="148" customWidth="1"/>
    <col min="8196" max="8196" width="6.5703125" style="148" customWidth="1"/>
    <col min="8197" max="8197" width="47.42578125" style="148" customWidth="1"/>
    <col min="8198" max="8198" width="22.28515625" style="148" customWidth="1"/>
    <col min="8199" max="8199" width="9.140625" style="148"/>
    <col min="8200" max="8200" width="12.28515625" style="148" customWidth="1"/>
    <col min="8201" max="8448" width="9.140625" style="148"/>
    <col min="8449" max="8449" width="4.42578125" style="148" customWidth="1"/>
    <col min="8450" max="8450" width="5.7109375" style="148" customWidth="1"/>
    <col min="8451" max="8451" width="7.5703125" style="148" customWidth="1"/>
    <col min="8452" max="8452" width="6.5703125" style="148" customWidth="1"/>
    <col min="8453" max="8453" width="47.42578125" style="148" customWidth="1"/>
    <col min="8454" max="8454" width="22.28515625" style="148" customWidth="1"/>
    <col min="8455" max="8455" width="9.140625" style="148"/>
    <col min="8456" max="8456" width="12.28515625" style="148" customWidth="1"/>
    <col min="8457" max="8704" width="9.140625" style="148"/>
    <col min="8705" max="8705" width="4.42578125" style="148" customWidth="1"/>
    <col min="8706" max="8706" width="5.7109375" style="148" customWidth="1"/>
    <col min="8707" max="8707" width="7.5703125" style="148" customWidth="1"/>
    <col min="8708" max="8708" width="6.5703125" style="148" customWidth="1"/>
    <col min="8709" max="8709" width="47.42578125" style="148" customWidth="1"/>
    <col min="8710" max="8710" width="22.28515625" style="148" customWidth="1"/>
    <col min="8711" max="8711" width="9.140625" style="148"/>
    <col min="8712" max="8712" width="12.28515625" style="148" customWidth="1"/>
    <col min="8713" max="8960" width="9.140625" style="148"/>
    <col min="8961" max="8961" width="4.42578125" style="148" customWidth="1"/>
    <col min="8962" max="8962" width="5.7109375" style="148" customWidth="1"/>
    <col min="8963" max="8963" width="7.5703125" style="148" customWidth="1"/>
    <col min="8964" max="8964" width="6.5703125" style="148" customWidth="1"/>
    <col min="8965" max="8965" width="47.42578125" style="148" customWidth="1"/>
    <col min="8966" max="8966" width="22.28515625" style="148" customWidth="1"/>
    <col min="8967" max="8967" width="9.140625" style="148"/>
    <col min="8968" max="8968" width="12.28515625" style="148" customWidth="1"/>
    <col min="8969" max="9216" width="9.140625" style="148"/>
    <col min="9217" max="9217" width="4.42578125" style="148" customWidth="1"/>
    <col min="9218" max="9218" width="5.7109375" style="148" customWidth="1"/>
    <col min="9219" max="9219" width="7.5703125" style="148" customWidth="1"/>
    <col min="9220" max="9220" width="6.5703125" style="148" customWidth="1"/>
    <col min="9221" max="9221" width="47.42578125" style="148" customWidth="1"/>
    <col min="9222" max="9222" width="22.28515625" style="148" customWidth="1"/>
    <col min="9223" max="9223" width="9.140625" style="148"/>
    <col min="9224" max="9224" width="12.28515625" style="148" customWidth="1"/>
    <col min="9225" max="9472" width="9.140625" style="148"/>
    <col min="9473" max="9473" width="4.42578125" style="148" customWidth="1"/>
    <col min="9474" max="9474" width="5.7109375" style="148" customWidth="1"/>
    <col min="9475" max="9475" width="7.5703125" style="148" customWidth="1"/>
    <col min="9476" max="9476" width="6.5703125" style="148" customWidth="1"/>
    <col min="9477" max="9477" width="47.42578125" style="148" customWidth="1"/>
    <col min="9478" max="9478" width="22.28515625" style="148" customWidth="1"/>
    <col min="9479" max="9479" width="9.140625" style="148"/>
    <col min="9480" max="9480" width="12.28515625" style="148" customWidth="1"/>
    <col min="9481" max="9728" width="9.140625" style="148"/>
    <col min="9729" max="9729" width="4.42578125" style="148" customWidth="1"/>
    <col min="9730" max="9730" width="5.7109375" style="148" customWidth="1"/>
    <col min="9731" max="9731" width="7.5703125" style="148" customWidth="1"/>
    <col min="9732" max="9732" width="6.5703125" style="148" customWidth="1"/>
    <col min="9733" max="9733" width="47.42578125" style="148" customWidth="1"/>
    <col min="9734" max="9734" width="22.28515625" style="148" customWidth="1"/>
    <col min="9735" max="9735" width="9.140625" style="148"/>
    <col min="9736" max="9736" width="12.28515625" style="148" customWidth="1"/>
    <col min="9737" max="9984" width="9.140625" style="148"/>
    <col min="9985" max="9985" width="4.42578125" style="148" customWidth="1"/>
    <col min="9986" max="9986" width="5.7109375" style="148" customWidth="1"/>
    <col min="9987" max="9987" width="7.5703125" style="148" customWidth="1"/>
    <col min="9988" max="9988" width="6.5703125" style="148" customWidth="1"/>
    <col min="9989" max="9989" width="47.42578125" style="148" customWidth="1"/>
    <col min="9990" max="9990" width="22.28515625" style="148" customWidth="1"/>
    <col min="9991" max="9991" width="9.140625" style="148"/>
    <col min="9992" max="9992" width="12.28515625" style="148" customWidth="1"/>
    <col min="9993" max="10240" width="9.140625" style="148"/>
    <col min="10241" max="10241" width="4.42578125" style="148" customWidth="1"/>
    <col min="10242" max="10242" width="5.7109375" style="148" customWidth="1"/>
    <col min="10243" max="10243" width="7.5703125" style="148" customWidth="1"/>
    <col min="10244" max="10244" width="6.5703125" style="148" customWidth="1"/>
    <col min="10245" max="10245" width="47.42578125" style="148" customWidth="1"/>
    <col min="10246" max="10246" width="22.28515625" style="148" customWidth="1"/>
    <col min="10247" max="10247" width="9.140625" style="148"/>
    <col min="10248" max="10248" width="12.28515625" style="148" customWidth="1"/>
    <col min="10249" max="10496" width="9.140625" style="148"/>
    <col min="10497" max="10497" width="4.42578125" style="148" customWidth="1"/>
    <col min="10498" max="10498" width="5.7109375" style="148" customWidth="1"/>
    <col min="10499" max="10499" width="7.5703125" style="148" customWidth="1"/>
    <col min="10500" max="10500" width="6.5703125" style="148" customWidth="1"/>
    <col min="10501" max="10501" width="47.42578125" style="148" customWidth="1"/>
    <col min="10502" max="10502" width="22.28515625" style="148" customWidth="1"/>
    <col min="10503" max="10503" width="9.140625" style="148"/>
    <col min="10504" max="10504" width="12.28515625" style="148" customWidth="1"/>
    <col min="10505" max="10752" width="9.140625" style="148"/>
    <col min="10753" max="10753" width="4.42578125" style="148" customWidth="1"/>
    <col min="10754" max="10754" width="5.7109375" style="148" customWidth="1"/>
    <col min="10755" max="10755" width="7.5703125" style="148" customWidth="1"/>
    <col min="10756" max="10756" width="6.5703125" style="148" customWidth="1"/>
    <col min="10757" max="10757" width="47.42578125" style="148" customWidth="1"/>
    <col min="10758" max="10758" width="22.28515625" style="148" customWidth="1"/>
    <col min="10759" max="10759" width="9.140625" style="148"/>
    <col min="10760" max="10760" width="12.28515625" style="148" customWidth="1"/>
    <col min="10761" max="11008" width="9.140625" style="148"/>
    <col min="11009" max="11009" width="4.42578125" style="148" customWidth="1"/>
    <col min="11010" max="11010" width="5.7109375" style="148" customWidth="1"/>
    <col min="11011" max="11011" width="7.5703125" style="148" customWidth="1"/>
    <col min="11012" max="11012" width="6.5703125" style="148" customWidth="1"/>
    <col min="11013" max="11013" width="47.42578125" style="148" customWidth="1"/>
    <col min="11014" max="11014" width="22.28515625" style="148" customWidth="1"/>
    <col min="11015" max="11015" width="9.140625" style="148"/>
    <col min="11016" max="11016" width="12.28515625" style="148" customWidth="1"/>
    <col min="11017" max="11264" width="9.140625" style="148"/>
    <col min="11265" max="11265" width="4.42578125" style="148" customWidth="1"/>
    <col min="11266" max="11266" width="5.7109375" style="148" customWidth="1"/>
    <col min="11267" max="11267" width="7.5703125" style="148" customWidth="1"/>
    <col min="11268" max="11268" width="6.5703125" style="148" customWidth="1"/>
    <col min="11269" max="11269" width="47.42578125" style="148" customWidth="1"/>
    <col min="11270" max="11270" width="22.28515625" style="148" customWidth="1"/>
    <col min="11271" max="11271" width="9.140625" style="148"/>
    <col min="11272" max="11272" width="12.28515625" style="148" customWidth="1"/>
    <col min="11273" max="11520" width="9.140625" style="148"/>
    <col min="11521" max="11521" width="4.42578125" style="148" customWidth="1"/>
    <col min="11522" max="11522" width="5.7109375" style="148" customWidth="1"/>
    <col min="11523" max="11523" width="7.5703125" style="148" customWidth="1"/>
    <col min="11524" max="11524" width="6.5703125" style="148" customWidth="1"/>
    <col min="11525" max="11525" width="47.42578125" style="148" customWidth="1"/>
    <col min="11526" max="11526" width="22.28515625" style="148" customWidth="1"/>
    <col min="11527" max="11527" width="9.140625" style="148"/>
    <col min="11528" max="11528" width="12.28515625" style="148" customWidth="1"/>
    <col min="11529" max="11776" width="9.140625" style="148"/>
    <col min="11777" max="11777" width="4.42578125" style="148" customWidth="1"/>
    <col min="11778" max="11778" width="5.7109375" style="148" customWidth="1"/>
    <col min="11779" max="11779" width="7.5703125" style="148" customWidth="1"/>
    <col min="11780" max="11780" width="6.5703125" style="148" customWidth="1"/>
    <col min="11781" max="11781" width="47.42578125" style="148" customWidth="1"/>
    <col min="11782" max="11782" width="22.28515625" style="148" customWidth="1"/>
    <col min="11783" max="11783" width="9.140625" style="148"/>
    <col min="11784" max="11784" width="12.28515625" style="148" customWidth="1"/>
    <col min="11785" max="12032" width="9.140625" style="148"/>
    <col min="12033" max="12033" width="4.42578125" style="148" customWidth="1"/>
    <col min="12034" max="12034" width="5.7109375" style="148" customWidth="1"/>
    <col min="12035" max="12035" width="7.5703125" style="148" customWidth="1"/>
    <col min="12036" max="12036" width="6.5703125" style="148" customWidth="1"/>
    <col min="12037" max="12037" width="47.42578125" style="148" customWidth="1"/>
    <col min="12038" max="12038" width="22.28515625" style="148" customWidth="1"/>
    <col min="12039" max="12039" width="9.140625" style="148"/>
    <col min="12040" max="12040" width="12.28515625" style="148" customWidth="1"/>
    <col min="12041" max="12288" width="9.140625" style="148"/>
    <col min="12289" max="12289" width="4.42578125" style="148" customWidth="1"/>
    <col min="12290" max="12290" width="5.7109375" style="148" customWidth="1"/>
    <col min="12291" max="12291" width="7.5703125" style="148" customWidth="1"/>
    <col min="12292" max="12292" width="6.5703125" style="148" customWidth="1"/>
    <col min="12293" max="12293" width="47.42578125" style="148" customWidth="1"/>
    <col min="12294" max="12294" width="22.28515625" style="148" customWidth="1"/>
    <col min="12295" max="12295" width="9.140625" style="148"/>
    <col min="12296" max="12296" width="12.28515625" style="148" customWidth="1"/>
    <col min="12297" max="12544" width="9.140625" style="148"/>
    <col min="12545" max="12545" width="4.42578125" style="148" customWidth="1"/>
    <col min="12546" max="12546" width="5.7109375" style="148" customWidth="1"/>
    <col min="12547" max="12547" width="7.5703125" style="148" customWidth="1"/>
    <col min="12548" max="12548" width="6.5703125" style="148" customWidth="1"/>
    <col min="12549" max="12549" width="47.42578125" style="148" customWidth="1"/>
    <col min="12550" max="12550" width="22.28515625" style="148" customWidth="1"/>
    <col min="12551" max="12551" width="9.140625" style="148"/>
    <col min="12552" max="12552" width="12.28515625" style="148" customWidth="1"/>
    <col min="12553" max="12800" width="9.140625" style="148"/>
    <col min="12801" max="12801" width="4.42578125" style="148" customWidth="1"/>
    <col min="12802" max="12802" width="5.7109375" style="148" customWidth="1"/>
    <col min="12803" max="12803" width="7.5703125" style="148" customWidth="1"/>
    <col min="12804" max="12804" width="6.5703125" style="148" customWidth="1"/>
    <col min="12805" max="12805" width="47.42578125" style="148" customWidth="1"/>
    <col min="12806" max="12806" width="22.28515625" style="148" customWidth="1"/>
    <col min="12807" max="12807" width="9.140625" style="148"/>
    <col min="12808" max="12808" width="12.28515625" style="148" customWidth="1"/>
    <col min="12809" max="13056" width="9.140625" style="148"/>
    <col min="13057" max="13057" width="4.42578125" style="148" customWidth="1"/>
    <col min="13058" max="13058" width="5.7109375" style="148" customWidth="1"/>
    <col min="13059" max="13059" width="7.5703125" style="148" customWidth="1"/>
    <col min="13060" max="13060" width="6.5703125" style="148" customWidth="1"/>
    <col min="13061" max="13061" width="47.42578125" style="148" customWidth="1"/>
    <col min="13062" max="13062" width="22.28515625" style="148" customWidth="1"/>
    <col min="13063" max="13063" width="9.140625" style="148"/>
    <col min="13064" max="13064" width="12.28515625" style="148" customWidth="1"/>
    <col min="13065" max="13312" width="9.140625" style="148"/>
    <col min="13313" max="13313" width="4.42578125" style="148" customWidth="1"/>
    <col min="13314" max="13314" width="5.7109375" style="148" customWidth="1"/>
    <col min="13315" max="13315" width="7.5703125" style="148" customWidth="1"/>
    <col min="13316" max="13316" width="6.5703125" style="148" customWidth="1"/>
    <col min="13317" max="13317" width="47.42578125" style="148" customWidth="1"/>
    <col min="13318" max="13318" width="22.28515625" style="148" customWidth="1"/>
    <col min="13319" max="13319" width="9.140625" style="148"/>
    <col min="13320" max="13320" width="12.28515625" style="148" customWidth="1"/>
    <col min="13321" max="13568" width="9.140625" style="148"/>
    <col min="13569" max="13569" width="4.42578125" style="148" customWidth="1"/>
    <col min="13570" max="13570" width="5.7109375" style="148" customWidth="1"/>
    <col min="13571" max="13571" width="7.5703125" style="148" customWidth="1"/>
    <col min="13572" max="13572" width="6.5703125" style="148" customWidth="1"/>
    <col min="13573" max="13573" width="47.42578125" style="148" customWidth="1"/>
    <col min="13574" max="13574" width="22.28515625" style="148" customWidth="1"/>
    <col min="13575" max="13575" width="9.140625" style="148"/>
    <col min="13576" max="13576" width="12.28515625" style="148" customWidth="1"/>
    <col min="13577" max="13824" width="9.140625" style="148"/>
    <col min="13825" max="13825" width="4.42578125" style="148" customWidth="1"/>
    <col min="13826" max="13826" width="5.7109375" style="148" customWidth="1"/>
    <col min="13827" max="13827" width="7.5703125" style="148" customWidth="1"/>
    <col min="13828" max="13828" width="6.5703125" style="148" customWidth="1"/>
    <col min="13829" max="13829" width="47.42578125" style="148" customWidth="1"/>
    <col min="13830" max="13830" width="22.28515625" style="148" customWidth="1"/>
    <col min="13831" max="13831" width="9.140625" style="148"/>
    <col min="13832" max="13832" width="12.28515625" style="148" customWidth="1"/>
    <col min="13833" max="14080" width="9.140625" style="148"/>
    <col min="14081" max="14081" width="4.42578125" style="148" customWidth="1"/>
    <col min="14082" max="14082" width="5.7109375" style="148" customWidth="1"/>
    <col min="14083" max="14083" width="7.5703125" style="148" customWidth="1"/>
    <col min="14084" max="14084" width="6.5703125" style="148" customWidth="1"/>
    <col min="14085" max="14085" width="47.42578125" style="148" customWidth="1"/>
    <col min="14086" max="14086" width="22.28515625" style="148" customWidth="1"/>
    <col min="14087" max="14087" width="9.140625" style="148"/>
    <col min="14088" max="14088" width="12.28515625" style="148" customWidth="1"/>
    <col min="14089" max="14336" width="9.140625" style="148"/>
    <col min="14337" max="14337" width="4.42578125" style="148" customWidth="1"/>
    <col min="14338" max="14338" width="5.7109375" style="148" customWidth="1"/>
    <col min="14339" max="14339" width="7.5703125" style="148" customWidth="1"/>
    <col min="14340" max="14340" width="6.5703125" style="148" customWidth="1"/>
    <col min="14341" max="14341" width="47.42578125" style="148" customWidth="1"/>
    <col min="14342" max="14342" width="22.28515625" style="148" customWidth="1"/>
    <col min="14343" max="14343" width="9.140625" style="148"/>
    <col min="14344" max="14344" width="12.28515625" style="148" customWidth="1"/>
    <col min="14345" max="14592" width="9.140625" style="148"/>
    <col min="14593" max="14593" width="4.42578125" style="148" customWidth="1"/>
    <col min="14594" max="14594" width="5.7109375" style="148" customWidth="1"/>
    <col min="14595" max="14595" width="7.5703125" style="148" customWidth="1"/>
    <col min="14596" max="14596" width="6.5703125" style="148" customWidth="1"/>
    <col min="14597" max="14597" width="47.42578125" style="148" customWidth="1"/>
    <col min="14598" max="14598" width="22.28515625" style="148" customWidth="1"/>
    <col min="14599" max="14599" width="9.140625" style="148"/>
    <col min="14600" max="14600" width="12.28515625" style="148" customWidth="1"/>
    <col min="14601" max="14848" width="9.140625" style="148"/>
    <col min="14849" max="14849" width="4.42578125" style="148" customWidth="1"/>
    <col min="14850" max="14850" width="5.7109375" style="148" customWidth="1"/>
    <col min="14851" max="14851" width="7.5703125" style="148" customWidth="1"/>
    <col min="14852" max="14852" width="6.5703125" style="148" customWidth="1"/>
    <col min="14853" max="14853" width="47.42578125" style="148" customWidth="1"/>
    <col min="14854" max="14854" width="22.28515625" style="148" customWidth="1"/>
    <col min="14855" max="14855" width="9.140625" style="148"/>
    <col min="14856" max="14856" width="12.28515625" style="148" customWidth="1"/>
    <col min="14857" max="15104" width="9.140625" style="148"/>
    <col min="15105" max="15105" width="4.42578125" style="148" customWidth="1"/>
    <col min="15106" max="15106" width="5.7109375" style="148" customWidth="1"/>
    <col min="15107" max="15107" width="7.5703125" style="148" customWidth="1"/>
    <col min="15108" max="15108" width="6.5703125" style="148" customWidth="1"/>
    <col min="15109" max="15109" width="47.42578125" style="148" customWidth="1"/>
    <col min="15110" max="15110" width="22.28515625" style="148" customWidth="1"/>
    <col min="15111" max="15111" width="9.140625" style="148"/>
    <col min="15112" max="15112" width="12.28515625" style="148" customWidth="1"/>
    <col min="15113" max="15360" width="9.140625" style="148"/>
    <col min="15361" max="15361" width="4.42578125" style="148" customWidth="1"/>
    <col min="15362" max="15362" width="5.7109375" style="148" customWidth="1"/>
    <col min="15363" max="15363" width="7.5703125" style="148" customWidth="1"/>
    <col min="15364" max="15364" width="6.5703125" style="148" customWidth="1"/>
    <col min="15365" max="15365" width="47.42578125" style="148" customWidth="1"/>
    <col min="15366" max="15366" width="22.28515625" style="148" customWidth="1"/>
    <col min="15367" max="15367" width="9.140625" style="148"/>
    <col min="15368" max="15368" width="12.28515625" style="148" customWidth="1"/>
    <col min="15369" max="15616" width="9.140625" style="148"/>
    <col min="15617" max="15617" width="4.42578125" style="148" customWidth="1"/>
    <col min="15618" max="15618" width="5.7109375" style="148" customWidth="1"/>
    <col min="15619" max="15619" width="7.5703125" style="148" customWidth="1"/>
    <col min="15620" max="15620" width="6.5703125" style="148" customWidth="1"/>
    <col min="15621" max="15621" width="47.42578125" style="148" customWidth="1"/>
    <col min="15622" max="15622" width="22.28515625" style="148" customWidth="1"/>
    <col min="15623" max="15623" width="9.140625" style="148"/>
    <col min="15624" max="15624" width="12.28515625" style="148" customWidth="1"/>
    <col min="15625" max="15872" width="9.140625" style="148"/>
    <col min="15873" max="15873" width="4.42578125" style="148" customWidth="1"/>
    <col min="15874" max="15874" width="5.7109375" style="148" customWidth="1"/>
    <col min="15875" max="15875" width="7.5703125" style="148" customWidth="1"/>
    <col min="15876" max="15876" width="6.5703125" style="148" customWidth="1"/>
    <col min="15877" max="15877" width="47.42578125" style="148" customWidth="1"/>
    <col min="15878" max="15878" width="22.28515625" style="148" customWidth="1"/>
    <col min="15879" max="15879" width="9.140625" style="148"/>
    <col min="15880" max="15880" width="12.28515625" style="148" customWidth="1"/>
    <col min="15881" max="16128" width="9.140625" style="148"/>
    <col min="16129" max="16129" width="4.42578125" style="148" customWidth="1"/>
    <col min="16130" max="16130" width="5.7109375" style="148" customWidth="1"/>
    <col min="16131" max="16131" width="7.5703125" style="148" customWidth="1"/>
    <col min="16132" max="16132" width="6.5703125" style="148" customWidth="1"/>
    <col min="16133" max="16133" width="47.42578125" style="148" customWidth="1"/>
    <col min="16134" max="16134" width="22.28515625" style="148" customWidth="1"/>
    <col min="16135" max="16135" width="9.140625" style="148"/>
    <col min="16136" max="16136" width="12.28515625" style="148" customWidth="1"/>
    <col min="16137" max="16384" width="9.140625" style="148"/>
  </cols>
  <sheetData>
    <row r="1" spans="1:8" s="148" customFormat="1" ht="12.95" customHeight="1" x14ac:dyDescent="0.25">
      <c r="D1" s="271"/>
      <c r="F1" s="146" t="s">
        <v>255</v>
      </c>
    </row>
    <row r="2" spans="1:8" s="148" customFormat="1" ht="12.95" customHeight="1" x14ac:dyDescent="0.25">
      <c r="D2" s="271"/>
      <c r="F2" s="144" t="s">
        <v>185</v>
      </c>
    </row>
    <row r="3" spans="1:8" s="148" customFormat="1" ht="12.95" customHeight="1" x14ac:dyDescent="0.25">
      <c r="D3" s="271"/>
      <c r="F3" s="146" t="s">
        <v>1</v>
      </c>
    </row>
    <row r="4" spans="1:8" s="148" customFormat="1" ht="12.95" customHeight="1" x14ac:dyDescent="0.25">
      <c r="D4" s="271"/>
      <c r="F4" s="144" t="s">
        <v>186</v>
      </c>
    </row>
    <row r="5" spans="1:8" s="148" customFormat="1" ht="15.75" customHeight="1" x14ac:dyDescent="0.25">
      <c r="A5" s="149" t="s">
        <v>227</v>
      </c>
      <c r="B5" s="149"/>
      <c r="C5" s="149"/>
      <c r="D5" s="272"/>
      <c r="E5" s="149"/>
      <c r="F5" s="149"/>
    </row>
    <row r="6" spans="1:8" s="148" customFormat="1" ht="15.75" customHeight="1" x14ac:dyDescent="0.25">
      <c r="A6" s="149" t="s">
        <v>256</v>
      </c>
      <c r="B6" s="149"/>
      <c r="C6" s="149"/>
      <c r="D6" s="272"/>
      <c r="E6" s="149"/>
      <c r="F6" s="149"/>
    </row>
    <row r="7" spans="1:8" s="148" customFormat="1" ht="14.25" customHeight="1" x14ac:dyDescent="0.25">
      <c r="D7" s="271"/>
      <c r="F7" s="227" t="s">
        <v>2</v>
      </c>
    </row>
    <row r="8" spans="1:8" s="148" customFormat="1" ht="20.25" customHeight="1" x14ac:dyDescent="0.25">
      <c r="A8" s="273" t="s">
        <v>14</v>
      </c>
      <c r="B8" s="273" t="s">
        <v>190</v>
      </c>
      <c r="C8" s="273" t="s">
        <v>20</v>
      </c>
      <c r="D8" s="243" t="s">
        <v>229</v>
      </c>
      <c r="E8" s="274" t="s">
        <v>21</v>
      </c>
      <c r="F8" s="273" t="s">
        <v>230</v>
      </c>
    </row>
    <row r="9" spans="1:8" s="278" customFormat="1" ht="10.5" customHeight="1" x14ac:dyDescent="0.3">
      <c r="A9" s="275">
        <v>1</v>
      </c>
      <c r="B9" s="275">
        <v>2</v>
      </c>
      <c r="C9" s="275">
        <v>3</v>
      </c>
      <c r="D9" s="276">
        <v>4</v>
      </c>
      <c r="E9" s="277">
        <v>5</v>
      </c>
      <c r="F9" s="275">
        <v>6</v>
      </c>
    </row>
    <row r="10" spans="1:8" s="148" customFormat="1" ht="17.25" customHeight="1" x14ac:dyDescent="0.25">
      <c r="A10" s="231" t="s">
        <v>231</v>
      </c>
      <c r="B10" s="232"/>
      <c r="C10" s="232"/>
      <c r="D10" s="279"/>
      <c r="E10" s="232"/>
      <c r="F10" s="234"/>
    </row>
    <row r="11" spans="1:8" s="148" customFormat="1" ht="15" customHeight="1" x14ac:dyDescent="0.25">
      <c r="A11" s="166">
        <v>1</v>
      </c>
      <c r="B11" s="280">
        <v>630</v>
      </c>
      <c r="C11" s="280">
        <v>63003</v>
      </c>
      <c r="D11" s="243">
        <v>2360</v>
      </c>
      <c r="E11" s="236" t="s">
        <v>56</v>
      </c>
      <c r="F11" s="167">
        <f>35000</f>
        <v>35000</v>
      </c>
    </row>
    <row r="12" spans="1:8" s="148" customFormat="1" ht="26.25" customHeight="1" x14ac:dyDescent="0.25">
      <c r="A12" s="166">
        <v>2</v>
      </c>
      <c r="B12" s="281">
        <v>700</v>
      </c>
      <c r="C12" s="281">
        <v>70095</v>
      </c>
      <c r="D12" s="282">
        <v>6230</v>
      </c>
      <c r="E12" s="283" t="s">
        <v>257</v>
      </c>
      <c r="F12" s="167">
        <f>1500000</f>
        <v>1500000</v>
      </c>
      <c r="G12" s="239"/>
    </row>
    <row r="13" spans="1:8" s="148" customFormat="1" ht="26.25" customHeight="1" x14ac:dyDescent="0.25">
      <c r="A13" s="166">
        <v>3</v>
      </c>
      <c r="B13" s="281">
        <v>750</v>
      </c>
      <c r="C13" s="281">
        <v>75095</v>
      </c>
      <c r="D13" s="243">
        <v>2360</v>
      </c>
      <c r="E13" s="284" t="s">
        <v>258</v>
      </c>
      <c r="F13" s="167">
        <f>200000</f>
        <v>200000</v>
      </c>
      <c r="H13" s="237"/>
    </row>
    <row r="14" spans="1:8" s="148" customFormat="1" ht="15" customHeight="1" x14ac:dyDescent="0.25">
      <c r="A14" s="166">
        <v>4</v>
      </c>
      <c r="B14" s="281">
        <v>755</v>
      </c>
      <c r="C14" s="281">
        <v>75515</v>
      </c>
      <c r="D14" s="243">
        <v>2360</v>
      </c>
      <c r="E14" s="285" t="s">
        <v>259</v>
      </c>
      <c r="F14" s="286">
        <f>146896.8</f>
        <v>146896.79999999999</v>
      </c>
      <c r="H14" s="237"/>
    </row>
    <row r="15" spans="1:8" s="148" customFormat="1" ht="27" customHeight="1" x14ac:dyDescent="0.25">
      <c r="A15" s="166">
        <v>5</v>
      </c>
      <c r="B15" s="281">
        <v>801</v>
      </c>
      <c r="C15" s="281">
        <v>80195</v>
      </c>
      <c r="D15" s="287" t="s">
        <v>260</v>
      </c>
      <c r="E15" s="288" t="s">
        <v>261</v>
      </c>
      <c r="F15" s="169">
        <f>18864+1109</f>
        <v>19973</v>
      </c>
      <c r="H15" s="237"/>
    </row>
    <row r="16" spans="1:8" s="148" customFormat="1" ht="28.9" customHeight="1" x14ac:dyDescent="0.25">
      <c r="A16" s="166">
        <v>6</v>
      </c>
      <c r="B16" s="281">
        <v>801</v>
      </c>
      <c r="C16" s="281">
        <v>80195</v>
      </c>
      <c r="D16" s="287" t="s">
        <v>260</v>
      </c>
      <c r="E16" s="288" t="s">
        <v>262</v>
      </c>
      <c r="F16" s="169">
        <f>144716.29+8503.71</f>
        <v>153220</v>
      </c>
      <c r="H16" s="237"/>
    </row>
    <row r="17" spans="1:8" s="148" customFormat="1" ht="15" customHeight="1" x14ac:dyDescent="0.25">
      <c r="A17" s="166">
        <v>7</v>
      </c>
      <c r="B17" s="281">
        <v>851</v>
      </c>
      <c r="C17" s="281">
        <v>85153</v>
      </c>
      <c r="D17" s="289">
        <v>2360</v>
      </c>
      <c r="E17" s="290" t="s">
        <v>263</v>
      </c>
      <c r="F17" s="169">
        <f>48765</f>
        <v>48765</v>
      </c>
      <c r="H17" s="237"/>
    </row>
    <row r="18" spans="1:8" s="148" customFormat="1" ht="27" customHeight="1" x14ac:dyDescent="0.25">
      <c r="A18" s="166">
        <v>8</v>
      </c>
      <c r="B18" s="281">
        <v>851</v>
      </c>
      <c r="C18" s="281">
        <v>85154</v>
      </c>
      <c r="D18" s="243">
        <v>2360</v>
      </c>
      <c r="E18" s="284" t="s">
        <v>264</v>
      </c>
      <c r="F18" s="167">
        <f>615000+235000+41482</f>
        <v>891482</v>
      </c>
    </row>
    <row r="19" spans="1:8" s="148" customFormat="1" ht="24.75" customHeight="1" x14ac:dyDescent="0.25">
      <c r="A19" s="291">
        <v>9</v>
      </c>
      <c r="B19" s="292">
        <v>851</v>
      </c>
      <c r="C19" s="293">
        <v>85195</v>
      </c>
      <c r="D19" s="294">
        <v>2360</v>
      </c>
      <c r="E19" s="295" t="s">
        <v>265</v>
      </c>
      <c r="F19" s="167">
        <f>122500</f>
        <v>122500</v>
      </c>
    </row>
    <row r="20" spans="1:8" s="148" customFormat="1" ht="24.75" customHeight="1" x14ac:dyDescent="0.25">
      <c r="A20" s="291">
        <v>10</v>
      </c>
      <c r="B20" s="292">
        <v>851</v>
      </c>
      <c r="C20" s="293">
        <v>85195</v>
      </c>
      <c r="D20" s="294">
        <v>2360</v>
      </c>
      <c r="E20" s="295" t="s">
        <v>266</v>
      </c>
      <c r="F20" s="167">
        <v>125000</v>
      </c>
    </row>
    <row r="21" spans="1:8" s="148" customFormat="1" ht="38.25" customHeight="1" x14ac:dyDescent="0.25">
      <c r="A21" s="291">
        <v>11</v>
      </c>
      <c r="B21" s="166">
        <v>852</v>
      </c>
      <c r="C21" s="166">
        <v>85219</v>
      </c>
      <c r="D21" s="296">
        <v>2830</v>
      </c>
      <c r="E21" s="297" t="s">
        <v>267</v>
      </c>
      <c r="F21" s="167">
        <f>171894</f>
        <v>171894</v>
      </c>
    </row>
    <row r="22" spans="1:8" s="148" customFormat="1" ht="24.75" customHeight="1" x14ac:dyDescent="0.25">
      <c r="A22" s="291">
        <v>12</v>
      </c>
      <c r="B22" s="298">
        <v>852</v>
      </c>
      <c r="C22" s="299">
        <v>85228</v>
      </c>
      <c r="D22" s="294">
        <v>2360</v>
      </c>
      <c r="E22" s="300" t="s">
        <v>268</v>
      </c>
      <c r="F22" s="167">
        <f>F23+F24</f>
        <v>13764558.119999999</v>
      </c>
    </row>
    <row r="23" spans="1:8" s="146" customFormat="1" ht="13.5" customHeight="1" x14ac:dyDescent="0.25">
      <c r="A23" s="301" t="s">
        <v>269</v>
      </c>
      <c r="B23" s="302"/>
      <c r="C23" s="303"/>
      <c r="D23" s="304"/>
      <c r="E23" s="305" t="s">
        <v>270</v>
      </c>
      <c r="F23" s="250">
        <f>8905485.52-12000+144403.6-27500</f>
        <v>9010389.1199999992</v>
      </c>
    </row>
    <row r="24" spans="1:8" s="146" customFormat="1" ht="13.5" customHeight="1" x14ac:dyDescent="0.25">
      <c r="A24" s="301" t="s">
        <v>271</v>
      </c>
      <c r="B24" s="302"/>
      <c r="C24" s="303"/>
      <c r="D24" s="304"/>
      <c r="E24" s="305" t="s">
        <v>272</v>
      </c>
      <c r="F24" s="250">
        <f>4754169</f>
        <v>4754169</v>
      </c>
    </row>
    <row r="25" spans="1:8" s="148" customFormat="1" ht="15" customHeight="1" x14ac:dyDescent="0.25">
      <c r="A25" s="306">
        <v>13</v>
      </c>
      <c r="B25" s="307">
        <v>852</v>
      </c>
      <c r="C25" s="307">
        <v>85295</v>
      </c>
      <c r="D25" s="308">
        <v>2360</v>
      </c>
      <c r="E25" s="300" t="s">
        <v>273</v>
      </c>
      <c r="F25" s="309">
        <f>2691864</f>
        <v>2691864</v>
      </c>
    </row>
    <row r="26" spans="1:8" s="148" customFormat="1" ht="38.25" customHeight="1" x14ac:dyDescent="0.25">
      <c r="A26" s="166">
        <v>14</v>
      </c>
      <c r="B26" s="281">
        <v>853</v>
      </c>
      <c r="C26" s="281">
        <v>85395</v>
      </c>
      <c r="D26" s="243">
        <v>2360</v>
      </c>
      <c r="E26" s="284" t="s">
        <v>274</v>
      </c>
      <c r="F26" s="167">
        <f>19000</f>
        <v>19000</v>
      </c>
    </row>
    <row r="27" spans="1:8" s="148" customFormat="1" ht="24.75" customHeight="1" x14ac:dyDescent="0.25">
      <c r="A27" s="166">
        <v>15</v>
      </c>
      <c r="B27" s="281">
        <v>855</v>
      </c>
      <c r="C27" s="281">
        <v>85510</v>
      </c>
      <c r="D27" s="310" t="s">
        <v>275</v>
      </c>
      <c r="E27" s="285" t="s">
        <v>22</v>
      </c>
      <c r="F27" s="167">
        <f>2830580+188620</f>
        <v>3019200</v>
      </c>
    </row>
    <row r="28" spans="1:8" s="148" customFormat="1" ht="26.25" customHeight="1" x14ac:dyDescent="0.25">
      <c r="A28" s="311">
        <v>16</v>
      </c>
      <c r="B28" s="281">
        <v>900</v>
      </c>
      <c r="C28" s="281">
        <v>90005</v>
      </c>
      <c r="D28" s="243">
        <v>2360</v>
      </c>
      <c r="E28" s="312" t="s">
        <v>276</v>
      </c>
      <c r="F28" s="252">
        <v>100000</v>
      </c>
      <c r="G28" s="313"/>
    </row>
    <row r="29" spans="1:8" s="148" customFormat="1" ht="28.5" customHeight="1" x14ac:dyDescent="0.25">
      <c r="A29" s="311">
        <v>17</v>
      </c>
      <c r="B29" s="281">
        <v>900</v>
      </c>
      <c r="C29" s="281">
        <v>90095</v>
      </c>
      <c r="D29" s="287" t="s">
        <v>277</v>
      </c>
      <c r="E29" s="288" t="s">
        <v>278</v>
      </c>
      <c r="F29" s="169">
        <f>14643+82977</f>
        <v>97620</v>
      </c>
      <c r="G29" s="313"/>
    </row>
    <row r="30" spans="1:8" s="146" customFormat="1" ht="15" customHeight="1" x14ac:dyDescent="0.25">
      <c r="A30" s="166">
        <v>18</v>
      </c>
      <c r="B30" s="281">
        <v>921</v>
      </c>
      <c r="C30" s="281">
        <v>92120</v>
      </c>
      <c r="D30" s="243">
        <v>2720</v>
      </c>
      <c r="E30" s="314" t="s">
        <v>279</v>
      </c>
      <c r="F30" s="252">
        <f>750000</f>
        <v>750000</v>
      </c>
    </row>
    <row r="31" spans="1:8" s="148" customFormat="1" ht="38.25" customHeight="1" x14ac:dyDescent="0.25">
      <c r="A31" s="166">
        <v>19</v>
      </c>
      <c r="B31" s="281">
        <v>921</v>
      </c>
      <c r="C31" s="281">
        <v>92195</v>
      </c>
      <c r="D31" s="315">
        <v>2360</v>
      </c>
      <c r="E31" s="284" t="s">
        <v>280</v>
      </c>
      <c r="F31" s="252">
        <v>950000</v>
      </c>
    </row>
    <row r="32" spans="1:8" s="148" customFormat="1" ht="15.6" customHeight="1" x14ac:dyDescent="0.25">
      <c r="A32" s="166">
        <v>20</v>
      </c>
      <c r="B32" s="281">
        <v>926</v>
      </c>
      <c r="C32" s="281">
        <v>92605</v>
      </c>
      <c r="D32" s="315">
        <v>2360</v>
      </c>
      <c r="E32" s="285" t="s">
        <v>281</v>
      </c>
      <c r="F32" s="167">
        <f>5000000</f>
        <v>5000000</v>
      </c>
    </row>
    <row r="33" spans="1:8" s="147" customFormat="1" ht="18" customHeight="1" x14ac:dyDescent="0.25">
      <c r="A33" s="523"/>
      <c r="B33" s="524"/>
      <c r="C33" s="524"/>
      <c r="D33" s="316"/>
      <c r="E33" s="524" t="s">
        <v>282</v>
      </c>
      <c r="F33" s="167">
        <f>SUM(F11,F12,F13,F14,F15,F16,F17,F18,F19,F20,F21,F22,F25,F26,F27,F28,F29,F30,F31,F32)</f>
        <v>29806972.919999998</v>
      </c>
      <c r="H33" s="317"/>
    </row>
    <row r="34" spans="1:8" s="148" customFormat="1" ht="17.25" customHeight="1" x14ac:dyDescent="0.25">
      <c r="A34" s="231" t="s">
        <v>251</v>
      </c>
      <c r="B34" s="232"/>
      <c r="C34" s="232"/>
      <c r="D34" s="279"/>
      <c r="E34" s="232"/>
      <c r="F34" s="234"/>
    </row>
    <row r="35" spans="1:8" s="148" customFormat="1" ht="17.25" customHeight="1" x14ac:dyDescent="0.25">
      <c r="A35" s="273" t="s">
        <v>14</v>
      </c>
      <c r="B35" s="273" t="s">
        <v>190</v>
      </c>
      <c r="C35" s="273" t="s">
        <v>20</v>
      </c>
      <c r="D35" s="318"/>
      <c r="E35" s="274" t="s">
        <v>283</v>
      </c>
      <c r="F35" s="228" t="s">
        <v>230</v>
      </c>
    </row>
    <row r="36" spans="1:8" s="148" customFormat="1" ht="24" customHeight="1" x14ac:dyDescent="0.25">
      <c r="A36" s="281">
        <v>1</v>
      </c>
      <c r="B36" s="281">
        <v>801</v>
      </c>
      <c r="C36" s="281">
        <v>80101</v>
      </c>
      <c r="D36" s="315" t="s">
        <v>284</v>
      </c>
      <c r="E36" s="314" t="s">
        <v>87</v>
      </c>
      <c r="F36" s="167">
        <f>3611632.2+9720952.16</f>
        <v>13332584.359999999</v>
      </c>
    </row>
    <row r="37" spans="1:8" s="146" customFormat="1" ht="13.5" customHeight="1" x14ac:dyDescent="0.25">
      <c r="A37" s="319"/>
      <c r="B37" s="320"/>
      <c r="C37" s="263"/>
      <c r="D37" s="321"/>
      <c r="E37" s="322" t="s">
        <v>285</v>
      </c>
      <c r="F37" s="323"/>
    </row>
    <row r="38" spans="1:8" s="146" customFormat="1" ht="13.5" customHeight="1" x14ac:dyDescent="0.25">
      <c r="A38" s="324"/>
      <c r="C38" s="325"/>
      <c r="D38" s="326"/>
      <c r="E38" s="327" t="s">
        <v>286</v>
      </c>
      <c r="F38" s="328"/>
      <c r="G38" s="329"/>
    </row>
    <row r="39" spans="1:8" s="146" customFormat="1" ht="14.25" customHeight="1" x14ac:dyDescent="0.25">
      <c r="A39" s="324"/>
      <c r="C39" s="325"/>
      <c r="D39" s="330"/>
      <c r="E39" s="331" t="s">
        <v>287</v>
      </c>
      <c r="F39" s="328"/>
    </row>
    <row r="40" spans="1:8" s="146" customFormat="1" ht="25.5" customHeight="1" x14ac:dyDescent="0.25">
      <c r="A40" s="324"/>
      <c r="C40" s="325"/>
      <c r="D40" s="330"/>
      <c r="E40" s="332" t="s">
        <v>288</v>
      </c>
      <c r="F40" s="333"/>
    </row>
    <row r="41" spans="1:8" s="146" customFormat="1" ht="13.5" customHeight="1" x14ac:dyDescent="0.25">
      <c r="A41" s="334"/>
      <c r="B41" s="270"/>
      <c r="C41" s="267"/>
      <c r="D41" s="335"/>
      <c r="E41" s="336" t="s">
        <v>289</v>
      </c>
      <c r="F41" s="337"/>
    </row>
    <row r="42" spans="1:8" s="148" customFormat="1" ht="13.9" customHeight="1" x14ac:dyDescent="0.25">
      <c r="A42" s="307">
        <v>2</v>
      </c>
      <c r="B42" s="307">
        <v>801</v>
      </c>
      <c r="C42" s="307">
        <v>80103</v>
      </c>
      <c r="D42" s="308">
        <v>2540</v>
      </c>
      <c r="E42" s="338" t="s">
        <v>290</v>
      </c>
      <c r="F42" s="309">
        <f>198379.2</f>
        <v>198379.2</v>
      </c>
    </row>
    <row r="43" spans="1:8" s="146" customFormat="1" ht="13.5" customHeight="1" x14ac:dyDescent="0.25">
      <c r="A43" s="324"/>
      <c r="C43" s="325"/>
      <c r="D43" s="330"/>
      <c r="E43" s="339" t="s">
        <v>287</v>
      </c>
      <c r="F43" s="340"/>
    </row>
    <row r="44" spans="1:8" s="148" customFormat="1" ht="24" customHeight="1" x14ac:dyDescent="0.25">
      <c r="A44" s="281">
        <v>3</v>
      </c>
      <c r="B44" s="281">
        <v>801</v>
      </c>
      <c r="C44" s="281">
        <v>80104</v>
      </c>
      <c r="D44" s="315" t="s">
        <v>284</v>
      </c>
      <c r="E44" s="314" t="s">
        <v>90</v>
      </c>
      <c r="F44" s="167">
        <f>9183881.2+3891938.8</f>
        <v>13075820</v>
      </c>
    </row>
    <row r="45" spans="1:8" s="146" customFormat="1" ht="13.5" customHeight="1" x14ac:dyDescent="0.25">
      <c r="A45" s="341"/>
      <c r="B45" s="342"/>
      <c r="C45" s="343"/>
      <c r="D45" s="344"/>
      <c r="E45" s="345" t="s">
        <v>291</v>
      </c>
      <c r="F45" s="340"/>
    </row>
    <row r="46" spans="1:8" s="146" customFormat="1" ht="13.5" customHeight="1" x14ac:dyDescent="0.25">
      <c r="A46" s="324"/>
      <c r="C46" s="325"/>
      <c r="D46" s="330"/>
      <c r="E46" s="346" t="s">
        <v>292</v>
      </c>
      <c r="F46" s="333"/>
    </row>
    <row r="47" spans="1:8" s="146" customFormat="1" ht="13.5" customHeight="1" x14ac:dyDescent="0.25">
      <c r="A47" s="324"/>
      <c r="C47" s="325"/>
      <c r="D47" s="330"/>
      <c r="E47" s="346" t="s">
        <v>293</v>
      </c>
      <c r="F47" s="333"/>
    </row>
    <row r="48" spans="1:8" s="146" customFormat="1" ht="13.5" customHeight="1" x14ac:dyDescent="0.25">
      <c r="A48" s="324"/>
      <c r="C48" s="325"/>
      <c r="D48" s="330"/>
      <c r="E48" s="346" t="s">
        <v>294</v>
      </c>
      <c r="F48" s="333"/>
    </row>
    <row r="49" spans="1:6" s="146" customFormat="1" ht="13.5" customHeight="1" x14ac:dyDescent="0.25">
      <c r="A49" s="324"/>
      <c r="C49" s="325"/>
      <c r="D49" s="330"/>
      <c r="E49" s="332" t="s">
        <v>295</v>
      </c>
      <c r="F49" s="333"/>
    </row>
    <row r="50" spans="1:6" s="146" customFormat="1" ht="13.5" customHeight="1" x14ac:dyDescent="0.25">
      <c r="A50" s="324"/>
      <c r="C50" s="325"/>
      <c r="D50" s="330"/>
      <c r="E50" s="332" t="s">
        <v>296</v>
      </c>
      <c r="F50" s="333"/>
    </row>
    <row r="51" spans="1:6" s="146" customFormat="1" ht="13.5" customHeight="1" x14ac:dyDescent="0.25">
      <c r="A51" s="324"/>
      <c r="C51" s="325"/>
      <c r="D51" s="330"/>
      <c r="E51" s="346" t="s">
        <v>297</v>
      </c>
      <c r="F51" s="333"/>
    </row>
    <row r="52" spans="1:6" s="146" customFormat="1" ht="13.5" customHeight="1" x14ac:dyDescent="0.25">
      <c r="A52" s="324"/>
      <c r="C52" s="325"/>
      <c r="D52" s="330"/>
      <c r="E52" s="346" t="s">
        <v>298</v>
      </c>
      <c r="F52" s="333"/>
    </row>
    <row r="53" spans="1:6" s="146" customFormat="1" ht="13.5" customHeight="1" x14ac:dyDescent="0.25">
      <c r="A53" s="324"/>
      <c r="C53" s="325"/>
      <c r="D53" s="330"/>
      <c r="E53" s="332" t="s">
        <v>299</v>
      </c>
      <c r="F53" s="333"/>
    </row>
    <row r="54" spans="1:6" s="146" customFormat="1" ht="13.5" customHeight="1" x14ac:dyDescent="0.25">
      <c r="A54" s="324"/>
      <c r="C54" s="325"/>
      <c r="D54" s="330"/>
      <c r="E54" s="347" t="s">
        <v>300</v>
      </c>
      <c r="F54" s="333"/>
    </row>
    <row r="55" spans="1:6" s="146" customFormat="1" ht="13.5" customHeight="1" x14ac:dyDescent="0.25">
      <c r="A55" s="324"/>
      <c r="C55" s="325"/>
      <c r="D55" s="330"/>
      <c r="E55" s="332" t="s">
        <v>301</v>
      </c>
      <c r="F55" s="333"/>
    </row>
    <row r="56" spans="1:6" s="146" customFormat="1" ht="13.5" customHeight="1" x14ac:dyDescent="0.25">
      <c r="A56" s="324"/>
      <c r="C56" s="325"/>
      <c r="D56" s="330"/>
      <c r="E56" s="347" t="s">
        <v>302</v>
      </c>
      <c r="F56" s="333"/>
    </row>
    <row r="57" spans="1:6" s="146" customFormat="1" ht="13.5" customHeight="1" x14ac:dyDescent="0.25">
      <c r="A57" s="324"/>
      <c r="C57" s="325"/>
      <c r="D57" s="330"/>
      <c r="E57" s="347" t="s">
        <v>303</v>
      </c>
      <c r="F57" s="333"/>
    </row>
    <row r="58" spans="1:6" s="146" customFormat="1" ht="13.5" customHeight="1" x14ac:dyDescent="0.25">
      <c r="A58" s="334"/>
      <c r="B58" s="270"/>
      <c r="C58" s="267"/>
      <c r="D58" s="335"/>
      <c r="E58" s="348" t="s">
        <v>304</v>
      </c>
      <c r="F58" s="337"/>
    </row>
    <row r="59" spans="1:6" s="148" customFormat="1" ht="22.5" customHeight="1" x14ac:dyDescent="0.25">
      <c r="A59" s="281">
        <v>4</v>
      </c>
      <c r="B59" s="281">
        <v>801</v>
      </c>
      <c r="C59" s="281">
        <v>80106</v>
      </c>
      <c r="D59" s="243">
        <v>2540</v>
      </c>
      <c r="E59" s="285" t="s">
        <v>305</v>
      </c>
      <c r="F59" s="167">
        <f>158564</f>
        <v>158564</v>
      </c>
    </row>
    <row r="60" spans="1:6" s="146" customFormat="1" ht="13.5" customHeight="1" x14ac:dyDescent="0.25">
      <c r="A60" s="324"/>
      <c r="C60" s="325"/>
      <c r="D60" s="349"/>
      <c r="E60" s="350" t="s">
        <v>306</v>
      </c>
      <c r="F60" s="351"/>
    </row>
    <row r="61" spans="1:6" s="148" customFormat="1" ht="13.5" customHeight="1" x14ac:dyDescent="0.25">
      <c r="A61" s="307">
        <v>5</v>
      </c>
      <c r="B61" s="307">
        <v>801</v>
      </c>
      <c r="C61" s="307">
        <v>80115</v>
      </c>
      <c r="D61" s="352">
        <v>2540</v>
      </c>
      <c r="E61" s="353" t="s">
        <v>154</v>
      </c>
      <c r="F61" s="309">
        <f>3756329.44</f>
        <v>3756329.44</v>
      </c>
    </row>
    <row r="62" spans="1:6" s="146" customFormat="1" ht="12.75" customHeight="1" x14ac:dyDescent="0.25">
      <c r="A62" s="319"/>
      <c r="B62" s="320"/>
      <c r="C62" s="263"/>
      <c r="D62" s="354"/>
      <c r="E62" s="355" t="s">
        <v>307</v>
      </c>
      <c r="F62" s="323"/>
    </row>
    <row r="63" spans="1:6" s="148" customFormat="1" ht="23.25" customHeight="1" x14ac:dyDescent="0.25">
      <c r="A63" s="281">
        <v>6</v>
      </c>
      <c r="B63" s="281">
        <v>801</v>
      </c>
      <c r="C63" s="281">
        <v>80116</v>
      </c>
      <c r="D63" s="356" t="s">
        <v>284</v>
      </c>
      <c r="E63" s="357" t="s">
        <v>308</v>
      </c>
      <c r="F63" s="309">
        <f>9078519.3+650000</f>
        <v>9728519.3000000007</v>
      </c>
    </row>
    <row r="64" spans="1:6" s="146" customFormat="1" ht="13.5" customHeight="1" x14ac:dyDescent="0.25">
      <c r="A64" s="341"/>
      <c r="B64" s="342"/>
      <c r="C64" s="343"/>
      <c r="D64" s="344"/>
      <c r="E64" s="358" t="s">
        <v>309</v>
      </c>
      <c r="F64" s="340"/>
    </row>
    <row r="65" spans="1:6" s="146" customFormat="1" ht="25.5" customHeight="1" x14ac:dyDescent="0.25">
      <c r="A65" s="324"/>
      <c r="C65" s="325"/>
      <c r="D65" s="330"/>
      <c r="E65" s="359" t="s">
        <v>310</v>
      </c>
      <c r="F65" s="333"/>
    </row>
    <row r="66" spans="1:6" s="146" customFormat="1" ht="13.5" customHeight="1" x14ac:dyDescent="0.25">
      <c r="A66" s="324"/>
      <c r="C66" s="325"/>
      <c r="D66" s="330"/>
      <c r="E66" s="347" t="s">
        <v>311</v>
      </c>
      <c r="F66" s="333"/>
    </row>
    <row r="67" spans="1:6" s="146" customFormat="1" ht="13.5" customHeight="1" x14ac:dyDescent="0.25">
      <c r="A67" s="324"/>
      <c r="C67" s="325"/>
      <c r="D67" s="330"/>
      <c r="E67" s="359" t="s">
        <v>312</v>
      </c>
      <c r="F67" s="333"/>
    </row>
    <row r="68" spans="1:6" s="146" customFormat="1" ht="13.5" customHeight="1" x14ac:dyDescent="0.25">
      <c r="A68" s="324"/>
      <c r="C68" s="325"/>
      <c r="D68" s="330"/>
      <c r="E68" s="347" t="s">
        <v>313</v>
      </c>
      <c r="F68" s="333"/>
    </row>
    <row r="69" spans="1:6" s="146" customFormat="1" ht="13.5" customHeight="1" x14ac:dyDescent="0.25">
      <c r="A69" s="324"/>
      <c r="C69" s="325"/>
      <c r="D69" s="330"/>
      <c r="E69" s="347" t="s">
        <v>314</v>
      </c>
      <c r="F69" s="333"/>
    </row>
    <row r="70" spans="1:6" s="146" customFormat="1" ht="13.5" customHeight="1" x14ac:dyDescent="0.25">
      <c r="A70" s="324"/>
      <c r="C70" s="325"/>
      <c r="D70" s="360"/>
      <c r="E70" s="361" t="s">
        <v>315</v>
      </c>
      <c r="F70" s="328"/>
    </row>
    <row r="71" spans="1:6" s="146" customFormat="1" ht="13.5" customHeight="1" x14ac:dyDescent="0.25">
      <c r="A71" s="324"/>
      <c r="C71" s="325"/>
      <c r="D71" s="360"/>
      <c r="E71" s="347" t="s">
        <v>316</v>
      </c>
      <c r="F71" s="333"/>
    </row>
    <row r="72" spans="1:6" s="146" customFormat="1" ht="13.5" customHeight="1" x14ac:dyDescent="0.25">
      <c r="A72" s="324"/>
      <c r="C72" s="325"/>
      <c r="D72" s="362"/>
      <c r="E72" s="361" t="s">
        <v>317</v>
      </c>
      <c r="F72" s="328"/>
    </row>
    <row r="73" spans="1:6" s="146" customFormat="1" ht="13.5" customHeight="1" x14ac:dyDescent="0.25">
      <c r="A73" s="334"/>
      <c r="B73" s="270"/>
      <c r="C73" s="267"/>
      <c r="D73" s="335"/>
      <c r="E73" s="336" t="s">
        <v>318</v>
      </c>
      <c r="F73" s="337"/>
    </row>
    <row r="74" spans="1:6" s="148" customFormat="1" ht="24" customHeight="1" x14ac:dyDescent="0.25">
      <c r="A74" s="166">
        <v>7</v>
      </c>
      <c r="B74" s="166">
        <v>801</v>
      </c>
      <c r="C74" s="166">
        <v>80117</v>
      </c>
      <c r="D74" s="363" t="s">
        <v>284</v>
      </c>
      <c r="E74" s="314" t="s">
        <v>155</v>
      </c>
      <c r="F74" s="167">
        <f>2677774+1983634.18</f>
        <v>4661408.18</v>
      </c>
    </row>
    <row r="75" spans="1:6" s="146" customFormat="1" ht="13.5" customHeight="1" x14ac:dyDescent="0.25">
      <c r="A75" s="324"/>
      <c r="C75" s="325"/>
      <c r="D75" s="330"/>
      <c r="E75" s="327" t="s">
        <v>319</v>
      </c>
      <c r="F75" s="328"/>
    </row>
    <row r="76" spans="1:6" s="146" customFormat="1" ht="24" customHeight="1" x14ac:dyDescent="0.25">
      <c r="A76" s="334"/>
      <c r="B76" s="270"/>
      <c r="C76" s="267"/>
      <c r="D76" s="335"/>
      <c r="E76" s="336" t="s">
        <v>320</v>
      </c>
      <c r="F76" s="337"/>
    </row>
    <row r="77" spans="1:6" s="148" customFormat="1" ht="24" customHeight="1" x14ac:dyDescent="0.25">
      <c r="A77" s="166">
        <v>8</v>
      </c>
      <c r="B77" s="166">
        <v>801</v>
      </c>
      <c r="C77" s="166">
        <v>80120</v>
      </c>
      <c r="D77" s="363" t="s">
        <v>284</v>
      </c>
      <c r="E77" s="314" t="s">
        <v>321</v>
      </c>
      <c r="F77" s="167">
        <f>3471265.85+4785976.45-430423</f>
        <v>7826819.3000000007</v>
      </c>
    </row>
    <row r="78" spans="1:6" s="146" customFormat="1" ht="25.5" customHeight="1" x14ac:dyDescent="0.25">
      <c r="A78" s="324"/>
      <c r="C78" s="325"/>
      <c r="D78" s="330"/>
      <c r="E78" s="332" t="s">
        <v>322</v>
      </c>
      <c r="F78" s="333"/>
    </row>
    <row r="79" spans="1:6" s="146" customFormat="1" ht="24.75" customHeight="1" x14ac:dyDescent="0.25">
      <c r="A79" s="324"/>
      <c r="C79" s="325"/>
      <c r="D79" s="330"/>
      <c r="E79" s="332" t="s">
        <v>323</v>
      </c>
      <c r="F79" s="333"/>
    </row>
    <row r="80" spans="1:6" s="146" customFormat="1" ht="13.5" customHeight="1" x14ac:dyDescent="0.25">
      <c r="A80" s="324"/>
      <c r="C80" s="325"/>
      <c r="D80" s="330"/>
      <c r="E80" s="361" t="s">
        <v>324</v>
      </c>
      <c r="F80" s="328"/>
    </row>
    <row r="81" spans="1:6" s="146" customFormat="1" ht="13.5" customHeight="1" x14ac:dyDescent="0.25">
      <c r="A81" s="334"/>
      <c r="B81" s="270"/>
      <c r="C81" s="267"/>
      <c r="D81" s="335"/>
      <c r="E81" s="348" t="s">
        <v>325</v>
      </c>
      <c r="F81" s="337"/>
    </row>
    <row r="82" spans="1:6" s="148" customFormat="1" ht="26.25" customHeight="1" x14ac:dyDescent="0.25">
      <c r="A82" s="166">
        <v>9</v>
      </c>
      <c r="B82" s="166">
        <v>801</v>
      </c>
      <c r="C82" s="166">
        <v>80122</v>
      </c>
      <c r="D82" s="363" t="s">
        <v>284</v>
      </c>
      <c r="E82" s="314" t="s">
        <v>326</v>
      </c>
      <c r="F82" s="167">
        <f>395800+902460</f>
        <v>1298260</v>
      </c>
    </row>
    <row r="83" spans="1:6" s="146" customFormat="1" ht="12.75" customHeight="1" x14ac:dyDescent="0.25">
      <c r="A83" s="319"/>
      <c r="B83" s="320"/>
      <c r="C83" s="263"/>
      <c r="D83" s="321"/>
      <c r="E83" s="364" t="s">
        <v>327</v>
      </c>
      <c r="F83" s="323"/>
    </row>
    <row r="84" spans="1:6" s="146" customFormat="1" ht="13.5" customHeight="1" x14ac:dyDescent="0.25">
      <c r="A84" s="324"/>
      <c r="C84" s="325"/>
      <c r="D84" s="360"/>
      <c r="E84" s="365" t="s">
        <v>328</v>
      </c>
      <c r="F84" s="328"/>
    </row>
    <row r="85" spans="1:6" s="146" customFormat="1" ht="13.5" customHeight="1" x14ac:dyDescent="0.25">
      <c r="A85" s="324"/>
      <c r="C85" s="325"/>
      <c r="D85" s="330"/>
      <c r="E85" s="359" t="s">
        <v>329</v>
      </c>
      <c r="F85" s="333"/>
    </row>
    <row r="86" spans="1:6" s="146" customFormat="1" ht="13.5" customHeight="1" x14ac:dyDescent="0.25">
      <c r="A86" s="324"/>
      <c r="C86" s="325"/>
      <c r="D86" s="330"/>
      <c r="E86" s="346" t="s">
        <v>330</v>
      </c>
      <c r="F86" s="333"/>
    </row>
    <row r="87" spans="1:6" s="146" customFormat="1" ht="13.5" customHeight="1" x14ac:dyDescent="0.25">
      <c r="A87" s="324"/>
      <c r="C87" s="325"/>
      <c r="D87" s="330"/>
      <c r="E87" s="346" t="s">
        <v>331</v>
      </c>
      <c r="F87" s="333"/>
    </row>
    <row r="88" spans="1:6" s="146" customFormat="1" ht="13.5" customHeight="1" x14ac:dyDescent="0.25">
      <c r="A88" s="324"/>
      <c r="C88" s="325"/>
      <c r="D88" s="330"/>
      <c r="E88" s="347" t="s">
        <v>332</v>
      </c>
      <c r="F88" s="333"/>
    </row>
    <row r="89" spans="1:6" s="148" customFormat="1" ht="51.75" customHeight="1" x14ac:dyDescent="0.25">
      <c r="A89" s="281">
        <v>10</v>
      </c>
      <c r="B89" s="281">
        <v>801</v>
      </c>
      <c r="C89" s="281">
        <v>80149</v>
      </c>
      <c r="D89" s="315" t="s">
        <v>284</v>
      </c>
      <c r="E89" s="285" t="s">
        <v>333</v>
      </c>
      <c r="F89" s="167">
        <f>5113118.41+55575.11-444408-100000+100000</f>
        <v>4724285.5200000005</v>
      </c>
    </row>
    <row r="90" spans="1:6" s="146" customFormat="1" ht="13.5" customHeight="1" x14ac:dyDescent="0.25">
      <c r="A90" s="324"/>
      <c r="C90" s="325"/>
      <c r="D90" s="330"/>
      <c r="E90" s="332" t="s">
        <v>300</v>
      </c>
      <c r="F90" s="333"/>
    </row>
    <row r="91" spans="1:6" s="146" customFormat="1" ht="13.5" customHeight="1" x14ac:dyDescent="0.25">
      <c r="A91" s="324"/>
      <c r="C91" s="325"/>
      <c r="D91" s="330"/>
      <c r="E91" s="332" t="s">
        <v>334</v>
      </c>
      <c r="F91" s="333"/>
    </row>
    <row r="92" spans="1:6" s="146" customFormat="1" ht="13.5" customHeight="1" x14ac:dyDescent="0.25">
      <c r="A92" s="324"/>
      <c r="C92" s="325"/>
      <c r="D92" s="330"/>
      <c r="E92" s="366" t="s">
        <v>291</v>
      </c>
      <c r="F92" s="328"/>
    </row>
    <row r="93" spans="1:6" s="146" customFormat="1" ht="13.5" customHeight="1" x14ac:dyDescent="0.25">
      <c r="A93" s="324"/>
      <c r="C93" s="325"/>
      <c r="D93" s="330"/>
      <c r="E93" s="346" t="s">
        <v>293</v>
      </c>
      <c r="F93" s="333"/>
    </row>
    <row r="94" spans="1:6" s="146" customFormat="1" ht="13.5" customHeight="1" x14ac:dyDescent="0.25">
      <c r="A94" s="324"/>
      <c r="C94" s="325"/>
      <c r="D94" s="330"/>
      <c r="E94" s="332" t="s">
        <v>335</v>
      </c>
      <c r="F94" s="333"/>
    </row>
    <row r="95" spans="1:6" s="146" customFormat="1" ht="13.5" customHeight="1" x14ac:dyDescent="0.25">
      <c r="A95" s="324"/>
      <c r="C95" s="325"/>
      <c r="D95" s="330"/>
      <c r="E95" s="332" t="s">
        <v>336</v>
      </c>
      <c r="F95" s="333"/>
    </row>
    <row r="96" spans="1:6" s="146" customFormat="1" ht="13.5" customHeight="1" x14ac:dyDescent="0.25">
      <c r="A96" s="324"/>
      <c r="C96" s="325"/>
      <c r="D96" s="330"/>
      <c r="E96" s="332" t="s">
        <v>301</v>
      </c>
      <c r="F96" s="333"/>
    </row>
    <row r="97" spans="1:7" s="146" customFormat="1" ht="13.5" customHeight="1" x14ac:dyDescent="0.25">
      <c r="A97" s="324"/>
      <c r="C97" s="325"/>
      <c r="D97" s="330"/>
      <c r="E97" s="332" t="s">
        <v>296</v>
      </c>
      <c r="F97" s="333"/>
    </row>
    <row r="98" spans="1:7" s="146" customFormat="1" ht="13.5" customHeight="1" x14ac:dyDescent="0.25">
      <c r="A98" s="324"/>
      <c r="C98" s="325"/>
      <c r="D98" s="326"/>
      <c r="E98" s="346" t="s">
        <v>292</v>
      </c>
      <c r="F98" s="333"/>
    </row>
    <row r="99" spans="1:7" s="146" customFormat="1" ht="13.5" customHeight="1" x14ac:dyDescent="0.25">
      <c r="A99" s="324"/>
      <c r="C99" s="325"/>
      <c r="D99" s="330"/>
      <c r="E99" s="346" t="s">
        <v>299</v>
      </c>
      <c r="F99" s="333"/>
    </row>
    <row r="100" spans="1:7" s="146" customFormat="1" ht="13.5" customHeight="1" x14ac:dyDescent="0.25">
      <c r="A100" s="324"/>
      <c r="C100" s="325"/>
      <c r="D100" s="330"/>
      <c r="E100" s="346" t="s">
        <v>295</v>
      </c>
      <c r="F100" s="333"/>
    </row>
    <row r="101" spans="1:7" s="146" customFormat="1" ht="13.5" customHeight="1" x14ac:dyDescent="0.25">
      <c r="A101" s="324"/>
      <c r="C101" s="325"/>
      <c r="D101" s="330"/>
      <c r="E101" s="366" t="s">
        <v>302</v>
      </c>
      <c r="F101" s="328"/>
    </row>
    <row r="102" spans="1:7" s="146" customFormat="1" ht="13.5" customHeight="1" x14ac:dyDescent="0.25">
      <c r="A102" s="324"/>
      <c r="C102" s="325"/>
      <c r="D102" s="330"/>
      <c r="E102" s="331" t="s">
        <v>304</v>
      </c>
      <c r="F102" s="328"/>
    </row>
    <row r="103" spans="1:7" s="146" customFormat="1" ht="13.5" customHeight="1" x14ac:dyDescent="0.25">
      <c r="A103" s="334"/>
      <c r="B103" s="270"/>
      <c r="C103" s="267"/>
      <c r="D103" s="335"/>
      <c r="E103" s="367" t="s">
        <v>303</v>
      </c>
      <c r="F103" s="337"/>
    </row>
    <row r="104" spans="1:7" s="148" customFormat="1" ht="30" customHeight="1" x14ac:dyDescent="0.25">
      <c r="A104" s="166">
        <v>11</v>
      </c>
      <c r="B104" s="166">
        <v>801</v>
      </c>
      <c r="C104" s="166">
        <v>80150</v>
      </c>
      <c r="D104" s="363" t="s">
        <v>284</v>
      </c>
      <c r="E104" s="297" t="s">
        <v>337</v>
      </c>
      <c r="F104" s="167">
        <f>434541.03+548526.98</f>
        <v>983068.01</v>
      </c>
    </row>
    <row r="105" spans="1:7" s="146" customFormat="1" ht="13.5" customHeight="1" x14ac:dyDescent="0.25">
      <c r="A105" s="324"/>
      <c r="C105" s="325"/>
      <c r="D105" s="330"/>
      <c r="E105" s="359" t="s">
        <v>338</v>
      </c>
      <c r="F105" s="333"/>
    </row>
    <row r="106" spans="1:7" s="146" customFormat="1" ht="25.9" customHeight="1" x14ac:dyDescent="0.25">
      <c r="A106" s="324"/>
      <c r="C106" s="325"/>
      <c r="D106" s="330"/>
      <c r="E106" s="332" t="s">
        <v>288</v>
      </c>
      <c r="F106" s="333"/>
    </row>
    <row r="107" spans="1:7" s="146" customFormat="1" ht="14.25" customHeight="1" x14ac:dyDescent="0.25">
      <c r="A107" s="324"/>
      <c r="C107" s="325"/>
      <c r="D107" s="330"/>
      <c r="E107" s="331" t="s">
        <v>287</v>
      </c>
      <c r="F107" s="333"/>
    </row>
    <row r="108" spans="1:7" s="146" customFormat="1" ht="13.5" customHeight="1" x14ac:dyDescent="0.25">
      <c r="A108" s="324"/>
      <c r="C108" s="325"/>
      <c r="D108" s="330"/>
      <c r="E108" s="332" t="s">
        <v>285</v>
      </c>
      <c r="F108" s="333"/>
    </row>
    <row r="109" spans="1:7" s="146" customFormat="1" ht="13.5" customHeight="1" x14ac:dyDescent="0.25">
      <c r="A109" s="334"/>
      <c r="B109" s="270"/>
      <c r="C109" s="267"/>
      <c r="D109" s="335"/>
      <c r="E109" s="336" t="s">
        <v>286</v>
      </c>
      <c r="F109" s="337"/>
      <c r="G109" s="329"/>
    </row>
    <row r="110" spans="1:7" s="148" customFormat="1" ht="13.5" customHeight="1" x14ac:dyDescent="0.25">
      <c r="A110" s="306">
        <v>12</v>
      </c>
      <c r="B110" s="306">
        <v>801</v>
      </c>
      <c r="C110" s="306">
        <v>80151</v>
      </c>
      <c r="D110" s="368">
        <v>2540</v>
      </c>
      <c r="E110" s="353" t="s">
        <v>339</v>
      </c>
      <c r="F110" s="309">
        <f>54992.29</f>
        <v>54992.29</v>
      </c>
    </row>
    <row r="111" spans="1:7" s="146" customFormat="1" ht="13.5" customHeight="1" x14ac:dyDescent="0.25">
      <c r="A111" s="341"/>
      <c r="B111" s="342"/>
      <c r="C111" s="343"/>
      <c r="D111" s="369"/>
      <c r="E111" s="358" t="s">
        <v>340</v>
      </c>
      <c r="F111" s="340"/>
    </row>
    <row r="112" spans="1:7" s="146" customFormat="1" ht="13.5" customHeight="1" x14ac:dyDescent="0.25">
      <c r="A112" s="334"/>
      <c r="B112" s="270"/>
      <c r="C112" s="267"/>
      <c r="D112" s="370"/>
      <c r="E112" s="348" t="s">
        <v>314</v>
      </c>
      <c r="F112" s="337"/>
    </row>
    <row r="113" spans="1:6" s="148" customFormat="1" ht="78.75" customHeight="1" x14ac:dyDescent="0.25">
      <c r="A113" s="166">
        <v>13</v>
      </c>
      <c r="B113" s="166">
        <v>801</v>
      </c>
      <c r="C113" s="166">
        <v>80152</v>
      </c>
      <c r="D113" s="363" t="s">
        <v>284</v>
      </c>
      <c r="E113" s="285" t="s">
        <v>341</v>
      </c>
      <c r="F113" s="167">
        <f>944760.81+461079.88</f>
        <v>1405840.69</v>
      </c>
    </row>
    <row r="114" spans="1:6" s="146" customFormat="1" ht="13.5" customHeight="1" x14ac:dyDescent="0.25">
      <c r="A114" s="324"/>
      <c r="C114" s="325"/>
      <c r="D114" s="330"/>
      <c r="E114" s="327" t="s">
        <v>319</v>
      </c>
      <c r="F114" s="328"/>
    </row>
    <row r="115" spans="1:6" s="146" customFormat="1" ht="13.5" customHeight="1" x14ac:dyDescent="0.25">
      <c r="A115" s="324"/>
      <c r="C115" s="325"/>
      <c r="D115" s="330"/>
      <c r="E115" s="346" t="s">
        <v>325</v>
      </c>
      <c r="F115" s="333"/>
    </row>
    <row r="116" spans="1:6" s="146" customFormat="1" ht="13.5" customHeight="1" x14ac:dyDescent="0.25">
      <c r="A116" s="324"/>
      <c r="C116" s="325"/>
      <c r="D116" s="326"/>
      <c r="E116" s="371" t="s">
        <v>307</v>
      </c>
      <c r="F116" s="328"/>
    </row>
    <row r="117" spans="1:6" s="146" customFormat="1" ht="22.9" customHeight="1" x14ac:dyDescent="0.25">
      <c r="A117" s="324"/>
      <c r="C117" s="325"/>
      <c r="D117" s="330"/>
      <c r="E117" s="332" t="s">
        <v>322</v>
      </c>
      <c r="F117" s="328"/>
    </row>
    <row r="118" spans="1:6" s="146" customFormat="1" ht="24.75" customHeight="1" x14ac:dyDescent="0.25">
      <c r="A118" s="324"/>
      <c r="C118" s="325"/>
      <c r="D118" s="330"/>
      <c r="E118" s="332" t="s">
        <v>323</v>
      </c>
      <c r="F118" s="333"/>
    </row>
    <row r="119" spans="1:6" s="146" customFormat="1" ht="13.5" customHeight="1" x14ac:dyDescent="0.25">
      <c r="A119" s="324"/>
      <c r="C119" s="325"/>
      <c r="D119" s="330"/>
      <c r="E119" s="346" t="s">
        <v>324</v>
      </c>
      <c r="F119" s="333"/>
    </row>
    <row r="120" spans="1:6" s="146" customFormat="1" ht="24" customHeight="1" x14ac:dyDescent="0.25">
      <c r="A120" s="334"/>
      <c r="B120" s="270"/>
      <c r="C120" s="267"/>
      <c r="D120" s="335"/>
      <c r="E120" s="336" t="s">
        <v>320</v>
      </c>
      <c r="F120" s="337"/>
    </row>
    <row r="121" spans="1:6" s="148" customFormat="1" ht="15.75" customHeight="1" x14ac:dyDescent="0.25">
      <c r="A121" s="372">
        <v>14</v>
      </c>
      <c r="B121" s="372">
        <v>853</v>
      </c>
      <c r="C121" s="372">
        <v>85311</v>
      </c>
      <c r="D121" s="373">
        <v>2580</v>
      </c>
      <c r="E121" s="374" t="s">
        <v>342</v>
      </c>
      <c r="F121" s="286">
        <f>293325+27500</f>
        <v>320825</v>
      </c>
    </row>
    <row r="122" spans="1:6" s="146" customFormat="1" ht="13.5" customHeight="1" x14ac:dyDescent="0.25">
      <c r="A122" s="319"/>
      <c r="B122" s="320"/>
      <c r="C122" s="267"/>
      <c r="D122" s="375"/>
      <c r="E122" s="270" t="s">
        <v>343</v>
      </c>
      <c r="F122" s="337"/>
    </row>
    <row r="123" spans="1:6" s="148" customFormat="1" ht="15.75" customHeight="1" x14ac:dyDescent="0.25">
      <c r="A123" s="306">
        <v>15</v>
      </c>
      <c r="B123" s="306">
        <v>854</v>
      </c>
      <c r="C123" s="306">
        <v>85402</v>
      </c>
      <c r="D123" s="373">
        <v>2540</v>
      </c>
      <c r="E123" s="353" t="s">
        <v>344</v>
      </c>
      <c r="F123" s="309">
        <f>1138913.09</f>
        <v>1138913.0900000001</v>
      </c>
    </row>
    <row r="124" spans="1:6" s="146" customFormat="1" ht="13.5" customHeight="1" x14ac:dyDescent="0.25">
      <c r="A124" s="319"/>
      <c r="B124" s="320"/>
      <c r="C124" s="263"/>
      <c r="D124" s="354"/>
      <c r="E124" s="376" t="s">
        <v>345</v>
      </c>
      <c r="F124" s="323"/>
    </row>
    <row r="125" spans="1:6" s="148" customFormat="1" ht="25.5" customHeight="1" x14ac:dyDescent="0.25">
      <c r="A125" s="166">
        <v>16</v>
      </c>
      <c r="B125" s="166">
        <v>854</v>
      </c>
      <c r="C125" s="166">
        <v>85404</v>
      </c>
      <c r="D125" s="377" t="s">
        <v>284</v>
      </c>
      <c r="E125" s="357" t="s">
        <v>346</v>
      </c>
      <c r="F125" s="167">
        <f>1189786.53+20000</f>
        <v>1209786.53</v>
      </c>
    </row>
    <row r="126" spans="1:6" s="146" customFormat="1" ht="13.5" customHeight="1" x14ac:dyDescent="0.25">
      <c r="A126" s="324"/>
      <c r="C126" s="325"/>
      <c r="D126" s="330"/>
      <c r="E126" s="347" t="s">
        <v>302</v>
      </c>
      <c r="F126" s="328"/>
    </row>
    <row r="127" spans="1:6" s="146" customFormat="1" ht="13.5" customHeight="1" x14ac:dyDescent="0.25">
      <c r="A127" s="324"/>
      <c r="C127" s="325"/>
      <c r="D127" s="330"/>
      <c r="E127" s="378" t="s">
        <v>293</v>
      </c>
      <c r="F127" s="333"/>
    </row>
    <row r="128" spans="1:6" s="146" customFormat="1" ht="13.5" customHeight="1" x14ac:dyDescent="0.25">
      <c r="A128" s="324"/>
      <c r="C128" s="325"/>
      <c r="D128" s="330"/>
      <c r="E128" s="332" t="s">
        <v>334</v>
      </c>
      <c r="F128" s="333"/>
    </row>
    <row r="129" spans="1:7" s="146" customFormat="1" ht="13.5" customHeight="1" x14ac:dyDescent="0.25">
      <c r="A129" s="324"/>
      <c r="C129" s="325"/>
      <c r="D129" s="330"/>
      <c r="E129" s="332" t="s">
        <v>301</v>
      </c>
      <c r="F129" s="333"/>
    </row>
    <row r="130" spans="1:7" s="146" customFormat="1" ht="13.5" customHeight="1" x14ac:dyDescent="0.25">
      <c r="A130" s="324"/>
      <c r="C130" s="325"/>
      <c r="D130" s="330"/>
      <c r="E130" s="346" t="s">
        <v>297</v>
      </c>
      <c r="F130" s="333"/>
    </row>
    <row r="131" spans="1:7" s="146" customFormat="1" ht="13.5" customHeight="1" x14ac:dyDescent="0.25">
      <c r="A131" s="324"/>
      <c r="C131" s="325"/>
      <c r="D131" s="330"/>
      <c r="E131" s="332" t="s">
        <v>335</v>
      </c>
      <c r="F131" s="333"/>
    </row>
    <row r="132" spans="1:7" s="146" customFormat="1" ht="13.5" customHeight="1" x14ac:dyDescent="0.25">
      <c r="A132" s="324"/>
      <c r="C132" s="325"/>
      <c r="D132" s="330"/>
      <c r="E132" s="332" t="s">
        <v>296</v>
      </c>
      <c r="F132" s="333"/>
    </row>
    <row r="133" spans="1:7" s="146" customFormat="1" ht="13.5" customHeight="1" x14ac:dyDescent="0.25">
      <c r="A133" s="324"/>
      <c r="C133" s="325"/>
      <c r="D133" s="330"/>
      <c r="E133" s="366" t="s">
        <v>291</v>
      </c>
      <c r="F133" s="328"/>
    </row>
    <row r="134" spans="1:7" s="146" customFormat="1" ht="13.5" customHeight="1" x14ac:dyDescent="0.25">
      <c r="A134" s="334"/>
      <c r="B134" s="270"/>
      <c r="C134" s="267"/>
      <c r="D134" s="330"/>
      <c r="E134" s="331" t="s">
        <v>304</v>
      </c>
      <c r="F134" s="379"/>
    </row>
    <row r="135" spans="1:7" s="148" customFormat="1" ht="25.5" customHeight="1" x14ac:dyDescent="0.25">
      <c r="A135" s="380">
        <v>17</v>
      </c>
      <c r="B135" s="380">
        <v>854</v>
      </c>
      <c r="C135" s="380">
        <v>85406</v>
      </c>
      <c r="D135" s="381">
        <v>2540</v>
      </c>
      <c r="E135" s="382" t="s">
        <v>347</v>
      </c>
      <c r="F135" s="167">
        <f>123905.02</f>
        <v>123905.02</v>
      </c>
    </row>
    <row r="136" spans="1:7" s="146" customFormat="1" ht="13.5" customHeight="1" x14ac:dyDescent="0.25">
      <c r="A136" s="341"/>
      <c r="B136" s="342"/>
      <c r="C136" s="343"/>
      <c r="D136" s="349"/>
      <c r="E136" s="383" t="s">
        <v>348</v>
      </c>
      <c r="F136" s="340"/>
    </row>
    <row r="137" spans="1:7" s="148" customFormat="1" ht="14.25" customHeight="1" x14ac:dyDescent="0.25">
      <c r="A137" s="306">
        <v>18</v>
      </c>
      <c r="B137" s="306">
        <v>854</v>
      </c>
      <c r="C137" s="306">
        <v>85410</v>
      </c>
      <c r="D137" s="373">
        <v>2590</v>
      </c>
      <c r="E137" s="353" t="s">
        <v>168</v>
      </c>
      <c r="F137" s="309">
        <f>1565082.91</f>
        <v>1565082.91</v>
      </c>
    </row>
    <row r="138" spans="1:7" s="146" customFormat="1" ht="13.5" customHeight="1" x14ac:dyDescent="0.25">
      <c r="A138" s="319"/>
      <c r="B138" s="320"/>
      <c r="C138" s="263"/>
      <c r="D138" s="375"/>
      <c r="E138" s="270" t="s">
        <v>349</v>
      </c>
      <c r="F138" s="384"/>
    </row>
    <row r="139" spans="1:7" s="148" customFormat="1" ht="14.25" customHeight="1" x14ac:dyDescent="0.25">
      <c r="A139" s="525"/>
      <c r="B139" s="522"/>
      <c r="C139" s="522"/>
      <c r="D139" s="279"/>
      <c r="E139" s="522" t="s">
        <v>282</v>
      </c>
      <c r="F139" s="309">
        <f>SUM(F36:F138)</f>
        <v>65563382.840000004</v>
      </c>
    </row>
    <row r="140" spans="1:7" s="148" customFormat="1" ht="15.75" customHeight="1" x14ac:dyDescent="0.25">
      <c r="A140" s="385"/>
      <c r="B140" s="386"/>
      <c r="C140" s="386"/>
      <c r="D140" s="279"/>
      <c r="E140" s="386" t="s">
        <v>23</v>
      </c>
      <c r="F140" s="387">
        <f>SUM(F33,F139)</f>
        <v>95370355.760000005</v>
      </c>
    </row>
    <row r="142" spans="1:7" s="148" customFormat="1" ht="12.6" customHeight="1" x14ac:dyDescent="0.25">
      <c r="A142" s="147"/>
      <c r="D142" s="271"/>
      <c r="F142" s="237"/>
    </row>
    <row r="143" spans="1:7" s="148" customFormat="1" x14ac:dyDescent="0.25">
      <c r="D143" s="271"/>
      <c r="F143" s="237"/>
      <c r="G143" s="146"/>
    </row>
    <row r="144" spans="1:7" s="148" customFormat="1" x14ac:dyDescent="0.25">
      <c r="D144" s="271"/>
      <c r="F144" s="237"/>
      <c r="G144" s="146"/>
    </row>
    <row r="145" spans="4:6" s="148" customFormat="1" x14ac:dyDescent="0.25">
      <c r="D145" s="271"/>
      <c r="F145" s="237"/>
    </row>
    <row r="146" spans="4:6" s="148" customFormat="1" x14ac:dyDescent="0.25">
      <c r="D146" s="271"/>
      <c r="F146" s="237"/>
    </row>
    <row r="147" spans="4:6" s="148" customFormat="1" x14ac:dyDescent="0.25">
      <c r="D147" s="271"/>
      <c r="F147" s="237"/>
    </row>
    <row r="148" spans="4:6" s="148" customFormat="1" x14ac:dyDescent="0.25">
      <c r="D148" s="271"/>
      <c r="F148" s="237"/>
    </row>
    <row r="149" spans="4:6" s="148" customFormat="1" x14ac:dyDescent="0.25">
      <c r="D149" s="271"/>
      <c r="F149" s="237"/>
    </row>
  </sheetData>
  <pageMargins left="0.51181102362204722" right="0.51181102362204722" top="0.70866141732283472" bottom="0.74803149606299213" header="0.31496062992125984" footer="0.31496062992125984"/>
  <pageSetup paperSize="9" firstPageNumber="66" orientation="portrait" r:id="rId1"/>
  <headerFooter>
    <oddFooter>&amp;C&amp;"Arial Narrow,Normalny"&amp;8&amp;P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1971D-45F5-490C-BB24-8E95115D0F9B}">
  <dimension ref="A1:G41"/>
  <sheetViews>
    <sheetView zoomScale="130" zoomScaleNormal="130" workbookViewId="0"/>
  </sheetViews>
  <sheetFormatPr defaultRowHeight="15" x14ac:dyDescent="0.25"/>
  <cols>
    <col min="1" max="1" width="4.42578125" style="528" customWidth="1"/>
    <col min="2" max="2" width="7.5703125" style="528" customWidth="1"/>
    <col min="3" max="3" width="50.85546875" style="528" customWidth="1"/>
    <col min="4" max="4" width="14.85546875" style="528" customWidth="1"/>
    <col min="5" max="5" width="14" style="528" customWidth="1"/>
    <col min="6" max="6" width="14.140625" style="528" customWidth="1"/>
    <col min="7" max="7" width="14.7109375" style="528" customWidth="1"/>
    <col min="8" max="256" width="9.140625" style="528"/>
    <col min="257" max="257" width="4.42578125" style="528" customWidth="1"/>
    <col min="258" max="258" width="7.5703125" style="528" customWidth="1"/>
    <col min="259" max="259" width="47.42578125" style="528" customWidth="1"/>
    <col min="260" max="260" width="14.85546875" style="528" customWidth="1"/>
    <col min="261" max="261" width="14" style="528" customWidth="1"/>
    <col min="262" max="262" width="14.140625" style="528" customWidth="1"/>
    <col min="263" max="263" width="14.7109375" style="528" customWidth="1"/>
    <col min="264" max="512" width="9.140625" style="528"/>
    <col min="513" max="513" width="4.42578125" style="528" customWidth="1"/>
    <col min="514" max="514" width="7.5703125" style="528" customWidth="1"/>
    <col min="515" max="515" width="47.42578125" style="528" customWidth="1"/>
    <col min="516" max="516" width="14.85546875" style="528" customWidth="1"/>
    <col min="517" max="517" width="14" style="528" customWidth="1"/>
    <col min="518" max="518" width="14.140625" style="528" customWidth="1"/>
    <col min="519" max="519" width="14.7109375" style="528" customWidth="1"/>
    <col min="520" max="768" width="9.140625" style="528"/>
    <col min="769" max="769" width="4.42578125" style="528" customWidth="1"/>
    <col min="770" max="770" width="7.5703125" style="528" customWidth="1"/>
    <col min="771" max="771" width="47.42578125" style="528" customWidth="1"/>
    <col min="772" max="772" width="14.85546875" style="528" customWidth="1"/>
    <col min="773" max="773" width="14" style="528" customWidth="1"/>
    <col min="774" max="774" width="14.140625" style="528" customWidth="1"/>
    <col min="775" max="775" width="14.7109375" style="528" customWidth="1"/>
    <col min="776" max="1024" width="9.140625" style="528"/>
    <col min="1025" max="1025" width="4.42578125" style="528" customWidth="1"/>
    <col min="1026" max="1026" width="7.5703125" style="528" customWidth="1"/>
    <col min="1027" max="1027" width="47.42578125" style="528" customWidth="1"/>
    <col min="1028" max="1028" width="14.85546875" style="528" customWidth="1"/>
    <col min="1029" max="1029" width="14" style="528" customWidth="1"/>
    <col min="1030" max="1030" width="14.140625" style="528" customWidth="1"/>
    <col min="1031" max="1031" width="14.7109375" style="528" customWidth="1"/>
    <col min="1032" max="1280" width="9.140625" style="528"/>
    <col min="1281" max="1281" width="4.42578125" style="528" customWidth="1"/>
    <col min="1282" max="1282" width="7.5703125" style="528" customWidth="1"/>
    <col min="1283" max="1283" width="47.42578125" style="528" customWidth="1"/>
    <col min="1284" max="1284" width="14.85546875" style="528" customWidth="1"/>
    <col min="1285" max="1285" width="14" style="528" customWidth="1"/>
    <col min="1286" max="1286" width="14.140625" style="528" customWidth="1"/>
    <col min="1287" max="1287" width="14.7109375" style="528" customWidth="1"/>
    <col min="1288" max="1536" width="9.140625" style="528"/>
    <col min="1537" max="1537" width="4.42578125" style="528" customWidth="1"/>
    <col min="1538" max="1538" width="7.5703125" style="528" customWidth="1"/>
    <col min="1539" max="1539" width="47.42578125" style="528" customWidth="1"/>
    <col min="1540" max="1540" width="14.85546875" style="528" customWidth="1"/>
    <col min="1541" max="1541" width="14" style="528" customWidth="1"/>
    <col min="1542" max="1542" width="14.140625" style="528" customWidth="1"/>
    <col min="1543" max="1543" width="14.7109375" style="528" customWidth="1"/>
    <col min="1544" max="1792" width="9.140625" style="528"/>
    <col min="1793" max="1793" width="4.42578125" style="528" customWidth="1"/>
    <col min="1794" max="1794" width="7.5703125" style="528" customWidth="1"/>
    <col min="1795" max="1795" width="47.42578125" style="528" customWidth="1"/>
    <col min="1796" max="1796" width="14.85546875" style="528" customWidth="1"/>
    <col min="1797" max="1797" width="14" style="528" customWidth="1"/>
    <col min="1798" max="1798" width="14.140625" style="528" customWidth="1"/>
    <col min="1799" max="1799" width="14.7109375" style="528" customWidth="1"/>
    <col min="1800" max="2048" width="9.140625" style="528"/>
    <col min="2049" max="2049" width="4.42578125" style="528" customWidth="1"/>
    <col min="2050" max="2050" width="7.5703125" style="528" customWidth="1"/>
    <col min="2051" max="2051" width="47.42578125" style="528" customWidth="1"/>
    <col min="2052" max="2052" width="14.85546875" style="528" customWidth="1"/>
    <col min="2053" max="2053" width="14" style="528" customWidth="1"/>
    <col min="2054" max="2054" width="14.140625" style="528" customWidth="1"/>
    <col min="2055" max="2055" width="14.7109375" style="528" customWidth="1"/>
    <col min="2056" max="2304" width="9.140625" style="528"/>
    <col min="2305" max="2305" width="4.42578125" style="528" customWidth="1"/>
    <col min="2306" max="2306" width="7.5703125" style="528" customWidth="1"/>
    <col min="2307" max="2307" width="47.42578125" style="528" customWidth="1"/>
    <col min="2308" max="2308" width="14.85546875" style="528" customWidth="1"/>
    <col min="2309" max="2309" width="14" style="528" customWidth="1"/>
    <col min="2310" max="2310" width="14.140625" style="528" customWidth="1"/>
    <col min="2311" max="2311" width="14.7109375" style="528" customWidth="1"/>
    <col min="2312" max="2560" width="9.140625" style="528"/>
    <col min="2561" max="2561" width="4.42578125" style="528" customWidth="1"/>
    <col min="2562" max="2562" width="7.5703125" style="528" customWidth="1"/>
    <col min="2563" max="2563" width="47.42578125" style="528" customWidth="1"/>
    <col min="2564" max="2564" width="14.85546875" style="528" customWidth="1"/>
    <col min="2565" max="2565" width="14" style="528" customWidth="1"/>
    <col min="2566" max="2566" width="14.140625" style="528" customWidth="1"/>
    <col min="2567" max="2567" width="14.7109375" style="528" customWidth="1"/>
    <col min="2568" max="2816" width="9.140625" style="528"/>
    <col min="2817" max="2817" width="4.42578125" style="528" customWidth="1"/>
    <col min="2818" max="2818" width="7.5703125" style="528" customWidth="1"/>
    <col min="2819" max="2819" width="47.42578125" style="528" customWidth="1"/>
    <col min="2820" max="2820" width="14.85546875" style="528" customWidth="1"/>
    <col min="2821" max="2821" width="14" style="528" customWidth="1"/>
    <col min="2822" max="2822" width="14.140625" style="528" customWidth="1"/>
    <col min="2823" max="2823" width="14.7109375" style="528" customWidth="1"/>
    <col min="2824" max="3072" width="9.140625" style="528"/>
    <col min="3073" max="3073" width="4.42578125" style="528" customWidth="1"/>
    <col min="3074" max="3074" width="7.5703125" style="528" customWidth="1"/>
    <col min="3075" max="3075" width="47.42578125" style="528" customWidth="1"/>
    <col min="3076" max="3076" width="14.85546875" style="528" customWidth="1"/>
    <col min="3077" max="3077" width="14" style="528" customWidth="1"/>
    <col min="3078" max="3078" width="14.140625" style="528" customWidth="1"/>
    <col min="3079" max="3079" width="14.7109375" style="528" customWidth="1"/>
    <col min="3080" max="3328" width="9.140625" style="528"/>
    <col min="3329" max="3329" width="4.42578125" style="528" customWidth="1"/>
    <col min="3330" max="3330" width="7.5703125" style="528" customWidth="1"/>
    <col min="3331" max="3331" width="47.42578125" style="528" customWidth="1"/>
    <col min="3332" max="3332" width="14.85546875" style="528" customWidth="1"/>
    <col min="3333" max="3333" width="14" style="528" customWidth="1"/>
    <col min="3334" max="3334" width="14.140625" style="528" customWidth="1"/>
    <col min="3335" max="3335" width="14.7109375" style="528" customWidth="1"/>
    <col min="3336" max="3584" width="9.140625" style="528"/>
    <col min="3585" max="3585" width="4.42578125" style="528" customWidth="1"/>
    <col min="3586" max="3586" width="7.5703125" style="528" customWidth="1"/>
    <col min="3587" max="3587" width="47.42578125" style="528" customWidth="1"/>
    <col min="3588" max="3588" width="14.85546875" style="528" customWidth="1"/>
    <col min="3589" max="3589" width="14" style="528" customWidth="1"/>
    <col min="3590" max="3590" width="14.140625" style="528" customWidth="1"/>
    <col min="3591" max="3591" width="14.7109375" style="528" customWidth="1"/>
    <col min="3592" max="3840" width="9.140625" style="528"/>
    <col min="3841" max="3841" width="4.42578125" style="528" customWidth="1"/>
    <col min="3842" max="3842" width="7.5703125" style="528" customWidth="1"/>
    <col min="3843" max="3843" width="47.42578125" style="528" customWidth="1"/>
    <col min="3844" max="3844" width="14.85546875" style="528" customWidth="1"/>
    <col min="3845" max="3845" width="14" style="528" customWidth="1"/>
    <col min="3846" max="3846" width="14.140625" style="528" customWidth="1"/>
    <col min="3847" max="3847" width="14.7109375" style="528" customWidth="1"/>
    <col min="3848" max="4096" width="9.140625" style="528"/>
    <col min="4097" max="4097" width="4.42578125" style="528" customWidth="1"/>
    <col min="4098" max="4098" width="7.5703125" style="528" customWidth="1"/>
    <col min="4099" max="4099" width="47.42578125" style="528" customWidth="1"/>
    <col min="4100" max="4100" width="14.85546875" style="528" customWidth="1"/>
    <col min="4101" max="4101" width="14" style="528" customWidth="1"/>
    <col min="4102" max="4102" width="14.140625" style="528" customWidth="1"/>
    <col min="4103" max="4103" width="14.7109375" style="528" customWidth="1"/>
    <col min="4104" max="4352" width="9.140625" style="528"/>
    <col min="4353" max="4353" width="4.42578125" style="528" customWidth="1"/>
    <col min="4354" max="4354" width="7.5703125" style="528" customWidth="1"/>
    <col min="4355" max="4355" width="47.42578125" style="528" customWidth="1"/>
    <col min="4356" max="4356" width="14.85546875" style="528" customWidth="1"/>
    <col min="4357" max="4357" width="14" style="528" customWidth="1"/>
    <col min="4358" max="4358" width="14.140625" style="528" customWidth="1"/>
    <col min="4359" max="4359" width="14.7109375" style="528" customWidth="1"/>
    <col min="4360" max="4608" width="9.140625" style="528"/>
    <col min="4609" max="4609" width="4.42578125" style="528" customWidth="1"/>
    <col min="4610" max="4610" width="7.5703125" style="528" customWidth="1"/>
    <col min="4611" max="4611" width="47.42578125" style="528" customWidth="1"/>
    <col min="4612" max="4612" width="14.85546875" style="528" customWidth="1"/>
    <col min="4613" max="4613" width="14" style="528" customWidth="1"/>
    <col min="4614" max="4614" width="14.140625" style="528" customWidth="1"/>
    <col min="4615" max="4615" width="14.7109375" style="528" customWidth="1"/>
    <col min="4616" max="4864" width="9.140625" style="528"/>
    <col min="4865" max="4865" width="4.42578125" style="528" customWidth="1"/>
    <col min="4866" max="4866" width="7.5703125" style="528" customWidth="1"/>
    <col min="4867" max="4867" width="47.42578125" style="528" customWidth="1"/>
    <col min="4868" max="4868" width="14.85546875" style="528" customWidth="1"/>
    <col min="4869" max="4869" width="14" style="528" customWidth="1"/>
    <col min="4870" max="4870" width="14.140625" style="528" customWidth="1"/>
    <col min="4871" max="4871" width="14.7109375" style="528" customWidth="1"/>
    <col min="4872" max="5120" width="9.140625" style="528"/>
    <col min="5121" max="5121" width="4.42578125" style="528" customWidth="1"/>
    <col min="5122" max="5122" width="7.5703125" style="528" customWidth="1"/>
    <col min="5123" max="5123" width="47.42578125" style="528" customWidth="1"/>
    <col min="5124" max="5124" width="14.85546875" style="528" customWidth="1"/>
    <col min="5125" max="5125" width="14" style="528" customWidth="1"/>
    <col min="5126" max="5126" width="14.140625" style="528" customWidth="1"/>
    <col min="5127" max="5127" width="14.7109375" style="528" customWidth="1"/>
    <col min="5128" max="5376" width="9.140625" style="528"/>
    <col min="5377" max="5377" width="4.42578125" style="528" customWidth="1"/>
    <col min="5378" max="5378" width="7.5703125" style="528" customWidth="1"/>
    <col min="5379" max="5379" width="47.42578125" style="528" customWidth="1"/>
    <col min="5380" max="5380" width="14.85546875" style="528" customWidth="1"/>
    <col min="5381" max="5381" width="14" style="528" customWidth="1"/>
    <col min="5382" max="5382" width="14.140625" style="528" customWidth="1"/>
    <col min="5383" max="5383" width="14.7109375" style="528" customWidth="1"/>
    <col min="5384" max="5632" width="9.140625" style="528"/>
    <col min="5633" max="5633" width="4.42578125" style="528" customWidth="1"/>
    <col min="5634" max="5634" width="7.5703125" style="528" customWidth="1"/>
    <col min="5635" max="5635" width="47.42578125" style="528" customWidth="1"/>
    <col min="5636" max="5636" width="14.85546875" style="528" customWidth="1"/>
    <col min="5637" max="5637" width="14" style="528" customWidth="1"/>
    <col min="5638" max="5638" width="14.140625" style="528" customWidth="1"/>
    <col min="5639" max="5639" width="14.7109375" style="528" customWidth="1"/>
    <col min="5640" max="5888" width="9.140625" style="528"/>
    <col min="5889" max="5889" width="4.42578125" style="528" customWidth="1"/>
    <col min="5890" max="5890" width="7.5703125" style="528" customWidth="1"/>
    <col min="5891" max="5891" width="47.42578125" style="528" customWidth="1"/>
    <col min="5892" max="5892" width="14.85546875" style="528" customWidth="1"/>
    <col min="5893" max="5893" width="14" style="528" customWidth="1"/>
    <col min="5894" max="5894" width="14.140625" style="528" customWidth="1"/>
    <col min="5895" max="5895" width="14.7109375" style="528" customWidth="1"/>
    <col min="5896" max="6144" width="9.140625" style="528"/>
    <col min="6145" max="6145" width="4.42578125" style="528" customWidth="1"/>
    <col min="6146" max="6146" width="7.5703125" style="528" customWidth="1"/>
    <col min="6147" max="6147" width="47.42578125" style="528" customWidth="1"/>
    <col min="6148" max="6148" width="14.85546875" style="528" customWidth="1"/>
    <col min="6149" max="6149" width="14" style="528" customWidth="1"/>
    <col min="6150" max="6150" width="14.140625" style="528" customWidth="1"/>
    <col min="6151" max="6151" width="14.7109375" style="528" customWidth="1"/>
    <col min="6152" max="6400" width="9.140625" style="528"/>
    <col min="6401" max="6401" width="4.42578125" style="528" customWidth="1"/>
    <col min="6402" max="6402" width="7.5703125" style="528" customWidth="1"/>
    <col min="6403" max="6403" width="47.42578125" style="528" customWidth="1"/>
    <col min="6404" max="6404" width="14.85546875" style="528" customWidth="1"/>
    <col min="6405" max="6405" width="14" style="528" customWidth="1"/>
    <col min="6406" max="6406" width="14.140625" style="528" customWidth="1"/>
    <col min="6407" max="6407" width="14.7109375" style="528" customWidth="1"/>
    <col min="6408" max="6656" width="9.140625" style="528"/>
    <col min="6657" max="6657" width="4.42578125" style="528" customWidth="1"/>
    <col min="6658" max="6658" width="7.5703125" style="528" customWidth="1"/>
    <col min="6659" max="6659" width="47.42578125" style="528" customWidth="1"/>
    <col min="6660" max="6660" width="14.85546875" style="528" customWidth="1"/>
    <col min="6661" max="6661" width="14" style="528" customWidth="1"/>
    <col min="6662" max="6662" width="14.140625" style="528" customWidth="1"/>
    <col min="6663" max="6663" width="14.7109375" style="528" customWidth="1"/>
    <col min="6664" max="6912" width="9.140625" style="528"/>
    <col min="6913" max="6913" width="4.42578125" style="528" customWidth="1"/>
    <col min="6914" max="6914" width="7.5703125" style="528" customWidth="1"/>
    <col min="6915" max="6915" width="47.42578125" style="528" customWidth="1"/>
    <col min="6916" max="6916" width="14.85546875" style="528" customWidth="1"/>
    <col min="6917" max="6917" width="14" style="528" customWidth="1"/>
    <col min="6918" max="6918" width="14.140625" style="528" customWidth="1"/>
    <col min="6919" max="6919" width="14.7109375" style="528" customWidth="1"/>
    <col min="6920" max="7168" width="9.140625" style="528"/>
    <col min="7169" max="7169" width="4.42578125" style="528" customWidth="1"/>
    <col min="7170" max="7170" width="7.5703125" style="528" customWidth="1"/>
    <col min="7171" max="7171" width="47.42578125" style="528" customWidth="1"/>
    <col min="7172" max="7172" width="14.85546875" style="528" customWidth="1"/>
    <col min="7173" max="7173" width="14" style="528" customWidth="1"/>
    <col min="7174" max="7174" width="14.140625" style="528" customWidth="1"/>
    <col min="7175" max="7175" width="14.7109375" style="528" customWidth="1"/>
    <col min="7176" max="7424" width="9.140625" style="528"/>
    <col min="7425" max="7425" width="4.42578125" style="528" customWidth="1"/>
    <col min="7426" max="7426" width="7.5703125" style="528" customWidth="1"/>
    <col min="7427" max="7427" width="47.42578125" style="528" customWidth="1"/>
    <col min="7428" max="7428" width="14.85546875" style="528" customWidth="1"/>
    <col min="7429" max="7429" width="14" style="528" customWidth="1"/>
    <col min="7430" max="7430" width="14.140625" style="528" customWidth="1"/>
    <col min="7431" max="7431" width="14.7109375" style="528" customWidth="1"/>
    <col min="7432" max="7680" width="9.140625" style="528"/>
    <col min="7681" max="7681" width="4.42578125" style="528" customWidth="1"/>
    <col min="7682" max="7682" width="7.5703125" style="528" customWidth="1"/>
    <col min="7683" max="7683" width="47.42578125" style="528" customWidth="1"/>
    <col min="7684" max="7684" width="14.85546875" style="528" customWidth="1"/>
    <col min="7685" max="7685" width="14" style="528" customWidth="1"/>
    <col min="7686" max="7686" width="14.140625" style="528" customWidth="1"/>
    <col min="7687" max="7687" width="14.7109375" style="528" customWidth="1"/>
    <col min="7688" max="7936" width="9.140625" style="528"/>
    <col min="7937" max="7937" width="4.42578125" style="528" customWidth="1"/>
    <col min="7938" max="7938" width="7.5703125" style="528" customWidth="1"/>
    <col min="7939" max="7939" width="47.42578125" style="528" customWidth="1"/>
    <col min="7940" max="7940" width="14.85546875" style="528" customWidth="1"/>
    <col min="7941" max="7941" width="14" style="528" customWidth="1"/>
    <col min="7942" max="7942" width="14.140625" style="528" customWidth="1"/>
    <col min="7943" max="7943" width="14.7109375" style="528" customWidth="1"/>
    <col min="7944" max="8192" width="9.140625" style="528"/>
    <col min="8193" max="8193" width="4.42578125" style="528" customWidth="1"/>
    <col min="8194" max="8194" width="7.5703125" style="528" customWidth="1"/>
    <col min="8195" max="8195" width="47.42578125" style="528" customWidth="1"/>
    <col min="8196" max="8196" width="14.85546875" style="528" customWidth="1"/>
    <col min="8197" max="8197" width="14" style="528" customWidth="1"/>
    <col min="8198" max="8198" width="14.140625" style="528" customWidth="1"/>
    <col min="8199" max="8199" width="14.7109375" style="528" customWidth="1"/>
    <col min="8200" max="8448" width="9.140625" style="528"/>
    <col min="8449" max="8449" width="4.42578125" style="528" customWidth="1"/>
    <col min="8450" max="8450" width="7.5703125" style="528" customWidth="1"/>
    <col min="8451" max="8451" width="47.42578125" style="528" customWidth="1"/>
    <col min="8452" max="8452" width="14.85546875" style="528" customWidth="1"/>
    <col min="8453" max="8453" width="14" style="528" customWidth="1"/>
    <col min="8454" max="8454" width="14.140625" style="528" customWidth="1"/>
    <col min="8455" max="8455" width="14.7109375" style="528" customWidth="1"/>
    <col min="8456" max="8704" width="9.140625" style="528"/>
    <col min="8705" max="8705" width="4.42578125" style="528" customWidth="1"/>
    <col min="8706" max="8706" width="7.5703125" style="528" customWidth="1"/>
    <col min="8707" max="8707" width="47.42578125" style="528" customWidth="1"/>
    <col min="8708" max="8708" width="14.85546875" style="528" customWidth="1"/>
    <col min="8709" max="8709" width="14" style="528" customWidth="1"/>
    <col min="8710" max="8710" width="14.140625" style="528" customWidth="1"/>
    <col min="8711" max="8711" width="14.7109375" style="528" customWidth="1"/>
    <col min="8712" max="8960" width="9.140625" style="528"/>
    <col min="8961" max="8961" width="4.42578125" style="528" customWidth="1"/>
    <col min="8962" max="8962" width="7.5703125" style="528" customWidth="1"/>
    <col min="8963" max="8963" width="47.42578125" style="528" customWidth="1"/>
    <col min="8964" max="8964" width="14.85546875" style="528" customWidth="1"/>
    <col min="8965" max="8965" width="14" style="528" customWidth="1"/>
    <col min="8966" max="8966" width="14.140625" style="528" customWidth="1"/>
    <col min="8967" max="8967" width="14.7109375" style="528" customWidth="1"/>
    <col min="8968" max="9216" width="9.140625" style="528"/>
    <col min="9217" max="9217" width="4.42578125" style="528" customWidth="1"/>
    <col min="9218" max="9218" width="7.5703125" style="528" customWidth="1"/>
    <col min="9219" max="9219" width="47.42578125" style="528" customWidth="1"/>
    <col min="9220" max="9220" width="14.85546875" style="528" customWidth="1"/>
    <col min="9221" max="9221" width="14" style="528" customWidth="1"/>
    <col min="9222" max="9222" width="14.140625" style="528" customWidth="1"/>
    <col min="9223" max="9223" width="14.7109375" style="528" customWidth="1"/>
    <col min="9224" max="9472" width="9.140625" style="528"/>
    <col min="9473" max="9473" width="4.42578125" style="528" customWidth="1"/>
    <col min="9474" max="9474" width="7.5703125" style="528" customWidth="1"/>
    <col min="9475" max="9475" width="47.42578125" style="528" customWidth="1"/>
    <col min="9476" max="9476" width="14.85546875" style="528" customWidth="1"/>
    <col min="9477" max="9477" width="14" style="528" customWidth="1"/>
    <col min="9478" max="9478" width="14.140625" style="528" customWidth="1"/>
    <col min="9479" max="9479" width="14.7109375" style="528" customWidth="1"/>
    <col min="9480" max="9728" width="9.140625" style="528"/>
    <col min="9729" max="9729" width="4.42578125" style="528" customWidth="1"/>
    <col min="9730" max="9730" width="7.5703125" style="528" customWidth="1"/>
    <col min="9731" max="9731" width="47.42578125" style="528" customWidth="1"/>
    <col min="9732" max="9732" width="14.85546875" style="528" customWidth="1"/>
    <col min="9733" max="9733" width="14" style="528" customWidth="1"/>
    <col min="9734" max="9734" width="14.140625" style="528" customWidth="1"/>
    <col min="9735" max="9735" width="14.7109375" style="528" customWidth="1"/>
    <col min="9736" max="9984" width="9.140625" style="528"/>
    <col min="9985" max="9985" width="4.42578125" style="528" customWidth="1"/>
    <col min="9986" max="9986" width="7.5703125" style="528" customWidth="1"/>
    <col min="9987" max="9987" width="47.42578125" style="528" customWidth="1"/>
    <col min="9988" max="9988" width="14.85546875" style="528" customWidth="1"/>
    <col min="9989" max="9989" width="14" style="528" customWidth="1"/>
    <col min="9990" max="9990" width="14.140625" style="528" customWidth="1"/>
    <col min="9991" max="9991" width="14.7109375" style="528" customWidth="1"/>
    <col min="9992" max="10240" width="9.140625" style="528"/>
    <col min="10241" max="10241" width="4.42578125" style="528" customWidth="1"/>
    <col min="10242" max="10242" width="7.5703125" style="528" customWidth="1"/>
    <col min="10243" max="10243" width="47.42578125" style="528" customWidth="1"/>
    <col min="10244" max="10244" width="14.85546875" style="528" customWidth="1"/>
    <col min="10245" max="10245" width="14" style="528" customWidth="1"/>
    <col min="10246" max="10246" width="14.140625" style="528" customWidth="1"/>
    <col min="10247" max="10247" width="14.7109375" style="528" customWidth="1"/>
    <col min="10248" max="10496" width="9.140625" style="528"/>
    <col min="10497" max="10497" width="4.42578125" style="528" customWidth="1"/>
    <col min="10498" max="10498" width="7.5703125" style="528" customWidth="1"/>
    <col min="10499" max="10499" width="47.42578125" style="528" customWidth="1"/>
    <col min="10500" max="10500" width="14.85546875" style="528" customWidth="1"/>
    <col min="10501" max="10501" width="14" style="528" customWidth="1"/>
    <col min="10502" max="10502" width="14.140625" style="528" customWidth="1"/>
    <col min="10503" max="10503" width="14.7109375" style="528" customWidth="1"/>
    <col min="10504" max="10752" width="9.140625" style="528"/>
    <col min="10753" max="10753" width="4.42578125" style="528" customWidth="1"/>
    <col min="10754" max="10754" width="7.5703125" style="528" customWidth="1"/>
    <col min="10755" max="10755" width="47.42578125" style="528" customWidth="1"/>
    <col min="10756" max="10756" width="14.85546875" style="528" customWidth="1"/>
    <col min="10757" max="10757" width="14" style="528" customWidth="1"/>
    <col min="10758" max="10758" width="14.140625" style="528" customWidth="1"/>
    <col min="10759" max="10759" width="14.7109375" style="528" customWidth="1"/>
    <col min="10760" max="11008" width="9.140625" style="528"/>
    <col min="11009" max="11009" width="4.42578125" style="528" customWidth="1"/>
    <col min="11010" max="11010" width="7.5703125" style="528" customWidth="1"/>
    <col min="11011" max="11011" width="47.42578125" style="528" customWidth="1"/>
    <col min="11012" max="11012" width="14.85546875" style="528" customWidth="1"/>
    <col min="11013" max="11013" width="14" style="528" customWidth="1"/>
    <col min="11014" max="11014" width="14.140625" style="528" customWidth="1"/>
    <col min="11015" max="11015" width="14.7109375" style="528" customWidth="1"/>
    <col min="11016" max="11264" width="9.140625" style="528"/>
    <col min="11265" max="11265" width="4.42578125" style="528" customWidth="1"/>
    <col min="11266" max="11266" width="7.5703125" style="528" customWidth="1"/>
    <col min="11267" max="11267" width="47.42578125" style="528" customWidth="1"/>
    <col min="11268" max="11268" width="14.85546875" style="528" customWidth="1"/>
    <col min="11269" max="11269" width="14" style="528" customWidth="1"/>
    <col min="11270" max="11270" width="14.140625" style="528" customWidth="1"/>
    <col min="11271" max="11271" width="14.7109375" style="528" customWidth="1"/>
    <col min="11272" max="11520" width="9.140625" style="528"/>
    <col min="11521" max="11521" width="4.42578125" style="528" customWidth="1"/>
    <col min="11522" max="11522" width="7.5703125" style="528" customWidth="1"/>
    <col min="11523" max="11523" width="47.42578125" style="528" customWidth="1"/>
    <col min="11524" max="11524" width="14.85546875" style="528" customWidth="1"/>
    <col min="11525" max="11525" width="14" style="528" customWidth="1"/>
    <col min="11526" max="11526" width="14.140625" style="528" customWidth="1"/>
    <col min="11527" max="11527" width="14.7109375" style="528" customWidth="1"/>
    <col min="11528" max="11776" width="9.140625" style="528"/>
    <col min="11777" max="11777" width="4.42578125" style="528" customWidth="1"/>
    <col min="11778" max="11778" width="7.5703125" style="528" customWidth="1"/>
    <col min="11779" max="11779" width="47.42578125" style="528" customWidth="1"/>
    <col min="11780" max="11780" width="14.85546875" style="528" customWidth="1"/>
    <col min="11781" max="11781" width="14" style="528" customWidth="1"/>
    <col min="11782" max="11782" width="14.140625" style="528" customWidth="1"/>
    <col min="11783" max="11783" width="14.7109375" style="528" customWidth="1"/>
    <col min="11784" max="12032" width="9.140625" style="528"/>
    <col min="12033" max="12033" width="4.42578125" style="528" customWidth="1"/>
    <col min="12034" max="12034" width="7.5703125" style="528" customWidth="1"/>
    <col min="12035" max="12035" width="47.42578125" style="528" customWidth="1"/>
    <col min="12036" max="12036" width="14.85546875" style="528" customWidth="1"/>
    <col min="12037" max="12037" width="14" style="528" customWidth="1"/>
    <col min="12038" max="12038" width="14.140625" style="528" customWidth="1"/>
    <col min="12039" max="12039" width="14.7109375" style="528" customWidth="1"/>
    <col min="12040" max="12288" width="9.140625" style="528"/>
    <col min="12289" max="12289" width="4.42578125" style="528" customWidth="1"/>
    <col min="12290" max="12290" width="7.5703125" style="528" customWidth="1"/>
    <col min="12291" max="12291" width="47.42578125" style="528" customWidth="1"/>
    <col min="12292" max="12292" width="14.85546875" style="528" customWidth="1"/>
    <col min="12293" max="12293" width="14" style="528" customWidth="1"/>
    <col min="12294" max="12294" width="14.140625" style="528" customWidth="1"/>
    <col min="12295" max="12295" width="14.7109375" style="528" customWidth="1"/>
    <col min="12296" max="12544" width="9.140625" style="528"/>
    <col min="12545" max="12545" width="4.42578125" style="528" customWidth="1"/>
    <col min="12546" max="12546" width="7.5703125" style="528" customWidth="1"/>
    <col min="12547" max="12547" width="47.42578125" style="528" customWidth="1"/>
    <col min="12548" max="12548" width="14.85546875" style="528" customWidth="1"/>
    <col min="12549" max="12549" width="14" style="528" customWidth="1"/>
    <col min="12550" max="12550" width="14.140625" style="528" customWidth="1"/>
    <col min="12551" max="12551" width="14.7109375" style="528" customWidth="1"/>
    <col min="12552" max="12800" width="9.140625" style="528"/>
    <col min="12801" max="12801" width="4.42578125" style="528" customWidth="1"/>
    <col min="12802" max="12802" width="7.5703125" style="528" customWidth="1"/>
    <col min="12803" max="12803" width="47.42578125" style="528" customWidth="1"/>
    <col min="12804" max="12804" width="14.85546875" style="528" customWidth="1"/>
    <col min="12805" max="12805" width="14" style="528" customWidth="1"/>
    <col min="12806" max="12806" width="14.140625" style="528" customWidth="1"/>
    <col min="12807" max="12807" width="14.7109375" style="528" customWidth="1"/>
    <col min="12808" max="13056" width="9.140625" style="528"/>
    <col min="13057" max="13057" width="4.42578125" style="528" customWidth="1"/>
    <col min="13058" max="13058" width="7.5703125" style="528" customWidth="1"/>
    <col min="13059" max="13059" width="47.42578125" style="528" customWidth="1"/>
    <col min="13060" max="13060" width="14.85546875" style="528" customWidth="1"/>
    <col min="13061" max="13061" width="14" style="528" customWidth="1"/>
    <col min="13062" max="13062" width="14.140625" style="528" customWidth="1"/>
    <col min="13063" max="13063" width="14.7109375" style="528" customWidth="1"/>
    <col min="13064" max="13312" width="9.140625" style="528"/>
    <col min="13313" max="13313" width="4.42578125" style="528" customWidth="1"/>
    <col min="13314" max="13314" width="7.5703125" style="528" customWidth="1"/>
    <col min="13315" max="13315" width="47.42578125" style="528" customWidth="1"/>
    <col min="13316" max="13316" width="14.85546875" style="528" customWidth="1"/>
    <col min="13317" max="13317" width="14" style="528" customWidth="1"/>
    <col min="13318" max="13318" width="14.140625" style="528" customWidth="1"/>
    <col min="13319" max="13319" width="14.7109375" style="528" customWidth="1"/>
    <col min="13320" max="13568" width="9.140625" style="528"/>
    <col min="13569" max="13569" width="4.42578125" style="528" customWidth="1"/>
    <col min="13570" max="13570" width="7.5703125" style="528" customWidth="1"/>
    <col min="13571" max="13571" width="47.42578125" style="528" customWidth="1"/>
    <col min="13572" max="13572" width="14.85546875" style="528" customWidth="1"/>
    <col min="13573" max="13573" width="14" style="528" customWidth="1"/>
    <col min="13574" max="13574" width="14.140625" style="528" customWidth="1"/>
    <col min="13575" max="13575" width="14.7109375" style="528" customWidth="1"/>
    <col min="13576" max="13824" width="9.140625" style="528"/>
    <col min="13825" max="13825" width="4.42578125" style="528" customWidth="1"/>
    <col min="13826" max="13826" width="7.5703125" style="528" customWidth="1"/>
    <col min="13827" max="13827" width="47.42578125" style="528" customWidth="1"/>
    <col min="13828" max="13828" width="14.85546875" style="528" customWidth="1"/>
    <col min="13829" max="13829" width="14" style="528" customWidth="1"/>
    <col min="13830" max="13830" width="14.140625" style="528" customWidth="1"/>
    <col min="13831" max="13831" width="14.7109375" style="528" customWidth="1"/>
    <col min="13832" max="14080" width="9.140625" style="528"/>
    <col min="14081" max="14081" width="4.42578125" style="528" customWidth="1"/>
    <col min="14082" max="14082" width="7.5703125" style="528" customWidth="1"/>
    <col min="14083" max="14083" width="47.42578125" style="528" customWidth="1"/>
    <col min="14084" max="14084" width="14.85546875" style="528" customWidth="1"/>
    <col min="14085" max="14085" width="14" style="528" customWidth="1"/>
    <col min="14086" max="14086" width="14.140625" style="528" customWidth="1"/>
    <col min="14087" max="14087" width="14.7109375" style="528" customWidth="1"/>
    <col min="14088" max="14336" width="9.140625" style="528"/>
    <col min="14337" max="14337" width="4.42578125" style="528" customWidth="1"/>
    <col min="14338" max="14338" width="7.5703125" style="528" customWidth="1"/>
    <col min="14339" max="14339" width="47.42578125" style="528" customWidth="1"/>
    <col min="14340" max="14340" width="14.85546875" style="528" customWidth="1"/>
    <col min="14341" max="14341" width="14" style="528" customWidth="1"/>
    <col min="14342" max="14342" width="14.140625" style="528" customWidth="1"/>
    <col min="14343" max="14343" width="14.7109375" style="528" customWidth="1"/>
    <col min="14344" max="14592" width="9.140625" style="528"/>
    <col min="14593" max="14593" width="4.42578125" style="528" customWidth="1"/>
    <col min="14594" max="14594" width="7.5703125" style="528" customWidth="1"/>
    <col min="14595" max="14595" width="47.42578125" style="528" customWidth="1"/>
    <col min="14596" max="14596" width="14.85546875" style="528" customWidth="1"/>
    <col min="14597" max="14597" width="14" style="528" customWidth="1"/>
    <col min="14598" max="14598" width="14.140625" style="528" customWidth="1"/>
    <col min="14599" max="14599" width="14.7109375" style="528" customWidth="1"/>
    <col min="14600" max="14848" width="9.140625" style="528"/>
    <col min="14849" max="14849" width="4.42578125" style="528" customWidth="1"/>
    <col min="14850" max="14850" width="7.5703125" style="528" customWidth="1"/>
    <col min="14851" max="14851" width="47.42578125" style="528" customWidth="1"/>
    <col min="14852" max="14852" width="14.85546875" style="528" customWidth="1"/>
    <col min="14853" max="14853" width="14" style="528" customWidth="1"/>
    <col min="14854" max="14854" width="14.140625" style="528" customWidth="1"/>
    <col min="14855" max="14855" width="14.7109375" style="528" customWidth="1"/>
    <col min="14856" max="15104" width="9.140625" style="528"/>
    <col min="15105" max="15105" width="4.42578125" style="528" customWidth="1"/>
    <col min="15106" max="15106" width="7.5703125" style="528" customWidth="1"/>
    <col min="15107" max="15107" width="47.42578125" style="528" customWidth="1"/>
    <col min="15108" max="15108" width="14.85546875" style="528" customWidth="1"/>
    <col min="15109" max="15109" width="14" style="528" customWidth="1"/>
    <col min="15110" max="15110" width="14.140625" style="528" customWidth="1"/>
    <col min="15111" max="15111" width="14.7109375" style="528" customWidth="1"/>
    <col min="15112" max="15360" width="9.140625" style="528"/>
    <col min="15361" max="15361" width="4.42578125" style="528" customWidth="1"/>
    <col min="15362" max="15362" width="7.5703125" style="528" customWidth="1"/>
    <col min="15363" max="15363" width="47.42578125" style="528" customWidth="1"/>
    <col min="15364" max="15364" width="14.85546875" style="528" customWidth="1"/>
    <col min="15365" max="15365" width="14" style="528" customWidth="1"/>
    <col min="15366" max="15366" width="14.140625" style="528" customWidth="1"/>
    <col min="15367" max="15367" width="14.7109375" style="528" customWidth="1"/>
    <col min="15368" max="15616" width="9.140625" style="528"/>
    <col min="15617" max="15617" width="4.42578125" style="528" customWidth="1"/>
    <col min="15618" max="15618" width="7.5703125" style="528" customWidth="1"/>
    <col min="15619" max="15619" width="47.42578125" style="528" customWidth="1"/>
    <col min="15620" max="15620" width="14.85546875" style="528" customWidth="1"/>
    <col min="15621" max="15621" width="14" style="528" customWidth="1"/>
    <col min="15622" max="15622" width="14.140625" style="528" customWidth="1"/>
    <col min="15623" max="15623" width="14.7109375" style="528" customWidth="1"/>
    <col min="15624" max="15872" width="9.140625" style="528"/>
    <col min="15873" max="15873" width="4.42578125" style="528" customWidth="1"/>
    <col min="15874" max="15874" width="7.5703125" style="528" customWidth="1"/>
    <col min="15875" max="15875" width="47.42578125" style="528" customWidth="1"/>
    <col min="15876" max="15876" width="14.85546875" style="528" customWidth="1"/>
    <col min="15877" max="15877" width="14" style="528" customWidth="1"/>
    <col min="15878" max="15878" width="14.140625" style="528" customWidth="1"/>
    <col min="15879" max="15879" width="14.7109375" style="528" customWidth="1"/>
    <col min="15880" max="16128" width="9.140625" style="528"/>
    <col min="16129" max="16129" width="4.42578125" style="528" customWidth="1"/>
    <col min="16130" max="16130" width="7.5703125" style="528" customWidth="1"/>
    <col min="16131" max="16131" width="47.42578125" style="528" customWidth="1"/>
    <col min="16132" max="16132" width="14.85546875" style="528" customWidth="1"/>
    <col min="16133" max="16133" width="14" style="528" customWidth="1"/>
    <col min="16134" max="16134" width="14.140625" style="528" customWidth="1"/>
    <col min="16135" max="16135" width="14.7109375" style="528" customWidth="1"/>
    <col min="16136" max="16384" width="9.140625" style="528"/>
  </cols>
  <sheetData>
    <row r="1" spans="1:7" s="19" customFormat="1" ht="12.75" x14ac:dyDescent="0.25">
      <c r="F1" s="5" t="s">
        <v>350</v>
      </c>
    </row>
    <row r="2" spans="1:7" s="19" customFormat="1" ht="12.75" x14ac:dyDescent="0.25">
      <c r="F2" s="3" t="s">
        <v>185</v>
      </c>
    </row>
    <row r="3" spans="1:7" s="19" customFormat="1" ht="12.75" x14ac:dyDescent="0.25">
      <c r="F3" s="3" t="s">
        <v>1</v>
      </c>
    </row>
    <row r="4" spans="1:7" s="19" customFormat="1" ht="12.75" x14ac:dyDescent="0.25">
      <c r="F4" s="3" t="s">
        <v>186</v>
      </c>
    </row>
    <row r="5" spans="1:7" s="388" customFormat="1" ht="25.5" customHeight="1" x14ac:dyDescent="0.2">
      <c r="A5" s="468" t="s">
        <v>351</v>
      </c>
      <c r="B5" s="468"/>
      <c r="C5" s="468"/>
      <c r="D5" s="468"/>
      <c r="E5" s="468"/>
      <c r="F5" s="468"/>
      <c r="G5" s="468"/>
    </row>
    <row r="6" spans="1:7" s="388" customFormat="1" ht="12" x14ac:dyDescent="0.2">
      <c r="A6" s="389" t="s">
        <v>352</v>
      </c>
      <c r="B6" s="389"/>
      <c r="C6" s="389"/>
      <c r="D6" s="389"/>
      <c r="E6" s="389"/>
      <c r="F6" s="389"/>
      <c r="G6" s="389"/>
    </row>
    <row r="7" spans="1:7" s="390" customFormat="1" ht="12" x14ac:dyDescent="0.2">
      <c r="A7" s="469" t="s">
        <v>353</v>
      </c>
      <c r="B7" s="469"/>
      <c r="C7" s="469"/>
      <c r="D7" s="469"/>
      <c r="E7" s="469"/>
      <c r="F7" s="469"/>
      <c r="G7" s="469"/>
    </row>
    <row r="8" spans="1:7" s="528" customFormat="1" x14ac:dyDescent="0.25">
      <c r="A8" s="526"/>
      <c r="B8" s="526"/>
      <c r="C8" s="527"/>
      <c r="D8" s="526"/>
      <c r="E8" s="526"/>
      <c r="F8" s="526"/>
      <c r="G8" s="391"/>
    </row>
    <row r="9" spans="1:7" s="528" customFormat="1" x14ac:dyDescent="0.25">
      <c r="A9" s="470" t="s">
        <v>14</v>
      </c>
      <c r="B9" s="392"/>
      <c r="C9" s="470" t="s">
        <v>354</v>
      </c>
      <c r="D9" s="473" t="s">
        <v>355</v>
      </c>
      <c r="E9" s="393"/>
      <c r="F9" s="394"/>
      <c r="G9" s="473" t="s">
        <v>356</v>
      </c>
    </row>
    <row r="10" spans="1:7" s="528" customFormat="1" ht="9.75" customHeight="1" x14ac:dyDescent="0.25">
      <c r="A10" s="471"/>
      <c r="B10" s="395" t="s">
        <v>4</v>
      </c>
      <c r="C10" s="471"/>
      <c r="D10" s="474"/>
      <c r="E10" s="474" t="s">
        <v>357</v>
      </c>
      <c r="F10" s="474" t="s">
        <v>358</v>
      </c>
      <c r="G10" s="474"/>
    </row>
    <row r="11" spans="1:7" s="528" customFormat="1" ht="3.75" customHeight="1" x14ac:dyDescent="0.25">
      <c r="A11" s="471"/>
      <c r="B11" s="396"/>
      <c r="C11" s="471"/>
      <c r="D11" s="474"/>
      <c r="E11" s="474"/>
      <c r="F11" s="474"/>
      <c r="G11" s="474"/>
    </row>
    <row r="12" spans="1:7" s="528" customFormat="1" ht="13.5" customHeight="1" x14ac:dyDescent="0.25">
      <c r="A12" s="472"/>
      <c r="B12" s="396" t="s">
        <v>5</v>
      </c>
      <c r="C12" s="472"/>
      <c r="D12" s="475"/>
      <c r="E12" s="475"/>
      <c r="F12" s="475"/>
      <c r="G12" s="475"/>
    </row>
    <row r="13" spans="1:7" s="528" customFormat="1" x14ac:dyDescent="0.25">
      <c r="A13" s="397">
        <v>1</v>
      </c>
      <c r="B13" s="397">
        <v>2</v>
      </c>
      <c r="C13" s="397">
        <v>3</v>
      </c>
      <c r="D13" s="397">
        <v>4</v>
      </c>
      <c r="E13" s="397">
        <v>5</v>
      </c>
      <c r="F13" s="397">
        <v>6</v>
      </c>
      <c r="G13" s="397">
        <v>7</v>
      </c>
    </row>
    <row r="14" spans="1:7" s="526" customFormat="1" ht="12" customHeight="1" x14ac:dyDescent="0.25">
      <c r="A14" s="398"/>
      <c r="B14" s="399">
        <v>801</v>
      </c>
      <c r="C14" s="529"/>
      <c r="D14" s="400"/>
      <c r="E14" s="400"/>
      <c r="F14" s="400"/>
      <c r="G14" s="400"/>
    </row>
    <row r="15" spans="1:7" s="528" customFormat="1" ht="12" customHeight="1" x14ac:dyDescent="0.25">
      <c r="A15" s="52" t="s">
        <v>28</v>
      </c>
      <c r="B15" s="401">
        <v>80101</v>
      </c>
      <c r="C15" s="402" t="s">
        <v>87</v>
      </c>
      <c r="D15" s="403">
        <v>333</v>
      </c>
      <c r="E15" s="403">
        <v>834922.84</v>
      </c>
      <c r="F15" s="403">
        <v>835255.84</v>
      </c>
      <c r="G15" s="403">
        <v>0</v>
      </c>
    </row>
    <row r="16" spans="1:7" s="528" customFormat="1" ht="12" customHeight="1" x14ac:dyDescent="0.25">
      <c r="A16" s="52" t="s">
        <v>29</v>
      </c>
      <c r="B16" s="401">
        <v>80104</v>
      </c>
      <c r="C16" s="404" t="s">
        <v>90</v>
      </c>
      <c r="D16" s="405">
        <v>2644.19</v>
      </c>
      <c r="E16" s="405">
        <v>5578632</v>
      </c>
      <c r="F16" s="405">
        <v>5581276.1900000004</v>
      </c>
      <c r="G16" s="405">
        <v>0</v>
      </c>
    </row>
    <row r="17" spans="1:7" s="528" customFormat="1" ht="12" customHeight="1" x14ac:dyDescent="0.25">
      <c r="A17" s="406" t="s">
        <v>30</v>
      </c>
      <c r="B17" s="407">
        <v>80148</v>
      </c>
      <c r="C17" s="408" t="s">
        <v>101</v>
      </c>
      <c r="D17" s="409">
        <v>215.62</v>
      </c>
      <c r="E17" s="409">
        <v>3299009</v>
      </c>
      <c r="F17" s="409">
        <v>3299224.62</v>
      </c>
      <c r="G17" s="409">
        <v>0</v>
      </c>
    </row>
    <row r="18" spans="1:7" s="528" customFormat="1" ht="12" customHeight="1" x14ac:dyDescent="0.25">
      <c r="A18" s="410"/>
      <c r="B18" s="411">
        <v>854</v>
      </c>
      <c r="C18" s="412"/>
      <c r="D18" s="413"/>
      <c r="E18" s="413"/>
      <c r="F18" s="413"/>
      <c r="G18" s="409"/>
    </row>
    <row r="19" spans="1:7" s="528" customFormat="1" ht="23.25" customHeight="1" x14ac:dyDescent="0.25">
      <c r="A19" s="414" t="s">
        <v>28</v>
      </c>
      <c r="B19" s="415">
        <v>85412</v>
      </c>
      <c r="C19" s="416" t="s">
        <v>359</v>
      </c>
      <c r="D19" s="417">
        <v>0</v>
      </c>
      <c r="E19" s="417">
        <v>7500</v>
      </c>
      <c r="F19" s="417">
        <v>7500</v>
      </c>
      <c r="G19" s="418">
        <v>0</v>
      </c>
    </row>
    <row r="20" spans="1:7" s="528" customFormat="1" x14ac:dyDescent="0.25">
      <c r="A20" s="419"/>
      <c r="B20" s="420"/>
      <c r="C20" s="530" t="s">
        <v>360</v>
      </c>
      <c r="D20" s="531">
        <f>SUM(D15:D17)+D19</f>
        <v>3192.81</v>
      </c>
      <c r="E20" s="531">
        <f t="shared" ref="E20:G20" si="0">SUM(E15:E17)+E19</f>
        <v>9720063.8399999999</v>
      </c>
      <c r="F20" s="531">
        <f t="shared" si="0"/>
        <v>9723256.6500000004</v>
      </c>
      <c r="G20" s="532">
        <f t="shared" si="0"/>
        <v>0</v>
      </c>
    </row>
    <row r="21" spans="1:7" s="528" customFormat="1" ht="9" customHeight="1" x14ac:dyDescent="0.25">
      <c r="A21" s="421"/>
      <c r="B21" s="422"/>
      <c r="C21" s="423"/>
      <c r="D21" s="424"/>
      <c r="E21" s="424"/>
      <c r="F21" s="424"/>
      <c r="G21" s="424"/>
    </row>
    <row r="22" spans="1:7" s="528" customFormat="1" x14ac:dyDescent="0.25">
      <c r="A22" s="411"/>
      <c r="B22" s="411">
        <v>801</v>
      </c>
      <c r="C22" s="533"/>
      <c r="D22" s="425"/>
      <c r="E22" s="425"/>
      <c r="F22" s="425"/>
      <c r="G22" s="425"/>
    </row>
    <row r="23" spans="1:7" s="528" customFormat="1" ht="12" customHeight="1" x14ac:dyDescent="0.25">
      <c r="A23" s="426" t="s">
        <v>28</v>
      </c>
      <c r="B23" s="427">
        <v>80102</v>
      </c>
      <c r="C23" s="402" t="s">
        <v>361</v>
      </c>
      <c r="D23" s="403">
        <v>5.54</v>
      </c>
      <c r="E23" s="403">
        <v>14400</v>
      </c>
      <c r="F23" s="403">
        <v>14405.54</v>
      </c>
      <c r="G23" s="403">
        <v>0</v>
      </c>
    </row>
    <row r="24" spans="1:7" s="528" customFormat="1" ht="12" customHeight="1" x14ac:dyDescent="0.25">
      <c r="A24" s="52" t="s">
        <v>29</v>
      </c>
      <c r="B24" s="401">
        <v>80115</v>
      </c>
      <c r="C24" s="404" t="s">
        <v>154</v>
      </c>
      <c r="D24" s="405">
        <v>373.99</v>
      </c>
      <c r="E24" s="405">
        <v>1134651</v>
      </c>
      <c r="F24" s="405">
        <v>1135024.99</v>
      </c>
      <c r="G24" s="405">
        <v>0</v>
      </c>
    </row>
    <row r="25" spans="1:7" s="528" customFormat="1" ht="12" customHeight="1" x14ac:dyDescent="0.25">
      <c r="A25" s="52" t="s">
        <v>30</v>
      </c>
      <c r="B25" s="401">
        <v>80120</v>
      </c>
      <c r="C25" s="404" t="s">
        <v>321</v>
      </c>
      <c r="D25" s="428">
        <v>305.43</v>
      </c>
      <c r="E25" s="405">
        <v>278650</v>
      </c>
      <c r="F25" s="405">
        <v>278955.43</v>
      </c>
      <c r="G25" s="405">
        <v>0</v>
      </c>
    </row>
    <row r="26" spans="1:7" s="528" customFormat="1" ht="12" customHeight="1" x14ac:dyDescent="0.25">
      <c r="A26" s="52" t="s">
        <v>32</v>
      </c>
      <c r="B26" s="401">
        <v>80132</v>
      </c>
      <c r="C26" s="404" t="s">
        <v>362</v>
      </c>
      <c r="D26" s="405">
        <v>0</v>
      </c>
      <c r="E26" s="405">
        <v>97791</v>
      </c>
      <c r="F26" s="405">
        <v>97791</v>
      </c>
      <c r="G26" s="429">
        <v>0</v>
      </c>
    </row>
    <row r="27" spans="1:7" s="528" customFormat="1" ht="12" customHeight="1" x14ac:dyDescent="0.25">
      <c r="A27" s="430" t="s">
        <v>33</v>
      </c>
      <c r="B27" s="415">
        <v>80140</v>
      </c>
      <c r="C27" s="431" t="s">
        <v>363</v>
      </c>
      <c r="D27" s="432">
        <v>0</v>
      </c>
      <c r="E27" s="432">
        <v>172386</v>
      </c>
      <c r="F27" s="432">
        <v>172386</v>
      </c>
      <c r="G27" s="432">
        <v>0</v>
      </c>
    </row>
    <row r="28" spans="1:7" s="528" customFormat="1" ht="12" customHeight="1" x14ac:dyDescent="0.25">
      <c r="A28" s="52" t="s">
        <v>34</v>
      </c>
      <c r="B28" s="415">
        <v>80142</v>
      </c>
      <c r="C28" s="431" t="s">
        <v>364</v>
      </c>
      <c r="D28" s="405">
        <v>0</v>
      </c>
      <c r="E28" s="405">
        <v>319147</v>
      </c>
      <c r="F28" s="405">
        <v>319147</v>
      </c>
      <c r="G28" s="405">
        <v>0</v>
      </c>
    </row>
    <row r="29" spans="1:7" s="528" customFormat="1" ht="12" customHeight="1" x14ac:dyDescent="0.25">
      <c r="A29" s="52" t="s">
        <v>365</v>
      </c>
      <c r="B29" s="415">
        <v>80144</v>
      </c>
      <c r="C29" s="431" t="s">
        <v>366</v>
      </c>
      <c r="D29" s="405">
        <v>0</v>
      </c>
      <c r="E29" s="405">
        <v>114800</v>
      </c>
      <c r="F29" s="405">
        <v>114800</v>
      </c>
      <c r="G29" s="405">
        <v>0</v>
      </c>
    </row>
    <row r="30" spans="1:7" s="528" customFormat="1" ht="12" customHeight="1" x14ac:dyDescent="0.25">
      <c r="A30" s="406" t="s">
        <v>367</v>
      </c>
      <c r="B30" s="407">
        <v>80148</v>
      </c>
      <c r="C30" s="408" t="s">
        <v>101</v>
      </c>
      <c r="D30" s="409">
        <v>0</v>
      </c>
      <c r="E30" s="409">
        <v>220315</v>
      </c>
      <c r="F30" s="409">
        <v>220315</v>
      </c>
      <c r="G30" s="409">
        <v>0</v>
      </c>
    </row>
    <row r="31" spans="1:7" s="528" customFormat="1" ht="14.25" customHeight="1" x14ac:dyDescent="0.25">
      <c r="A31" s="433"/>
      <c r="B31" s="411">
        <v>854</v>
      </c>
      <c r="C31" s="434"/>
      <c r="D31" s="435"/>
      <c r="E31" s="435"/>
      <c r="F31" s="435"/>
      <c r="G31" s="435"/>
    </row>
    <row r="32" spans="1:7" s="528" customFormat="1" ht="14.25" customHeight="1" x14ac:dyDescent="0.25">
      <c r="A32" s="415" t="s">
        <v>28</v>
      </c>
      <c r="B32" s="430">
        <v>85406</v>
      </c>
      <c r="C32" s="416" t="s">
        <v>368</v>
      </c>
      <c r="D32" s="432">
        <v>0</v>
      </c>
      <c r="E32" s="432">
        <v>4960</v>
      </c>
      <c r="F32" s="432">
        <v>4960</v>
      </c>
      <c r="G32" s="432">
        <v>0</v>
      </c>
    </row>
    <row r="33" spans="1:7" s="528" customFormat="1" ht="12" customHeight="1" x14ac:dyDescent="0.25">
      <c r="A33" s="415" t="s">
        <v>29</v>
      </c>
      <c r="B33" s="401">
        <v>85410</v>
      </c>
      <c r="C33" s="404" t="s">
        <v>168</v>
      </c>
      <c r="D33" s="405">
        <v>318.79000000000002</v>
      </c>
      <c r="E33" s="405">
        <v>662650</v>
      </c>
      <c r="F33" s="405">
        <v>662968.79</v>
      </c>
      <c r="G33" s="405">
        <v>0</v>
      </c>
    </row>
    <row r="34" spans="1:7" s="528" customFormat="1" ht="22.5" customHeight="1" x14ac:dyDescent="0.25">
      <c r="A34" s="415" t="s">
        <v>30</v>
      </c>
      <c r="B34" s="415">
        <v>85412</v>
      </c>
      <c r="C34" s="416" t="s">
        <v>359</v>
      </c>
      <c r="D34" s="432">
        <v>0</v>
      </c>
      <c r="E34" s="432">
        <v>1300</v>
      </c>
      <c r="F34" s="432">
        <v>1300</v>
      </c>
      <c r="G34" s="432">
        <v>0</v>
      </c>
    </row>
    <row r="35" spans="1:7" s="528" customFormat="1" ht="12" customHeight="1" x14ac:dyDescent="0.25">
      <c r="A35" s="415" t="s">
        <v>32</v>
      </c>
      <c r="B35" s="401">
        <v>85417</v>
      </c>
      <c r="C35" s="416" t="s">
        <v>369</v>
      </c>
      <c r="D35" s="405">
        <v>0</v>
      </c>
      <c r="E35" s="405">
        <v>153400</v>
      </c>
      <c r="F35" s="405">
        <v>153400</v>
      </c>
      <c r="G35" s="405">
        <v>0</v>
      </c>
    </row>
    <row r="36" spans="1:7" s="528" customFormat="1" ht="12" customHeight="1" x14ac:dyDescent="0.25">
      <c r="A36" s="407" t="s">
        <v>33</v>
      </c>
      <c r="B36" s="436">
        <v>85420</v>
      </c>
      <c r="C36" s="408" t="s">
        <v>370</v>
      </c>
      <c r="D36" s="437">
        <v>0</v>
      </c>
      <c r="E36" s="437">
        <v>30310.01</v>
      </c>
      <c r="F36" s="437">
        <v>30310.01</v>
      </c>
      <c r="G36" s="438">
        <v>0</v>
      </c>
    </row>
    <row r="37" spans="1:7" s="528" customFormat="1" ht="12" customHeight="1" x14ac:dyDescent="0.25">
      <c r="A37" s="439"/>
      <c r="B37" s="436"/>
      <c r="C37" s="530" t="s">
        <v>371</v>
      </c>
      <c r="D37" s="534">
        <f>SUM(D23:D36)</f>
        <v>1003.75</v>
      </c>
      <c r="E37" s="534">
        <f t="shared" ref="E37:G37" si="1">SUM(E23:E36)</f>
        <v>3204760.01</v>
      </c>
      <c r="F37" s="534">
        <f t="shared" si="1"/>
        <v>3205763.76</v>
      </c>
      <c r="G37" s="534">
        <f t="shared" si="1"/>
        <v>0</v>
      </c>
    </row>
    <row r="38" spans="1:7" s="528" customFormat="1" ht="12" customHeight="1" x14ac:dyDescent="0.25">
      <c r="A38" s="440"/>
      <c r="B38" s="441"/>
      <c r="C38" s="530" t="s">
        <v>372</v>
      </c>
      <c r="D38" s="532">
        <f>D20+D37</f>
        <v>4196.5599999999995</v>
      </c>
      <c r="E38" s="532">
        <f>E20+E37</f>
        <v>12924823.85</v>
      </c>
      <c r="F38" s="532">
        <f t="shared" ref="F38:G38" si="2">F20+F37</f>
        <v>12929020.41</v>
      </c>
      <c r="G38" s="532">
        <f t="shared" si="2"/>
        <v>0</v>
      </c>
    </row>
    <row r="39" spans="1:7" s="528" customFormat="1" x14ac:dyDescent="0.25">
      <c r="A39" s="535"/>
      <c r="B39" s="535"/>
      <c r="C39" s="442"/>
    </row>
    <row r="40" spans="1:7" s="528" customFormat="1" x14ac:dyDescent="0.25">
      <c r="A40" s="535"/>
      <c r="B40" s="535"/>
      <c r="C40" s="442"/>
    </row>
    <row r="41" spans="1:7" s="528" customFormat="1" x14ac:dyDescent="0.25">
      <c r="A41" s="535"/>
      <c r="B41" s="535"/>
      <c r="C41" s="442"/>
    </row>
  </sheetData>
  <mergeCells count="8">
    <mergeCell ref="A5:G5"/>
    <mergeCell ref="A7:G7"/>
    <mergeCell ref="A9:A12"/>
    <mergeCell ref="C9:C12"/>
    <mergeCell ref="D9:D12"/>
    <mergeCell ref="G9:G12"/>
    <mergeCell ref="E10:E12"/>
    <mergeCell ref="F10:F12"/>
  </mergeCells>
  <pageMargins left="0.70866141732283472" right="0.70866141732283472" top="0.55118110236220474" bottom="0.55118110236220474" header="0.31496062992125984" footer="0.31496062992125984"/>
  <pageSetup paperSize="9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6BEA-CE4F-42A6-9238-D87C671204B3}">
  <sheetPr>
    <tabColor rgb="FFCCECFF"/>
  </sheetPr>
  <dimension ref="A1:H26"/>
  <sheetViews>
    <sheetView zoomScale="130" zoomScaleNormal="130" workbookViewId="0"/>
  </sheetViews>
  <sheetFormatPr defaultRowHeight="12.75" x14ac:dyDescent="0.2"/>
  <cols>
    <col min="1" max="1" width="3.7109375" style="465" customWidth="1"/>
    <col min="2" max="2" width="5.5703125" style="465" customWidth="1"/>
    <col min="3" max="3" width="7.42578125" style="465" customWidth="1"/>
    <col min="4" max="4" width="47.28515625" style="465" customWidth="1"/>
    <col min="5" max="5" width="22.7109375" style="465" customWidth="1"/>
    <col min="6" max="6" width="9.42578125" style="465" bestFit="1" customWidth="1"/>
    <col min="7" max="256" width="9.140625" style="465"/>
    <col min="257" max="257" width="3.7109375" style="465" customWidth="1"/>
    <col min="258" max="258" width="6.28515625" style="465" customWidth="1"/>
    <col min="259" max="259" width="8.28515625" style="465" customWidth="1"/>
    <col min="260" max="260" width="47.28515625" style="465" customWidth="1"/>
    <col min="261" max="261" width="22.7109375" style="465" customWidth="1"/>
    <col min="262" max="262" width="9.42578125" style="465" bestFit="1" customWidth="1"/>
    <col min="263" max="512" width="9.140625" style="465"/>
    <col min="513" max="513" width="3.7109375" style="465" customWidth="1"/>
    <col min="514" max="514" width="6.28515625" style="465" customWidth="1"/>
    <col min="515" max="515" width="8.28515625" style="465" customWidth="1"/>
    <col min="516" max="516" width="47.28515625" style="465" customWidth="1"/>
    <col min="517" max="517" width="22.7109375" style="465" customWidth="1"/>
    <col min="518" max="518" width="9.42578125" style="465" bestFit="1" customWidth="1"/>
    <col min="519" max="768" width="9.140625" style="465"/>
    <col min="769" max="769" width="3.7109375" style="465" customWidth="1"/>
    <col min="770" max="770" width="6.28515625" style="465" customWidth="1"/>
    <col min="771" max="771" width="8.28515625" style="465" customWidth="1"/>
    <col min="772" max="772" width="47.28515625" style="465" customWidth="1"/>
    <col min="773" max="773" width="22.7109375" style="465" customWidth="1"/>
    <col min="774" max="774" width="9.42578125" style="465" bestFit="1" customWidth="1"/>
    <col min="775" max="1024" width="9.140625" style="465"/>
    <col min="1025" max="1025" width="3.7109375" style="465" customWidth="1"/>
    <col min="1026" max="1026" width="6.28515625" style="465" customWidth="1"/>
    <col min="1027" max="1027" width="8.28515625" style="465" customWidth="1"/>
    <col min="1028" max="1028" width="47.28515625" style="465" customWidth="1"/>
    <col min="1029" max="1029" width="22.7109375" style="465" customWidth="1"/>
    <col min="1030" max="1030" width="9.42578125" style="465" bestFit="1" customWidth="1"/>
    <col min="1031" max="1280" width="9.140625" style="465"/>
    <col min="1281" max="1281" width="3.7109375" style="465" customWidth="1"/>
    <col min="1282" max="1282" width="6.28515625" style="465" customWidth="1"/>
    <col min="1283" max="1283" width="8.28515625" style="465" customWidth="1"/>
    <col min="1284" max="1284" width="47.28515625" style="465" customWidth="1"/>
    <col min="1285" max="1285" width="22.7109375" style="465" customWidth="1"/>
    <col min="1286" max="1286" width="9.42578125" style="465" bestFit="1" customWidth="1"/>
    <col min="1287" max="1536" width="9.140625" style="465"/>
    <col min="1537" max="1537" width="3.7109375" style="465" customWidth="1"/>
    <col min="1538" max="1538" width="6.28515625" style="465" customWidth="1"/>
    <col min="1539" max="1539" width="8.28515625" style="465" customWidth="1"/>
    <col min="1540" max="1540" width="47.28515625" style="465" customWidth="1"/>
    <col min="1541" max="1541" width="22.7109375" style="465" customWidth="1"/>
    <col min="1542" max="1542" width="9.42578125" style="465" bestFit="1" customWidth="1"/>
    <col min="1543" max="1792" width="9.140625" style="465"/>
    <col min="1793" max="1793" width="3.7109375" style="465" customWidth="1"/>
    <col min="1794" max="1794" width="6.28515625" style="465" customWidth="1"/>
    <col min="1795" max="1795" width="8.28515625" style="465" customWidth="1"/>
    <col min="1796" max="1796" width="47.28515625" style="465" customWidth="1"/>
    <col min="1797" max="1797" width="22.7109375" style="465" customWidth="1"/>
    <col min="1798" max="1798" width="9.42578125" style="465" bestFit="1" customWidth="1"/>
    <col min="1799" max="2048" width="9.140625" style="465"/>
    <col min="2049" max="2049" width="3.7109375" style="465" customWidth="1"/>
    <col min="2050" max="2050" width="6.28515625" style="465" customWidth="1"/>
    <col min="2051" max="2051" width="8.28515625" style="465" customWidth="1"/>
    <col min="2052" max="2052" width="47.28515625" style="465" customWidth="1"/>
    <col min="2053" max="2053" width="22.7109375" style="465" customWidth="1"/>
    <col min="2054" max="2054" width="9.42578125" style="465" bestFit="1" customWidth="1"/>
    <col min="2055" max="2304" width="9.140625" style="465"/>
    <col min="2305" max="2305" width="3.7109375" style="465" customWidth="1"/>
    <col min="2306" max="2306" width="6.28515625" style="465" customWidth="1"/>
    <col min="2307" max="2307" width="8.28515625" style="465" customWidth="1"/>
    <col min="2308" max="2308" width="47.28515625" style="465" customWidth="1"/>
    <col min="2309" max="2309" width="22.7109375" style="465" customWidth="1"/>
    <col min="2310" max="2310" width="9.42578125" style="465" bestFit="1" customWidth="1"/>
    <col min="2311" max="2560" width="9.140625" style="465"/>
    <col min="2561" max="2561" width="3.7109375" style="465" customWidth="1"/>
    <col min="2562" max="2562" width="6.28515625" style="465" customWidth="1"/>
    <col min="2563" max="2563" width="8.28515625" style="465" customWidth="1"/>
    <col min="2564" max="2564" width="47.28515625" style="465" customWidth="1"/>
    <col min="2565" max="2565" width="22.7109375" style="465" customWidth="1"/>
    <col min="2566" max="2566" width="9.42578125" style="465" bestFit="1" customWidth="1"/>
    <col min="2567" max="2816" width="9.140625" style="465"/>
    <col min="2817" max="2817" width="3.7109375" style="465" customWidth="1"/>
    <col min="2818" max="2818" width="6.28515625" style="465" customWidth="1"/>
    <col min="2819" max="2819" width="8.28515625" style="465" customWidth="1"/>
    <col min="2820" max="2820" width="47.28515625" style="465" customWidth="1"/>
    <col min="2821" max="2821" width="22.7109375" style="465" customWidth="1"/>
    <col min="2822" max="2822" width="9.42578125" style="465" bestFit="1" customWidth="1"/>
    <col min="2823" max="3072" width="9.140625" style="465"/>
    <col min="3073" max="3073" width="3.7109375" style="465" customWidth="1"/>
    <col min="3074" max="3074" width="6.28515625" style="465" customWidth="1"/>
    <col min="3075" max="3075" width="8.28515625" style="465" customWidth="1"/>
    <col min="3076" max="3076" width="47.28515625" style="465" customWidth="1"/>
    <col min="3077" max="3077" width="22.7109375" style="465" customWidth="1"/>
    <col min="3078" max="3078" width="9.42578125" style="465" bestFit="1" customWidth="1"/>
    <col min="3079" max="3328" width="9.140625" style="465"/>
    <col min="3329" max="3329" width="3.7109375" style="465" customWidth="1"/>
    <col min="3330" max="3330" width="6.28515625" style="465" customWidth="1"/>
    <col min="3331" max="3331" width="8.28515625" style="465" customWidth="1"/>
    <col min="3332" max="3332" width="47.28515625" style="465" customWidth="1"/>
    <col min="3333" max="3333" width="22.7109375" style="465" customWidth="1"/>
    <col min="3334" max="3334" width="9.42578125" style="465" bestFit="1" customWidth="1"/>
    <col min="3335" max="3584" width="9.140625" style="465"/>
    <col min="3585" max="3585" width="3.7109375" style="465" customWidth="1"/>
    <col min="3586" max="3586" width="6.28515625" style="465" customWidth="1"/>
    <col min="3587" max="3587" width="8.28515625" style="465" customWidth="1"/>
    <col min="3588" max="3588" width="47.28515625" style="465" customWidth="1"/>
    <col min="3589" max="3589" width="22.7109375" style="465" customWidth="1"/>
    <col min="3590" max="3590" width="9.42578125" style="465" bestFit="1" customWidth="1"/>
    <col min="3591" max="3840" width="9.140625" style="465"/>
    <col min="3841" max="3841" width="3.7109375" style="465" customWidth="1"/>
    <col min="3842" max="3842" width="6.28515625" style="465" customWidth="1"/>
    <col min="3843" max="3843" width="8.28515625" style="465" customWidth="1"/>
    <col min="3844" max="3844" width="47.28515625" style="465" customWidth="1"/>
    <col min="3845" max="3845" width="22.7109375" style="465" customWidth="1"/>
    <col min="3846" max="3846" width="9.42578125" style="465" bestFit="1" customWidth="1"/>
    <col min="3847" max="4096" width="9.140625" style="465"/>
    <col min="4097" max="4097" width="3.7109375" style="465" customWidth="1"/>
    <col min="4098" max="4098" width="6.28515625" style="465" customWidth="1"/>
    <col min="4099" max="4099" width="8.28515625" style="465" customWidth="1"/>
    <col min="4100" max="4100" width="47.28515625" style="465" customWidth="1"/>
    <col min="4101" max="4101" width="22.7109375" style="465" customWidth="1"/>
    <col min="4102" max="4102" width="9.42578125" style="465" bestFit="1" customWidth="1"/>
    <col min="4103" max="4352" width="9.140625" style="465"/>
    <col min="4353" max="4353" width="3.7109375" style="465" customWidth="1"/>
    <col min="4354" max="4354" width="6.28515625" style="465" customWidth="1"/>
    <col min="4355" max="4355" width="8.28515625" style="465" customWidth="1"/>
    <col min="4356" max="4356" width="47.28515625" style="465" customWidth="1"/>
    <col min="4357" max="4357" width="22.7109375" style="465" customWidth="1"/>
    <col min="4358" max="4358" width="9.42578125" style="465" bestFit="1" customWidth="1"/>
    <col min="4359" max="4608" width="9.140625" style="465"/>
    <col min="4609" max="4609" width="3.7109375" style="465" customWidth="1"/>
    <col min="4610" max="4610" width="6.28515625" style="465" customWidth="1"/>
    <col min="4611" max="4611" width="8.28515625" style="465" customWidth="1"/>
    <col min="4612" max="4612" width="47.28515625" style="465" customWidth="1"/>
    <col min="4613" max="4613" width="22.7109375" style="465" customWidth="1"/>
    <col min="4614" max="4614" width="9.42578125" style="465" bestFit="1" customWidth="1"/>
    <col min="4615" max="4864" width="9.140625" style="465"/>
    <col min="4865" max="4865" width="3.7109375" style="465" customWidth="1"/>
    <col min="4866" max="4866" width="6.28515625" style="465" customWidth="1"/>
    <col min="4867" max="4867" width="8.28515625" style="465" customWidth="1"/>
    <col min="4868" max="4868" width="47.28515625" style="465" customWidth="1"/>
    <col min="4869" max="4869" width="22.7109375" style="465" customWidth="1"/>
    <col min="4870" max="4870" width="9.42578125" style="465" bestFit="1" customWidth="1"/>
    <col min="4871" max="5120" width="9.140625" style="465"/>
    <col min="5121" max="5121" width="3.7109375" style="465" customWidth="1"/>
    <col min="5122" max="5122" width="6.28515625" style="465" customWidth="1"/>
    <col min="5123" max="5123" width="8.28515625" style="465" customWidth="1"/>
    <col min="5124" max="5124" width="47.28515625" style="465" customWidth="1"/>
    <col min="5125" max="5125" width="22.7109375" style="465" customWidth="1"/>
    <col min="5126" max="5126" width="9.42578125" style="465" bestFit="1" customWidth="1"/>
    <col min="5127" max="5376" width="9.140625" style="465"/>
    <col min="5377" max="5377" width="3.7109375" style="465" customWidth="1"/>
    <col min="5378" max="5378" width="6.28515625" style="465" customWidth="1"/>
    <col min="5379" max="5379" width="8.28515625" style="465" customWidth="1"/>
    <col min="5380" max="5380" width="47.28515625" style="465" customWidth="1"/>
    <col min="5381" max="5381" width="22.7109375" style="465" customWidth="1"/>
    <col min="5382" max="5382" width="9.42578125" style="465" bestFit="1" customWidth="1"/>
    <col min="5383" max="5632" width="9.140625" style="465"/>
    <col min="5633" max="5633" width="3.7109375" style="465" customWidth="1"/>
    <col min="5634" max="5634" width="6.28515625" style="465" customWidth="1"/>
    <col min="5635" max="5635" width="8.28515625" style="465" customWidth="1"/>
    <col min="5636" max="5636" width="47.28515625" style="465" customWidth="1"/>
    <col min="5637" max="5637" width="22.7109375" style="465" customWidth="1"/>
    <col min="5638" max="5638" width="9.42578125" style="465" bestFit="1" customWidth="1"/>
    <col min="5639" max="5888" width="9.140625" style="465"/>
    <col min="5889" max="5889" width="3.7109375" style="465" customWidth="1"/>
    <col min="5890" max="5890" width="6.28515625" style="465" customWidth="1"/>
    <col min="5891" max="5891" width="8.28515625" style="465" customWidth="1"/>
    <col min="5892" max="5892" width="47.28515625" style="465" customWidth="1"/>
    <col min="5893" max="5893" width="22.7109375" style="465" customWidth="1"/>
    <col min="5894" max="5894" width="9.42578125" style="465" bestFit="1" customWidth="1"/>
    <col min="5895" max="6144" width="9.140625" style="465"/>
    <col min="6145" max="6145" width="3.7109375" style="465" customWidth="1"/>
    <col min="6146" max="6146" width="6.28515625" style="465" customWidth="1"/>
    <col min="6147" max="6147" width="8.28515625" style="465" customWidth="1"/>
    <col min="6148" max="6148" width="47.28515625" style="465" customWidth="1"/>
    <col min="6149" max="6149" width="22.7109375" style="465" customWidth="1"/>
    <col min="6150" max="6150" width="9.42578125" style="465" bestFit="1" customWidth="1"/>
    <col min="6151" max="6400" width="9.140625" style="465"/>
    <col min="6401" max="6401" width="3.7109375" style="465" customWidth="1"/>
    <col min="6402" max="6402" width="6.28515625" style="465" customWidth="1"/>
    <col min="6403" max="6403" width="8.28515625" style="465" customWidth="1"/>
    <col min="6404" max="6404" width="47.28515625" style="465" customWidth="1"/>
    <col min="6405" max="6405" width="22.7109375" style="465" customWidth="1"/>
    <col min="6406" max="6406" width="9.42578125" style="465" bestFit="1" customWidth="1"/>
    <col min="6407" max="6656" width="9.140625" style="465"/>
    <col min="6657" max="6657" width="3.7109375" style="465" customWidth="1"/>
    <col min="6658" max="6658" width="6.28515625" style="465" customWidth="1"/>
    <col min="6659" max="6659" width="8.28515625" style="465" customWidth="1"/>
    <col min="6660" max="6660" width="47.28515625" style="465" customWidth="1"/>
    <col min="6661" max="6661" width="22.7109375" style="465" customWidth="1"/>
    <col min="6662" max="6662" width="9.42578125" style="465" bestFit="1" customWidth="1"/>
    <col min="6663" max="6912" width="9.140625" style="465"/>
    <col min="6913" max="6913" width="3.7109375" style="465" customWidth="1"/>
    <col min="6914" max="6914" width="6.28515625" style="465" customWidth="1"/>
    <col min="6915" max="6915" width="8.28515625" style="465" customWidth="1"/>
    <col min="6916" max="6916" width="47.28515625" style="465" customWidth="1"/>
    <col min="6917" max="6917" width="22.7109375" style="465" customWidth="1"/>
    <col min="6918" max="6918" width="9.42578125" style="465" bestFit="1" customWidth="1"/>
    <col min="6919" max="7168" width="9.140625" style="465"/>
    <col min="7169" max="7169" width="3.7109375" style="465" customWidth="1"/>
    <col min="7170" max="7170" width="6.28515625" style="465" customWidth="1"/>
    <col min="7171" max="7171" width="8.28515625" style="465" customWidth="1"/>
    <col min="7172" max="7172" width="47.28515625" style="465" customWidth="1"/>
    <col min="7173" max="7173" width="22.7109375" style="465" customWidth="1"/>
    <col min="7174" max="7174" width="9.42578125" style="465" bestFit="1" customWidth="1"/>
    <col min="7175" max="7424" width="9.140625" style="465"/>
    <col min="7425" max="7425" width="3.7109375" style="465" customWidth="1"/>
    <col min="7426" max="7426" width="6.28515625" style="465" customWidth="1"/>
    <col min="7427" max="7427" width="8.28515625" style="465" customWidth="1"/>
    <col min="7428" max="7428" width="47.28515625" style="465" customWidth="1"/>
    <col min="7429" max="7429" width="22.7109375" style="465" customWidth="1"/>
    <col min="7430" max="7430" width="9.42578125" style="465" bestFit="1" customWidth="1"/>
    <col min="7431" max="7680" width="9.140625" style="465"/>
    <col min="7681" max="7681" width="3.7109375" style="465" customWidth="1"/>
    <col min="7682" max="7682" width="6.28515625" style="465" customWidth="1"/>
    <col min="7683" max="7683" width="8.28515625" style="465" customWidth="1"/>
    <col min="7684" max="7684" width="47.28515625" style="465" customWidth="1"/>
    <col min="7685" max="7685" width="22.7109375" style="465" customWidth="1"/>
    <col min="7686" max="7686" width="9.42578125" style="465" bestFit="1" customWidth="1"/>
    <col min="7687" max="7936" width="9.140625" style="465"/>
    <col min="7937" max="7937" width="3.7109375" style="465" customWidth="1"/>
    <col min="7938" max="7938" width="6.28515625" style="465" customWidth="1"/>
    <col min="7939" max="7939" width="8.28515625" style="465" customWidth="1"/>
    <col min="7940" max="7940" width="47.28515625" style="465" customWidth="1"/>
    <col min="7941" max="7941" width="22.7109375" style="465" customWidth="1"/>
    <col min="7942" max="7942" width="9.42578125" style="465" bestFit="1" customWidth="1"/>
    <col min="7943" max="8192" width="9.140625" style="465"/>
    <col min="8193" max="8193" width="3.7109375" style="465" customWidth="1"/>
    <col min="8194" max="8194" width="6.28515625" style="465" customWidth="1"/>
    <col min="8195" max="8195" width="8.28515625" style="465" customWidth="1"/>
    <col min="8196" max="8196" width="47.28515625" style="465" customWidth="1"/>
    <col min="8197" max="8197" width="22.7109375" style="465" customWidth="1"/>
    <col min="8198" max="8198" width="9.42578125" style="465" bestFit="1" customWidth="1"/>
    <col min="8199" max="8448" width="9.140625" style="465"/>
    <col min="8449" max="8449" width="3.7109375" style="465" customWidth="1"/>
    <col min="8450" max="8450" width="6.28515625" style="465" customWidth="1"/>
    <col min="8451" max="8451" width="8.28515625" style="465" customWidth="1"/>
    <col min="8452" max="8452" width="47.28515625" style="465" customWidth="1"/>
    <col min="8453" max="8453" width="22.7109375" style="465" customWidth="1"/>
    <col min="8454" max="8454" width="9.42578125" style="465" bestFit="1" customWidth="1"/>
    <col min="8455" max="8704" width="9.140625" style="465"/>
    <col min="8705" max="8705" width="3.7109375" style="465" customWidth="1"/>
    <col min="8706" max="8706" width="6.28515625" style="465" customWidth="1"/>
    <col min="8707" max="8707" width="8.28515625" style="465" customWidth="1"/>
    <col min="8708" max="8708" width="47.28515625" style="465" customWidth="1"/>
    <col min="8709" max="8709" width="22.7109375" style="465" customWidth="1"/>
    <col min="8710" max="8710" width="9.42578125" style="465" bestFit="1" customWidth="1"/>
    <col min="8711" max="8960" width="9.140625" style="465"/>
    <col min="8961" max="8961" width="3.7109375" style="465" customWidth="1"/>
    <col min="8962" max="8962" width="6.28515625" style="465" customWidth="1"/>
    <col min="8963" max="8963" width="8.28515625" style="465" customWidth="1"/>
    <col min="8964" max="8964" width="47.28515625" style="465" customWidth="1"/>
    <col min="8965" max="8965" width="22.7109375" style="465" customWidth="1"/>
    <col min="8966" max="8966" width="9.42578125" style="465" bestFit="1" customWidth="1"/>
    <col min="8967" max="9216" width="9.140625" style="465"/>
    <col min="9217" max="9217" width="3.7109375" style="465" customWidth="1"/>
    <col min="9218" max="9218" width="6.28515625" style="465" customWidth="1"/>
    <col min="9219" max="9219" width="8.28515625" style="465" customWidth="1"/>
    <col min="9220" max="9220" width="47.28515625" style="465" customWidth="1"/>
    <col min="9221" max="9221" width="22.7109375" style="465" customWidth="1"/>
    <col min="9222" max="9222" width="9.42578125" style="465" bestFit="1" customWidth="1"/>
    <col min="9223" max="9472" width="9.140625" style="465"/>
    <col min="9473" max="9473" width="3.7109375" style="465" customWidth="1"/>
    <col min="9474" max="9474" width="6.28515625" style="465" customWidth="1"/>
    <col min="9475" max="9475" width="8.28515625" style="465" customWidth="1"/>
    <col min="9476" max="9476" width="47.28515625" style="465" customWidth="1"/>
    <col min="9477" max="9477" width="22.7109375" style="465" customWidth="1"/>
    <col min="9478" max="9478" width="9.42578125" style="465" bestFit="1" customWidth="1"/>
    <col min="9479" max="9728" width="9.140625" style="465"/>
    <col min="9729" max="9729" width="3.7109375" style="465" customWidth="1"/>
    <col min="9730" max="9730" width="6.28515625" style="465" customWidth="1"/>
    <col min="9731" max="9731" width="8.28515625" style="465" customWidth="1"/>
    <col min="9732" max="9732" width="47.28515625" style="465" customWidth="1"/>
    <col min="9733" max="9733" width="22.7109375" style="465" customWidth="1"/>
    <col min="9734" max="9734" width="9.42578125" style="465" bestFit="1" customWidth="1"/>
    <col min="9735" max="9984" width="9.140625" style="465"/>
    <col min="9985" max="9985" width="3.7109375" style="465" customWidth="1"/>
    <col min="9986" max="9986" width="6.28515625" style="465" customWidth="1"/>
    <col min="9987" max="9987" width="8.28515625" style="465" customWidth="1"/>
    <col min="9988" max="9988" width="47.28515625" style="465" customWidth="1"/>
    <col min="9989" max="9989" width="22.7109375" style="465" customWidth="1"/>
    <col min="9990" max="9990" width="9.42578125" style="465" bestFit="1" customWidth="1"/>
    <col min="9991" max="10240" width="9.140625" style="465"/>
    <col min="10241" max="10241" width="3.7109375" style="465" customWidth="1"/>
    <col min="10242" max="10242" width="6.28515625" style="465" customWidth="1"/>
    <col min="10243" max="10243" width="8.28515625" style="465" customWidth="1"/>
    <col min="10244" max="10244" width="47.28515625" style="465" customWidth="1"/>
    <col min="10245" max="10245" width="22.7109375" style="465" customWidth="1"/>
    <col min="10246" max="10246" width="9.42578125" style="465" bestFit="1" customWidth="1"/>
    <col min="10247" max="10496" width="9.140625" style="465"/>
    <col min="10497" max="10497" width="3.7109375" style="465" customWidth="1"/>
    <col min="10498" max="10498" width="6.28515625" style="465" customWidth="1"/>
    <col min="10499" max="10499" width="8.28515625" style="465" customWidth="1"/>
    <col min="10500" max="10500" width="47.28515625" style="465" customWidth="1"/>
    <col min="10501" max="10501" width="22.7109375" style="465" customWidth="1"/>
    <col min="10502" max="10502" width="9.42578125" style="465" bestFit="1" customWidth="1"/>
    <col min="10503" max="10752" width="9.140625" style="465"/>
    <col min="10753" max="10753" width="3.7109375" style="465" customWidth="1"/>
    <col min="10754" max="10754" width="6.28515625" style="465" customWidth="1"/>
    <col min="10755" max="10755" width="8.28515625" style="465" customWidth="1"/>
    <col min="10756" max="10756" width="47.28515625" style="465" customWidth="1"/>
    <col min="10757" max="10757" width="22.7109375" style="465" customWidth="1"/>
    <col min="10758" max="10758" width="9.42578125" style="465" bestFit="1" customWidth="1"/>
    <col min="10759" max="11008" width="9.140625" style="465"/>
    <col min="11009" max="11009" width="3.7109375" style="465" customWidth="1"/>
    <col min="11010" max="11010" width="6.28515625" style="465" customWidth="1"/>
    <col min="11011" max="11011" width="8.28515625" style="465" customWidth="1"/>
    <col min="11012" max="11012" width="47.28515625" style="465" customWidth="1"/>
    <col min="11013" max="11013" width="22.7109375" style="465" customWidth="1"/>
    <col min="11014" max="11014" width="9.42578125" style="465" bestFit="1" customWidth="1"/>
    <col min="11015" max="11264" width="9.140625" style="465"/>
    <col min="11265" max="11265" width="3.7109375" style="465" customWidth="1"/>
    <col min="11266" max="11266" width="6.28515625" style="465" customWidth="1"/>
    <col min="11267" max="11267" width="8.28515625" style="465" customWidth="1"/>
    <col min="11268" max="11268" width="47.28515625" style="465" customWidth="1"/>
    <col min="11269" max="11269" width="22.7109375" style="465" customWidth="1"/>
    <col min="11270" max="11270" width="9.42578125" style="465" bestFit="1" customWidth="1"/>
    <col min="11271" max="11520" width="9.140625" style="465"/>
    <col min="11521" max="11521" width="3.7109375" style="465" customWidth="1"/>
    <col min="11522" max="11522" width="6.28515625" style="465" customWidth="1"/>
    <col min="11523" max="11523" width="8.28515625" style="465" customWidth="1"/>
    <col min="11524" max="11524" width="47.28515625" style="465" customWidth="1"/>
    <col min="11525" max="11525" width="22.7109375" style="465" customWidth="1"/>
    <col min="11526" max="11526" width="9.42578125" style="465" bestFit="1" customWidth="1"/>
    <col min="11527" max="11776" width="9.140625" style="465"/>
    <col min="11777" max="11777" width="3.7109375" style="465" customWidth="1"/>
    <col min="11778" max="11778" width="6.28515625" style="465" customWidth="1"/>
    <col min="11779" max="11779" width="8.28515625" style="465" customWidth="1"/>
    <col min="11780" max="11780" width="47.28515625" style="465" customWidth="1"/>
    <col min="11781" max="11781" width="22.7109375" style="465" customWidth="1"/>
    <col min="11782" max="11782" width="9.42578125" style="465" bestFit="1" customWidth="1"/>
    <col min="11783" max="12032" width="9.140625" style="465"/>
    <col min="12033" max="12033" width="3.7109375" style="465" customWidth="1"/>
    <col min="12034" max="12034" width="6.28515625" style="465" customWidth="1"/>
    <col min="12035" max="12035" width="8.28515625" style="465" customWidth="1"/>
    <col min="12036" max="12036" width="47.28515625" style="465" customWidth="1"/>
    <col min="12037" max="12037" width="22.7109375" style="465" customWidth="1"/>
    <col min="12038" max="12038" width="9.42578125" style="465" bestFit="1" customWidth="1"/>
    <col min="12039" max="12288" width="9.140625" style="465"/>
    <col min="12289" max="12289" width="3.7109375" style="465" customWidth="1"/>
    <col min="12290" max="12290" width="6.28515625" style="465" customWidth="1"/>
    <col min="12291" max="12291" width="8.28515625" style="465" customWidth="1"/>
    <col min="12292" max="12292" width="47.28515625" style="465" customWidth="1"/>
    <col min="12293" max="12293" width="22.7109375" style="465" customWidth="1"/>
    <col min="12294" max="12294" width="9.42578125" style="465" bestFit="1" customWidth="1"/>
    <col min="12295" max="12544" width="9.140625" style="465"/>
    <col min="12545" max="12545" width="3.7109375" style="465" customWidth="1"/>
    <col min="12546" max="12546" width="6.28515625" style="465" customWidth="1"/>
    <col min="12547" max="12547" width="8.28515625" style="465" customWidth="1"/>
    <col min="12548" max="12548" width="47.28515625" style="465" customWidth="1"/>
    <col min="12549" max="12549" width="22.7109375" style="465" customWidth="1"/>
    <col min="12550" max="12550" width="9.42578125" style="465" bestFit="1" customWidth="1"/>
    <col min="12551" max="12800" width="9.140625" style="465"/>
    <col min="12801" max="12801" width="3.7109375" style="465" customWidth="1"/>
    <col min="12802" max="12802" width="6.28515625" style="465" customWidth="1"/>
    <col min="12803" max="12803" width="8.28515625" style="465" customWidth="1"/>
    <col min="12804" max="12804" width="47.28515625" style="465" customWidth="1"/>
    <col min="12805" max="12805" width="22.7109375" style="465" customWidth="1"/>
    <col min="12806" max="12806" width="9.42578125" style="465" bestFit="1" customWidth="1"/>
    <col min="12807" max="13056" width="9.140625" style="465"/>
    <col min="13057" max="13057" width="3.7109375" style="465" customWidth="1"/>
    <col min="13058" max="13058" width="6.28515625" style="465" customWidth="1"/>
    <col min="13059" max="13059" width="8.28515625" style="465" customWidth="1"/>
    <col min="13060" max="13060" width="47.28515625" style="465" customWidth="1"/>
    <col min="13061" max="13061" width="22.7109375" style="465" customWidth="1"/>
    <col min="13062" max="13062" width="9.42578125" style="465" bestFit="1" customWidth="1"/>
    <col min="13063" max="13312" width="9.140625" style="465"/>
    <col min="13313" max="13313" width="3.7109375" style="465" customWidth="1"/>
    <col min="13314" max="13314" width="6.28515625" style="465" customWidth="1"/>
    <col min="13315" max="13315" width="8.28515625" style="465" customWidth="1"/>
    <col min="13316" max="13316" width="47.28515625" style="465" customWidth="1"/>
    <col min="13317" max="13317" width="22.7109375" style="465" customWidth="1"/>
    <col min="13318" max="13318" width="9.42578125" style="465" bestFit="1" customWidth="1"/>
    <col min="13319" max="13568" width="9.140625" style="465"/>
    <col min="13569" max="13569" width="3.7109375" style="465" customWidth="1"/>
    <col min="13570" max="13570" width="6.28515625" style="465" customWidth="1"/>
    <col min="13571" max="13571" width="8.28515625" style="465" customWidth="1"/>
    <col min="13572" max="13572" width="47.28515625" style="465" customWidth="1"/>
    <col min="13573" max="13573" width="22.7109375" style="465" customWidth="1"/>
    <col min="13574" max="13574" width="9.42578125" style="465" bestFit="1" customWidth="1"/>
    <col min="13575" max="13824" width="9.140625" style="465"/>
    <col min="13825" max="13825" width="3.7109375" style="465" customWidth="1"/>
    <col min="13826" max="13826" width="6.28515625" style="465" customWidth="1"/>
    <col min="13827" max="13827" width="8.28515625" style="465" customWidth="1"/>
    <col min="13828" max="13828" width="47.28515625" style="465" customWidth="1"/>
    <col min="13829" max="13829" width="22.7109375" style="465" customWidth="1"/>
    <col min="13830" max="13830" width="9.42578125" style="465" bestFit="1" customWidth="1"/>
    <col min="13831" max="14080" width="9.140625" style="465"/>
    <col min="14081" max="14081" width="3.7109375" style="465" customWidth="1"/>
    <col min="14082" max="14082" width="6.28515625" style="465" customWidth="1"/>
    <col min="14083" max="14083" width="8.28515625" style="465" customWidth="1"/>
    <col min="14084" max="14084" width="47.28515625" style="465" customWidth="1"/>
    <col min="14085" max="14085" width="22.7109375" style="465" customWidth="1"/>
    <col min="14086" max="14086" width="9.42578125" style="465" bestFit="1" customWidth="1"/>
    <col min="14087" max="14336" width="9.140625" style="465"/>
    <col min="14337" max="14337" width="3.7109375" style="465" customWidth="1"/>
    <col min="14338" max="14338" width="6.28515625" style="465" customWidth="1"/>
    <col min="14339" max="14339" width="8.28515625" style="465" customWidth="1"/>
    <col min="14340" max="14340" width="47.28515625" style="465" customWidth="1"/>
    <col min="14341" max="14341" width="22.7109375" style="465" customWidth="1"/>
    <col min="14342" max="14342" width="9.42578125" style="465" bestFit="1" customWidth="1"/>
    <col min="14343" max="14592" width="9.140625" style="465"/>
    <col min="14593" max="14593" width="3.7109375" style="465" customWidth="1"/>
    <col min="14594" max="14594" width="6.28515625" style="465" customWidth="1"/>
    <col min="14595" max="14595" width="8.28515625" style="465" customWidth="1"/>
    <col min="14596" max="14596" width="47.28515625" style="465" customWidth="1"/>
    <col min="14597" max="14597" width="22.7109375" style="465" customWidth="1"/>
    <col min="14598" max="14598" width="9.42578125" style="465" bestFit="1" customWidth="1"/>
    <col min="14599" max="14848" width="9.140625" style="465"/>
    <col min="14849" max="14849" width="3.7109375" style="465" customWidth="1"/>
    <col min="14850" max="14850" width="6.28515625" style="465" customWidth="1"/>
    <col min="14851" max="14851" width="8.28515625" style="465" customWidth="1"/>
    <col min="14852" max="14852" width="47.28515625" style="465" customWidth="1"/>
    <col min="14853" max="14853" width="22.7109375" style="465" customWidth="1"/>
    <col min="14854" max="14854" width="9.42578125" style="465" bestFit="1" customWidth="1"/>
    <col min="14855" max="15104" width="9.140625" style="465"/>
    <col min="15105" max="15105" width="3.7109375" style="465" customWidth="1"/>
    <col min="15106" max="15106" width="6.28515625" style="465" customWidth="1"/>
    <col min="15107" max="15107" width="8.28515625" style="465" customWidth="1"/>
    <col min="15108" max="15108" width="47.28515625" style="465" customWidth="1"/>
    <col min="15109" max="15109" width="22.7109375" style="465" customWidth="1"/>
    <col min="15110" max="15110" width="9.42578125" style="465" bestFit="1" customWidth="1"/>
    <col min="15111" max="15360" width="9.140625" style="465"/>
    <col min="15361" max="15361" width="3.7109375" style="465" customWidth="1"/>
    <col min="15362" max="15362" width="6.28515625" style="465" customWidth="1"/>
    <col min="15363" max="15363" width="8.28515625" style="465" customWidth="1"/>
    <col min="15364" max="15364" width="47.28515625" style="465" customWidth="1"/>
    <col min="15365" max="15365" width="22.7109375" style="465" customWidth="1"/>
    <col min="15366" max="15366" width="9.42578125" style="465" bestFit="1" customWidth="1"/>
    <col min="15367" max="15616" width="9.140625" style="465"/>
    <col min="15617" max="15617" width="3.7109375" style="465" customWidth="1"/>
    <col min="15618" max="15618" width="6.28515625" style="465" customWidth="1"/>
    <col min="15619" max="15619" width="8.28515625" style="465" customWidth="1"/>
    <col min="15620" max="15620" width="47.28515625" style="465" customWidth="1"/>
    <col min="15621" max="15621" width="22.7109375" style="465" customWidth="1"/>
    <col min="15622" max="15622" width="9.42578125" style="465" bestFit="1" customWidth="1"/>
    <col min="15623" max="15872" width="9.140625" style="465"/>
    <col min="15873" max="15873" width="3.7109375" style="465" customWidth="1"/>
    <col min="15874" max="15874" width="6.28515625" style="465" customWidth="1"/>
    <col min="15875" max="15875" width="8.28515625" style="465" customWidth="1"/>
    <col min="15876" max="15876" width="47.28515625" style="465" customWidth="1"/>
    <col min="15877" max="15877" width="22.7109375" style="465" customWidth="1"/>
    <col min="15878" max="15878" width="9.42578125" style="465" bestFit="1" customWidth="1"/>
    <col min="15879" max="16128" width="9.140625" style="465"/>
    <col min="16129" max="16129" width="3.7109375" style="465" customWidth="1"/>
    <col min="16130" max="16130" width="6.28515625" style="465" customWidth="1"/>
    <col min="16131" max="16131" width="8.28515625" style="465" customWidth="1"/>
    <col min="16132" max="16132" width="47.28515625" style="465" customWidth="1"/>
    <col min="16133" max="16133" width="22.7109375" style="465" customWidth="1"/>
    <col min="16134" max="16134" width="9.42578125" style="465" bestFit="1" customWidth="1"/>
    <col min="16135" max="16384" width="9.140625" style="465"/>
  </cols>
  <sheetData>
    <row r="1" spans="1:8" s="148" customFormat="1" ht="13.5" x14ac:dyDescent="0.25"/>
    <row r="2" spans="1:8" s="148" customFormat="1" ht="13.5" x14ac:dyDescent="0.25">
      <c r="D2" s="225"/>
      <c r="E2" s="146" t="s">
        <v>373</v>
      </c>
    </row>
    <row r="3" spans="1:8" s="148" customFormat="1" ht="13.5" x14ac:dyDescent="0.25">
      <c r="D3" s="225"/>
      <c r="E3" s="144" t="s">
        <v>185</v>
      </c>
    </row>
    <row r="4" spans="1:8" s="148" customFormat="1" ht="13.5" x14ac:dyDescent="0.25">
      <c r="D4" s="225"/>
      <c r="E4" s="146" t="s">
        <v>1</v>
      </c>
    </row>
    <row r="5" spans="1:8" s="148" customFormat="1" ht="13.5" x14ac:dyDescent="0.25">
      <c r="D5" s="225"/>
      <c r="E5" s="144" t="s">
        <v>186</v>
      </c>
    </row>
    <row r="6" spans="1:8" s="148" customFormat="1" ht="13.5" x14ac:dyDescent="0.25">
      <c r="D6" s="225"/>
      <c r="E6" s="146"/>
    </row>
    <row r="7" spans="1:8" s="148" customFormat="1" ht="13.5" x14ac:dyDescent="0.25"/>
    <row r="8" spans="1:8" s="148" customFormat="1" ht="15" customHeight="1" x14ac:dyDescent="0.25">
      <c r="A8" s="443" t="s">
        <v>374</v>
      </c>
      <c r="B8" s="443"/>
      <c r="C8" s="443"/>
      <c r="D8" s="443"/>
      <c r="E8" s="443"/>
    </row>
    <row r="9" spans="1:8" s="148" customFormat="1" ht="15" customHeight="1" x14ac:dyDescent="0.25">
      <c r="A9" s="443" t="s">
        <v>375</v>
      </c>
      <c r="B9" s="443"/>
      <c r="C9" s="443"/>
      <c r="D9" s="443"/>
      <c r="E9" s="443"/>
    </row>
    <row r="10" spans="1:8" s="148" customFormat="1" ht="15" customHeight="1" x14ac:dyDescent="0.25">
      <c r="A10" s="443" t="s">
        <v>376</v>
      </c>
      <c r="B10" s="443"/>
      <c r="C10" s="443"/>
      <c r="D10" s="443"/>
      <c r="E10" s="443"/>
    </row>
    <row r="11" spans="1:8" s="148" customFormat="1" ht="13.5" customHeight="1" x14ac:dyDescent="0.25">
      <c r="D11" s="226"/>
      <c r="E11" s="226"/>
    </row>
    <row r="12" spans="1:8" s="146" customFormat="1" ht="18" customHeight="1" x14ac:dyDescent="0.25">
      <c r="D12" s="444"/>
      <c r="E12" s="445" t="s">
        <v>2</v>
      </c>
    </row>
    <row r="13" spans="1:8" s="148" customFormat="1" ht="27" customHeight="1" x14ac:dyDescent="0.25">
      <c r="A13" s="229" t="s">
        <v>14</v>
      </c>
      <c r="B13" s="229" t="s">
        <v>190</v>
      </c>
      <c r="C13" s="229" t="s">
        <v>20</v>
      </c>
      <c r="D13" s="229" t="s">
        <v>21</v>
      </c>
      <c r="E13" s="229" t="s">
        <v>377</v>
      </c>
      <c r="G13" s="446"/>
      <c r="H13" s="447"/>
    </row>
    <row r="14" spans="1:8" s="278" customFormat="1" ht="9" customHeight="1" x14ac:dyDescent="0.3">
      <c r="A14" s="448">
        <v>1</v>
      </c>
      <c r="B14" s="448">
        <v>2</v>
      </c>
      <c r="C14" s="448">
        <v>3</v>
      </c>
      <c r="D14" s="448">
        <v>4</v>
      </c>
      <c r="E14" s="448">
        <v>5</v>
      </c>
    </row>
    <row r="15" spans="1:8" s="148" customFormat="1" ht="17.25" customHeight="1" x14ac:dyDescent="0.25">
      <c r="A15" s="449">
        <v>1</v>
      </c>
      <c r="B15" s="450">
        <v>801</v>
      </c>
      <c r="C15" s="450">
        <v>80195</v>
      </c>
      <c r="D15" s="451" t="s">
        <v>378</v>
      </c>
      <c r="E15" s="167">
        <v>20000</v>
      </c>
    </row>
    <row r="16" spans="1:8" s="148" customFormat="1" ht="25.5" customHeight="1" x14ac:dyDescent="0.25">
      <c r="A16" s="449">
        <v>2</v>
      </c>
      <c r="B16" s="450">
        <v>900</v>
      </c>
      <c r="C16" s="450">
        <v>90004</v>
      </c>
      <c r="D16" s="451" t="s">
        <v>379</v>
      </c>
      <c r="E16" s="167">
        <f>26000+500000+119140</f>
        <v>645140</v>
      </c>
      <c r="F16" s="239"/>
    </row>
    <row r="17" spans="1:7" s="148" customFormat="1" ht="25.5" customHeight="1" x14ac:dyDescent="0.25">
      <c r="A17" s="452">
        <v>3</v>
      </c>
      <c r="B17" s="453">
        <v>900</v>
      </c>
      <c r="C17" s="453">
        <v>90005</v>
      </c>
      <c r="D17" s="451" t="s">
        <v>380</v>
      </c>
      <c r="E17" s="454">
        <v>360000</v>
      </c>
      <c r="F17" s="239"/>
    </row>
    <row r="18" spans="1:7" s="148" customFormat="1" ht="20.25" customHeight="1" x14ac:dyDescent="0.25">
      <c r="A18" s="455">
        <v>4</v>
      </c>
      <c r="B18" s="291">
        <v>900</v>
      </c>
      <c r="C18" s="291">
        <v>90005</v>
      </c>
      <c r="D18" s="456" t="s">
        <v>381</v>
      </c>
      <c r="E18" s="454">
        <v>130000</v>
      </c>
      <c r="F18" s="239"/>
    </row>
    <row r="19" spans="1:7" s="148" customFormat="1" ht="28.5" customHeight="1" x14ac:dyDescent="0.25">
      <c r="A19" s="452">
        <v>5</v>
      </c>
      <c r="B19" s="457">
        <v>900</v>
      </c>
      <c r="C19" s="457">
        <v>90005</v>
      </c>
      <c r="D19" s="451" t="s">
        <v>382</v>
      </c>
      <c r="E19" s="454">
        <v>100000</v>
      </c>
      <c r="F19" s="239"/>
    </row>
    <row r="20" spans="1:7" s="148" customFormat="1" ht="27" customHeight="1" x14ac:dyDescent="0.25">
      <c r="A20" s="452">
        <v>6</v>
      </c>
      <c r="B20" s="457">
        <v>900</v>
      </c>
      <c r="C20" s="457">
        <v>90026</v>
      </c>
      <c r="D20" s="451" t="s">
        <v>383</v>
      </c>
      <c r="E20" s="454">
        <v>50000</v>
      </c>
      <c r="F20" s="239"/>
    </row>
    <row r="21" spans="1:7" s="148" customFormat="1" ht="15.75" customHeight="1" x14ac:dyDescent="0.25">
      <c r="A21" s="449">
        <v>7</v>
      </c>
      <c r="B21" s="453">
        <v>900</v>
      </c>
      <c r="C21" s="453">
        <v>90095</v>
      </c>
      <c r="D21" s="458" t="s">
        <v>384</v>
      </c>
      <c r="E21" s="167">
        <f>220000-119140</f>
        <v>100860</v>
      </c>
      <c r="F21" s="239"/>
    </row>
    <row r="22" spans="1:7" s="148" customFormat="1" ht="27" customHeight="1" x14ac:dyDescent="0.25">
      <c r="A22" s="452">
        <v>8</v>
      </c>
      <c r="B22" s="453">
        <v>900</v>
      </c>
      <c r="C22" s="453">
        <v>90095</v>
      </c>
      <c r="D22" s="451" t="s">
        <v>385</v>
      </c>
      <c r="E22" s="454">
        <v>95000</v>
      </c>
      <c r="F22" s="459"/>
      <c r="G22" s="146"/>
    </row>
    <row r="23" spans="1:7" s="464" customFormat="1" ht="21.75" customHeight="1" x14ac:dyDescent="0.25">
      <c r="A23" s="460" t="s">
        <v>282</v>
      </c>
      <c r="B23" s="461"/>
      <c r="C23" s="461"/>
      <c r="D23" s="462"/>
      <c r="E23" s="463">
        <f>SUM(E15:E22)</f>
        <v>1501000</v>
      </c>
    </row>
    <row r="24" spans="1:7" s="148" customFormat="1" ht="13.5" x14ac:dyDescent="0.25"/>
    <row r="25" spans="1:7" x14ac:dyDescent="0.2">
      <c r="A25" s="536"/>
    </row>
    <row r="26" spans="1:7" x14ac:dyDescent="0.2">
      <c r="E26" s="466"/>
    </row>
  </sheetData>
  <pageMargins left="0.70866141732283472" right="0.70866141732283472" top="0.74803149606299213" bottom="0.74803149606299213" header="0.31496062992125984" footer="0.31496062992125984"/>
  <pageSetup paperSize="9" firstPageNumber="7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4</vt:i4>
      </vt:variant>
    </vt:vector>
  </HeadingPairs>
  <TitlesOfParts>
    <vt:vector size="11" baseType="lpstr">
      <vt:lpstr>Zał.Nr1</vt:lpstr>
      <vt:lpstr>Zał.Nr2</vt:lpstr>
      <vt:lpstr>Zał.Nr3</vt:lpstr>
      <vt:lpstr>Zał.Nr4</vt:lpstr>
      <vt:lpstr>Zał.Nr5</vt:lpstr>
      <vt:lpstr>Zał.Nr6</vt:lpstr>
      <vt:lpstr>Zał.Nr7</vt:lpstr>
      <vt:lpstr>Zał.Nr1!Obszar_wydruku</vt:lpstr>
      <vt:lpstr>Zał.Nr1!Tytuły_wydruku</vt:lpstr>
      <vt:lpstr>Zał.Nr4!Tytuły_wydruku</vt:lpstr>
      <vt:lpstr>Zał.Nr5!Tytuły_wydruku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Beata Duszeńska</cp:lastModifiedBy>
  <cp:lastPrinted>2026-05-04T12:28:15Z</cp:lastPrinted>
  <dcterms:created xsi:type="dcterms:W3CDTF">2015-06-05T18:19:34Z</dcterms:created>
  <dcterms:modified xsi:type="dcterms:W3CDTF">2026-05-05T09:29:00Z</dcterms:modified>
</cp:coreProperties>
</file>