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A964B3E4-FB08-4004-90AE-A577B9C5BE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.Nr1" sheetId="9" r:id="rId1"/>
    <sheet name="Zał.Nr2" sheetId="10" r:id="rId2"/>
    <sheet name="Zał.Nr3" sheetId="11" r:id="rId3"/>
  </sheets>
  <definedNames>
    <definedName name="_xlnm._FilterDatabase" localSheetId="0" hidden="1">Zał.Nr1!$A$10:$H$122</definedName>
    <definedName name="_xlnm.Print_Area" localSheetId="0">Zał.Nr1!$A$1:$H$382</definedName>
    <definedName name="_xlnm.Print_Titles" localSheetId="0">Zał.Nr1!$7:$9</definedName>
    <definedName name="_xlnm.Print_Titles" localSheetId="1">Zał.Nr2!$10:$11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1" l="1"/>
  <c r="F18" i="11"/>
  <c r="E18" i="11"/>
  <c r="D18" i="11"/>
  <c r="C18" i="11"/>
  <c r="F46" i="10"/>
  <c r="F45" i="10"/>
  <c r="F44" i="10"/>
  <c r="F43" i="10" s="1"/>
  <c r="F42" i="10"/>
  <c r="F41" i="10"/>
  <c r="F40" i="10"/>
  <c r="F39" i="10" s="1"/>
  <c r="F38" i="10"/>
  <c r="F37" i="10"/>
  <c r="F47" i="10" s="1"/>
  <c r="F33" i="10"/>
  <c r="F31" i="10"/>
  <c r="F29" i="10"/>
  <c r="F27" i="10"/>
  <c r="F26" i="10"/>
  <c r="F25" i="10" s="1"/>
  <c r="F35" i="10" s="1"/>
  <c r="F48" i="10" s="1"/>
  <c r="F23" i="10"/>
  <c r="F21" i="10"/>
  <c r="F19" i="10"/>
  <c r="F17" i="10"/>
  <c r="F16" i="10"/>
  <c r="H381" i="9" l="1"/>
  <c r="H380" i="9"/>
  <c r="H379" i="9"/>
  <c r="G378" i="9"/>
  <c r="F378" i="9"/>
  <c r="H377" i="9"/>
  <c r="H376" i="9"/>
  <c r="H375" i="9"/>
  <c r="G374" i="9"/>
  <c r="F374" i="9"/>
  <c r="H374" i="9" s="1"/>
  <c r="H373" i="9"/>
  <c r="H372" i="9"/>
  <c r="H371" i="9"/>
  <c r="G370" i="9"/>
  <c r="F370" i="9"/>
  <c r="H370" i="9" s="1"/>
  <c r="H369" i="9"/>
  <c r="H368" i="9"/>
  <c r="H367" i="9"/>
  <c r="H366" i="9"/>
  <c r="G365" i="9"/>
  <c r="F365" i="9"/>
  <c r="H365" i="9" s="1"/>
  <c r="H363" i="9"/>
  <c r="H362" i="9"/>
  <c r="H361" i="9"/>
  <c r="G360" i="9"/>
  <c r="G358" i="9" s="1"/>
  <c r="F360" i="9"/>
  <c r="H360" i="9" s="1"/>
  <c r="H356" i="9"/>
  <c r="H355" i="9"/>
  <c r="H354" i="9"/>
  <c r="H353" i="9"/>
  <c r="G352" i="9"/>
  <c r="H352" i="9" s="1"/>
  <c r="F352" i="9"/>
  <c r="F351" i="9" s="1"/>
  <c r="G351" i="9"/>
  <c r="H350" i="9"/>
  <c r="H349" i="9"/>
  <c r="H348" i="9"/>
  <c r="H347" i="9"/>
  <c r="G346" i="9"/>
  <c r="G345" i="9" s="1"/>
  <c r="F346" i="9"/>
  <c r="H346" i="9" s="1"/>
  <c r="H344" i="9"/>
  <c r="H343" i="9"/>
  <c r="H342" i="9"/>
  <c r="H341" i="9"/>
  <c r="H340" i="9"/>
  <c r="G340" i="9"/>
  <c r="G339" i="9" s="1"/>
  <c r="F340" i="9"/>
  <c r="F339" i="9" s="1"/>
  <c r="H338" i="9"/>
  <c r="H337" i="9"/>
  <c r="H336" i="9"/>
  <c r="H335" i="9"/>
  <c r="G334" i="9"/>
  <c r="G333" i="9" s="1"/>
  <c r="F334" i="9"/>
  <c r="F333" i="9"/>
  <c r="H331" i="9"/>
  <c r="H330" i="9"/>
  <c r="H329" i="9"/>
  <c r="H328" i="9"/>
  <c r="H327" i="9"/>
  <c r="G327" i="9"/>
  <c r="F327" i="9"/>
  <c r="F326" i="9" s="1"/>
  <c r="F325" i="9" s="1"/>
  <c r="G326" i="9"/>
  <c r="G325" i="9" s="1"/>
  <c r="H324" i="9"/>
  <c r="H323" i="9"/>
  <c r="H322" i="9"/>
  <c r="H321" i="9"/>
  <c r="H320" i="9"/>
  <c r="G319" i="9"/>
  <c r="G318" i="9" s="1"/>
  <c r="F319" i="9"/>
  <c r="H319" i="9" s="1"/>
  <c r="H317" i="9"/>
  <c r="H316" i="9"/>
  <c r="H315" i="9"/>
  <c r="H314" i="9"/>
  <c r="G313" i="9"/>
  <c r="G312" i="9" s="1"/>
  <c r="F313" i="9"/>
  <c r="F312" i="9" s="1"/>
  <c r="H311" i="9"/>
  <c r="H310" i="9"/>
  <c r="H309" i="9"/>
  <c r="H308" i="9"/>
  <c r="G307" i="9"/>
  <c r="G306" i="9" s="1"/>
  <c r="F307" i="9"/>
  <c r="F306" i="9"/>
  <c r="H305" i="9"/>
  <c r="H304" i="9"/>
  <c r="H303" i="9"/>
  <c r="H302" i="9"/>
  <c r="G301" i="9"/>
  <c r="F301" i="9"/>
  <c r="F300" i="9" s="1"/>
  <c r="G300" i="9"/>
  <c r="H299" i="9"/>
  <c r="H298" i="9"/>
  <c r="H297" i="9"/>
  <c r="H296" i="9"/>
  <c r="G295" i="9"/>
  <c r="G294" i="9" s="1"/>
  <c r="F295" i="9"/>
  <c r="H295" i="9" s="1"/>
  <c r="F294" i="9"/>
  <c r="H292" i="9"/>
  <c r="H291" i="9"/>
  <c r="H290" i="9"/>
  <c r="H289" i="9"/>
  <c r="H288" i="9"/>
  <c r="G288" i="9"/>
  <c r="F288" i="9"/>
  <c r="F287" i="9" s="1"/>
  <c r="H287" i="9" s="1"/>
  <c r="G287" i="9"/>
  <c r="H286" i="9"/>
  <c r="H285" i="9"/>
  <c r="H284" i="9"/>
  <c r="H283" i="9"/>
  <c r="G282" i="9"/>
  <c r="G281" i="9" s="1"/>
  <c r="F282" i="9"/>
  <c r="F281" i="9"/>
  <c r="H280" i="9"/>
  <c r="H279" i="9"/>
  <c r="H278" i="9"/>
  <c r="H277" i="9"/>
  <c r="G276" i="9"/>
  <c r="H276" i="9" s="1"/>
  <c r="F276" i="9"/>
  <c r="F275" i="9"/>
  <c r="H274" i="9"/>
  <c r="H273" i="9"/>
  <c r="H272" i="9"/>
  <c r="H271" i="9"/>
  <c r="G270" i="9"/>
  <c r="G269" i="9" s="1"/>
  <c r="F270" i="9"/>
  <c r="F269" i="9" s="1"/>
  <c r="H269" i="9" s="1"/>
  <c r="H268" i="9"/>
  <c r="H267" i="9"/>
  <c r="H266" i="9"/>
  <c r="H265" i="9"/>
  <c r="G264" i="9"/>
  <c r="F264" i="9"/>
  <c r="F263" i="9" s="1"/>
  <c r="H262" i="9"/>
  <c r="H261" i="9"/>
  <c r="H260" i="9"/>
  <c r="H259" i="9"/>
  <c r="G258" i="9"/>
  <c r="G257" i="9" s="1"/>
  <c r="F258" i="9"/>
  <c r="F257" i="9" s="1"/>
  <c r="H257" i="9" s="1"/>
  <c r="H256" i="9"/>
  <c r="H255" i="9"/>
  <c r="H254" i="9"/>
  <c r="H253" i="9"/>
  <c r="G252" i="9"/>
  <c r="F252" i="9"/>
  <c r="F251" i="9"/>
  <c r="H250" i="9"/>
  <c r="H249" i="9"/>
  <c r="H248" i="9"/>
  <c r="H247" i="9"/>
  <c r="G246" i="9"/>
  <c r="G245" i="9" s="1"/>
  <c r="F246" i="9"/>
  <c r="F245" i="9"/>
  <c r="H245" i="9" s="1"/>
  <c r="H244" i="9"/>
  <c r="H243" i="9"/>
  <c r="H242" i="9"/>
  <c r="H241" i="9"/>
  <c r="G240" i="9"/>
  <c r="F240" i="9"/>
  <c r="F239" i="9"/>
  <c r="F237" i="9"/>
  <c r="H237" i="9" s="1"/>
  <c r="F236" i="9"/>
  <c r="H236" i="9" s="1"/>
  <c r="F235" i="9"/>
  <c r="H235" i="9" s="1"/>
  <c r="F234" i="9"/>
  <c r="G233" i="9"/>
  <c r="G232" i="9"/>
  <c r="G231" i="9" s="1"/>
  <c r="H229" i="9"/>
  <c r="G228" i="9"/>
  <c r="F228" i="9"/>
  <c r="F227" i="9" s="1"/>
  <c r="G227" i="9"/>
  <c r="H226" i="9"/>
  <c r="H225" i="9"/>
  <c r="H224" i="9"/>
  <c r="H223" i="9"/>
  <c r="G222" i="9"/>
  <c r="F222" i="9"/>
  <c r="F221" i="9" s="1"/>
  <c r="F220" i="9" s="1"/>
  <c r="H220" i="9" s="1"/>
  <c r="G221" i="9"/>
  <c r="G220" i="9" s="1"/>
  <c r="H219" i="9"/>
  <c r="H218" i="9"/>
  <c r="G218" i="9"/>
  <c r="F218" i="9"/>
  <c r="F217" i="9" s="1"/>
  <c r="G217" i="9"/>
  <c r="H216" i="9"/>
  <c r="G215" i="9"/>
  <c r="G214" i="9" s="1"/>
  <c r="F215" i="9"/>
  <c r="F214" i="9"/>
  <c r="H214" i="9" s="1"/>
  <c r="H213" i="9"/>
  <c r="G212" i="9"/>
  <c r="F212" i="9"/>
  <c r="F211" i="9" s="1"/>
  <c r="G211" i="9"/>
  <c r="H210" i="9"/>
  <c r="G209" i="9"/>
  <c r="F209" i="9"/>
  <c r="F208" i="9"/>
  <c r="H206" i="9"/>
  <c r="H205" i="9"/>
  <c r="H204" i="9"/>
  <c r="H203" i="9"/>
  <c r="G202" i="9"/>
  <c r="F202" i="9"/>
  <c r="F201" i="9" s="1"/>
  <c r="G201" i="9"/>
  <c r="H200" i="9"/>
  <c r="H199" i="9"/>
  <c r="H198" i="9"/>
  <c r="G197" i="9"/>
  <c r="G196" i="9" s="1"/>
  <c r="G195" i="9" s="1"/>
  <c r="F197" i="9"/>
  <c r="F196" i="9"/>
  <c r="H196" i="9" s="1"/>
  <c r="F195" i="9"/>
  <c r="H194" i="9"/>
  <c r="H193" i="9"/>
  <c r="H192" i="9"/>
  <c r="H191" i="9"/>
  <c r="G191" i="9"/>
  <c r="F191" i="9"/>
  <c r="F190" i="9" s="1"/>
  <c r="H190" i="9" s="1"/>
  <c r="G190" i="9"/>
  <c r="H189" i="9"/>
  <c r="H188" i="9"/>
  <c r="H187" i="9"/>
  <c r="G186" i="9"/>
  <c r="F186" i="9"/>
  <c r="F180" i="9" s="1"/>
  <c r="H185" i="9"/>
  <c r="H184" i="9"/>
  <c r="H183" i="9"/>
  <c r="G182" i="9"/>
  <c r="G180" i="9" s="1"/>
  <c r="F182" i="9"/>
  <c r="H179" i="9"/>
  <c r="H178" i="9"/>
  <c r="H177" i="9"/>
  <c r="G176" i="9"/>
  <c r="F176" i="9"/>
  <c r="F175" i="9" s="1"/>
  <c r="G175" i="9"/>
  <c r="G171" i="9"/>
  <c r="H171" i="9" s="1"/>
  <c r="H170" i="9"/>
  <c r="F169" i="9"/>
  <c r="F167" i="9" s="1"/>
  <c r="F155" i="9" s="1"/>
  <c r="F154" i="9" s="1"/>
  <c r="H168" i="9"/>
  <c r="H166" i="9"/>
  <c r="H165" i="9"/>
  <c r="H164" i="9"/>
  <c r="G163" i="9"/>
  <c r="H163" i="9" s="1"/>
  <c r="F163" i="9"/>
  <c r="H162" i="9"/>
  <c r="H161" i="9"/>
  <c r="H160" i="9"/>
  <c r="G159" i="9"/>
  <c r="F159" i="9"/>
  <c r="H159" i="9" s="1"/>
  <c r="H157" i="9"/>
  <c r="G156" i="9"/>
  <c r="F156" i="9"/>
  <c r="H156" i="9" s="1"/>
  <c r="H153" i="9"/>
  <c r="H152" i="9"/>
  <c r="H151" i="9"/>
  <c r="G150" i="9"/>
  <c r="F150" i="9"/>
  <c r="H147" i="9"/>
  <c r="H146" i="9"/>
  <c r="H145" i="9"/>
  <c r="G144" i="9"/>
  <c r="H144" i="9" s="1"/>
  <c r="F144" i="9"/>
  <c r="H143" i="9"/>
  <c r="H142" i="9"/>
  <c r="H141" i="9"/>
  <c r="G140" i="9"/>
  <c r="F140" i="9"/>
  <c r="F139" i="9"/>
  <c r="H138" i="9"/>
  <c r="H137" i="9"/>
  <c r="H136" i="9"/>
  <c r="H135" i="9"/>
  <c r="G135" i="9"/>
  <c r="F135" i="9"/>
  <c r="F133" i="9" s="1"/>
  <c r="H133" i="9" s="1"/>
  <c r="G133" i="9"/>
  <c r="H131" i="9"/>
  <c r="H130" i="9"/>
  <c r="H129" i="9"/>
  <c r="G128" i="9"/>
  <c r="F128" i="9"/>
  <c r="F127" i="9" s="1"/>
  <c r="H126" i="9"/>
  <c r="H125" i="9"/>
  <c r="H124" i="9"/>
  <c r="G123" i="9"/>
  <c r="F123" i="9"/>
  <c r="H123" i="9" s="1"/>
  <c r="H122" i="9"/>
  <c r="H121" i="9"/>
  <c r="H120" i="9"/>
  <c r="H119" i="9"/>
  <c r="G118" i="9"/>
  <c r="F118" i="9"/>
  <c r="F117" i="9" s="1"/>
  <c r="H116" i="9"/>
  <c r="H115" i="9"/>
  <c r="H114" i="9"/>
  <c r="G113" i="9"/>
  <c r="H113" i="9" s="1"/>
  <c r="F113" i="9"/>
  <c r="H112" i="9"/>
  <c r="H111" i="9"/>
  <c r="H110" i="9"/>
  <c r="H109" i="9"/>
  <c r="G108" i="9"/>
  <c r="F108" i="9"/>
  <c r="F107" i="9"/>
  <c r="H105" i="9"/>
  <c r="H104" i="9"/>
  <c r="H103" i="9"/>
  <c r="G102" i="9"/>
  <c r="G97" i="9" s="1"/>
  <c r="G96" i="9" s="1"/>
  <c r="F102" i="9"/>
  <c r="H102" i="9" s="1"/>
  <c r="H101" i="9"/>
  <c r="H100" i="9"/>
  <c r="H99" i="9"/>
  <c r="G98" i="9"/>
  <c r="F98" i="9"/>
  <c r="F97" i="9" s="1"/>
  <c r="H95" i="9"/>
  <c r="G94" i="9"/>
  <c r="F94" i="9"/>
  <c r="F93" i="9" s="1"/>
  <c r="G93" i="9"/>
  <c r="H92" i="9"/>
  <c r="H91" i="9"/>
  <c r="H90" i="9"/>
  <c r="H89" i="9"/>
  <c r="G88" i="9"/>
  <c r="F88" i="9"/>
  <c r="F87" i="9" s="1"/>
  <c r="G87" i="9"/>
  <c r="H86" i="9"/>
  <c r="H85" i="9"/>
  <c r="H84" i="9"/>
  <c r="H83" i="9"/>
  <c r="G82" i="9"/>
  <c r="F82" i="9"/>
  <c r="F81" i="9" s="1"/>
  <c r="G81" i="9"/>
  <c r="H80" i="9"/>
  <c r="H79" i="9"/>
  <c r="H78" i="9"/>
  <c r="H77" i="9"/>
  <c r="G76" i="9"/>
  <c r="F76" i="9"/>
  <c r="F75" i="9" s="1"/>
  <c r="G75" i="9"/>
  <c r="H74" i="9"/>
  <c r="H73" i="9"/>
  <c r="H72" i="9"/>
  <c r="H71" i="9"/>
  <c r="G70" i="9"/>
  <c r="F70" i="9"/>
  <c r="F69" i="9" s="1"/>
  <c r="G69" i="9"/>
  <c r="H68" i="9"/>
  <c r="H67" i="9"/>
  <c r="H66" i="9"/>
  <c r="H65" i="9"/>
  <c r="G64" i="9"/>
  <c r="G63" i="9" s="1"/>
  <c r="F64" i="9"/>
  <c r="H64" i="9" s="1"/>
  <c r="F63" i="9"/>
  <c r="F62" i="9"/>
  <c r="G61" i="9"/>
  <c r="H61" i="9" s="1"/>
  <c r="G60" i="9"/>
  <c r="H60" i="9" s="1"/>
  <c r="F59" i="9"/>
  <c r="F58" i="9" s="1"/>
  <c r="F57" i="9" s="1"/>
  <c r="H56" i="9"/>
  <c r="H55" i="9"/>
  <c r="H54" i="9"/>
  <c r="H53" i="9"/>
  <c r="G52" i="9"/>
  <c r="F52" i="9"/>
  <c r="H52" i="9" s="1"/>
  <c r="H51" i="9"/>
  <c r="H50" i="9"/>
  <c r="H49" i="9"/>
  <c r="H48" i="9"/>
  <c r="G47" i="9"/>
  <c r="F47" i="9"/>
  <c r="G46" i="9"/>
  <c r="G45" i="9" s="1"/>
  <c r="H44" i="9"/>
  <c r="H43" i="9"/>
  <c r="H42" i="9"/>
  <c r="H41" i="9"/>
  <c r="G40" i="9"/>
  <c r="F40" i="9"/>
  <c r="F39" i="9" s="1"/>
  <c r="H39" i="9" s="1"/>
  <c r="G39" i="9"/>
  <c r="H38" i="9"/>
  <c r="H37" i="9"/>
  <c r="H36" i="9"/>
  <c r="H35" i="9"/>
  <c r="G34" i="9"/>
  <c r="G33" i="9" s="1"/>
  <c r="G32" i="9" s="1"/>
  <c r="F34" i="9"/>
  <c r="H31" i="9"/>
  <c r="H30" i="9"/>
  <c r="H29" i="9"/>
  <c r="H28" i="9"/>
  <c r="G27" i="9"/>
  <c r="H27" i="9" s="1"/>
  <c r="F27" i="9"/>
  <c r="F26" i="9"/>
  <c r="H24" i="9"/>
  <c r="H23" i="9"/>
  <c r="H22" i="9"/>
  <c r="H21" i="9"/>
  <c r="G21" i="9"/>
  <c r="F21" i="9"/>
  <c r="G20" i="9"/>
  <c r="G19" i="9" s="1"/>
  <c r="F20" i="9"/>
  <c r="H20" i="9" s="1"/>
  <c r="F19" i="9"/>
  <c r="H19" i="9" s="1"/>
  <c r="H18" i="9"/>
  <c r="H17" i="9"/>
  <c r="H16" i="9"/>
  <c r="H15" i="9"/>
  <c r="G14" i="9"/>
  <c r="G13" i="9" s="1"/>
  <c r="G12" i="9" s="1"/>
  <c r="F14" i="9"/>
  <c r="H14" i="9" s="1"/>
  <c r="F106" i="9" l="1"/>
  <c r="H275" i="9"/>
  <c r="H312" i="9"/>
  <c r="G59" i="9"/>
  <c r="H169" i="9"/>
  <c r="H175" i="9"/>
  <c r="H186" i="9"/>
  <c r="H201" i="9"/>
  <c r="H217" i="9"/>
  <c r="G275" i="9"/>
  <c r="H300" i="9"/>
  <c r="H307" i="9"/>
  <c r="H326" i="9"/>
  <c r="F345" i="9"/>
  <c r="H345" i="9" s="1"/>
  <c r="H351" i="9"/>
  <c r="F358" i="9"/>
  <c r="F364" i="9"/>
  <c r="H364" i="9" s="1"/>
  <c r="G332" i="9"/>
  <c r="F46" i="9"/>
  <c r="G139" i="9"/>
  <c r="H139" i="9" s="1"/>
  <c r="H222" i="9"/>
  <c r="H228" i="9"/>
  <c r="H313" i="9"/>
  <c r="H339" i="9"/>
  <c r="H180" i="9"/>
  <c r="H34" i="9"/>
  <c r="G62" i="9"/>
  <c r="H70" i="9"/>
  <c r="H76" i="9"/>
  <c r="H82" i="9"/>
  <c r="H88" i="9"/>
  <c r="H94" i="9"/>
  <c r="H150" i="9"/>
  <c r="H182" i="9"/>
  <c r="H197" i="9"/>
  <c r="H202" i="9"/>
  <c r="H282" i="9"/>
  <c r="H301" i="9"/>
  <c r="F318" i="9"/>
  <c r="F238" i="9" s="1"/>
  <c r="G364" i="9"/>
  <c r="H378" i="9"/>
  <c r="H263" i="9"/>
  <c r="H264" i="9"/>
  <c r="G263" i="9"/>
  <c r="H97" i="9"/>
  <c r="H211" i="9"/>
  <c r="G26" i="9"/>
  <c r="G25" i="9" s="1"/>
  <c r="F33" i="9"/>
  <c r="H40" i="9"/>
  <c r="H69" i="9"/>
  <c r="H75" i="9"/>
  <c r="H81" i="9"/>
  <c r="H87" i="9"/>
  <c r="H93" i="9"/>
  <c r="F96" i="9"/>
  <c r="H96" i="9" s="1"/>
  <c r="H108" i="9"/>
  <c r="G107" i="9"/>
  <c r="H128" i="9"/>
  <c r="G127" i="9"/>
  <c r="H127" i="9" s="1"/>
  <c r="H176" i="9"/>
  <c r="H195" i="9"/>
  <c r="H209" i="9"/>
  <c r="G208" i="9"/>
  <c r="H221" i="9"/>
  <c r="H227" i="9"/>
  <c r="H325" i="9"/>
  <c r="H333" i="9"/>
  <c r="G357" i="9"/>
  <c r="H118" i="9"/>
  <c r="G117" i="9"/>
  <c r="H117" i="9" s="1"/>
  <c r="F233" i="9"/>
  <c r="H240" i="9"/>
  <c r="G239" i="9"/>
  <c r="H252" i="9"/>
  <c r="G251" i="9"/>
  <c r="H251" i="9" s="1"/>
  <c r="H59" i="9"/>
  <c r="G58" i="9"/>
  <c r="H62" i="9"/>
  <c r="F172" i="9"/>
  <c r="F13" i="9"/>
  <c r="F25" i="9"/>
  <c r="H25" i="9" s="1"/>
  <c r="H47" i="9"/>
  <c r="H63" i="9"/>
  <c r="H98" i="9"/>
  <c r="H140" i="9"/>
  <c r="G167" i="9"/>
  <c r="G155" i="9" s="1"/>
  <c r="G172" i="9"/>
  <c r="F207" i="9"/>
  <c r="H212" i="9"/>
  <c r="H215" i="9"/>
  <c r="H234" i="9"/>
  <c r="H246" i="9"/>
  <c r="H258" i="9"/>
  <c r="H270" i="9"/>
  <c r="H281" i="9"/>
  <c r="H294" i="9"/>
  <c r="H306" i="9"/>
  <c r="H318" i="9"/>
  <c r="H334" i="9"/>
  <c r="H357" i="9" l="1"/>
  <c r="H172" i="9"/>
  <c r="F332" i="9"/>
  <c r="H332" i="9" s="1"/>
  <c r="F45" i="9"/>
  <c r="H45" i="9" s="1"/>
  <c r="H46" i="9"/>
  <c r="H358" i="9"/>
  <c r="F357" i="9"/>
  <c r="G154" i="9"/>
  <c r="H154" i="9" s="1"/>
  <c r="H155" i="9"/>
  <c r="H207" i="9"/>
  <c r="F232" i="9"/>
  <c r="H233" i="9"/>
  <c r="H33" i="9"/>
  <c r="H32" i="9" s="1"/>
  <c r="F32" i="9"/>
  <c r="H13" i="9"/>
  <c r="F12" i="9"/>
  <c r="H58" i="9"/>
  <c r="G57" i="9"/>
  <c r="H57" i="9" s="1"/>
  <c r="G238" i="9"/>
  <c r="G207" i="9"/>
  <c r="H208" i="9"/>
  <c r="H167" i="9"/>
  <c r="G106" i="9"/>
  <c r="H107" i="9"/>
  <c r="H239" i="9"/>
  <c r="H26" i="9"/>
  <c r="G11" i="9" l="1"/>
  <c r="G10" i="9" s="1"/>
  <c r="H106" i="9"/>
  <c r="H238" i="9"/>
  <c r="G230" i="9"/>
  <c r="H232" i="9"/>
  <c r="F231" i="9"/>
  <c r="F11" i="9"/>
  <c r="H12" i="9"/>
  <c r="F230" i="9" l="1"/>
  <c r="F10" i="9" s="1"/>
  <c r="H231" i="9"/>
  <c r="H11" i="9"/>
  <c r="H10" i="9" l="1"/>
  <c r="H230" i="9"/>
</calcChain>
</file>

<file path=xl/sharedStrings.xml><?xml version="1.0" encoding="utf-8"?>
<sst xmlns="http://schemas.openxmlformats.org/spreadsheetml/2006/main" count="471" uniqueCount="187">
  <si>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</si>
  <si>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</si>
  <si>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</si>
  <si>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</si>
  <si>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</si>
  <si>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</si>
  <si>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</si>
  <si>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</si>
  <si>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</si>
  <si>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</si>
  <si>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</si>
  <si>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</si>
  <si>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</si>
  <si>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Szkoły podstawowe</t>
  </si>
  <si>
    <t>Wydział Edukacji, Zdrowia i Polityki Społecznej</t>
  </si>
  <si>
    <t>Przedszkola</t>
  </si>
  <si>
    <t>zakup usług pozostałych</t>
  </si>
  <si>
    <t>Technika</t>
  </si>
  <si>
    <t>Licea ogólnokształcące</t>
  </si>
  <si>
    <t>Internaty i bursy szkolne</t>
  </si>
  <si>
    <t xml:space="preserve">składki na Fundusz Pracy oraz Fundusz Solidarnościowy </t>
  </si>
  <si>
    <t>Załącznik Nr 2</t>
  </si>
  <si>
    <t>Lp.</t>
  </si>
  <si>
    <t>Administracja publiczna</t>
  </si>
  <si>
    <t>Zmiany w budżecie miasta Włocławek na 2026 rok</t>
  </si>
  <si>
    <t>Wydatki na zadania własne gminy:</t>
  </si>
  <si>
    <t>Gospodarka mieszkaniowa</t>
  </si>
  <si>
    <t>Pozostała działalność</t>
  </si>
  <si>
    <t>zakup usług remontowych</t>
  </si>
  <si>
    <t>Urzędy gmin (miast i miast na prawach powiatu)</t>
  </si>
  <si>
    <t>Różne rozliczenia</t>
  </si>
  <si>
    <t>Rezerwy ogólne i celowe</t>
  </si>
  <si>
    <t>4810</t>
  </si>
  <si>
    <t xml:space="preserve">rezerwy </t>
  </si>
  <si>
    <t xml:space="preserve"> - rezerwa ogólna</t>
  </si>
  <si>
    <t xml:space="preserve"> - rezerwa celowa</t>
  </si>
  <si>
    <t>Rodzina</t>
  </si>
  <si>
    <t>Gospodarka komunalna i ochrona środowiska</t>
  </si>
  <si>
    <t>Wydatki na zadania własne powiatu:</t>
  </si>
  <si>
    <t>Oświata i wychowanie</t>
  </si>
  <si>
    <t>Szkoły policealne</t>
  </si>
  <si>
    <t xml:space="preserve">Dotacje udzielane z budżetu jednostki samorządu terytorialnego </t>
  </si>
  <si>
    <t>Dział</t>
  </si>
  <si>
    <t>Rozdział</t>
  </si>
  <si>
    <t xml:space="preserve">§ </t>
  </si>
  <si>
    <t>Nazwa zadania</t>
  </si>
  <si>
    <t>Kwota dotacji</t>
  </si>
  <si>
    <t>dotacje celowe</t>
  </si>
  <si>
    <t>Zadania w zakresie upowszechniania turystyki</t>
  </si>
  <si>
    <t>Działalność placówek opiekuńczo - wychowawczych</t>
  </si>
  <si>
    <t>dotacje podmiotowe</t>
  </si>
  <si>
    <t>Branżowe szkoły I stopnia</t>
  </si>
  <si>
    <t>Kwalifikacyjne kursy zawodowe</t>
  </si>
  <si>
    <t>Poradnie psychologiczno - pedagogiczne, w tym poradnie specjalistyczne</t>
  </si>
  <si>
    <t>Ogółem:</t>
  </si>
  <si>
    <t>Transport i łączność</t>
  </si>
  <si>
    <t xml:space="preserve">Miejski Zarząd Dróg i Zieleni </t>
  </si>
  <si>
    <t>wynagrodzenia osobowe pracowników</t>
  </si>
  <si>
    <t xml:space="preserve">składki na ubezpieczenia społeczne </t>
  </si>
  <si>
    <t>wpłaty na PPK finansowane przez podmiot zatrudniający</t>
  </si>
  <si>
    <t>Turystyka</t>
  </si>
  <si>
    <t>Ośrodek Sportu i Rekreacji</t>
  </si>
  <si>
    <t>Gospodarowanie mieszkaniowym zasobem gminy</t>
  </si>
  <si>
    <t>Administracja Zasobów Komunalnych</t>
  </si>
  <si>
    <t>75023</t>
  </si>
  <si>
    <t>Wydział Organizacyjno - Prawny i Kadr</t>
  </si>
  <si>
    <t>75085</t>
  </si>
  <si>
    <t>Wspólna obsługa jednostek samorządu terytorialnego</t>
  </si>
  <si>
    <t>Centrum Usług Wspólnych Placówek Oświatowych</t>
  </si>
  <si>
    <t>Bezpieczeństwo publiczne i ochrona przeciwpożarowa</t>
  </si>
  <si>
    <t>Straż gminna (miejska)</t>
  </si>
  <si>
    <t>Straż Miejska</t>
  </si>
  <si>
    <t>Obsługa Monitoringu</t>
  </si>
  <si>
    <t>Jednostki oświatowe zbiorczo</t>
  </si>
  <si>
    <t>Przedszkola specjalne</t>
  </si>
  <si>
    <t>Dowożenie uczniów do szkół</t>
  </si>
  <si>
    <t>Stołówki szkolne i przedszkolne</t>
  </si>
  <si>
    <t>851</t>
  </si>
  <si>
    <t>Ochrona zdrowia</t>
  </si>
  <si>
    <t>Przeciwdziałanie alkoholizmowi</t>
  </si>
  <si>
    <t xml:space="preserve">Miejski Ośrodek Pomocy Rodzinie </t>
  </si>
  <si>
    <t>Centrum Wsparcia dla Osób w Kryzysie</t>
  </si>
  <si>
    <t>852</t>
  </si>
  <si>
    <t>Pomoc społeczna</t>
  </si>
  <si>
    <t>Domy pomocy społecznej</t>
  </si>
  <si>
    <t>Dom Pomocy Społecznej ul. Nowomiejska 19</t>
  </si>
  <si>
    <t>Dom Pomocy Społecznej ul. Dobrzyńska 102</t>
  </si>
  <si>
    <t>Ośrodki wsparcia</t>
  </si>
  <si>
    <t>Środowiskowy Dom Samopomocy</t>
  </si>
  <si>
    <t>Dom Pomocy Społecznej przy ul. Nowomiejskiej 19 - Centrum Wsparcia Społecznego</t>
  </si>
  <si>
    <t>Ośrodki pomocy społecznej</t>
  </si>
  <si>
    <t>Jednostki specjalistycznego poradnictwa, mieszkania</t>
  </si>
  <si>
    <t>chronione i ośrodki interwencji kryzysowej</t>
  </si>
  <si>
    <t xml:space="preserve">Miejski Ośrodek Pomocy Rodzinie - Sekcja Interwencji Kryzysowej </t>
  </si>
  <si>
    <t>i Poradnictwa Specjalistycznego</t>
  </si>
  <si>
    <t>Miejski Ośrodek Pomocy Rodzinie</t>
  </si>
  <si>
    <t>Dom Pomocy Społecznej przy ul. Nowomiejskiej 19 - mieszkania wspomagane ul. Piekarska 25</t>
  </si>
  <si>
    <t xml:space="preserve">Miejski Ośrodek Pomocy Rodzinie - projekt pn. "Usługi </t>
  </si>
  <si>
    <t xml:space="preserve">indywidualnego transportu door-to-door - dla </t>
  </si>
  <si>
    <t xml:space="preserve">mieszkańców Miasta Włocławka" </t>
  </si>
  <si>
    <t>Pozostałe zadania w zakresie polityki społecznej</t>
  </si>
  <si>
    <t xml:space="preserve">Wydział Edukacji, Zdrowia i Polityki Społecznej </t>
  </si>
  <si>
    <t>dotacja podmiotowa z budżetu dla samorządowego zakładu budżetowego</t>
  </si>
  <si>
    <t>Włocławskie Centrum Organizacji Pozarządowych</t>
  </si>
  <si>
    <t xml:space="preserve">i Wolontariatu </t>
  </si>
  <si>
    <t>Miejska Jadłodajnia "U Świętego Antoniego"</t>
  </si>
  <si>
    <t>Miejski Ośrodek Pomocy Rodzinie - projekt pn. "Kujawsko - Pomorska Teleopieka Etap I"</t>
  </si>
  <si>
    <t>4217</t>
  </si>
  <si>
    <t>zakup materiałów i wyposażenia</t>
  </si>
  <si>
    <t>4219</t>
  </si>
  <si>
    <t>Świadczenia rodzinne, świadczenia z funduszu</t>
  </si>
  <si>
    <t>alimentacyjnego oraz składki na ubezpieczenia emerytalne</t>
  </si>
  <si>
    <t>i rentowe z ubezpieczenia społecznego</t>
  </si>
  <si>
    <t>Wspieranie rodziny</t>
  </si>
  <si>
    <t>Miejski Ośrodek Pomocy Rodzinie - placówki wsparcia</t>
  </si>
  <si>
    <t>dziennego</t>
  </si>
  <si>
    <t>Miejski Ośrodek Pomocy Rodzinie - asystent rodziny</t>
  </si>
  <si>
    <t>System opieki nad dziećmi w wieku do lat 3</t>
  </si>
  <si>
    <t>Miejski Zespół Żłobków</t>
  </si>
  <si>
    <t>składki na Fundusz Pracy oraz Fundusz Solidarnościowy</t>
  </si>
  <si>
    <t>Schroniska dla zwierząt</t>
  </si>
  <si>
    <t>Schronisko dla Zwierząt</t>
  </si>
  <si>
    <t xml:space="preserve">Kultura i ochrona dziedzictwa narodowego </t>
  </si>
  <si>
    <t>Galerie i biura wystaw artystycznych</t>
  </si>
  <si>
    <t>Wydział Kultury, Turystyki i Promocji</t>
  </si>
  <si>
    <t>2480</t>
  </si>
  <si>
    <t>dotacja podmiotowa z budżetu dla samorządowej instytucji kultury</t>
  </si>
  <si>
    <t>Centra kultury i sztuki</t>
  </si>
  <si>
    <t>Pozostałe instytucje kultury</t>
  </si>
  <si>
    <t>Biblioteki</t>
  </si>
  <si>
    <t>Kultura fizyczna</t>
  </si>
  <si>
    <t>Instytucje kultury fizycznej</t>
  </si>
  <si>
    <t>kary i odszkodowania wypłacane na rzecz osób prawnych i innych jednostek organizacyjnych</t>
  </si>
  <si>
    <t>Szkoły podstawowe specjalne</t>
  </si>
  <si>
    <t>Branżowe szkoły II stopnia</t>
  </si>
  <si>
    <t>Szkoły artystyczne</t>
  </si>
  <si>
    <t>Szkoły zawodowe specjalne</t>
  </si>
  <si>
    <t xml:space="preserve">Placówki kształcenia ustawicznego i centra </t>
  </si>
  <si>
    <t>kształcenia zawodowego</t>
  </si>
  <si>
    <t xml:space="preserve">Ośrodki szkolenia, dokształcania i doskonalenia kadr </t>
  </si>
  <si>
    <t>Zespoły do spraw orzekania o niepełnosprawności</t>
  </si>
  <si>
    <t>Edukacyjna opieka wychowawcza</t>
  </si>
  <si>
    <t>Szkolne schroniska młodzieżowe</t>
  </si>
  <si>
    <t>Młodzieżowe ośrodki wychowawcze</t>
  </si>
  <si>
    <t>Rodziny zastępcze</t>
  </si>
  <si>
    <t>Miejski Ośrodek Pomocy Rodzinie - Zespół ds. pieczy</t>
  </si>
  <si>
    <t>zastępczej</t>
  </si>
  <si>
    <t>Centrum Opieki nad Dzieckiem</t>
  </si>
  <si>
    <t>składki na ubezpieczenie społeczne</t>
  </si>
  <si>
    <t xml:space="preserve">Placówka Opiekuńczo - Wychowawcza Nr 1 "Maluch" </t>
  </si>
  <si>
    <t xml:space="preserve">Placówka Opiekuńczo - Wychowawcza Nr 2 "Calineczka" </t>
  </si>
  <si>
    <t>Placówka Opiekuńczo - Wychowawcza nr 6 "Nibylandia"</t>
  </si>
  <si>
    <t>do Zarządzenia NR 217/2026</t>
  </si>
  <si>
    <t>z dnia 11 maja 2026 r.</t>
  </si>
  <si>
    <t>dla jednostek sektora finansów publicznych na 2026 rok</t>
  </si>
  <si>
    <t xml:space="preserve">Programy polityki zdrowotnej </t>
  </si>
  <si>
    <t>Przeciwdziałanie alkoholizmowi (dofinansowanie "Niebieskiej linii")</t>
  </si>
  <si>
    <t>Przeciwdziałanie alkoholizmowi (realizacja zadań z zakresu profilaktyki uzależnień)</t>
  </si>
  <si>
    <t>6306      6307</t>
  </si>
  <si>
    <t>Realizacja projektu pn. "Włocławek – Miasto dobrego klimatu dla gospodarki, środowiska i wygodnego życia" (dotacja na zakupy inwestycyjne)</t>
  </si>
  <si>
    <t xml:space="preserve">Powiatowe urzędy pracy </t>
  </si>
  <si>
    <t>Pozostała działalność - SENIORALIA 2026 – Obchody Święta Seniora (Budżet Obywatelski)</t>
  </si>
  <si>
    <t>Galerie i biura wystaw artystycznych (dotacja na inwestycje)</t>
  </si>
  <si>
    <t xml:space="preserve"> - Galeria Sztuki Współczesnej</t>
  </si>
  <si>
    <t xml:space="preserve">Galerie i biura wystaw artystycznych </t>
  </si>
  <si>
    <t xml:space="preserve"> - Centrum Kultury Browar B </t>
  </si>
  <si>
    <t>Centra kultury i sztuki (dotacja na inwestycje)</t>
  </si>
  <si>
    <t>Pozostałe instytucje kultury (dotacja na inwestycje)</t>
  </si>
  <si>
    <t xml:space="preserve"> - Teatr Impresaryjny</t>
  </si>
  <si>
    <t xml:space="preserve"> - Miejska Biblioteka Publiczna</t>
  </si>
  <si>
    <t>Biblioteki (dotacja na inwestycje)</t>
  </si>
  <si>
    <t>Razem:</t>
  </si>
  <si>
    <t xml:space="preserve"> - Zakład Aktywności Zawodowej</t>
  </si>
  <si>
    <t xml:space="preserve"> - Centrum Kultury Browar B</t>
  </si>
  <si>
    <t>Załącznik Nr 3</t>
  </si>
  <si>
    <t>Plan przychodów i kosztów</t>
  </si>
  <si>
    <t>Samorządowego Zakładu Budżetowego - Zakład Aktywności Zawodowej we Włocławku</t>
  </si>
  <si>
    <t>Wyszczególnienie</t>
  </si>
  <si>
    <t>Stan środków obrotowych na początek roku</t>
  </si>
  <si>
    <t>Przychody</t>
  </si>
  <si>
    <t>Stan środków obrotowych na koniec roku</t>
  </si>
  <si>
    <t>Koszty</t>
  </si>
  <si>
    <t>Ogółem</t>
  </si>
  <si>
    <t>W tym dotacje z budżetu</t>
  </si>
  <si>
    <t>Inne obciążenia</t>
  </si>
  <si>
    <t xml:space="preserve">Samorządowy Zakład Budżetowy - Zakład </t>
  </si>
  <si>
    <t>Aktywności Zawodowej we Włocławku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</si>
</sst>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6"/>
      <name val="Arial Narrow"/>
      <family val="2"/>
      <charset val="238"/>
    </font>
    <font>
      <i/>
      <sz val="8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sz val="10"/>
      <name val="Arial CE"/>
      <family val="2"/>
      <charset val="238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9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249">
    <xf numFmtId="0" fontId="0" fillId="0" borderId="0" xfId="0"/>
    <xf numFmtId="4" fontId="14" fillId="0" borderId="10" xfId="2" applyNumberFormat="1" applyFont="1" applyBorder="1"/>
    <xf numFmtId="0" fontId="10" fillId="0" borderId="3" xfId="2" applyFont="1" applyBorder="1" applyAlignment="1">
      <alignment horizontal="center"/>
    </xf>
    <xf numFmtId="0" fontId="10" fillId="0" borderId="3" xfId="2" applyFont="1" applyBorder="1" applyAlignment="1">
      <alignment horizontal="right" vertical="center"/>
    </xf>
    <xf numFmtId="0" fontId="10" fillId="0" borderId="5" xfId="2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3" xfId="2" applyFont="1" applyBorder="1" applyAlignment="1">
      <alignment vertical="center" wrapText="1"/>
    </xf>
    <xf numFmtId="0" fontId="10" fillId="0" borderId="5" xfId="2" applyFont="1" applyBorder="1" applyAlignment="1">
      <alignment horizontal="center"/>
    </xf>
    <xf numFmtId="0" fontId="10" fillId="0" borderId="5" xfId="2" applyFont="1" applyBorder="1"/>
    <xf numFmtId="0" fontId="10" fillId="0" borderId="3" xfId="2" applyFont="1" applyBorder="1" applyAlignment="1">
      <alignment horizontal="right"/>
    </xf>
    <xf numFmtId="0" fontId="10" fillId="0" borderId="3" xfId="2" applyFont="1" applyBorder="1"/>
    <xf numFmtId="0" fontId="10" fillId="0" borderId="3" xfId="2" applyFont="1" applyBorder="1" applyAlignment="1">
      <alignment horizontal="right" vertical="top"/>
    </xf>
    <xf numFmtId="4" fontId="10" fillId="0" borderId="3" xfId="2" applyNumberFormat="1" applyFont="1" applyBorder="1" applyAlignment="1">
      <alignment horizontal="right"/>
    </xf>
    <xf numFmtId="4" fontId="10" fillId="0" borderId="3" xfId="2" applyNumberFormat="1" applyFont="1" applyBorder="1"/>
    <xf numFmtId="0" fontId="17" fillId="2" borderId="15" xfId="7" applyFont="1" applyFill="1" applyBorder="1" applyAlignment="1">
      <alignment horizontal="center" vertical="center"/>
    </xf>
    <xf numFmtId="0" fontId="17" fillId="0" borderId="14" xfId="12" applyFont="1" applyBorder="1" applyAlignment="1">
      <alignment vertical="center" wrapText="1"/>
    </xf>
    <xf numFmtId="4" fontId="17" fillId="0" borderId="14" xfId="12" applyNumberFormat="1" applyFont="1" applyBorder="1" applyAlignment="1">
      <alignment vertical="center"/>
    </xf>
    <xf numFmtId="0" fontId="10" fillId="0" borderId="0" xfId="13" applyFont="1"/>
    <xf numFmtId="49" fontId="10" fillId="0" borderId="0" xfId="13" applyNumberFormat="1" applyFont="1"/>
    <xf numFmtId="0" fontId="10" fillId="0" borderId="0" xfId="13" applyFont="1" applyAlignment="1">
      <alignment horizontal="left"/>
    </xf>
    <xf numFmtId="0" fontId="12" fillId="0" borderId="0" xfId="13" applyFont="1"/>
    <xf numFmtId="0" fontId="13" fillId="0" borderId="0" xfId="13" applyFont="1" applyAlignment="1">
      <alignment horizontal="centerContinuous"/>
    </xf>
    <xf numFmtId="0" fontId="12" fillId="0" borderId="0" xfId="13" applyFont="1" applyAlignment="1">
      <alignment horizontal="centerContinuous"/>
    </xf>
    <xf numFmtId="49" fontId="13" fillId="0" borderId="0" xfId="13" applyNumberFormat="1" applyFont="1" applyAlignment="1">
      <alignment horizontal="centerContinuous"/>
    </xf>
    <xf numFmtId="0" fontId="14" fillId="0" borderId="0" xfId="13" applyFont="1"/>
    <xf numFmtId="0" fontId="10" fillId="0" borderId="0" xfId="13" applyFont="1" applyAlignment="1">
      <alignment horizontal="center"/>
    </xf>
    <xf numFmtId="0" fontId="11" fillId="0" borderId="0" xfId="13" applyFont="1" applyAlignment="1">
      <alignment horizontal="center"/>
    </xf>
    <xf numFmtId="0" fontId="10" fillId="0" borderId="1" xfId="13" applyFont="1" applyBorder="1"/>
    <xf numFmtId="49" fontId="10" fillId="0" borderId="1" xfId="13" applyNumberFormat="1" applyFont="1" applyBorder="1"/>
    <xf numFmtId="0" fontId="14" fillId="0" borderId="2" xfId="13" applyFont="1" applyBorder="1"/>
    <xf numFmtId="0" fontId="14" fillId="0" borderId="1" xfId="13" applyFont="1" applyBorder="1" applyAlignment="1">
      <alignment horizontal="center"/>
    </xf>
    <xf numFmtId="3" fontId="10" fillId="0" borderId="1" xfId="13" applyNumberFormat="1" applyFont="1" applyBorder="1"/>
    <xf numFmtId="0" fontId="10" fillId="0" borderId="1" xfId="13" applyFont="1" applyBorder="1" applyAlignment="1">
      <alignment horizontal="center"/>
    </xf>
    <xf numFmtId="0" fontId="15" fillId="0" borderId="0" xfId="13" applyFont="1"/>
    <xf numFmtId="0" fontId="14" fillId="0" borderId="3" xfId="13" applyFont="1" applyBorder="1" applyAlignment="1">
      <alignment horizontal="center"/>
    </xf>
    <xf numFmtId="49" fontId="14" fillId="0" borderId="3" xfId="13" applyNumberFormat="1" applyFont="1" applyBorder="1" applyAlignment="1">
      <alignment horizontal="center"/>
    </xf>
    <xf numFmtId="0" fontId="14" fillId="0" borderId="4" xfId="13" applyFont="1" applyBorder="1" applyAlignment="1">
      <alignment horizontal="center"/>
    </xf>
    <xf numFmtId="3" fontId="14" fillId="0" borderId="3" xfId="13" applyNumberFormat="1" applyFont="1" applyBorder="1" applyAlignment="1">
      <alignment horizontal="center"/>
    </xf>
    <xf numFmtId="0" fontId="14" fillId="0" borderId="5" xfId="13" applyFont="1" applyBorder="1" applyAlignment="1">
      <alignment horizontal="center"/>
    </xf>
    <xf numFmtId="49" fontId="14" fillId="0" borderId="5" xfId="13" applyNumberFormat="1" applyFont="1" applyBorder="1" applyAlignment="1">
      <alignment horizontal="center"/>
    </xf>
    <xf numFmtId="0" fontId="14" fillId="0" borderId="6" xfId="13" applyFont="1" applyBorder="1" applyAlignment="1">
      <alignment horizontal="center"/>
    </xf>
    <xf numFmtId="3" fontId="14" fillId="0" borderId="5" xfId="13" applyNumberFormat="1" applyFont="1" applyBorder="1" applyAlignment="1">
      <alignment horizontal="center"/>
    </xf>
    <xf numFmtId="0" fontId="10" fillId="0" borderId="3" xfId="13" applyFont="1" applyBorder="1"/>
    <xf numFmtId="49" fontId="10" fillId="0" borderId="3" xfId="13" applyNumberFormat="1" applyFont="1" applyBorder="1" applyAlignment="1">
      <alignment horizontal="right"/>
    </xf>
    <xf numFmtId="0" fontId="14" fillId="0" borderId="7" xfId="13" applyFont="1" applyBorder="1"/>
    <xf numFmtId="4" fontId="14" fillId="0" borderId="8" xfId="13" applyNumberFormat="1" applyFont="1" applyBorder="1"/>
    <xf numFmtId="0" fontId="14" fillId="0" borderId="9" xfId="13" applyFont="1" applyBorder="1"/>
    <xf numFmtId="4" fontId="14" fillId="0" borderId="10" xfId="13" applyNumberFormat="1" applyFont="1" applyBorder="1"/>
    <xf numFmtId="3" fontId="14" fillId="0" borderId="3" xfId="13" applyNumberFormat="1" applyFont="1" applyBorder="1" applyAlignment="1">
      <alignment horizontal="right"/>
    </xf>
    <xf numFmtId="3" fontId="14" fillId="0" borderId="3" xfId="13" applyNumberFormat="1" applyFont="1" applyBorder="1"/>
    <xf numFmtId="49" fontId="14" fillId="0" borderId="3" xfId="13" applyNumberFormat="1" applyFont="1" applyBorder="1" applyAlignment="1">
      <alignment horizontal="right"/>
    </xf>
    <xf numFmtId="3" fontId="14" fillId="0" borderId="4" xfId="13" applyNumberFormat="1" applyFont="1" applyBorder="1"/>
    <xf numFmtId="0" fontId="10" fillId="0" borderId="3" xfId="13" applyFont="1" applyBorder="1" applyAlignment="1">
      <alignment horizontal="right"/>
    </xf>
    <xf numFmtId="0" fontId="10" fillId="0" borderId="6" xfId="13" applyFont="1" applyBorder="1"/>
    <xf numFmtId="4" fontId="10" fillId="0" borderId="5" xfId="13" applyNumberFormat="1" applyFont="1" applyBorder="1"/>
    <xf numFmtId="0" fontId="10" fillId="0" borderId="4" xfId="13" applyFont="1" applyBorder="1" applyAlignment="1">
      <alignment horizontal="right"/>
    </xf>
    <xf numFmtId="0" fontId="20" fillId="0" borderId="11" xfId="2" applyFont="1" applyBorder="1" applyAlignment="1">
      <alignment horizontal="left"/>
    </xf>
    <xf numFmtId="4" fontId="10" fillId="0" borderId="11" xfId="13" applyNumberFormat="1" applyFont="1" applyBorder="1"/>
    <xf numFmtId="4" fontId="20" fillId="0" borderId="11" xfId="13" applyNumberFormat="1" applyFont="1" applyBorder="1"/>
    <xf numFmtId="0" fontId="10" fillId="0" borderId="4" xfId="13" applyFont="1" applyBorder="1"/>
    <xf numFmtId="4" fontId="10" fillId="0" borderId="3" xfId="13" applyNumberFormat="1" applyFont="1" applyBorder="1"/>
    <xf numFmtId="0" fontId="10" fillId="0" borderId="3" xfId="13" applyFont="1" applyBorder="1" applyAlignment="1">
      <alignment horizontal="right" vertical="center"/>
    </xf>
    <xf numFmtId="0" fontId="10" fillId="0" borderId="4" xfId="13" applyFont="1" applyBorder="1" applyAlignment="1">
      <alignment vertical="center"/>
    </xf>
    <xf numFmtId="0" fontId="14" fillId="0" borderId="3" xfId="13" applyFont="1" applyBorder="1" applyAlignment="1">
      <alignment horizontal="right"/>
    </xf>
    <xf numFmtId="0" fontId="14" fillId="0" borderId="3" xfId="13" applyFont="1" applyBorder="1"/>
    <xf numFmtId="49" fontId="10" fillId="0" borderId="3" xfId="13" applyNumberFormat="1" applyFont="1" applyBorder="1" applyAlignment="1">
      <alignment horizontal="center"/>
    </xf>
    <xf numFmtId="0" fontId="10" fillId="0" borderId="3" xfId="13" applyFont="1" applyBorder="1" applyAlignment="1">
      <alignment horizontal="center"/>
    </xf>
    <xf numFmtId="0" fontId="10" fillId="0" borderId="5" xfId="13" applyFont="1" applyBorder="1"/>
    <xf numFmtId="0" fontId="20" fillId="0" borderId="11" xfId="13" applyFont="1" applyBorder="1"/>
    <xf numFmtId="4" fontId="14" fillId="0" borderId="10" xfId="13" applyNumberFormat="1" applyFont="1" applyBorder="1" applyAlignment="1">
      <alignment horizontal="right"/>
    </xf>
    <xf numFmtId="4" fontId="10" fillId="0" borderId="5" xfId="13" applyNumberFormat="1" applyFont="1" applyBorder="1" applyAlignment="1">
      <alignment horizontal="right"/>
    </xf>
    <xf numFmtId="4" fontId="20" fillId="0" borderId="11" xfId="13" applyNumberFormat="1" applyFont="1" applyBorder="1" applyAlignment="1">
      <alignment horizontal="right"/>
    </xf>
    <xf numFmtId="4" fontId="10" fillId="0" borderId="3" xfId="13" applyNumberFormat="1" applyFont="1" applyBorder="1" applyAlignment="1">
      <alignment horizontal="right"/>
    </xf>
    <xf numFmtId="0" fontId="20" fillId="0" borderId="11" xfId="2" applyFont="1" applyBorder="1"/>
    <xf numFmtId="0" fontId="20" fillId="0" borderId="12" xfId="13" applyFont="1" applyBorder="1"/>
    <xf numFmtId="4" fontId="10" fillId="0" borderId="3" xfId="14" applyNumberFormat="1" applyFont="1" applyBorder="1" applyAlignment="1">
      <alignment vertical="center"/>
    </xf>
    <xf numFmtId="4" fontId="10" fillId="0" borderId="3" xfId="14" applyNumberFormat="1" applyFont="1" applyBorder="1" applyAlignment="1">
      <alignment horizontal="right" vertical="center"/>
    </xf>
    <xf numFmtId="0" fontId="14" fillId="0" borderId="4" xfId="13" applyFont="1" applyBorder="1"/>
    <xf numFmtId="0" fontId="20" fillId="0" borderId="18" xfId="13" applyFont="1" applyBorder="1"/>
    <xf numFmtId="0" fontId="20" fillId="0" borderId="3" xfId="13" applyFont="1" applyBorder="1" applyAlignment="1">
      <alignment horizontal="right"/>
    </xf>
    <xf numFmtId="0" fontId="20" fillId="0" borderId="11" xfId="15" applyFont="1" applyBorder="1"/>
    <xf numFmtId="4" fontId="10" fillId="0" borderId="3" xfId="13" applyNumberFormat="1" applyFont="1" applyBorder="1" applyAlignment="1">
      <alignment horizontal="right" vertical="center"/>
    </xf>
    <xf numFmtId="3" fontId="10" fillId="0" borderId="3" xfId="13" applyNumberFormat="1" applyFont="1" applyBorder="1"/>
    <xf numFmtId="3" fontId="10" fillId="0" borderId="6" xfId="13" applyNumberFormat="1" applyFont="1" applyBorder="1"/>
    <xf numFmtId="3" fontId="10" fillId="0" borderId="4" xfId="13" applyNumberFormat="1" applyFont="1" applyBorder="1"/>
    <xf numFmtId="4" fontId="10" fillId="0" borderId="1" xfId="13" applyNumberFormat="1" applyFont="1" applyBorder="1"/>
    <xf numFmtId="3" fontId="10" fillId="0" borderId="5" xfId="13" applyNumberFormat="1" applyFont="1" applyBorder="1"/>
    <xf numFmtId="49" fontId="10" fillId="0" borderId="5" xfId="13" applyNumberFormat="1" applyFont="1" applyBorder="1" applyAlignment="1">
      <alignment horizontal="right"/>
    </xf>
    <xf numFmtId="0" fontId="20" fillId="0" borderId="11" xfId="2" applyFont="1" applyBorder="1" applyAlignment="1">
      <alignment wrapText="1"/>
    </xf>
    <xf numFmtId="4" fontId="20" fillId="0" borderId="13" xfId="13" applyNumberFormat="1" applyFont="1" applyBorder="1"/>
    <xf numFmtId="49" fontId="10" fillId="0" borderId="3" xfId="14" applyNumberFormat="1" applyFont="1" applyBorder="1" applyAlignment="1">
      <alignment horizontal="right"/>
    </xf>
    <xf numFmtId="4" fontId="20" fillId="0" borderId="11" xfId="14" applyNumberFormat="1" applyFont="1" applyBorder="1"/>
    <xf numFmtId="4" fontId="20" fillId="0" borderId="11" xfId="14" applyNumberFormat="1" applyFont="1" applyBorder="1" applyAlignment="1">
      <alignment horizontal="right"/>
    </xf>
    <xf numFmtId="4" fontId="10" fillId="0" borderId="3" xfId="14" applyNumberFormat="1" applyFont="1" applyBorder="1" applyAlignment="1">
      <alignment horizontal="right"/>
    </xf>
    <xf numFmtId="4" fontId="10" fillId="0" borderId="3" xfId="14" applyNumberFormat="1" applyFont="1" applyBorder="1"/>
    <xf numFmtId="4" fontId="10" fillId="0" borderId="3" xfId="13" applyNumberFormat="1" applyFont="1" applyBorder="1" applyAlignment="1">
      <alignment horizontal="center"/>
    </xf>
    <xf numFmtId="4" fontId="10" fillId="0" borderId="5" xfId="14" applyNumberFormat="1" applyFont="1" applyBorder="1"/>
    <xf numFmtId="4" fontId="10" fillId="0" borderId="5" xfId="14" applyNumberFormat="1" applyFont="1" applyBorder="1" applyAlignment="1">
      <alignment horizontal="right"/>
    </xf>
    <xf numFmtId="0" fontId="10" fillId="0" borderId="3" xfId="14" applyFont="1" applyBorder="1"/>
    <xf numFmtId="49" fontId="14" fillId="0" borderId="5" xfId="13" applyNumberFormat="1" applyFont="1" applyBorder="1" applyAlignment="1">
      <alignment horizontal="right"/>
    </xf>
    <xf numFmtId="0" fontId="10" fillId="0" borderId="5" xfId="14" applyFont="1" applyBorder="1"/>
    <xf numFmtId="0" fontId="10" fillId="0" borderId="5" xfId="13" applyFont="1" applyBorder="1" applyAlignment="1">
      <alignment horizontal="right" vertical="center"/>
    </xf>
    <xf numFmtId="0" fontId="10" fillId="0" borderId="6" xfId="13" applyFont="1" applyBorder="1" applyAlignment="1">
      <alignment vertical="center"/>
    </xf>
    <xf numFmtId="0" fontId="21" fillId="0" borderId="12" xfId="2" applyFont="1" applyBorder="1" applyAlignment="1">
      <alignment wrapText="1"/>
    </xf>
    <xf numFmtId="0" fontId="20" fillId="0" borderId="12" xfId="13" applyFont="1" applyBorder="1" applyAlignment="1">
      <alignment vertical="center" wrapText="1"/>
    </xf>
    <xf numFmtId="3" fontId="22" fillId="0" borderId="3" xfId="13" applyNumberFormat="1" applyFont="1" applyBorder="1"/>
    <xf numFmtId="49" fontId="20" fillId="0" borderId="3" xfId="13" applyNumberFormat="1" applyFont="1" applyBorder="1" applyAlignment="1">
      <alignment horizontal="center"/>
    </xf>
    <xf numFmtId="0" fontId="20" fillId="0" borderId="3" xfId="13" applyFont="1" applyBorder="1" applyAlignment="1">
      <alignment horizontal="center"/>
    </xf>
    <xf numFmtId="0" fontId="20" fillId="0" borderId="4" xfId="13" applyFont="1" applyBorder="1"/>
    <xf numFmtId="4" fontId="20" fillId="0" borderId="3" xfId="13" applyNumberFormat="1" applyFont="1" applyBorder="1"/>
    <xf numFmtId="4" fontId="20" fillId="0" borderId="3" xfId="13" applyNumberFormat="1" applyFont="1" applyBorder="1" applyAlignment="1">
      <alignment horizontal="right"/>
    </xf>
    <xf numFmtId="0" fontId="21" fillId="0" borderId="0" xfId="13" applyFont="1"/>
    <xf numFmtId="49" fontId="20" fillId="0" borderId="3" xfId="13" applyNumberFormat="1" applyFont="1" applyBorder="1" applyAlignment="1">
      <alignment horizontal="right"/>
    </xf>
    <xf numFmtId="0" fontId="20" fillId="0" borderId="12" xfId="13" applyFont="1" applyBorder="1" applyAlignment="1">
      <alignment wrapText="1"/>
    </xf>
    <xf numFmtId="0" fontId="20" fillId="0" borderId="4" xfId="2" applyFont="1" applyBorder="1"/>
    <xf numFmtId="0" fontId="20" fillId="0" borderId="12" xfId="2" applyFont="1" applyBorder="1"/>
    <xf numFmtId="4" fontId="20" fillId="0" borderId="13" xfId="13" applyNumberFormat="1" applyFont="1" applyBorder="1" applyAlignment="1">
      <alignment horizontal="right"/>
    </xf>
    <xf numFmtId="49" fontId="10" fillId="0" borderId="3" xfId="13" applyNumberFormat="1" applyFont="1" applyBorder="1" applyAlignment="1">
      <alignment horizontal="right" vertical="center"/>
    </xf>
    <xf numFmtId="4" fontId="14" fillId="0" borderId="3" xfId="2" applyNumberFormat="1" applyFont="1" applyBorder="1"/>
    <xf numFmtId="4" fontId="14" fillId="0" borderId="3" xfId="13" applyNumberFormat="1" applyFont="1" applyBorder="1" applyAlignment="1">
      <alignment horizontal="right"/>
    </xf>
    <xf numFmtId="4" fontId="14" fillId="0" borderId="3" xfId="13" applyNumberFormat="1" applyFont="1" applyBorder="1"/>
    <xf numFmtId="3" fontId="14" fillId="0" borderId="5" xfId="13" applyNumberFormat="1" applyFont="1" applyBorder="1"/>
    <xf numFmtId="0" fontId="10" fillId="0" borderId="5" xfId="13" applyFont="1" applyBorder="1" applyAlignment="1">
      <alignment horizontal="right"/>
    </xf>
    <xf numFmtId="0" fontId="10" fillId="0" borderId="5" xfId="13" applyFont="1" applyBorder="1" applyAlignment="1">
      <alignment horizontal="left"/>
    </xf>
    <xf numFmtId="0" fontId="20" fillId="0" borderId="2" xfId="13" applyFont="1" applyBorder="1"/>
    <xf numFmtId="3" fontId="20" fillId="0" borderId="12" xfId="13" applyNumberFormat="1" applyFont="1" applyBorder="1"/>
    <xf numFmtId="0" fontId="10" fillId="0" borderId="5" xfId="16" applyNumberFormat="1" applyFont="1" applyBorder="1" applyAlignment="1">
      <alignment horizontal="left"/>
    </xf>
    <xf numFmtId="0" fontId="10" fillId="0" borderId="3" xfId="14" applyFont="1" applyBorder="1" applyAlignment="1">
      <alignment horizontal="right"/>
    </xf>
    <xf numFmtId="49" fontId="14" fillId="0" borderId="3" xfId="14" applyNumberFormat="1" applyFont="1" applyBorder="1" applyAlignment="1">
      <alignment horizontal="right"/>
    </xf>
    <xf numFmtId="4" fontId="20" fillId="0" borderId="13" xfId="14" applyNumberFormat="1" applyFont="1" applyBorder="1" applyAlignment="1">
      <alignment horizontal="right"/>
    </xf>
    <xf numFmtId="49" fontId="10" fillId="0" borderId="3" xfId="13" applyNumberFormat="1" applyFont="1" applyBorder="1" applyAlignment="1">
      <alignment horizontal="right" vertical="top"/>
    </xf>
    <xf numFmtId="3" fontId="10" fillId="0" borderId="4" xfId="13" applyNumberFormat="1" applyFont="1" applyBorder="1" applyAlignment="1">
      <alignment vertical="center" wrapText="1"/>
    </xf>
    <xf numFmtId="3" fontId="10" fillId="0" borderId="3" xfId="13" applyNumberFormat="1" applyFont="1" applyBorder="1" applyAlignment="1">
      <alignment horizontal="right"/>
    </xf>
    <xf numFmtId="0" fontId="10" fillId="0" borderId="3" xfId="13" applyFont="1" applyBorder="1" applyAlignment="1">
      <alignment horizontal="right" vertical="top"/>
    </xf>
    <xf numFmtId="0" fontId="10" fillId="0" borderId="4" xfId="13" applyFont="1" applyBorder="1" applyAlignment="1">
      <alignment vertical="center" wrapText="1"/>
    </xf>
    <xf numFmtId="4" fontId="10" fillId="0" borderId="5" xfId="14" applyNumberFormat="1" applyFont="1" applyBorder="1" applyAlignment="1">
      <alignment vertical="center"/>
    </xf>
    <xf numFmtId="4" fontId="10" fillId="0" borderId="5" xfId="14" applyNumberFormat="1" applyFont="1" applyBorder="1" applyAlignment="1">
      <alignment horizontal="right" vertical="center"/>
    </xf>
    <xf numFmtId="0" fontId="10" fillId="0" borderId="3" xfId="13" applyFont="1" applyBorder="1" applyAlignment="1">
      <alignment vertical="top"/>
    </xf>
    <xf numFmtId="3" fontId="10" fillId="0" borderId="6" xfId="13" applyNumberFormat="1" applyFont="1" applyBorder="1" applyAlignment="1">
      <alignment wrapText="1"/>
    </xf>
    <xf numFmtId="3" fontId="14" fillId="0" borderId="5" xfId="13" applyNumberFormat="1" applyFont="1" applyBorder="1" applyAlignment="1">
      <alignment horizontal="right"/>
    </xf>
    <xf numFmtId="3" fontId="22" fillId="0" borderId="3" xfId="13" applyNumberFormat="1" applyFont="1" applyBorder="1" applyAlignment="1">
      <alignment horizontal="right"/>
    </xf>
    <xf numFmtId="0" fontId="15" fillId="0" borderId="5" xfId="13" applyFont="1" applyBorder="1"/>
    <xf numFmtId="49" fontId="15" fillId="0" borderId="5" xfId="13" applyNumberFormat="1" applyFont="1" applyBorder="1" applyAlignment="1">
      <alignment horizontal="right"/>
    </xf>
    <xf numFmtId="0" fontId="15" fillId="0" borderId="6" xfId="13" applyFont="1" applyBorder="1"/>
    <xf numFmtId="0" fontId="17" fillId="0" borderId="0" xfId="12" applyFont="1"/>
    <xf numFmtId="0" fontId="17" fillId="0" borderId="0" xfId="12" applyFont="1" applyAlignment="1">
      <alignment horizontal="center" vertical="top"/>
    </xf>
    <xf numFmtId="0" fontId="10" fillId="0" borderId="0" xfId="12" applyFont="1" applyAlignment="1">
      <alignment horizontal="left"/>
    </xf>
    <xf numFmtId="0" fontId="17" fillId="0" borderId="0" xfId="12" applyFont="1" applyAlignment="1">
      <alignment horizontal="left"/>
    </xf>
    <xf numFmtId="0" fontId="10" fillId="0" borderId="0" xfId="12" applyFont="1"/>
    <xf numFmtId="0" fontId="18" fillId="0" borderId="0" xfId="12" applyFont="1" applyAlignment="1">
      <alignment horizontal="center" vertical="center"/>
    </xf>
    <xf numFmtId="0" fontId="17" fillId="0" borderId="0" xfId="12" applyFont="1" applyAlignment="1">
      <alignment vertical="center"/>
    </xf>
    <xf numFmtId="0" fontId="11" fillId="0" borderId="0" xfId="12" applyFont="1" applyAlignment="1">
      <alignment horizontal="right"/>
    </xf>
    <xf numFmtId="0" fontId="18" fillId="0" borderId="14" xfId="12" applyFont="1" applyBorder="1" applyAlignment="1">
      <alignment horizontal="center" vertical="center"/>
    </xf>
    <xf numFmtId="0" fontId="18" fillId="4" borderId="14" xfId="12" applyFont="1" applyFill="1" applyBorder="1" applyAlignment="1">
      <alignment horizontal="center" vertical="center"/>
    </xf>
    <xf numFmtId="0" fontId="11" fillId="0" borderId="14" xfId="12" applyFont="1" applyBorder="1" applyAlignment="1">
      <alignment horizontal="center" vertical="center"/>
    </xf>
    <xf numFmtId="0" fontId="11" fillId="0" borderId="14" xfId="12" applyFont="1" applyBorder="1" applyAlignment="1">
      <alignment horizontal="center" vertical="top"/>
    </xf>
    <xf numFmtId="0" fontId="11" fillId="0" borderId="0" xfId="12" applyFont="1"/>
    <xf numFmtId="0" fontId="18" fillId="0" borderId="15" xfId="12" applyFont="1" applyBorder="1" applyAlignment="1">
      <alignment horizontal="left" vertical="center"/>
    </xf>
    <xf numFmtId="0" fontId="18" fillId="0" borderId="16" xfId="12" applyFont="1" applyBorder="1" applyAlignment="1">
      <alignment horizontal="left" vertical="center"/>
    </xf>
    <xf numFmtId="0" fontId="18" fillId="0" borderId="16" xfId="12" applyFont="1" applyBorder="1" applyAlignment="1">
      <alignment horizontal="center" vertical="top"/>
    </xf>
    <xf numFmtId="0" fontId="18" fillId="0" borderId="17" xfId="12" applyFont="1" applyBorder="1" applyAlignment="1">
      <alignment horizontal="left" vertical="center"/>
    </xf>
    <xf numFmtId="0" fontId="17" fillId="0" borderId="14" xfId="12" applyFont="1" applyBorder="1" applyAlignment="1">
      <alignment horizontal="center" vertical="center"/>
    </xf>
    <xf numFmtId="4" fontId="17" fillId="0" borderId="0" xfId="12" applyNumberFormat="1" applyFont="1"/>
    <xf numFmtId="0" fontId="17" fillId="0" borderId="1" xfId="12" applyFont="1" applyBorder="1" applyAlignment="1">
      <alignment horizontal="center" vertical="center"/>
    </xf>
    <xf numFmtId="0" fontId="16" fillId="0" borderId="0" xfId="12" applyFont="1"/>
    <xf numFmtId="0" fontId="17" fillId="0" borderId="1" xfId="12" applyFont="1" applyBorder="1" applyAlignment="1">
      <alignment horizontal="center" vertical="center" wrapText="1"/>
    </xf>
    <xf numFmtId="0" fontId="17" fillId="0" borderId="14" xfId="12" applyFont="1" applyBorder="1" applyAlignment="1">
      <alignment vertical="center"/>
    </xf>
    <xf numFmtId="0" fontId="17" fillId="0" borderId="1" xfId="17" applyFont="1" applyBorder="1" applyAlignment="1">
      <alignment horizontal="center" vertical="center"/>
    </xf>
    <xf numFmtId="0" fontId="17" fillId="2" borderId="14" xfId="18" applyFont="1" applyFill="1" applyBorder="1" applyAlignment="1">
      <alignment horizontal="center" vertical="center"/>
    </xf>
    <xf numFmtId="0" fontId="17" fillId="0" borderId="15" xfId="18" applyFont="1" applyBorder="1" applyAlignment="1">
      <alignment vertical="center" wrapText="1"/>
    </xf>
    <xf numFmtId="0" fontId="10" fillId="0" borderId="15" xfId="12" applyFont="1" applyBorder="1" applyAlignment="1">
      <alignment horizontal="center" vertical="center"/>
    </xf>
    <xf numFmtId="0" fontId="10" fillId="2" borderId="16" xfId="12" applyFont="1" applyFill="1" applyBorder="1" applyAlignment="1">
      <alignment vertical="center"/>
    </xf>
    <xf numFmtId="0" fontId="10" fillId="2" borderId="16" xfId="12" applyFont="1" applyFill="1" applyBorder="1" applyAlignment="1">
      <alignment horizontal="center" vertical="center"/>
    </xf>
    <xf numFmtId="0" fontId="10" fillId="2" borderId="16" xfId="7" applyFont="1" applyFill="1" applyBorder="1" applyAlignment="1">
      <alignment horizontal="center" vertical="center"/>
    </xf>
    <xf numFmtId="0" fontId="10" fillId="0" borderId="20" xfId="12" applyFont="1" applyBorder="1" applyAlignment="1">
      <alignment vertical="center"/>
    </xf>
    <xf numFmtId="4" fontId="10" fillId="0" borderId="14" xfId="12" applyNumberFormat="1" applyFont="1" applyBorder="1" applyAlignment="1">
      <alignment vertical="center"/>
    </xf>
    <xf numFmtId="0" fontId="17" fillId="0" borderId="14" xfId="12" applyFont="1" applyBorder="1" applyAlignment="1">
      <alignment horizontal="left" vertical="center"/>
    </xf>
    <xf numFmtId="4" fontId="17" fillId="0" borderId="14" xfId="12" applyNumberFormat="1" applyFont="1" applyBorder="1" applyAlignment="1">
      <alignment horizontal="right" vertical="center"/>
    </xf>
    <xf numFmtId="0" fontId="10" fillId="0" borderId="6" xfId="12" applyFont="1" applyBorder="1" applyAlignment="1">
      <alignment horizontal="center"/>
    </xf>
    <xf numFmtId="0" fontId="10" fillId="0" borderId="19" xfId="12" applyFont="1" applyBorder="1" applyAlignment="1">
      <alignment horizontal="center"/>
    </xf>
    <xf numFmtId="0" fontId="10" fillId="0" borderId="16" xfId="12" applyFont="1" applyBorder="1" applyAlignment="1">
      <alignment horizontal="center"/>
    </xf>
    <xf numFmtId="0" fontId="10" fillId="0" borderId="17" xfId="12" applyFont="1" applyBorder="1" applyAlignment="1">
      <alignment horizontal="center" vertical="top"/>
    </xf>
    <xf numFmtId="0" fontId="10" fillId="0" borderId="14" xfId="12" applyFont="1" applyBorder="1" applyAlignment="1">
      <alignment wrapText="1"/>
    </xf>
    <xf numFmtId="4" fontId="10" fillId="0" borderId="20" xfId="12" applyNumberFormat="1" applyFont="1" applyBorder="1" applyAlignment="1">
      <alignment horizontal="right" vertical="center"/>
    </xf>
    <xf numFmtId="0" fontId="10" fillId="0" borderId="19" xfId="12" applyFont="1" applyBorder="1" applyAlignment="1">
      <alignment horizontal="center" vertical="top"/>
    </xf>
    <xf numFmtId="0" fontId="10" fillId="0" borderId="14" xfId="12" applyFont="1" applyBorder="1"/>
    <xf numFmtId="4" fontId="10" fillId="0" borderId="20" xfId="12" applyNumberFormat="1" applyFont="1" applyBorder="1" applyAlignment="1">
      <alignment vertical="center"/>
    </xf>
    <xf numFmtId="0" fontId="10" fillId="0" borderId="14" xfId="12" applyFont="1" applyBorder="1" applyAlignment="1">
      <alignment vertical="center"/>
    </xf>
    <xf numFmtId="0" fontId="23" fillId="0" borderId="15" xfId="12" applyFont="1" applyBorder="1" applyAlignment="1">
      <alignment horizontal="left"/>
    </xf>
    <xf numFmtId="0" fontId="23" fillId="0" borderId="16" xfId="12" applyFont="1" applyBorder="1" applyAlignment="1">
      <alignment horizontal="centerContinuous"/>
    </xf>
    <xf numFmtId="0" fontId="23" fillId="0" borderId="16" xfId="12" applyFont="1" applyBorder="1" applyAlignment="1">
      <alignment horizontal="center" vertical="top"/>
    </xf>
    <xf numFmtId="0" fontId="23" fillId="0" borderId="16" xfId="12" applyFont="1" applyBorder="1" applyAlignment="1">
      <alignment horizontal="center"/>
    </xf>
    <xf numFmtId="4" fontId="23" fillId="0" borderId="14" xfId="12" applyNumberFormat="1" applyFont="1" applyBorder="1"/>
    <xf numFmtId="0" fontId="23" fillId="0" borderId="0" xfId="12" applyFont="1"/>
    <xf numFmtId="0" fontId="10" fillId="0" borderId="17" xfId="12" applyFont="1" applyBorder="1"/>
    <xf numFmtId="4" fontId="10" fillId="0" borderId="20" xfId="12" applyNumberFormat="1" applyFont="1" applyBorder="1"/>
    <xf numFmtId="4" fontId="17" fillId="0" borderId="17" xfId="12" applyNumberFormat="1" applyFont="1" applyBorder="1" applyAlignment="1">
      <alignment vertical="center"/>
    </xf>
    <xf numFmtId="0" fontId="10" fillId="0" borderId="17" xfId="12" applyFont="1" applyBorder="1" applyAlignment="1">
      <alignment horizontal="center"/>
    </xf>
    <xf numFmtId="0" fontId="10" fillId="0" borderId="20" xfId="12" applyFont="1" applyBorder="1"/>
    <xf numFmtId="0" fontId="10" fillId="0" borderId="15" xfId="12" applyFont="1" applyBorder="1" applyAlignment="1">
      <alignment horizontal="center"/>
    </xf>
    <xf numFmtId="4" fontId="10" fillId="0" borderId="17" xfId="12" applyNumberFormat="1" applyFont="1" applyBorder="1"/>
    <xf numFmtId="0" fontId="10" fillId="0" borderId="19" xfId="12" applyFont="1" applyBorder="1"/>
    <xf numFmtId="0" fontId="24" fillId="0" borderId="15" xfId="12" applyFont="1" applyBorder="1" applyAlignment="1">
      <alignment horizontal="left" vertical="center"/>
    </xf>
    <xf numFmtId="0" fontId="24" fillId="0" borderId="16" xfId="12" applyFont="1" applyBorder="1" applyAlignment="1">
      <alignment horizontal="centerContinuous" vertical="center"/>
    </xf>
    <xf numFmtId="0" fontId="24" fillId="0" borderId="16" xfId="12" applyFont="1" applyBorder="1" applyAlignment="1">
      <alignment horizontal="center" vertical="top"/>
    </xf>
    <xf numFmtId="0" fontId="24" fillId="0" borderId="16" xfId="12" applyFont="1" applyBorder="1" applyAlignment="1">
      <alignment horizontal="center" vertical="center"/>
    </xf>
    <xf numFmtId="4" fontId="24" fillId="0" borderId="14" xfId="12" applyNumberFormat="1" applyFont="1" applyBorder="1" applyAlignment="1">
      <alignment vertical="center"/>
    </xf>
    <xf numFmtId="0" fontId="23" fillId="0" borderId="0" xfId="12" applyFont="1" applyAlignment="1">
      <alignment vertical="center"/>
    </xf>
    <xf numFmtId="0" fontId="25" fillId="0" borderId="0" xfId="15" applyFont="1"/>
    <xf numFmtId="0" fontId="26" fillId="0" borderId="0" xfId="15" applyFont="1" applyAlignment="1">
      <alignment horizontal="left"/>
    </xf>
    <xf numFmtId="0" fontId="10" fillId="0" borderId="0" xfId="15" applyFont="1" applyAlignment="1">
      <alignment horizontal="left"/>
    </xf>
    <xf numFmtId="0" fontId="27" fillId="0" borderId="0" xfId="15" applyFont="1" applyAlignment="1">
      <alignment horizontal="left"/>
    </xf>
    <xf numFmtId="0" fontId="26" fillId="0" borderId="0" xfId="15" applyFont="1"/>
    <xf numFmtId="0" fontId="27" fillId="0" borderId="0" xfId="15" applyFont="1"/>
    <xf numFmtId="0" fontId="10" fillId="0" borderId="0" xfId="15" applyFont="1"/>
    <xf numFmtId="0" fontId="1" fillId="0" borderId="0" xfId="15"/>
    <xf numFmtId="0" fontId="12" fillId="0" borderId="0" xfId="15" applyFont="1"/>
    <xf numFmtId="0" fontId="13" fillId="0" borderId="0" xfId="15" applyFont="1" applyAlignment="1">
      <alignment horizontal="centerContinuous" vertical="center"/>
    </xf>
    <xf numFmtId="0" fontId="28" fillId="0" borderId="0" xfId="15" applyFont="1"/>
    <xf numFmtId="0" fontId="29" fillId="0" borderId="0" xfId="15" applyFont="1" applyAlignment="1">
      <alignment horizontal="centerContinuous" vertical="center"/>
    </xf>
    <xf numFmtId="0" fontId="8" fillId="0" borderId="0" xfId="15" applyFont="1"/>
    <xf numFmtId="0" fontId="1" fillId="0" borderId="0" xfId="15" applyAlignment="1">
      <alignment vertical="center"/>
    </xf>
    <xf numFmtId="0" fontId="26" fillId="0" borderId="0" xfId="15" applyFont="1" applyAlignment="1">
      <alignment horizontal="center" vertical="center"/>
    </xf>
    <xf numFmtId="0" fontId="13" fillId="0" borderId="1" xfId="15" applyFont="1" applyBorder="1" applyAlignment="1">
      <alignment horizontal="center" vertical="center"/>
    </xf>
    <xf numFmtId="0" fontId="13" fillId="0" borderId="2" xfId="15" applyFont="1" applyBorder="1" applyAlignment="1">
      <alignment horizontal="center" vertical="center" wrapText="1"/>
    </xf>
    <xf numFmtId="0" fontId="13" fillId="0" borderId="5" xfId="15" applyFont="1" applyBorder="1" applyAlignment="1">
      <alignment horizontal="center" vertical="center"/>
    </xf>
    <xf numFmtId="0" fontId="13" fillId="0" borderId="3" xfId="15" applyFont="1" applyBorder="1" applyAlignment="1">
      <alignment horizontal="center" vertical="center"/>
    </xf>
    <xf numFmtId="0" fontId="13" fillId="0" borderId="3" xfId="15" applyFont="1" applyBorder="1" applyAlignment="1">
      <alignment horizontal="center" vertical="center" wrapText="1"/>
    </xf>
    <xf numFmtId="0" fontId="13" fillId="0" borderId="5" xfId="15" applyFont="1" applyBorder="1" applyAlignment="1">
      <alignment horizontal="center" vertical="center" wrapText="1"/>
    </xf>
    <xf numFmtId="0" fontId="19" fillId="0" borderId="14" xfId="15" applyFont="1" applyBorder="1" applyAlignment="1">
      <alignment horizontal="center" vertical="center"/>
    </xf>
    <xf numFmtId="0" fontId="13" fillId="0" borderId="14" xfId="15" applyFont="1" applyBorder="1" applyAlignment="1">
      <alignment horizontal="center" vertical="center"/>
    </xf>
    <xf numFmtId="0" fontId="8" fillId="0" borderId="14" xfId="15" applyFont="1" applyBorder="1" applyAlignment="1">
      <alignment horizontal="left" vertical="center" indent="2"/>
    </xf>
    <xf numFmtId="3" fontId="1" fillId="0" borderId="14" xfId="15" applyNumberFormat="1" applyBorder="1" applyAlignment="1">
      <alignment vertical="center"/>
    </xf>
    <xf numFmtId="0" fontId="28" fillId="0" borderId="3" xfId="15" applyFont="1" applyBorder="1" applyAlignment="1">
      <alignment vertical="center"/>
    </xf>
    <xf numFmtId="0" fontId="28" fillId="0" borderId="3" xfId="15" applyFont="1" applyBorder="1" applyAlignment="1">
      <alignment horizontal="left" vertical="center" indent="2"/>
    </xf>
    <xf numFmtId="4" fontId="30" fillId="0" borderId="3" xfId="15" applyNumberFormat="1" applyFont="1" applyBorder="1" applyAlignment="1">
      <alignment vertical="center"/>
    </xf>
    <xf numFmtId="0" fontId="28" fillId="0" borderId="5" xfId="15" applyFont="1" applyBorder="1" applyAlignment="1">
      <alignment vertical="center"/>
    </xf>
    <xf numFmtId="0" fontId="28" fillId="0" borderId="5" xfId="15" applyFont="1" applyBorder="1" applyAlignment="1">
      <alignment horizontal="left" vertical="center" indent="2"/>
    </xf>
    <xf numFmtId="4" fontId="30" fillId="0" borderId="5" xfId="15" applyNumberFormat="1" applyFont="1" applyBorder="1" applyAlignment="1">
      <alignment vertical="center"/>
    </xf>
    <xf numFmtId="0" fontId="18" fillId="0" borderId="0" xfId="12" applyFont="1" applyAlignment="1">
      <alignment horizontal="center" vertical="center" wrapText="1"/>
    </xf>
    <xf numFmtId="0" fontId="13" fillId="0" borderId="0" xfId="15" applyFont="1" applyAlignment="1">
      <alignment horizontal="center" vertical="center"/>
    </xf>
    <xf numFmtId="0" fontId="13" fillId="0" borderId="1" xfId="15" applyFont="1" applyBorder="1" applyAlignment="1">
      <alignment horizontal="center" vertical="center"/>
    </xf>
    <xf numFmtId="0" fontId="13" fillId="0" borderId="3" xfId="15" applyFont="1" applyBorder="1" applyAlignment="1">
      <alignment horizontal="center" vertical="center"/>
    </xf>
    <xf numFmtId="0" fontId="13" fillId="0" borderId="5" xfId="15" applyFont="1" applyBorder="1" applyAlignment="1">
      <alignment horizontal="center" vertical="center"/>
    </xf>
    <xf numFmtId="0" fontId="13" fillId="0" borderId="1" xfId="15" applyFont="1" applyBorder="1" applyAlignment="1">
      <alignment horizontal="center" vertical="center" wrapText="1"/>
    </xf>
    <xf numFmtId="0" fontId="13" fillId="0" borderId="3" xfId="15" applyFont="1" applyBorder="1" applyAlignment="1">
      <alignment horizontal="center" vertical="center" wrapText="1"/>
    </xf>
    <xf numFmtId="0" fontId="13" fillId="0" borderId="5" xfId="15" applyFont="1" applyBorder="1" applyAlignment="1">
      <alignment horizontal="center" vertical="center" wrapText="1"/>
    </xf>
    <xf numFmtId="0" fontId="13" fillId="0" borderId="15" xfId="15" applyFont="1" applyBorder="1" applyAlignment="1">
      <alignment horizontal="center" vertical="center"/>
    </xf>
    <xf numFmtId="0" fontId="13" fillId="0" borderId="17" xfId="15" applyFont="1" applyBorder="1" applyAlignment="1">
      <alignment horizontal="center" vertical="center"/>
    </xf>
  </cellXfs>
  <cellStyles count="19">
    <cellStyle name="Dziesiętny 2" xfId="3" xr:uid="{BFCEA198-B5A6-4EF1-8723-5E8521CAD3DC}"/>
    <cellStyle name="Dziesiętny 3" xfId="16" xr:uid="{ACB9C472-B7AD-47FE-8AD0-99E4D9F9D35A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2" xr:uid="{67CEEE6D-0969-48F5-98DB-D6AC53B035C7}"/>
    <cellStyle name="Normalny 3 2 2" xfId="17" xr:uid="{407A8BDD-574F-4807-BC87-D84F8F864ED3}"/>
    <cellStyle name="Normalny 3 3" xfId="15" xr:uid="{A1D37FFE-C881-4C04-844E-6532558428D7}"/>
    <cellStyle name="Normalny 4" xfId="6" xr:uid="{B2465C60-8C82-4AA7-8F41-043A6B5FBEE2}"/>
    <cellStyle name="Normalny 5" xfId="8" xr:uid="{0D5F1684-5C1D-48A7-ABCD-0A8CAA6DAE29}"/>
    <cellStyle name="Normalny 6" xfId="10" xr:uid="{2B0DED10-4C82-4D87-B036-A231710D7ED8}"/>
    <cellStyle name="Normalny 6 2" xfId="14" xr:uid="{EE1EDC00-6225-4333-8065-39ECC2EA042B}"/>
    <cellStyle name="Normalny 6 3" xfId="18" xr:uid="{A9FB40E2-28D3-4C51-B839-876D67F59820}"/>
    <cellStyle name="Normalny 7" xfId="9" xr:uid="{62CD0728-EA2B-4DD2-AD34-21575365BC2A}"/>
    <cellStyle name="Normalny 8" xfId="11" xr:uid="{FCA48B7E-ED27-4C4B-BAF8-DFA7E6989938}"/>
    <cellStyle name="Normalny 9" xfId="13" xr:uid="{9750CF70-C395-4A86-8D7E-644016D82647}"/>
    <cellStyle name="Zły" xfId="7" builtinId="27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60EF-850C-42AD-A98E-9166A2764409}">
  <sheetPr>
    <tabColor rgb="FF00FF00"/>
  </sheetPr>
  <dimension ref="A1:H597"/>
  <sheetViews>
    <sheetView tabSelected="1" zoomScale="150" zoomScaleNormal="150" workbookViewId="0"/>
  </sheetViews>
  <sheetFormatPr defaultColWidth="9.140625" defaultRowHeight="16.5" x14ac:dyDescent="0.3"/>
  <cols>
    <col min="1" max="1" width="3.5703125" style="20" customWidth="1"/>
    <col min="2" max="2" width="6" style="20" customWidth="1"/>
    <col min="3" max="3" width="4.85546875" style="20" customWidth="1"/>
    <col min="4" max="4" width="39.140625" style="20" customWidth="1"/>
    <col min="5" max="5" width="13" style="20" customWidth="1"/>
    <col min="6" max="6" width="10.5703125" style="20" customWidth="1"/>
    <col min="7" max="7" width="10.85546875" style="20" customWidth="1"/>
    <col min="8" max="8" width="12.7109375" style="20" customWidth="1"/>
    <col min="9" max="9" width="10.28515625" style="20" customWidth="1"/>
    <col min="10" max="16384" width="9.140625" style="20"/>
  </cols>
  <sheetData>
    <row r="1" spans="1:8" ht="21" customHeight="1" x14ac:dyDescent="0.3">
      <c r="A1" s="17"/>
      <c r="B1" s="17"/>
      <c r="C1" s="18"/>
      <c r="D1" s="19"/>
      <c r="E1" s="19"/>
      <c r="F1" s="19" t="s">
        <v>0</v>
      </c>
      <c r="G1" s="19"/>
      <c r="H1" s="17"/>
    </row>
    <row r="2" spans="1:8" ht="12.75" customHeight="1" x14ac:dyDescent="0.3">
      <c r="A2" s="17"/>
      <c r="B2" s="17"/>
      <c r="C2" s="18"/>
      <c r="D2" s="19"/>
      <c r="E2" s="19"/>
      <c r="F2" s="19" t="s">
        <v>152</v>
      </c>
      <c r="G2" s="19"/>
      <c r="H2" s="17"/>
    </row>
    <row r="3" spans="1:8" ht="12.75" customHeight="1" x14ac:dyDescent="0.3">
      <c r="A3" s="17"/>
      <c r="B3" s="17"/>
      <c r="C3" s="18"/>
      <c r="D3" s="19"/>
      <c r="E3" s="19"/>
      <c r="F3" s="17" t="s">
        <v>1</v>
      </c>
      <c r="G3" s="17"/>
      <c r="H3" s="17"/>
    </row>
    <row r="4" spans="1:8" ht="12.75" customHeight="1" x14ac:dyDescent="0.3">
      <c r="A4" s="17"/>
      <c r="B4" s="17"/>
      <c r="C4" s="18"/>
      <c r="D4" s="19"/>
      <c r="E4" s="19"/>
      <c r="F4" s="19" t="s">
        <v>153</v>
      </c>
      <c r="G4" s="19"/>
      <c r="H4" s="17"/>
    </row>
    <row r="5" spans="1:8" ht="21.75" customHeight="1" x14ac:dyDescent="0.3">
      <c r="A5" s="21" t="s">
        <v>24</v>
      </c>
      <c r="B5" s="22"/>
      <c r="C5" s="23"/>
      <c r="D5" s="23"/>
      <c r="E5" s="22"/>
      <c r="F5" s="22"/>
      <c r="G5" s="21"/>
      <c r="H5" s="22"/>
    </row>
    <row r="6" spans="1:8" ht="11.25" customHeight="1" x14ac:dyDescent="0.3">
      <c r="A6" s="17"/>
      <c r="B6" s="17"/>
      <c r="C6" s="18"/>
      <c r="D6" s="18"/>
      <c r="E6" s="24"/>
      <c r="F6" s="17"/>
      <c r="G6" s="25"/>
      <c r="H6" s="26" t="s">
        <v>2</v>
      </c>
    </row>
    <row r="7" spans="1:8" s="33" customFormat="1" ht="12.75" x14ac:dyDescent="0.25">
      <c r="A7" s="27"/>
      <c r="B7" s="27"/>
      <c r="C7" s="28"/>
      <c r="D7" s="29"/>
      <c r="E7" s="30" t="s">
        <v>3</v>
      </c>
      <c r="F7" s="31"/>
      <c r="G7" s="32"/>
      <c r="H7" s="30" t="s">
        <v>3</v>
      </c>
    </row>
    <row r="8" spans="1:8" s="33" customFormat="1" ht="12.75" x14ac:dyDescent="0.25">
      <c r="A8" s="34" t="s">
        <v>4</v>
      </c>
      <c r="B8" s="34" t="s">
        <v>5</v>
      </c>
      <c r="C8" s="35" t="s">
        <v>6</v>
      </c>
      <c r="D8" s="36" t="s">
        <v>7</v>
      </c>
      <c r="E8" s="34" t="s">
        <v>8</v>
      </c>
      <c r="F8" s="37" t="s">
        <v>9</v>
      </c>
      <c r="G8" s="34" t="s">
        <v>10</v>
      </c>
      <c r="H8" s="34" t="s">
        <v>11</v>
      </c>
    </row>
    <row r="9" spans="1:8" s="33" customFormat="1" ht="4.5" customHeight="1" x14ac:dyDescent="0.25">
      <c r="A9" s="38"/>
      <c r="B9" s="38"/>
      <c r="C9" s="39"/>
      <c r="D9" s="40"/>
      <c r="E9" s="38"/>
      <c r="F9" s="41"/>
      <c r="G9" s="41"/>
      <c r="H9" s="38"/>
    </row>
    <row r="10" spans="1:8" s="33" customFormat="1" ht="18" customHeight="1" thickBot="1" x14ac:dyDescent="0.3">
      <c r="A10" s="42"/>
      <c r="B10" s="42"/>
      <c r="C10" s="43"/>
      <c r="D10" s="44" t="s">
        <v>12</v>
      </c>
      <c r="E10" s="45">
        <v>1510293446.5999997</v>
      </c>
      <c r="F10" s="45">
        <f>SUM(F11,F230)</f>
        <v>8842470.7200000007</v>
      </c>
      <c r="G10" s="45">
        <f>SUM(G11,G230)</f>
        <v>8842470.7199999988</v>
      </c>
      <c r="H10" s="45">
        <f t="shared" ref="H10:H11" si="0">SUM(E10+F10-G10)</f>
        <v>1510293446.5999997</v>
      </c>
    </row>
    <row r="11" spans="1:8" s="33" customFormat="1" ht="16.5" customHeight="1" thickBot="1" x14ac:dyDescent="0.3">
      <c r="A11" s="42"/>
      <c r="B11" s="42"/>
      <c r="C11" s="43"/>
      <c r="D11" s="46" t="s">
        <v>25</v>
      </c>
      <c r="E11" s="47">
        <v>1043358477.1599998</v>
      </c>
      <c r="F11" s="47">
        <f>SUM(F12,F19,F25,F32,F45,F57,F62,F96,F106,F154,F172,F195,F207,F220,)</f>
        <v>7223124.7200000007</v>
      </c>
      <c r="G11" s="47">
        <f>SUM(G12,G19,G25,G32,G45,G57,G62,G96,G106,G154,G172,G195,G207,G220,)</f>
        <v>8842470.7199999988</v>
      </c>
      <c r="H11" s="47">
        <f t="shared" si="0"/>
        <v>1041739131.1599998</v>
      </c>
    </row>
    <row r="12" spans="1:8" s="33" customFormat="1" ht="16.5" customHeight="1" thickTop="1" thickBot="1" x14ac:dyDescent="0.3">
      <c r="A12" s="48">
        <v>600</v>
      </c>
      <c r="B12" s="49"/>
      <c r="C12" s="50"/>
      <c r="D12" s="51" t="s">
        <v>55</v>
      </c>
      <c r="E12" s="47">
        <v>186482111.55999997</v>
      </c>
      <c r="F12" s="47">
        <f>SUM(F13)</f>
        <v>418358.5</v>
      </c>
      <c r="G12" s="47">
        <f>SUM(G13)</f>
        <v>0</v>
      </c>
      <c r="H12" s="47">
        <f>SUM(E12+F12-G12)</f>
        <v>186900470.05999997</v>
      </c>
    </row>
    <row r="13" spans="1:8" s="33" customFormat="1" ht="12" customHeight="1" thickTop="1" x14ac:dyDescent="0.25">
      <c r="A13" s="42"/>
      <c r="B13" s="52">
        <v>60095</v>
      </c>
      <c r="C13" s="43"/>
      <c r="D13" s="53" t="s">
        <v>27</v>
      </c>
      <c r="E13" s="54">
        <v>16781669.219999999</v>
      </c>
      <c r="F13" s="54">
        <f>SUM(F14)</f>
        <v>418358.5</v>
      </c>
      <c r="G13" s="54">
        <f>SUM(G14)</f>
        <v>0</v>
      </c>
      <c r="H13" s="54">
        <f>SUM(E13+F13-G13)</f>
        <v>17200027.719999999</v>
      </c>
    </row>
    <row r="14" spans="1:8" s="33" customFormat="1" ht="12" customHeight="1" x14ac:dyDescent="0.25">
      <c r="A14" s="42"/>
      <c r="B14" s="52"/>
      <c r="C14" s="55"/>
      <c r="D14" s="56" t="s">
        <v>56</v>
      </c>
      <c r="E14" s="57">
        <v>16684669.219999999</v>
      </c>
      <c r="F14" s="57">
        <f>SUM(F15:F18)</f>
        <v>418358.5</v>
      </c>
      <c r="G14" s="57">
        <f>SUM(G15:G18)</f>
        <v>0</v>
      </c>
      <c r="H14" s="58">
        <f>SUM(E14+F14-G14)</f>
        <v>17103027.719999999</v>
      </c>
    </row>
    <row r="15" spans="1:8" s="33" customFormat="1" ht="12" customHeight="1" x14ac:dyDescent="0.25">
      <c r="A15" s="42"/>
      <c r="B15" s="52"/>
      <c r="C15" s="52">
        <v>4010</v>
      </c>
      <c r="D15" s="59" t="s">
        <v>57</v>
      </c>
      <c r="E15" s="60">
        <v>10860279.5</v>
      </c>
      <c r="F15" s="60">
        <v>346094.5</v>
      </c>
      <c r="G15" s="60"/>
      <c r="H15" s="60">
        <f t="shared" ref="H15:H18" si="1">SUM(E15+F15-G15)</f>
        <v>11206374</v>
      </c>
    </row>
    <row r="16" spans="1:8" s="33" customFormat="1" ht="12" customHeight="1" x14ac:dyDescent="0.25">
      <c r="A16" s="42"/>
      <c r="B16" s="49"/>
      <c r="C16" s="52">
        <v>4110</v>
      </c>
      <c r="D16" s="59" t="s">
        <v>58</v>
      </c>
      <c r="E16" s="60">
        <v>1927874</v>
      </c>
      <c r="F16" s="60">
        <v>58594</v>
      </c>
      <c r="G16" s="60"/>
      <c r="H16" s="60">
        <f t="shared" si="1"/>
        <v>1986468</v>
      </c>
    </row>
    <row r="17" spans="1:8" s="33" customFormat="1" ht="12" customHeight="1" x14ac:dyDescent="0.25">
      <c r="A17" s="42"/>
      <c r="B17" s="49"/>
      <c r="C17" s="52">
        <v>4120</v>
      </c>
      <c r="D17" s="59" t="s">
        <v>20</v>
      </c>
      <c r="E17" s="60">
        <v>262994</v>
      </c>
      <c r="F17" s="60">
        <v>8479</v>
      </c>
      <c r="G17" s="60"/>
      <c r="H17" s="60">
        <f t="shared" si="1"/>
        <v>271473</v>
      </c>
    </row>
    <row r="18" spans="1:8" s="33" customFormat="1" ht="12" customHeight="1" x14ac:dyDescent="0.25">
      <c r="A18" s="42"/>
      <c r="B18" s="49"/>
      <c r="C18" s="61">
        <v>4710</v>
      </c>
      <c r="D18" s="62" t="s">
        <v>59</v>
      </c>
      <c r="E18" s="60">
        <v>67975</v>
      </c>
      <c r="F18" s="60">
        <v>5191</v>
      </c>
      <c r="G18" s="60"/>
      <c r="H18" s="60">
        <f t="shared" si="1"/>
        <v>73166</v>
      </c>
    </row>
    <row r="19" spans="1:8" s="33" customFormat="1" ht="12" customHeight="1" thickBot="1" x14ac:dyDescent="0.3">
      <c r="A19" s="34">
        <v>630</v>
      </c>
      <c r="B19" s="63"/>
      <c r="C19" s="34"/>
      <c r="D19" s="64" t="s">
        <v>60</v>
      </c>
      <c r="E19" s="47">
        <v>3242815.7600000002</v>
      </c>
      <c r="F19" s="47">
        <f>SUM(F20)</f>
        <v>29573.29</v>
      </c>
      <c r="G19" s="47">
        <f t="shared" ref="G19" si="2">SUM(G20)</f>
        <v>0</v>
      </c>
      <c r="H19" s="47">
        <f>SUM(E19+F19-G19)</f>
        <v>3272389.0500000003</v>
      </c>
    </row>
    <row r="20" spans="1:8" s="33" customFormat="1" ht="12" customHeight="1" thickTop="1" x14ac:dyDescent="0.25">
      <c r="A20" s="65"/>
      <c r="B20" s="52">
        <v>63003</v>
      </c>
      <c r="C20" s="66"/>
      <c r="D20" s="67" t="s">
        <v>48</v>
      </c>
      <c r="E20" s="54">
        <v>3168815.7600000002</v>
      </c>
      <c r="F20" s="54">
        <f>SUM(F21)</f>
        <v>29573.29</v>
      </c>
      <c r="G20" s="54">
        <f>SUM(G21)</f>
        <v>0</v>
      </c>
      <c r="H20" s="54">
        <f>SUM(E20+F20-G20)</f>
        <v>3198389.0500000003</v>
      </c>
    </row>
    <row r="21" spans="1:8" s="33" customFormat="1" ht="12" customHeight="1" x14ac:dyDescent="0.25">
      <c r="A21" s="48"/>
      <c r="B21" s="52"/>
      <c r="C21" s="55"/>
      <c r="D21" s="68" t="s">
        <v>61</v>
      </c>
      <c r="E21" s="57">
        <v>3133815.7600000002</v>
      </c>
      <c r="F21" s="57">
        <f>SUM(F22:F24)</f>
        <v>29573.29</v>
      </c>
      <c r="G21" s="57">
        <f>SUM(G22:G24)</f>
        <v>0</v>
      </c>
      <c r="H21" s="58">
        <f>SUM(E21+F21-G21)</f>
        <v>3163389.0500000003</v>
      </c>
    </row>
    <row r="22" spans="1:8" s="33" customFormat="1" ht="12" customHeight="1" x14ac:dyDescent="0.25">
      <c r="A22" s="48"/>
      <c r="B22" s="52"/>
      <c r="C22" s="52">
        <v>4010</v>
      </c>
      <c r="D22" s="59" t="s">
        <v>57</v>
      </c>
      <c r="E22" s="60">
        <v>1809422.1400000001</v>
      </c>
      <c r="F22" s="60">
        <v>24772.400000000001</v>
      </c>
      <c r="G22" s="60"/>
      <c r="H22" s="60">
        <f t="shared" ref="H22:H26" si="3">SUM(E22+F22-G22)</f>
        <v>1834194.54</v>
      </c>
    </row>
    <row r="23" spans="1:8" s="33" customFormat="1" ht="12" customHeight="1" x14ac:dyDescent="0.25">
      <c r="A23" s="48"/>
      <c r="B23" s="52"/>
      <c r="C23" s="52">
        <v>4110</v>
      </c>
      <c r="D23" s="59" t="s">
        <v>58</v>
      </c>
      <c r="E23" s="60">
        <v>230700</v>
      </c>
      <c r="F23" s="60">
        <v>4193.97</v>
      </c>
      <c r="G23" s="60"/>
      <c r="H23" s="60">
        <f t="shared" si="3"/>
        <v>234893.97</v>
      </c>
    </row>
    <row r="24" spans="1:8" s="33" customFormat="1" ht="12" customHeight="1" x14ac:dyDescent="0.25">
      <c r="A24" s="48"/>
      <c r="B24" s="52"/>
      <c r="C24" s="52">
        <v>4120</v>
      </c>
      <c r="D24" s="59" t="s">
        <v>20</v>
      </c>
      <c r="E24" s="60">
        <v>47463</v>
      </c>
      <c r="F24" s="60">
        <v>606.91999999999996</v>
      </c>
      <c r="G24" s="60"/>
      <c r="H24" s="60">
        <f t="shared" si="3"/>
        <v>48069.919999999998</v>
      </c>
    </row>
    <row r="25" spans="1:8" s="33" customFormat="1" ht="12" customHeight="1" thickBot="1" x14ac:dyDescent="0.3">
      <c r="A25" s="48">
        <v>700</v>
      </c>
      <c r="B25" s="48"/>
      <c r="C25" s="50"/>
      <c r="D25" s="51" t="s">
        <v>26</v>
      </c>
      <c r="E25" s="47">
        <v>137720613.08999997</v>
      </c>
      <c r="F25" s="69">
        <f>SUM(F26,)</f>
        <v>217082</v>
      </c>
      <c r="G25" s="69">
        <f>SUM(G26,)</f>
        <v>0</v>
      </c>
      <c r="H25" s="47">
        <f t="shared" si="3"/>
        <v>137937695.08999997</v>
      </c>
    </row>
    <row r="26" spans="1:8" s="33" customFormat="1" ht="12" customHeight="1" thickTop="1" x14ac:dyDescent="0.25">
      <c r="A26" s="48"/>
      <c r="B26" s="52">
        <v>70007</v>
      </c>
      <c r="C26" s="66"/>
      <c r="D26" s="67" t="s">
        <v>62</v>
      </c>
      <c r="E26" s="54">
        <v>57594665.769999996</v>
      </c>
      <c r="F26" s="70">
        <f>SUM(F27,)</f>
        <v>217082</v>
      </c>
      <c r="G26" s="70">
        <f>SUM(G27,)</f>
        <v>0</v>
      </c>
      <c r="H26" s="54">
        <f t="shared" si="3"/>
        <v>57811747.769999996</v>
      </c>
    </row>
    <row r="27" spans="1:8" s="33" customFormat="1" ht="11.25" customHeight="1" x14ac:dyDescent="0.25">
      <c r="A27" s="48"/>
      <c r="B27" s="52"/>
      <c r="C27" s="43"/>
      <c r="D27" s="68" t="s">
        <v>63</v>
      </c>
      <c r="E27" s="58">
        <v>54678532.069999993</v>
      </c>
      <c r="F27" s="71">
        <f>SUM(F28:F31)</f>
        <v>217082</v>
      </c>
      <c r="G27" s="71">
        <f>SUM(G28:G31)</f>
        <v>0</v>
      </c>
      <c r="H27" s="58">
        <f>SUM(E27+F27-G27)</f>
        <v>54895614.069999993</v>
      </c>
    </row>
    <row r="28" spans="1:8" s="33" customFormat="1" ht="12" customHeight="1" x14ac:dyDescent="0.25">
      <c r="A28" s="48"/>
      <c r="B28" s="52"/>
      <c r="C28" s="52">
        <v>4010</v>
      </c>
      <c r="D28" s="59" t="s">
        <v>57</v>
      </c>
      <c r="E28" s="60">
        <v>3402144.66</v>
      </c>
      <c r="F28" s="60">
        <v>180478</v>
      </c>
      <c r="G28" s="60"/>
      <c r="H28" s="60">
        <f t="shared" ref="H28:H31" si="4">SUM(E28+F28-G28)</f>
        <v>3582622.66</v>
      </c>
    </row>
    <row r="29" spans="1:8" s="33" customFormat="1" ht="12" customHeight="1" x14ac:dyDescent="0.25">
      <c r="A29" s="48"/>
      <c r="B29" s="52"/>
      <c r="C29" s="52">
        <v>4110</v>
      </c>
      <c r="D29" s="59" t="s">
        <v>58</v>
      </c>
      <c r="E29" s="60">
        <v>545006</v>
      </c>
      <c r="F29" s="60">
        <v>30555</v>
      </c>
      <c r="G29" s="60"/>
      <c r="H29" s="60">
        <f t="shared" si="4"/>
        <v>575561</v>
      </c>
    </row>
    <row r="30" spans="1:8" s="33" customFormat="1" ht="12" customHeight="1" x14ac:dyDescent="0.25">
      <c r="A30" s="48"/>
      <c r="B30" s="52"/>
      <c r="C30" s="52">
        <v>4120</v>
      </c>
      <c r="D30" s="59" t="s">
        <v>20</v>
      </c>
      <c r="E30" s="60">
        <v>82296</v>
      </c>
      <c r="F30" s="60">
        <v>5173</v>
      </c>
      <c r="G30" s="60"/>
      <c r="H30" s="60">
        <f t="shared" si="4"/>
        <v>87469</v>
      </c>
    </row>
    <row r="31" spans="1:8" s="33" customFormat="1" ht="12" customHeight="1" x14ac:dyDescent="0.25">
      <c r="A31" s="48"/>
      <c r="B31" s="52"/>
      <c r="C31" s="61">
        <v>4710</v>
      </c>
      <c r="D31" s="62" t="s">
        <v>59</v>
      </c>
      <c r="E31" s="60">
        <v>27440</v>
      </c>
      <c r="F31" s="72">
        <v>876</v>
      </c>
      <c r="G31" s="72"/>
      <c r="H31" s="60">
        <f t="shared" si="4"/>
        <v>28316</v>
      </c>
    </row>
    <row r="32" spans="1:8" s="33" customFormat="1" ht="12" customHeight="1" thickBot="1" x14ac:dyDescent="0.3">
      <c r="A32" s="48">
        <v>750</v>
      </c>
      <c r="B32" s="49"/>
      <c r="C32" s="50"/>
      <c r="D32" s="51" t="s">
        <v>23</v>
      </c>
      <c r="E32" s="47">
        <v>90076853.670000002</v>
      </c>
      <c r="F32" s="69">
        <f>SUM(F33,F39,)</f>
        <v>2132843</v>
      </c>
      <c r="G32" s="69">
        <f t="shared" ref="G32:H32" si="5">SUM(G33,)</f>
        <v>0</v>
      </c>
      <c r="H32" s="69">
        <f t="shared" si="5"/>
        <v>46516569.579999998</v>
      </c>
    </row>
    <row r="33" spans="1:8" s="33" customFormat="1" ht="12" customHeight="1" thickTop="1" x14ac:dyDescent="0.25">
      <c r="A33" s="42"/>
      <c r="B33" s="43" t="s">
        <v>64</v>
      </c>
      <c r="C33" s="52"/>
      <c r="D33" s="53" t="s">
        <v>29</v>
      </c>
      <c r="E33" s="54">
        <v>44532209.579999998</v>
      </c>
      <c r="F33" s="54">
        <f>SUM(F34)</f>
        <v>1984360</v>
      </c>
      <c r="G33" s="54">
        <f>SUM(G34)</f>
        <v>0</v>
      </c>
      <c r="H33" s="54">
        <f t="shared" ref="H33:H38" si="6">SUM(E33+F33-G33)</f>
        <v>46516569.579999998</v>
      </c>
    </row>
    <row r="34" spans="1:8" s="33" customFormat="1" ht="12" customHeight="1" x14ac:dyDescent="0.25">
      <c r="A34" s="42"/>
      <c r="B34" s="49"/>
      <c r="C34" s="52"/>
      <c r="D34" s="73" t="s">
        <v>65</v>
      </c>
      <c r="E34" s="58">
        <v>38664505.109999999</v>
      </c>
      <c r="F34" s="58">
        <f>SUM(F35:F38)</f>
        <v>1984360</v>
      </c>
      <c r="G34" s="58">
        <f>SUM(G35:G38)</f>
        <v>0</v>
      </c>
      <c r="H34" s="58">
        <f t="shared" si="6"/>
        <v>40648865.109999999</v>
      </c>
    </row>
    <row r="35" spans="1:8" s="33" customFormat="1" ht="12" customHeight="1" x14ac:dyDescent="0.25">
      <c r="A35" s="42"/>
      <c r="B35" s="49"/>
      <c r="C35" s="52">
        <v>4010</v>
      </c>
      <c r="D35" s="59" t="s">
        <v>57</v>
      </c>
      <c r="E35" s="72">
        <v>25451819.760000002</v>
      </c>
      <c r="F35" s="72">
        <v>1671599</v>
      </c>
      <c r="G35" s="72"/>
      <c r="H35" s="72">
        <f t="shared" si="6"/>
        <v>27123418.760000002</v>
      </c>
    </row>
    <row r="36" spans="1:8" s="33" customFormat="1" ht="12" customHeight="1" x14ac:dyDescent="0.25">
      <c r="A36" s="42"/>
      <c r="B36" s="49"/>
      <c r="C36" s="52">
        <v>4110</v>
      </c>
      <c r="D36" s="59" t="s">
        <v>58</v>
      </c>
      <c r="E36" s="72">
        <v>4503457</v>
      </c>
      <c r="F36" s="72">
        <v>265368</v>
      </c>
      <c r="G36" s="72"/>
      <c r="H36" s="72">
        <f t="shared" si="6"/>
        <v>4768825</v>
      </c>
    </row>
    <row r="37" spans="1:8" s="33" customFormat="1" ht="12" customHeight="1" x14ac:dyDescent="0.25">
      <c r="A37" s="42"/>
      <c r="B37" s="49"/>
      <c r="C37" s="52">
        <v>4120</v>
      </c>
      <c r="D37" s="59" t="s">
        <v>20</v>
      </c>
      <c r="E37" s="72">
        <v>606242</v>
      </c>
      <c r="F37" s="72">
        <v>38408</v>
      </c>
      <c r="G37" s="72"/>
      <c r="H37" s="72">
        <f t="shared" si="6"/>
        <v>644650</v>
      </c>
    </row>
    <row r="38" spans="1:8" s="33" customFormat="1" ht="12" customHeight="1" x14ac:dyDescent="0.25">
      <c r="A38" s="42"/>
      <c r="B38" s="49"/>
      <c r="C38" s="61">
        <v>4710</v>
      </c>
      <c r="D38" s="62" t="s">
        <v>59</v>
      </c>
      <c r="E38" s="72">
        <v>137000</v>
      </c>
      <c r="F38" s="72">
        <v>8985</v>
      </c>
      <c r="G38" s="72"/>
      <c r="H38" s="72">
        <f t="shared" si="6"/>
        <v>145985</v>
      </c>
    </row>
    <row r="39" spans="1:8" s="33" customFormat="1" ht="12" customHeight="1" x14ac:dyDescent="0.25">
      <c r="A39" s="42"/>
      <c r="B39" s="43" t="s">
        <v>66</v>
      </c>
      <c r="C39" s="52"/>
      <c r="D39" s="53" t="s">
        <v>67</v>
      </c>
      <c r="E39" s="54">
        <v>5119971</v>
      </c>
      <c r="F39" s="70">
        <f>SUM(F40)</f>
        <v>148483</v>
      </c>
      <c r="G39" s="70">
        <f>SUM(G40)</f>
        <v>0</v>
      </c>
      <c r="H39" s="54">
        <f>SUM(E39+F39-G39)</f>
        <v>5268454</v>
      </c>
    </row>
    <row r="40" spans="1:8" s="33" customFormat="1" ht="12" customHeight="1" x14ac:dyDescent="0.25">
      <c r="A40" s="42"/>
      <c r="B40" s="43"/>
      <c r="C40" s="43"/>
      <c r="D40" s="74" t="s">
        <v>68</v>
      </c>
      <c r="E40" s="58">
        <v>5119971</v>
      </c>
      <c r="F40" s="71">
        <f>SUM(F41:F44)</f>
        <v>148483</v>
      </c>
      <c r="G40" s="71">
        <f>SUM(G41:G44)</f>
        <v>0</v>
      </c>
      <c r="H40" s="58">
        <f>SUM(E40+F40-G40)</f>
        <v>5268454</v>
      </c>
    </row>
    <row r="41" spans="1:8" s="33" customFormat="1" ht="12" customHeight="1" x14ac:dyDescent="0.25">
      <c r="A41" s="42"/>
      <c r="B41" s="43"/>
      <c r="C41" s="52">
        <v>4010</v>
      </c>
      <c r="D41" s="59" t="s">
        <v>57</v>
      </c>
      <c r="E41" s="60">
        <v>3015132</v>
      </c>
      <c r="F41" s="72">
        <v>120394</v>
      </c>
      <c r="G41" s="72"/>
      <c r="H41" s="60">
        <f t="shared" ref="H41:H44" si="7">SUM(E41+F41-G41)</f>
        <v>3135526</v>
      </c>
    </row>
    <row r="42" spans="1:8" s="33" customFormat="1" ht="12" customHeight="1" x14ac:dyDescent="0.25">
      <c r="A42" s="42"/>
      <c r="B42" s="43"/>
      <c r="C42" s="52">
        <v>4110</v>
      </c>
      <c r="D42" s="59" t="s">
        <v>58</v>
      </c>
      <c r="E42" s="75">
        <v>569904</v>
      </c>
      <c r="F42" s="76">
        <v>23333</v>
      </c>
      <c r="G42" s="76"/>
      <c r="H42" s="60">
        <f t="shared" si="7"/>
        <v>593237</v>
      </c>
    </row>
    <row r="43" spans="1:8" s="33" customFormat="1" ht="12" customHeight="1" x14ac:dyDescent="0.25">
      <c r="A43" s="42"/>
      <c r="B43" s="43"/>
      <c r="C43" s="52">
        <v>4120</v>
      </c>
      <c r="D43" s="59" t="s">
        <v>20</v>
      </c>
      <c r="E43" s="75">
        <v>81226</v>
      </c>
      <c r="F43" s="76">
        <v>2950</v>
      </c>
      <c r="G43" s="76"/>
      <c r="H43" s="60">
        <f t="shared" si="7"/>
        <v>84176</v>
      </c>
    </row>
    <row r="44" spans="1:8" s="33" customFormat="1" ht="12" customHeight="1" x14ac:dyDescent="0.25">
      <c r="A44" s="42"/>
      <c r="B44" s="43"/>
      <c r="C44" s="61">
        <v>4710</v>
      </c>
      <c r="D44" s="62" t="s">
        <v>59</v>
      </c>
      <c r="E44" s="75">
        <v>23250</v>
      </c>
      <c r="F44" s="76">
        <v>1806</v>
      </c>
      <c r="G44" s="76"/>
      <c r="H44" s="60">
        <f t="shared" si="7"/>
        <v>25056</v>
      </c>
    </row>
    <row r="45" spans="1:8" s="33" customFormat="1" ht="12" customHeight="1" thickBot="1" x14ac:dyDescent="0.3">
      <c r="A45" s="48">
        <v>754</v>
      </c>
      <c r="B45" s="63"/>
      <c r="C45" s="63"/>
      <c r="D45" s="77" t="s">
        <v>69</v>
      </c>
      <c r="E45" s="47">
        <v>8183854.9199999999</v>
      </c>
      <c r="F45" s="69">
        <f>SUM(F46,)</f>
        <v>263745.03000000003</v>
      </c>
      <c r="G45" s="69">
        <f>SUM(G46,)</f>
        <v>0</v>
      </c>
      <c r="H45" s="47">
        <f>SUM(E45+F45-G45)</f>
        <v>8447599.9499999993</v>
      </c>
    </row>
    <row r="46" spans="1:8" s="33" customFormat="1" ht="12" customHeight="1" thickTop="1" x14ac:dyDescent="0.25">
      <c r="A46" s="48"/>
      <c r="B46" s="52">
        <v>75416</v>
      </c>
      <c r="C46" s="52"/>
      <c r="D46" s="53" t="s">
        <v>70</v>
      </c>
      <c r="E46" s="54">
        <v>7698219.3200000003</v>
      </c>
      <c r="F46" s="70">
        <f>SUM(F47,F52)</f>
        <v>263745.03000000003</v>
      </c>
      <c r="G46" s="70">
        <f>SUM(G47,G52)</f>
        <v>0</v>
      </c>
      <c r="H46" s="54">
        <f>SUM(E46+F46-G46)</f>
        <v>7961964.3500000006</v>
      </c>
    </row>
    <row r="47" spans="1:8" s="33" customFormat="1" ht="12" customHeight="1" x14ac:dyDescent="0.25">
      <c r="A47" s="48"/>
      <c r="B47" s="52"/>
      <c r="C47" s="52"/>
      <c r="D47" s="78" t="s">
        <v>71</v>
      </c>
      <c r="E47" s="58">
        <v>6392490.0800000001</v>
      </c>
      <c r="F47" s="71">
        <f>SUM(F48:F51)</f>
        <v>235564.59000000003</v>
      </c>
      <c r="G47" s="71">
        <f>SUM(G48:G51)</f>
        <v>0</v>
      </c>
      <c r="H47" s="58">
        <f>SUM(E47+F47-G47)</f>
        <v>6628054.6699999999</v>
      </c>
    </row>
    <row r="48" spans="1:8" s="33" customFormat="1" ht="12" customHeight="1" x14ac:dyDescent="0.25">
      <c r="A48" s="48"/>
      <c r="B48" s="52"/>
      <c r="C48" s="52">
        <v>4010</v>
      </c>
      <c r="D48" s="59" t="s">
        <v>57</v>
      </c>
      <c r="E48" s="60">
        <v>4228270.0800000001</v>
      </c>
      <c r="F48" s="72">
        <v>196456.48</v>
      </c>
      <c r="G48" s="72"/>
      <c r="H48" s="60">
        <f t="shared" ref="H48:H51" si="8">SUM(E48+F48-G48)</f>
        <v>4424726.5600000005</v>
      </c>
    </row>
    <row r="49" spans="1:8" s="33" customFormat="1" ht="12" customHeight="1" x14ac:dyDescent="0.25">
      <c r="A49" s="48"/>
      <c r="B49" s="52"/>
      <c r="C49" s="52">
        <v>4110</v>
      </c>
      <c r="D49" s="59" t="s">
        <v>58</v>
      </c>
      <c r="E49" s="60">
        <v>753709</v>
      </c>
      <c r="F49" s="72">
        <v>33515.480000000003</v>
      </c>
      <c r="G49" s="72"/>
      <c r="H49" s="60">
        <f t="shared" si="8"/>
        <v>787224.48</v>
      </c>
    </row>
    <row r="50" spans="1:8" s="33" customFormat="1" ht="12" customHeight="1" x14ac:dyDescent="0.25">
      <c r="A50" s="48"/>
      <c r="B50" s="43"/>
      <c r="C50" s="52">
        <v>4120</v>
      </c>
      <c r="D50" s="59" t="s">
        <v>20</v>
      </c>
      <c r="E50" s="60">
        <v>95738</v>
      </c>
      <c r="F50" s="72">
        <v>4813.1899999999996</v>
      </c>
      <c r="G50" s="60"/>
      <c r="H50" s="60">
        <f t="shared" si="8"/>
        <v>100551.19</v>
      </c>
    </row>
    <row r="51" spans="1:8" s="33" customFormat="1" ht="12" customHeight="1" x14ac:dyDescent="0.25">
      <c r="A51" s="42"/>
      <c r="B51" s="43"/>
      <c r="C51" s="61">
        <v>4710</v>
      </c>
      <c r="D51" s="62" t="s">
        <v>59</v>
      </c>
      <c r="E51" s="60">
        <v>15820</v>
      </c>
      <c r="F51" s="60">
        <v>779.44</v>
      </c>
      <c r="G51" s="60"/>
      <c r="H51" s="60">
        <f t="shared" si="8"/>
        <v>16599.439999999999</v>
      </c>
    </row>
    <row r="52" spans="1:8" s="33" customFormat="1" ht="12" customHeight="1" x14ac:dyDescent="0.25">
      <c r="A52" s="42"/>
      <c r="B52" s="43"/>
      <c r="C52" s="79"/>
      <c r="D52" s="80" t="s">
        <v>72</v>
      </c>
      <c r="E52" s="58">
        <v>1297929.24</v>
      </c>
      <c r="F52" s="71">
        <f>SUM(F53:F56)</f>
        <v>28180.440000000002</v>
      </c>
      <c r="G52" s="71">
        <f>SUM(G53:G53)</f>
        <v>0</v>
      </c>
      <c r="H52" s="58">
        <f>SUM(E52+F52-G52)</f>
        <v>1326109.68</v>
      </c>
    </row>
    <row r="53" spans="1:8" s="33" customFormat="1" ht="12" customHeight="1" x14ac:dyDescent="0.25">
      <c r="A53" s="42"/>
      <c r="B53" s="43"/>
      <c r="C53" s="52">
        <v>4010</v>
      </c>
      <c r="D53" s="59" t="s">
        <v>57</v>
      </c>
      <c r="E53" s="81">
        <v>800943.24</v>
      </c>
      <c r="F53" s="81">
        <v>23553.200000000001</v>
      </c>
      <c r="G53" s="81"/>
      <c r="H53" s="60">
        <f t="shared" ref="H53:H56" si="9">SUM(E53+F53-G53)</f>
        <v>824496.44</v>
      </c>
    </row>
    <row r="54" spans="1:8" s="33" customFormat="1" ht="12" customHeight="1" x14ac:dyDescent="0.25">
      <c r="A54" s="42"/>
      <c r="B54" s="43"/>
      <c r="C54" s="52">
        <v>4110</v>
      </c>
      <c r="D54" s="59" t="s">
        <v>58</v>
      </c>
      <c r="E54" s="60">
        <v>157248</v>
      </c>
      <c r="F54" s="72">
        <v>4018.18</v>
      </c>
      <c r="G54" s="72"/>
      <c r="H54" s="60">
        <f t="shared" si="9"/>
        <v>161266.18</v>
      </c>
    </row>
    <row r="55" spans="1:8" s="33" customFormat="1" ht="12" customHeight="1" x14ac:dyDescent="0.25">
      <c r="A55" s="42"/>
      <c r="B55" s="43"/>
      <c r="C55" s="52">
        <v>4120</v>
      </c>
      <c r="D55" s="59" t="s">
        <v>20</v>
      </c>
      <c r="E55" s="60">
        <v>17333</v>
      </c>
      <c r="F55" s="72">
        <v>577.05999999999995</v>
      </c>
      <c r="G55" s="60"/>
      <c r="H55" s="60">
        <f t="shared" si="9"/>
        <v>17910.060000000001</v>
      </c>
    </row>
    <row r="56" spans="1:8" s="33" customFormat="1" ht="12" customHeight="1" x14ac:dyDescent="0.25">
      <c r="A56" s="42"/>
      <c r="B56" s="43"/>
      <c r="C56" s="61">
        <v>4710</v>
      </c>
      <c r="D56" s="62" t="s">
        <v>59</v>
      </c>
      <c r="E56" s="60">
        <v>1993</v>
      </c>
      <c r="F56" s="60">
        <v>32</v>
      </c>
      <c r="G56" s="60"/>
      <c r="H56" s="60">
        <f t="shared" si="9"/>
        <v>2025</v>
      </c>
    </row>
    <row r="57" spans="1:8" s="33" customFormat="1" ht="12" customHeight="1" thickBot="1" x14ac:dyDescent="0.3">
      <c r="A57" s="49">
        <v>758</v>
      </c>
      <c r="B57" s="49"/>
      <c r="C57" s="50"/>
      <c r="D57" s="51" t="s">
        <v>30</v>
      </c>
      <c r="E57" s="47">
        <v>51703701</v>
      </c>
      <c r="F57" s="69">
        <f>SUM(F58)</f>
        <v>0</v>
      </c>
      <c r="G57" s="69">
        <f>SUM(G58)</f>
        <v>8736112.5599999987</v>
      </c>
      <c r="H57" s="47">
        <f>SUM(E57+F57-G57)</f>
        <v>42967588.439999998</v>
      </c>
    </row>
    <row r="58" spans="1:8" s="33" customFormat="1" ht="12" customHeight="1" thickTop="1" x14ac:dyDescent="0.25">
      <c r="A58" s="82"/>
      <c r="B58" s="42">
        <v>75818</v>
      </c>
      <c r="C58" s="43"/>
      <c r="D58" s="83" t="s">
        <v>31</v>
      </c>
      <c r="E58" s="54">
        <v>51703701</v>
      </c>
      <c r="F58" s="70">
        <f>SUM(F59,)</f>
        <v>0</v>
      </c>
      <c r="G58" s="70">
        <f>SUM(G59,)</f>
        <v>8736112.5599999987</v>
      </c>
      <c r="H58" s="54">
        <f>SUM(E58+F58-G58)</f>
        <v>42967588.439999998</v>
      </c>
    </row>
    <row r="59" spans="1:8" s="33" customFormat="1" ht="12" customHeight="1" x14ac:dyDescent="0.25">
      <c r="A59" s="82"/>
      <c r="B59" s="42"/>
      <c r="C59" s="43" t="s">
        <v>32</v>
      </c>
      <c r="D59" s="84" t="s">
        <v>33</v>
      </c>
      <c r="E59" s="85">
        <v>51703701</v>
      </c>
      <c r="F59" s="85">
        <f>SUM(F60:F61)</f>
        <v>0</v>
      </c>
      <c r="G59" s="85">
        <f>SUM(G60:G61)</f>
        <v>8736112.5599999987</v>
      </c>
      <c r="H59" s="85">
        <f>SUM(E59+F59-G59)</f>
        <v>42967588.439999998</v>
      </c>
    </row>
    <row r="60" spans="1:8" s="33" customFormat="1" ht="12" customHeight="1" x14ac:dyDescent="0.25">
      <c r="A60" s="82"/>
      <c r="B60" s="42"/>
      <c r="C60" s="43"/>
      <c r="D60" s="59" t="s">
        <v>34</v>
      </c>
      <c r="E60" s="60">
        <v>4148700</v>
      </c>
      <c r="F60" s="60"/>
      <c r="G60" s="60">
        <f>33300+70000+7500</f>
        <v>110800</v>
      </c>
      <c r="H60" s="60">
        <f t="shared" ref="H60" si="10">SUM(E60+F60-G60)</f>
        <v>4037900</v>
      </c>
    </row>
    <row r="61" spans="1:8" s="33" customFormat="1" ht="12" customHeight="1" x14ac:dyDescent="0.25">
      <c r="A61" s="86"/>
      <c r="B61" s="67"/>
      <c r="C61" s="87"/>
      <c r="D61" s="53" t="s">
        <v>35</v>
      </c>
      <c r="E61" s="54">
        <v>47555001</v>
      </c>
      <c r="F61" s="54"/>
      <c r="G61" s="54">
        <f>175684.22+575764.49+7873863.85</f>
        <v>8625312.5599999987</v>
      </c>
      <c r="H61" s="54">
        <f t="shared" ref="H61" si="11">SUM(E61+F61-G61)</f>
        <v>38929688.439999998</v>
      </c>
    </row>
    <row r="62" spans="1:8" s="33" customFormat="1" ht="12" customHeight="1" thickBot="1" x14ac:dyDescent="0.3">
      <c r="A62" s="49">
        <v>801</v>
      </c>
      <c r="B62" s="49"/>
      <c r="C62" s="50"/>
      <c r="D62" s="51" t="s">
        <v>39</v>
      </c>
      <c r="E62" s="1">
        <v>239409567.13</v>
      </c>
      <c r="F62" s="69">
        <f>SUM(F63,F69,F75,F81,F87,F93,)</f>
        <v>1261862</v>
      </c>
      <c r="G62" s="69">
        <f>SUM(G63,G69,G75,G81,G87,G93,)</f>
        <v>18201</v>
      </c>
      <c r="H62" s="47">
        <f>SUM(E62+F62-G62)</f>
        <v>240653228.13</v>
      </c>
    </row>
    <row r="63" spans="1:8" s="33" customFormat="1" ht="12" customHeight="1" thickTop="1" x14ac:dyDescent="0.25">
      <c r="A63" s="49"/>
      <c r="B63" s="42">
        <v>80101</v>
      </c>
      <c r="C63" s="43"/>
      <c r="D63" s="53" t="s">
        <v>13</v>
      </c>
      <c r="E63" s="54">
        <v>125076059.23999999</v>
      </c>
      <c r="F63" s="70">
        <f>SUM(F64,)</f>
        <v>532878</v>
      </c>
      <c r="G63" s="70">
        <f>SUM(G64,)</f>
        <v>0</v>
      </c>
      <c r="H63" s="54">
        <f>SUM(E63+F63-G63)</f>
        <v>125608937.23999999</v>
      </c>
    </row>
    <row r="64" spans="1:8" s="33" customFormat="1" ht="12" customHeight="1" x14ac:dyDescent="0.25">
      <c r="A64" s="49"/>
      <c r="B64" s="42"/>
      <c r="C64" s="43"/>
      <c r="D64" s="74" t="s">
        <v>73</v>
      </c>
      <c r="E64" s="58">
        <v>105813474.88</v>
      </c>
      <c r="F64" s="58">
        <f>SUM(F65:F68)</f>
        <v>532878</v>
      </c>
      <c r="G64" s="58">
        <f>SUM(G65:G68)</f>
        <v>0</v>
      </c>
      <c r="H64" s="58">
        <f>SUM(E64+F64-G64)</f>
        <v>106346352.88</v>
      </c>
    </row>
    <row r="65" spans="1:8" s="33" customFormat="1" ht="12" customHeight="1" x14ac:dyDescent="0.25">
      <c r="A65" s="49"/>
      <c r="B65" s="42"/>
      <c r="C65" s="52">
        <v>4010</v>
      </c>
      <c r="D65" s="59" t="s">
        <v>57</v>
      </c>
      <c r="E65" s="60">
        <v>13095115.539999999</v>
      </c>
      <c r="F65" s="60">
        <v>403271</v>
      </c>
      <c r="G65" s="60"/>
      <c r="H65" s="60">
        <f t="shared" ref="H65:H68" si="12">SUM(E65+F65-G65)</f>
        <v>13498386.539999999</v>
      </c>
    </row>
    <row r="66" spans="1:8" s="33" customFormat="1" ht="12" customHeight="1" x14ac:dyDescent="0.25">
      <c r="A66" s="49"/>
      <c r="B66" s="42"/>
      <c r="C66" s="52">
        <v>4110</v>
      </c>
      <c r="D66" s="59" t="s">
        <v>58</v>
      </c>
      <c r="E66" s="60">
        <v>13369347</v>
      </c>
      <c r="F66" s="60">
        <v>105408</v>
      </c>
      <c r="G66" s="60"/>
      <c r="H66" s="60">
        <f t="shared" si="12"/>
        <v>13474755</v>
      </c>
    </row>
    <row r="67" spans="1:8" s="33" customFormat="1" ht="12" customHeight="1" x14ac:dyDescent="0.25">
      <c r="A67" s="49"/>
      <c r="B67" s="42"/>
      <c r="C67" s="52">
        <v>4120</v>
      </c>
      <c r="D67" s="59" t="s">
        <v>20</v>
      </c>
      <c r="E67" s="72">
        <v>1936385</v>
      </c>
      <c r="F67" s="72">
        <v>15050</v>
      </c>
      <c r="G67" s="72"/>
      <c r="H67" s="60">
        <f t="shared" si="12"/>
        <v>1951435</v>
      </c>
    </row>
    <row r="68" spans="1:8" s="33" customFormat="1" ht="12" customHeight="1" x14ac:dyDescent="0.25">
      <c r="A68" s="49"/>
      <c r="B68" s="42"/>
      <c r="C68" s="61">
        <v>4710</v>
      </c>
      <c r="D68" s="62" t="s">
        <v>59</v>
      </c>
      <c r="E68" s="72">
        <v>278153</v>
      </c>
      <c r="F68" s="72">
        <v>9149</v>
      </c>
      <c r="G68" s="72"/>
      <c r="H68" s="60">
        <f t="shared" si="12"/>
        <v>287302</v>
      </c>
    </row>
    <row r="69" spans="1:8" s="33" customFormat="1" ht="12" customHeight="1" x14ac:dyDescent="0.25">
      <c r="A69" s="42"/>
      <c r="B69" s="42">
        <v>80104</v>
      </c>
      <c r="C69" s="43"/>
      <c r="D69" s="53" t="s">
        <v>15</v>
      </c>
      <c r="E69" s="70">
        <v>59126381.730000004</v>
      </c>
      <c r="F69" s="70">
        <f>SUM(F70,)</f>
        <v>515057</v>
      </c>
      <c r="G69" s="70">
        <f>SUM(G70,)</f>
        <v>0</v>
      </c>
      <c r="H69" s="54">
        <f>SUM(E69+F69-G69)</f>
        <v>59641438.730000004</v>
      </c>
    </row>
    <row r="70" spans="1:8" s="33" customFormat="1" ht="12" customHeight="1" x14ac:dyDescent="0.25">
      <c r="A70" s="42"/>
      <c r="B70" s="42"/>
      <c r="C70" s="43"/>
      <c r="D70" s="74" t="s">
        <v>73</v>
      </c>
      <c r="E70" s="58">
        <v>45189108.730000004</v>
      </c>
      <c r="F70" s="58">
        <f>SUM(F71:F74)</f>
        <v>515057</v>
      </c>
      <c r="G70" s="58">
        <f>SUM(G71:G74)</f>
        <v>0</v>
      </c>
      <c r="H70" s="58">
        <f>SUM(E70+F70-G70)</f>
        <v>45704165.730000004</v>
      </c>
    </row>
    <row r="71" spans="1:8" s="33" customFormat="1" ht="12" customHeight="1" x14ac:dyDescent="0.25">
      <c r="A71" s="42"/>
      <c r="B71" s="42"/>
      <c r="C71" s="52">
        <v>4010</v>
      </c>
      <c r="D71" s="59" t="s">
        <v>57</v>
      </c>
      <c r="E71" s="60">
        <v>12026548.74</v>
      </c>
      <c r="F71" s="60">
        <v>406876</v>
      </c>
      <c r="G71" s="60"/>
      <c r="H71" s="60">
        <f t="shared" ref="H71:H87" si="13">SUM(E71+F71-G71)</f>
        <v>12433424.74</v>
      </c>
    </row>
    <row r="72" spans="1:8" s="33" customFormat="1" ht="12" customHeight="1" x14ac:dyDescent="0.25">
      <c r="A72" s="42"/>
      <c r="B72" s="42"/>
      <c r="C72" s="52">
        <v>4110</v>
      </c>
      <c r="D72" s="59" t="s">
        <v>58</v>
      </c>
      <c r="E72" s="60">
        <v>5673814</v>
      </c>
      <c r="F72" s="60">
        <v>87881</v>
      </c>
      <c r="G72" s="60"/>
      <c r="H72" s="60">
        <f t="shared" si="13"/>
        <v>5761695</v>
      </c>
    </row>
    <row r="73" spans="1:8" s="33" customFormat="1" ht="12" customHeight="1" x14ac:dyDescent="0.25">
      <c r="A73" s="42"/>
      <c r="B73" s="42"/>
      <c r="C73" s="52">
        <v>4120</v>
      </c>
      <c r="D73" s="59" t="s">
        <v>20</v>
      </c>
      <c r="E73" s="60">
        <v>801013</v>
      </c>
      <c r="F73" s="60">
        <v>12578</v>
      </c>
      <c r="G73" s="60"/>
      <c r="H73" s="60">
        <f>SUM(E73+F73-G73)</f>
        <v>813591</v>
      </c>
    </row>
    <row r="74" spans="1:8" s="33" customFormat="1" ht="12" customHeight="1" x14ac:dyDescent="0.25">
      <c r="A74" s="42"/>
      <c r="B74" s="42"/>
      <c r="C74" s="61">
        <v>4710</v>
      </c>
      <c r="D74" s="62" t="s">
        <v>59</v>
      </c>
      <c r="E74" s="60">
        <v>180936</v>
      </c>
      <c r="F74" s="60">
        <v>7722</v>
      </c>
      <c r="G74" s="60"/>
      <c r="H74" s="60">
        <f t="shared" si="13"/>
        <v>188658</v>
      </c>
    </row>
    <row r="75" spans="1:8" s="33" customFormat="1" ht="12" customHeight="1" x14ac:dyDescent="0.25">
      <c r="A75" s="42"/>
      <c r="B75" s="42">
        <v>80105</v>
      </c>
      <c r="C75" s="43"/>
      <c r="D75" s="67" t="s">
        <v>74</v>
      </c>
      <c r="E75" s="54">
        <v>1588637.26</v>
      </c>
      <c r="F75" s="70">
        <f>SUM(F76,)</f>
        <v>21890</v>
      </c>
      <c r="G75" s="70">
        <f>SUM(G76,)</f>
        <v>0</v>
      </c>
      <c r="H75" s="54">
        <f t="shared" si="13"/>
        <v>1610527.26</v>
      </c>
    </row>
    <row r="76" spans="1:8" s="33" customFormat="1" ht="12" customHeight="1" x14ac:dyDescent="0.25">
      <c r="A76" s="42"/>
      <c r="B76" s="49"/>
      <c r="C76" s="43"/>
      <c r="D76" s="74" t="s">
        <v>73</v>
      </c>
      <c r="E76" s="58">
        <v>1588637.26</v>
      </c>
      <c r="F76" s="58">
        <f>SUM(F77:F80)</f>
        <v>21890</v>
      </c>
      <c r="G76" s="58">
        <f>SUM(G77:G80)</f>
        <v>0</v>
      </c>
      <c r="H76" s="58">
        <f>SUM(E76+F76-G76)</f>
        <v>1610527.26</v>
      </c>
    </row>
    <row r="77" spans="1:8" s="33" customFormat="1" ht="12" customHeight="1" x14ac:dyDescent="0.25">
      <c r="A77" s="42"/>
      <c r="B77" s="49"/>
      <c r="C77" s="52">
        <v>4010</v>
      </c>
      <c r="D77" s="59" t="s">
        <v>57</v>
      </c>
      <c r="E77" s="60">
        <v>311350</v>
      </c>
      <c r="F77" s="60">
        <v>18050</v>
      </c>
      <c r="G77" s="60"/>
      <c r="H77" s="60">
        <f t="shared" ref="H77:H78" si="14">SUM(E77+F77-G77)</f>
        <v>329400</v>
      </c>
    </row>
    <row r="78" spans="1:8" s="33" customFormat="1" ht="12" customHeight="1" x14ac:dyDescent="0.25">
      <c r="A78" s="42"/>
      <c r="B78" s="49"/>
      <c r="C78" s="52">
        <v>4110</v>
      </c>
      <c r="D78" s="59" t="s">
        <v>58</v>
      </c>
      <c r="E78" s="60">
        <v>199412</v>
      </c>
      <c r="F78" s="60">
        <v>3110</v>
      </c>
      <c r="G78" s="60"/>
      <c r="H78" s="60">
        <f t="shared" si="14"/>
        <v>202522</v>
      </c>
    </row>
    <row r="79" spans="1:8" s="33" customFormat="1" ht="12" customHeight="1" x14ac:dyDescent="0.25">
      <c r="A79" s="42"/>
      <c r="B79" s="49"/>
      <c r="C79" s="52">
        <v>4120</v>
      </c>
      <c r="D79" s="59" t="s">
        <v>20</v>
      </c>
      <c r="E79" s="60">
        <v>36459</v>
      </c>
      <c r="F79" s="60">
        <v>450</v>
      </c>
      <c r="G79" s="60"/>
      <c r="H79" s="60">
        <f>SUM(E79+F79-G79)</f>
        <v>36909</v>
      </c>
    </row>
    <row r="80" spans="1:8" s="33" customFormat="1" ht="12" customHeight="1" x14ac:dyDescent="0.25">
      <c r="A80" s="42"/>
      <c r="B80" s="49"/>
      <c r="C80" s="61">
        <v>4710</v>
      </c>
      <c r="D80" s="62" t="s">
        <v>59</v>
      </c>
      <c r="E80" s="60">
        <v>5547</v>
      </c>
      <c r="F80" s="60">
        <v>280</v>
      </c>
      <c r="G80" s="60"/>
      <c r="H80" s="60">
        <f t="shared" ref="H80" si="15">SUM(E80+F80-G80)</f>
        <v>5827</v>
      </c>
    </row>
    <row r="81" spans="1:8" s="33" customFormat="1" ht="12" customHeight="1" x14ac:dyDescent="0.25">
      <c r="A81" s="42"/>
      <c r="B81" s="42">
        <v>80113</v>
      </c>
      <c r="C81" s="43"/>
      <c r="D81" s="8" t="s">
        <v>75</v>
      </c>
      <c r="E81" s="54">
        <v>790273</v>
      </c>
      <c r="F81" s="70">
        <f>SUM(F82,)</f>
        <v>6294</v>
      </c>
      <c r="G81" s="70">
        <f>SUM(G82,)</f>
        <v>0</v>
      </c>
      <c r="H81" s="54">
        <f t="shared" si="13"/>
        <v>796567</v>
      </c>
    </row>
    <row r="82" spans="1:8" s="33" customFormat="1" ht="12" customHeight="1" x14ac:dyDescent="0.25">
      <c r="A82" s="42"/>
      <c r="B82" s="49"/>
      <c r="C82" s="43"/>
      <c r="D82" s="74" t="s">
        <v>73</v>
      </c>
      <c r="E82" s="58">
        <v>320273</v>
      </c>
      <c r="F82" s="58">
        <f>SUM(F83:F86)</f>
        <v>6294</v>
      </c>
      <c r="G82" s="58">
        <f>SUM(G83:G86)</f>
        <v>0</v>
      </c>
      <c r="H82" s="58">
        <f>SUM(E82+F82-G82)</f>
        <v>326567</v>
      </c>
    </row>
    <row r="83" spans="1:8" s="33" customFormat="1" ht="12" customHeight="1" x14ac:dyDescent="0.25">
      <c r="A83" s="42"/>
      <c r="B83" s="49"/>
      <c r="C83" s="52">
        <v>4010</v>
      </c>
      <c r="D83" s="59" t="s">
        <v>57</v>
      </c>
      <c r="E83" s="60">
        <v>157480</v>
      </c>
      <c r="F83" s="60">
        <v>5199</v>
      </c>
      <c r="G83" s="60"/>
      <c r="H83" s="60">
        <f t="shared" ref="H83:H84" si="16">SUM(E83+F83-G83)</f>
        <v>162679</v>
      </c>
    </row>
    <row r="84" spans="1:8" s="33" customFormat="1" ht="12" customHeight="1" x14ac:dyDescent="0.25">
      <c r="A84" s="42"/>
      <c r="B84" s="49"/>
      <c r="C84" s="52">
        <v>4110</v>
      </c>
      <c r="D84" s="59" t="s">
        <v>58</v>
      </c>
      <c r="E84" s="60">
        <v>29204</v>
      </c>
      <c r="F84" s="60">
        <v>889</v>
      </c>
      <c r="G84" s="60"/>
      <c r="H84" s="60">
        <f t="shared" si="16"/>
        <v>30093</v>
      </c>
    </row>
    <row r="85" spans="1:8" s="33" customFormat="1" ht="12" customHeight="1" x14ac:dyDescent="0.25">
      <c r="A85" s="42"/>
      <c r="B85" s="49"/>
      <c r="C85" s="52">
        <v>4120</v>
      </c>
      <c r="D85" s="59" t="s">
        <v>20</v>
      </c>
      <c r="E85" s="60">
        <v>4162</v>
      </c>
      <c r="F85" s="60">
        <v>128</v>
      </c>
      <c r="G85" s="60"/>
      <c r="H85" s="60">
        <f>SUM(E85+F85-G85)</f>
        <v>4290</v>
      </c>
    </row>
    <row r="86" spans="1:8" s="33" customFormat="1" ht="12" customHeight="1" x14ac:dyDescent="0.25">
      <c r="A86" s="42"/>
      <c r="B86" s="49"/>
      <c r="C86" s="61">
        <v>4710</v>
      </c>
      <c r="D86" s="62" t="s">
        <v>59</v>
      </c>
      <c r="E86" s="60">
        <v>2600</v>
      </c>
      <c r="F86" s="60">
        <v>78</v>
      </c>
      <c r="G86" s="60"/>
      <c r="H86" s="60">
        <f t="shared" ref="H86" si="17">SUM(E86+F86-G86)</f>
        <v>2678</v>
      </c>
    </row>
    <row r="87" spans="1:8" s="33" customFormat="1" ht="12" customHeight="1" x14ac:dyDescent="0.25">
      <c r="A87" s="42"/>
      <c r="B87" s="42">
        <v>80148</v>
      </c>
      <c r="C87" s="43"/>
      <c r="D87" s="8" t="s">
        <v>76</v>
      </c>
      <c r="E87" s="54">
        <v>5185590</v>
      </c>
      <c r="F87" s="70">
        <f>SUM(F88,)</f>
        <v>185743</v>
      </c>
      <c r="G87" s="70">
        <f>SUM(G88,)</f>
        <v>0</v>
      </c>
      <c r="H87" s="54">
        <f t="shared" si="13"/>
        <v>5371333</v>
      </c>
    </row>
    <row r="88" spans="1:8" s="33" customFormat="1" ht="12" customHeight="1" x14ac:dyDescent="0.25">
      <c r="A88" s="42"/>
      <c r="B88" s="49"/>
      <c r="C88" s="43"/>
      <c r="D88" s="74" t="s">
        <v>73</v>
      </c>
      <c r="E88" s="58">
        <v>5185590</v>
      </c>
      <c r="F88" s="58">
        <f>SUM(F89:F92)</f>
        <v>185743</v>
      </c>
      <c r="G88" s="58">
        <f>SUM(G89:G92)</f>
        <v>0</v>
      </c>
      <c r="H88" s="58">
        <f>SUM(E88+F88-G88)</f>
        <v>5371333</v>
      </c>
    </row>
    <row r="89" spans="1:8" s="33" customFormat="1" ht="12" customHeight="1" x14ac:dyDescent="0.25">
      <c r="A89" s="42"/>
      <c r="B89" s="49"/>
      <c r="C89" s="52">
        <v>4010</v>
      </c>
      <c r="D89" s="59" t="s">
        <v>57</v>
      </c>
      <c r="E89" s="60">
        <v>3536698</v>
      </c>
      <c r="F89" s="60">
        <v>153329</v>
      </c>
      <c r="G89" s="60"/>
      <c r="H89" s="60">
        <f t="shared" ref="H89:H90" si="18">SUM(E89+F89-G89)</f>
        <v>3690027</v>
      </c>
    </row>
    <row r="90" spans="1:8" s="33" customFormat="1" ht="12" customHeight="1" x14ac:dyDescent="0.25">
      <c r="A90" s="42"/>
      <c r="B90" s="49"/>
      <c r="C90" s="52">
        <v>4110</v>
      </c>
      <c r="D90" s="59" t="s">
        <v>58</v>
      </c>
      <c r="E90" s="60">
        <v>674617</v>
      </c>
      <c r="F90" s="60">
        <v>26335</v>
      </c>
      <c r="G90" s="60"/>
      <c r="H90" s="60">
        <f t="shared" si="18"/>
        <v>700952</v>
      </c>
    </row>
    <row r="91" spans="1:8" s="33" customFormat="1" ht="12" customHeight="1" x14ac:dyDescent="0.25">
      <c r="A91" s="42"/>
      <c r="B91" s="49"/>
      <c r="C91" s="52">
        <v>4120</v>
      </c>
      <c r="D91" s="59" t="s">
        <v>20</v>
      </c>
      <c r="E91" s="60">
        <v>94688</v>
      </c>
      <c r="F91" s="60">
        <v>3766</v>
      </c>
      <c r="G91" s="60"/>
      <c r="H91" s="60">
        <f>SUM(E91+F91-G91)</f>
        <v>98454</v>
      </c>
    </row>
    <row r="92" spans="1:8" s="33" customFormat="1" ht="12" customHeight="1" x14ac:dyDescent="0.25">
      <c r="A92" s="42"/>
      <c r="B92" s="49"/>
      <c r="C92" s="61">
        <v>4710</v>
      </c>
      <c r="D92" s="62" t="s">
        <v>59</v>
      </c>
      <c r="E92" s="60">
        <v>48977</v>
      </c>
      <c r="F92" s="60">
        <v>2313</v>
      </c>
      <c r="G92" s="60"/>
      <c r="H92" s="60">
        <f t="shared" ref="H92" si="19">SUM(E92+F92-G92)</f>
        <v>51290</v>
      </c>
    </row>
    <row r="93" spans="1:8" s="33" customFormat="1" ht="12" customHeight="1" x14ac:dyDescent="0.25">
      <c r="A93" s="42"/>
      <c r="B93" s="42">
        <v>80195</v>
      </c>
      <c r="C93" s="43"/>
      <c r="D93" s="8" t="s">
        <v>27</v>
      </c>
      <c r="E93" s="70">
        <v>10851002.699999999</v>
      </c>
      <c r="F93" s="70">
        <f>SUM(F94,)</f>
        <v>0</v>
      </c>
      <c r="G93" s="70">
        <f>SUM(G94,)</f>
        <v>18201</v>
      </c>
      <c r="H93" s="54">
        <f>SUM(E93+F93-G93)</f>
        <v>10832801.699999999</v>
      </c>
    </row>
    <row r="94" spans="1:8" s="33" customFormat="1" ht="12" customHeight="1" x14ac:dyDescent="0.25">
      <c r="A94" s="42"/>
      <c r="B94" s="42"/>
      <c r="C94" s="43"/>
      <c r="D94" s="74" t="s">
        <v>14</v>
      </c>
      <c r="E94" s="58">
        <v>1666617.41</v>
      </c>
      <c r="F94" s="58">
        <f>SUM(F95:F95)</f>
        <v>0</v>
      </c>
      <c r="G94" s="58">
        <f>SUM(G95:G95)</f>
        <v>18201</v>
      </c>
      <c r="H94" s="58">
        <f t="shared" ref="H94:H105" si="20">SUM(E94+F94-G94)</f>
        <v>1648416.41</v>
      </c>
    </row>
    <row r="95" spans="1:8" s="33" customFormat="1" ht="12" customHeight="1" x14ac:dyDescent="0.25">
      <c r="A95" s="42"/>
      <c r="B95" s="42"/>
      <c r="C95" s="9">
        <v>4300</v>
      </c>
      <c r="D95" s="10" t="s">
        <v>16</v>
      </c>
      <c r="E95" s="60">
        <v>236572.97</v>
      </c>
      <c r="F95" s="60"/>
      <c r="G95" s="60">
        <v>18201</v>
      </c>
      <c r="H95" s="60">
        <f t="shared" si="20"/>
        <v>218371.97</v>
      </c>
    </row>
    <row r="96" spans="1:8" s="33" customFormat="1" ht="12" customHeight="1" thickBot="1" x14ac:dyDescent="0.3">
      <c r="A96" s="50" t="s">
        <v>77</v>
      </c>
      <c r="B96" s="49"/>
      <c r="C96" s="50"/>
      <c r="D96" s="51" t="s">
        <v>78</v>
      </c>
      <c r="E96" s="47">
        <v>12184212.83</v>
      </c>
      <c r="F96" s="69">
        <f>SUM(F97,)</f>
        <v>55785</v>
      </c>
      <c r="G96" s="69">
        <f>SUM(G97,)</f>
        <v>0</v>
      </c>
      <c r="H96" s="47">
        <f t="shared" si="20"/>
        <v>12239997.83</v>
      </c>
    </row>
    <row r="97" spans="1:8" s="33" customFormat="1" ht="12" customHeight="1" thickTop="1" x14ac:dyDescent="0.25">
      <c r="A97" s="50"/>
      <c r="B97" s="52">
        <v>85154</v>
      </c>
      <c r="C97" s="66"/>
      <c r="D97" s="67" t="s">
        <v>79</v>
      </c>
      <c r="E97" s="54">
        <v>6630167.8300000001</v>
      </c>
      <c r="F97" s="70">
        <f>SUM(F98,F102,)</f>
        <v>55785</v>
      </c>
      <c r="G97" s="70">
        <f>SUM(G98,G102,)</f>
        <v>0</v>
      </c>
      <c r="H97" s="54">
        <f t="shared" si="20"/>
        <v>6685952.8300000001</v>
      </c>
    </row>
    <row r="98" spans="1:8" s="33" customFormat="1" ht="12" customHeight="1" x14ac:dyDescent="0.25">
      <c r="A98" s="50"/>
      <c r="B98" s="52"/>
      <c r="C98" s="43"/>
      <c r="D98" s="88" t="s">
        <v>80</v>
      </c>
      <c r="E98" s="89">
        <v>1540558.88</v>
      </c>
      <c r="F98" s="71">
        <f>SUM(F99:F101)</f>
        <v>30673</v>
      </c>
      <c r="G98" s="71">
        <f>SUM(G99:G101)</f>
        <v>0</v>
      </c>
      <c r="H98" s="58">
        <f t="shared" si="20"/>
        <v>1571231.88</v>
      </c>
    </row>
    <row r="99" spans="1:8" s="33" customFormat="1" ht="12" customHeight="1" x14ac:dyDescent="0.25">
      <c r="A99" s="50"/>
      <c r="B99" s="52"/>
      <c r="C99" s="52">
        <v>4010</v>
      </c>
      <c r="D99" s="59" t="s">
        <v>57</v>
      </c>
      <c r="E99" s="72">
        <v>666858.88</v>
      </c>
      <c r="F99" s="72">
        <v>25605</v>
      </c>
      <c r="G99" s="72"/>
      <c r="H99" s="60">
        <f>SUM(E99+F99-G99)</f>
        <v>692463.88</v>
      </c>
    </row>
    <row r="100" spans="1:8" s="33" customFormat="1" ht="12" customHeight="1" x14ac:dyDescent="0.25">
      <c r="A100" s="50"/>
      <c r="B100" s="52"/>
      <c r="C100" s="52">
        <v>4110</v>
      </c>
      <c r="D100" s="59" t="s">
        <v>58</v>
      </c>
      <c r="E100" s="60">
        <v>123540</v>
      </c>
      <c r="F100" s="72">
        <v>4440</v>
      </c>
      <c r="G100" s="72"/>
      <c r="H100" s="72">
        <f t="shared" si="20"/>
        <v>127980</v>
      </c>
    </row>
    <row r="101" spans="1:8" s="33" customFormat="1" ht="12" customHeight="1" x14ac:dyDescent="0.25">
      <c r="A101" s="50"/>
      <c r="B101" s="52"/>
      <c r="C101" s="52">
        <v>4120</v>
      </c>
      <c r="D101" s="59" t="s">
        <v>20</v>
      </c>
      <c r="E101" s="13">
        <v>17705</v>
      </c>
      <c r="F101" s="72">
        <v>628</v>
      </c>
      <c r="G101" s="72"/>
      <c r="H101" s="72">
        <f t="shared" si="20"/>
        <v>18333</v>
      </c>
    </row>
    <row r="102" spans="1:8" s="33" customFormat="1" ht="12" customHeight="1" x14ac:dyDescent="0.25">
      <c r="A102" s="50"/>
      <c r="B102" s="52"/>
      <c r="C102" s="90"/>
      <c r="D102" s="68" t="s">
        <v>81</v>
      </c>
      <c r="E102" s="91">
        <v>3149930</v>
      </c>
      <c r="F102" s="92">
        <f>SUM(F103:F105)</f>
        <v>25112</v>
      </c>
      <c r="G102" s="92">
        <f>SUM(G103:G105)</f>
        <v>0</v>
      </c>
      <c r="H102" s="91">
        <f t="shared" si="20"/>
        <v>3175042</v>
      </c>
    </row>
    <row r="103" spans="1:8" s="33" customFormat="1" ht="12" customHeight="1" x14ac:dyDescent="0.25">
      <c r="A103" s="50"/>
      <c r="B103" s="52"/>
      <c r="C103" s="52">
        <v>4010</v>
      </c>
      <c r="D103" s="59" t="s">
        <v>57</v>
      </c>
      <c r="E103" s="93">
        <v>491448</v>
      </c>
      <c r="F103" s="94">
        <v>20861</v>
      </c>
      <c r="G103" s="94"/>
      <c r="H103" s="93">
        <f t="shared" si="20"/>
        <v>512309</v>
      </c>
    </row>
    <row r="104" spans="1:8" s="33" customFormat="1" ht="12" customHeight="1" x14ac:dyDescent="0.25">
      <c r="A104" s="50"/>
      <c r="B104" s="52"/>
      <c r="C104" s="52">
        <v>4110</v>
      </c>
      <c r="D104" s="59" t="s">
        <v>58</v>
      </c>
      <c r="E104" s="93">
        <v>94652</v>
      </c>
      <c r="F104" s="94">
        <v>3740</v>
      </c>
      <c r="G104" s="94"/>
      <c r="H104" s="93">
        <f t="shared" si="20"/>
        <v>98392</v>
      </c>
    </row>
    <row r="105" spans="1:8" s="33" customFormat="1" ht="12" customHeight="1" x14ac:dyDescent="0.25">
      <c r="A105" s="50"/>
      <c r="B105" s="52"/>
      <c r="C105" s="52">
        <v>4120</v>
      </c>
      <c r="D105" s="59" t="s">
        <v>20</v>
      </c>
      <c r="E105" s="93">
        <v>12142</v>
      </c>
      <c r="F105" s="94">
        <v>511</v>
      </c>
      <c r="G105" s="94"/>
      <c r="H105" s="93">
        <f t="shared" si="20"/>
        <v>12653</v>
      </c>
    </row>
    <row r="106" spans="1:8" s="33" customFormat="1" ht="12" customHeight="1" thickBot="1" x14ac:dyDescent="0.3">
      <c r="A106" s="50" t="s">
        <v>82</v>
      </c>
      <c r="B106" s="49"/>
      <c r="C106" s="50"/>
      <c r="D106" s="51" t="s">
        <v>83</v>
      </c>
      <c r="E106" s="1">
        <v>88216109.849999994</v>
      </c>
      <c r="F106" s="69">
        <f>SUM(F107,F117,F127,F133,F139)</f>
        <v>1162181.7100000002</v>
      </c>
      <c r="G106" s="69">
        <f>SUM(G107,G117,G127,G133,G139)</f>
        <v>0</v>
      </c>
      <c r="H106" s="47">
        <f>SUM(E106+F106-G106)</f>
        <v>89378291.559999987</v>
      </c>
    </row>
    <row r="107" spans="1:8" s="33" customFormat="1" ht="12" customHeight="1" thickTop="1" x14ac:dyDescent="0.25">
      <c r="A107" s="50"/>
      <c r="B107" s="42">
        <v>85202</v>
      </c>
      <c r="C107" s="43"/>
      <c r="D107" s="83" t="s">
        <v>84</v>
      </c>
      <c r="E107" s="54">
        <v>26270914.879999999</v>
      </c>
      <c r="F107" s="70">
        <f>SUM(F108,F113)</f>
        <v>236143.71000000002</v>
      </c>
      <c r="G107" s="70">
        <f>SUM(G108,G113)</f>
        <v>0</v>
      </c>
      <c r="H107" s="54">
        <f>SUM(E107+F107-G107)</f>
        <v>26507058.59</v>
      </c>
    </row>
    <row r="108" spans="1:8" s="33" customFormat="1" ht="12" customHeight="1" x14ac:dyDescent="0.25">
      <c r="A108" s="50"/>
      <c r="B108" s="52"/>
      <c r="C108" s="43"/>
      <c r="D108" s="74" t="s">
        <v>85</v>
      </c>
      <c r="E108" s="58">
        <v>6219640.2799999993</v>
      </c>
      <c r="F108" s="71">
        <f>SUM(F109:F112)</f>
        <v>143662.71000000002</v>
      </c>
      <c r="G108" s="71">
        <f>SUM(G109:G112)</f>
        <v>0</v>
      </c>
      <c r="H108" s="58">
        <f t="shared" ref="H108:H138" si="21">SUM(E108+F108-G108)</f>
        <v>6363302.9899999993</v>
      </c>
    </row>
    <row r="109" spans="1:8" s="33" customFormat="1" ht="12" customHeight="1" x14ac:dyDescent="0.25">
      <c r="A109" s="50"/>
      <c r="B109" s="52"/>
      <c r="C109" s="52">
        <v>4010</v>
      </c>
      <c r="D109" s="59" t="s">
        <v>57</v>
      </c>
      <c r="E109" s="72">
        <v>3613441</v>
      </c>
      <c r="F109" s="72">
        <v>118450.72</v>
      </c>
      <c r="G109" s="95"/>
      <c r="H109" s="72">
        <f t="shared" si="21"/>
        <v>3731891.72</v>
      </c>
    </row>
    <row r="110" spans="1:8" s="33" customFormat="1" ht="12" customHeight="1" x14ac:dyDescent="0.25">
      <c r="A110" s="50"/>
      <c r="B110" s="52"/>
      <c r="C110" s="52">
        <v>4110</v>
      </c>
      <c r="D110" s="59" t="s">
        <v>58</v>
      </c>
      <c r="E110" s="72">
        <v>688489</v>
      </c>
      <c r="F110" s="72">
        <v>20681.5</v>
      </c>
      <c r="G110" s="95"/>
      <c r="H110" s="72">
        <f t="shared" si="21"/>
        <v>709170.5</v>
      </c>
    </row>
    <row r="111" spans="1:8" s="33" customFormat="1" ht="12" customHeight="1" x14ac:dyDescent="0.25">
      <c r="A111" s="50"/>
      <c r="B111" s="52"/>
      <c r="C111" s="52">
        <v>4120</v>
      </c>
      <c r="D111" s="59" t="s">
        <v>20</v>
      </c>
      <c r="E111" s="72">
        <v>95435</v>
      </c>
      <c r="F111" s="72">
        <v>2902.04</v>
      </c>
      <c r="G111" s="95"/>
      <c r="H111" s="72">
        <f t="shared" si="21"/>
        <v>98337.04</v>
      </c>
    </row>
    <row r="112" spans="1:8" s="33" customFormat="1" ht="12" customHeight="1" x14ac:dyDescent="0.25">
      <c r="A112" s="50"/>
      <c r="B112" s="52"/>
      <c r="C112" s="61">
        <v>4710</v>
      </c>
      <c r="D112" s="62" t="s">
        <v>59</v>
      </c>
      <c r="E112" s="72">
        <v>5570</v>
      </c>
      <c r="F112" s="72">
        <v>1628.45</v>
      </c>
      <c r="G112" s="95"/>
      <c r="H112" s="72">
        <f t="shared" si="21"/>
        <v>7198.45</v>
      </c>
    </row>
    <row r="113" spans="1:8" s="33" customFormat="1" ht="12" customHeight="1" x14ac:dyDescent="0.25">
      <c r="A113" s="50"/>
      <c r="B113" s="52"/>
      <c r="C113" s="43"/>
      <c r="D113" s="74" t="s">
        <v>86</v>
      </c>
      <c r="E113" s="58">
        <v>5697528</v>
      </c>
      <c r="F113" s="71">
        <f>SUM(F114:F116)</f>
        <v>92481</v>
      </c>
      <c r="G113" s="71">
        <f>SUM(G114:G116)</f>
        <v>0</v>
      </c>
      <c r="H113" s="58">
        <f t="shared" si="21"/>
        <v>5790009</v>
      </c>
    </row>
    <row r="114" spans="1:8" s="33" customFormat="1" ht="12" customHeight="1" x14ac:dyDescent="0.25">
      <c r="A114" s="50"/>
      <c r="B114" s="52"/>
      <c r="C114" s="52">
        <v>4010</v>
      </c>
      <c r="D114" s="59" t="s">
        <v>57</v>
      </c>
      <c r="E114" s="72">
        <v>3116580</v>
      </c>
      <c r="F114" s="72">
        <v>77280</v>
      </c>
      <c r="G114" s="95"/>
      <c r="H114" s="72">
        <f t="shared" si="21"/>
        <v>3193860</v>
      </c>
    </row>
    <row r="115" spans="1:8" s="33" customFormat="1" ht="12" customHeight="1" x14ac:dyDescent="0.25">
      <c r="A115" s="50"/>
      <c r="B115" s="52"/>
      <c r="C115" s="52">
        <v>4110</v>
      </c>
      <c r="D115" s="59" t="s">
        <v>58</v>
      </c>
      <c r="E115" s="72">
        <v>557225</v>
      </c>
      <c r="F115" s="72">
        <v>13308</v>
      </c>
      <c r="G115" s="95"/>
      <c r="H115" s="72">
        <f t="shared" si="21"/>
        <v>570533</v>
      </c>
    </row>
    <row r="116" spans="1:8" s="33" customFormat="1" ht="12" customHeight="1" x14ac:dyDescent="0.25">
      <c r="A116" s="50"/>
      <c r="B116" s="52"/>
      <c r="C116" s="52">
        <v>4120</v>
      </c>
      <c r="D116" s="59" t="s">
        <v>20</v>
      </c>
      <c r="E116" s="72">
        <v>79253</v>
      </c>
      <c r="F116" s="72">
        <v>1893</v>
      </c>
      <c r="G116" s="95"/>
      <c r="H116" s="72">
        <f t="shared" si="21"/>
        <v>81146</v>
      </c>
    </row>
    <row r="117" spans="1:8" s="33" customFormat="1" ht="12" customHeight="1" x14ac:dyDescent="0.25">
      <c r="A117" s="50"/>
      <c r="B117" s="52">
        <v>85203</v>
      </c>
      <c r="C117" s="34"/>
      <c r="D117" s="67" t="s">
        <v>87</v>
      </c>
      <c r="E117" s="96">
        <v>1690511.7799999998</v>
      </c>
      <c r="F117" s="97">
        <f>SUM(F118,F123)</f>
        <v>60179.22</v>
      </c>
      <c r="G117" s="97">
        <f>SUM(G118,G123)</f>
        <v>0</v>
      </c>
      <c r="H117" s="96">
        <f t="shared" si="21"/>
        <v>1750690.9999999998</v>
      </c>
    </row>
    <row r="118" spans="1:8" s="33" customFormat="1" ht="12" customHeight="1" x14ac:dyDescent="0.25">
      <c r="A118" s="50"/>
      <c r="B118" s="52"/>
      <c r="C118" s="43"/>
      <c r="D118" s="74" t="s">
        <v>88</v>
      </c>
      <c r="E118" s="91">
        <v>301659.2</v>
      </c>
      <c r="F118" s="92">
        <f>SUM(F119:F122)</f>
        <v>36173</v>
      </c>
      <c r="G118" s="92">
        <f>SUM(G119:G122)</f>
        <v>0</v>
      </c>
      <c r="H118" s="91">
        <f t="shared" si="21"/>
        <v>337832.2</v>
      </c>
    </row>
    <row r="119" spans="1:8" s="33" customFormat="1" ht="12" customHeight="1" x14ac:dyDescent="0.25">
      <c r="A119" s="50"/>
      <c r="B119" s="98"/>
      <c r="C119" s="52">
        <v>4010</v>
      </c>
      <c r="D119" s="59" t="s">
        <v>57</v>
      </c>
      <c r="E119" s="93">
        <v>123055.2</v>
      </c>
      <c r="F119" s="94">
        <v>2400</v>
      </c>
      <c r="G119" s="94"/>
      <c r="H119" s="93">
        <f t="shared" si="21"/>
        <v>125455.2</v>
      </c>
    </row>
    <row r="120" spans="1:8" s="33" customFormat="1" ht="12" customHeight="1" x14ac:dyDescent="0.25">
      <c r="A120" s="50"/>
      <c r="B120" s="98"/>
      <c r="C120" s="52">
        <v>4110</v>
      </c>
      <c r="D120" s="59" t="s">
        <v>58</v>
      </c>
      <c r="E120" s="93">
        <v>22534</v>
      </c>
      <c r="F120" s="94">
        <v>414</v>
      </c>
      <c r="G120" s="94"/>
      <c r="H120" s="93">
        <f t="shared" si="21"/>
        <v>22948</v>
      </c>
    </row>
    <row r="121" spans="1:8" s="33" customFormat="1" ht="12" customHeight="1" x14ac:dyDescent="0.25">
      <c r="A121" s="50"/>
      <c r="B121" s="98"/>
      <c r="C121" s="52">
        <v>4120</v>
      </c>
      <c r="D121" s="59" t="s">
        <v>20</v>
      </c>
      <c r="E121" s="93">
        <v>3704</v>
      </c>
      <c r="F121" s="94">
        <v>59</v>
      </c>
      <c r="G121" s="94"/>
      <c r="H121" s="93">
        <f t="shared" si="21"/>
        <v>3763</v>
      </c>
    </row>
    <row r="122" spans="1:8" s="33" customFormat="1" ht="12" customHeight="1" x14ac:dyDescent="0.25">
      <c r="A122" s="99"/>
      <c r="B122" s="100"/>
      <c r="C122" s="101">
        <v>4270</v>
      </c>
      <c r="D122" s="102" t="s">
        <v>28</v>
      </c>
      <c r="E122" s="97">
        <v>0</v>
      </c>
      <c r="F122" s="96">
        <v>33300</v>
      </c>
      <c r="G122" s="96"/>
      <c r="H122" s="97">
        <f t="shared" si="21"/>
        <v>33300</v>
      </c>
    </row>
    <row r="123" spans="1:8" s="33" customFormat="1" ht="24" customHeight="1" x14ac:dyDescent="0.25">
      <c r="A123" s="50"/>
      <c r="B123" s="98"/>
      <c r="C123" s="43"/>
      <c r="D123" s="103" t="s">
        <v>89</v>
      </c>
      <c r="E123" s="58">
        <v>1388852.5799999998</v>
      </c>
      <c r="F123" s="71">
        <f>SUM(F124:F126)</f>
        <v>24006.22</v>
      </c>
      <c r="G123" s="71">
        <f>SUM(G124:G126)</f>
        <v>0</v>
      </c>
      <c r="H123" s="58">
        <f t="shared" si="21"/>
        <v>1412858.7999999998</v>
      </c>
    </row>
    <row r="124" spans="1:8" s="33" customFormat="1" ht="12" customHeight="1" x14ac:dyDescent="0.25">
      <c r="A124" s="50"/>
      <c r="B124" s="98"/>
      <c r="C124" s="52">
        <v>4010</v>
      </c>
      <c r="D124" s="59" t="s">
        <v>57</v>
      </c>
      <c r="E124" s="72">
        <v>666658.76</v>
      </c>
      <c r="F124" s="60">
        <v>20020.2</v>
      </c>
      <c r="G124" s="60"/>
      <c r="H124" s="72">
        <f t="shared" si="21"/>
        <v>686678.96</v>
      </c>
    </row>
    <row r="125" spans="1:8" s="33" customFormat="1" ht="12" customHeight="1" x14ac:dyDescent="0.25">
      <c r="A125" s="50"/>
      <c r="B125" s="98"/>
      <c r="C125" s="52">
        <v>4110</v>
      </c>
      <c r="D125" s="59" t="s">
        <v>58</v>
      </c>
      <c r="E125" s="72">
        <v>147696.97</v>
      </c>
      <c r="F125" s="60">
        <v>3495.53</v>
      </c>
      <c r="G125" s="60"/>
      <c r="H125" s="72">
        <f t="shared" si="21"/>
        <v>151192.5</v>
      </c>
    </row>
    <row r="126" spans="1:8" s="33" customFormat="1" ht="12" customHeight="1" x14ac:dyDescent="0.25">
      <c r="A126" s="50"/>
      <c r="B126" s="98"/>
      <c r="C126" s="52">
        <v>4120</v>
      </c>
      <c r="D126" s="59" t="s">
        <v>20</v>
      </c>
      <c r="E126" s="60">
        <v>21712.15</v>
      </c>
      <c r="F126" s="72">
        <v>490.49</v>
      </c>
      <c r="G126" s="72"/>
      <c r="H126" s="72">
        <f t="shared" si="21"/>
        <v>22202.640000000003</v>
      </c>
    </row>
    <row r="127" spans="1:8" s="33" customFormat="1" ht="12" customHeight="1" x14ac:dyDescent="0.25">
      <c r="A127" s="49"/>
      <c r="B127" s="52">
        <v>85219</v>
      </c>
      <c r="C127" s="66"/>
      <c r="D127" s="67" t="s">
        <v>90</v>
      </c>
      <c r="E127" s="54">
        <v>19601688.339999996</v>
      </c>
      <c r="F127" s="70">
        <f>SUM(F128)</f>
        <v>731950</v>
      </c>
      <c r="G127" s="70">
        <f>SUM(G128)</f>
        <v>0</v>
      </c>
      <c r="H127" s="54">
        <f t="shared" si="21"/>
        <v>20333638.339999996</v>
      </c>
    </row>
    <row r="128" spans="1:8" s="33" customFormat="1" ht="12" customHeight="1" x14ac:dyDescent="0.25">
      <c r="A128" s="49"/>
      <c r="B128" s="48"/>
      <c r="C128" s="9"/>
      <c r="D128" s="104" t="s">
        <v>80</v>
      </c>
      <c r="E128" s="58">
        <v>19429794.339999996</v>
      </c>
      <c r="F128" s="71">
        <f>SUM(F129:F131)</f>
        <v>731950</v>
      </c>
      <c r="G128" s="71">
        <f>SUM(G129:G131)</f>
        <v>0</v>
      </c>
      <c r="H128" s="58">
        <f t="shared" si="21"/>
        <v>20161744.339999996</v>
      </c>
    </row>
    <row r="129" spans="1:8" s="33" customFormat="1" ht="12" customHeight="1" x14ac:dyDescent="0.25">
      <c r="A129" s="49"/>
      <c r="B129" s="48"/>
      <c r="C129" s="52">
        <v>4010</v>
      </c>
      <c r="D129" s="59" t="s">
        <v>57</v>
      </c>
      <c r="E129" s="60">
        <v>13772034.939999999</v>
      </c>
      <c r="F129" s="72">
        <v>611028</v>
      </c>
      <c r="G129" s="72"/>
      <c r="H129" s="60">
        <f t="shared" si="21"/>
        <v>14383062.939999999</v>
      </c>
    </row>
    <row r="130" spans="1:8" s="33" customFormat="1" ht="12" customHeight="1" x14ac:dyDescent="0.25">
      <c r="A130" s="49"/>
      <c r="B130" s="48"/>
      <c r="C130" s="52">
        <v>4110</v>
      </c>
      <c r="D130" s="59" t="s">
        <v>58</v>
      </c>
      <c r="E130" s="60">
        <v>2476843</v>
      </c>
      <c r="F130" s="72">
        <v>105952</v>
      </c>
      <c r="G130" s="72"/>
      <c r="H130" s="60">
        <f t="shared" si="21"/>
        <v>2582795</v>
      </c>
    </row>
    <row r="131" spans="1:8" s="33" customFormat="1" ht="11.25" customHeight="1" x14ac:dyDescent="0.25">
      <c r="A131" s="49"/>
      <c r="B131" s="48"/>
      <c r="C131" s="52">
        <v>4120</v>
      </c>
      <c r="D131" s="59" t="s">
        <v>20</v>
      </c>
      <c r="E131" s="60">
        <v>267400</v>
      </c>
      <c r="F131" s="60">
        <v>14970</v>
      </c>
      <c r="G131" s="72"/>
      <c r="H131" s="60">
        <f t="shared" si="21"/>
        <v>282370</v>
      </c>
    </row>
    <row r="132" spans="1:8" s="33" customFormat="1" ht="11.25" customHeight="1" x14ac:dyDescent="0.25">
      <c r="A132" s="49"/>
      <c r="B132" s="52">
        <v>85220</v>
      </c>
      <c r="C132" s="66"/>
      <c r="D132" s="42" t="s">
        <v>91</v>
      </c>
      <c r="E132" s="60"/>
      <c r="F132" s="60"/>
      <c r="G132" s="72"/>
      <c r="H132" s="60"/>
    </row>
    <row r="133" spans="1:8" s="33" customFormat="1" ht="12" customHeight="1" x14ac:dyDescent="0.25">
      <c r="A133" s="49"/>
      <c r="B133" s="65"/>
      <c r="C133" s="66"/>
      <c r="D133" s="67" t="s">
        <v>92</v>
      </c>
      <c r="E133" s="54">
        <v>1038976.46</v>
      </c>
      <c r="F133" s="70">
        <f>SUM(F135)</f>
        <v>34590</v>
      </c>
      <c r="G133" s="70">
        <f>SUM(G135)</f>
        <v>0</v>
      </c>
      <c r="H133" s="54">
        <f t="shared" si="21"/>
        <v>1073566.46</v>
      </c>
    </row>
    <row r="134" spans="1:8" s="111" customFormat="1" ht="12" customHeight="1" x14ac:dyDescent="0.25">
      <c r="A134" s="105"/>
      <c r="B134" s="106"/>
      <c r="C134" s="107"/>
      <c r="D134" s="108" t="s">
        <v>93</v>
      </c>
      <c r="E134" s="109"/>
      <c r="F134" s="110"/>
      <c r="G134" s="110"/>
      <c r="H134" s="109"/>
    </row>
    <row r="135" spans="1:8" s="33" customFormat="1" ht="12" customHeight="1" x14ac:dyDescent="0.25">
      <c r="A135" s="49"/>
      <c r="B135" s="52"/>
      <c r="C135" s="43"/>
      <c r="D135" s="104" t="s">
        <v>94</v>
      </c>
      <c r="E135" s="58">
        <v>995796.46</v>
      </c>
      <c r="F135" s="71">
        <f>SUM(F136:F138)</f>
        <v>34590</v>
      </c>
      <c r="G135" s="71">
        <f>SUM(G136:G138)</f>
        <v>0</v>
      </c>
      <c r="H135" s="58">
        <f t="shared" si="21"/>
        <v>1030386.46</v>
      </c>
    </row>
    <row r="136" spans="1:8" s="33" customFormat="1" ht="12" customHeight="1" x14ac:dyDescent="0.25">
      <c r="A136" s="49"/>
      <c r="B136" s="52"/>
      <c r="C136" s="52">
        <v>4010</v>
      </c>
      <c r="D136" s="59" t="s">
        <v>57</v>
      </c>
      <c r="E136" s="60">
        <v>621768.46</v>
      </c>
      <c r="F136" s="72">
        <v>28875</v>
      </c>
      <c r="G136" s="72"/>
      <c r="H136" s="72">
        <f t="shared" si="21"/>
        <v>650643.46</v>
      </c>
    </row>
    <row r="137" spans="1:8" s="33" customFormat="1" ht="12" customHeight="1" x14ac:dyDescent="0.25">
      <c r="A137" s="49"/>
      <c r="B137" s="52"/>
      <c r="C137" s="52">
        <v>4110</v>
      </c>
      <c r="D137" s="59" t="s">
        <v>58</v>
      </c>
      <c r="E137" s="60">
        <v>111880</v>
      </c>
      <c r="F137" s="72">
        <v>5007</v>
      </c>
      <c r="G137" s="72"/>
      <c r="H137" s="72">
        <f t="shared" si="21"/>
        <v>116887</v>
      </c>
    </row>
    <row r="138" spans="1:8" s="33" customFormat="1" ht="12" customHeight="1" x14ac:dyDescent="0.25">
      <c r="A138" s="49"/>
      <c r="B138" s="52"/>
      <c r="C138" s="52">
        <v>4120</v>
      </c>
      <c r="D138" s="59" t="s">
        <v>20</v>
      </c>
      <c r="E138" s="60">
        <v>15102</v>
      </c>
      <c r="F138" s="72">
        <v>708</v>
      </c>
      <c r="G138" s="72"/>
      <c r="H138" s="72">
        <f t="shared" si="21"/>
        <v>15810</v>
      </c>
    </row>
    <row r="139" spans="1:8" s="33" customFormat="1" ht="12" customHeight="1" x14ac:dyDescent="0.25">
      <c r="A139" s="49"/>
      <c r="B139" s="42">
        <v>85295</v>
      </c>
      <c r="C139" s="43"/>
      <c r="D139" s="53" t="s">
        <v>27</v>
      </c>
      <c r="E139" s="54">
        <v>7260766.2699999996</v>
      </c>
      <c r="F139" s="54">
        <f>SUM(F140,F144,F150)</f>
        <v>99318.78</v>
      </c>
      <c r="G139" s="54">
        <f>SUM(G140,G144,G150)</f>
        <v>0</v>
      </c>
      <c r="H139" s="54">
        <f>SUM(E139+F139-G139)</f>
        <v>7360085.0499999998</v>
      </c>
    </row>
    <row r="140" spans="1:8" s="33" customFormat="1" ht="12" customHeight="1" x14ac:dyDescent="0.25">
      <c r="A140" s="49"/>
      <c r="B140" s="49"/>
      <c r="C140" s="112"/>
      <c r="D140" s="74" t="s">
        <v>95</v>
      </c>
      <c r="E140" s="58">
        <v>1987545.42</v>
      </c>
      <c r="F140" s="71">
        <f>SUM(F141:F143)</f>
        <v>67509</v>
      </c>
      <c r="G140" s="71">
        <f>SUM(G141:G143)</f>
        <v>0</v>
      </c>
      <c r="H140" s="58">
        <f t="shared" ref="H140:H147" si="22">SUM(E140+F140-G140)</f>
        <v>2055054.42</v>
      </c>
    </row>
    <row r="141" spans="1:8" s="33" customFormat="1" ht="12" customHeight="1" x14ac:dyDescent="0.25">
      <c r="A141" s="49"/>
      <c r="B141" s="49"/>
      <c r="C141" s="52">
        <v>4010</v>
      </c>
      <c r="D141" s="59" t="s">
        <v>57</v>
      </c>
      <c r="E141" s="60">
        <v>1117680.42</v>
      </c>
      <c r="F141" s="72">
        <v>56356</v>
      </c>
      <c r="G141" s="72"/>
      <c r="H141" s="72">
        <f t="shared" si="22"/>
        <v>1174036.42</v>
      </c>
    </row>
    <row r="142" spans="1:8" s="33" customFormat="1" ht="12" customHeight="1" x14ac:dyDescent="0.25">
      <c r="A142" s="49"/>
      <c r="B142" s="49"/>
      <c r="C142" s="52">
        <v>4110</v>
      </c>
      <c r="D142" s="59" t="s">
        <v>58</v>
      </c>
      <c r="E142" s="60">
        <v>205246</v>
      </c>
      <c r="F142" s="72">
        <v>9772</v>
      </c>
      <c r="G142" s="72"/>
      <c r="H142" s="72">
        <f t="shared" si="22"/>
        <v>215018</v>
      </c>
    </row>
    <row r="143" spans="1:8" s="33" customFormat="1" ht="12" customHeight="1" x14ac:dyDescent="0.25">
      <c r="A143" s="49"/>
      <c r="B143" s="49"/>
      <c r="C143" s="52">
        <v>4120</v>
      </c>
      <c r="D143" s="59" t="s">
        <v>20</v>
      </c>
      <c r="E143" s="72">
        <v>24288</v>
      </c>
      <c r="F143" s="72">
        <v>1381</v>
      </c>
      <c r="G143" s="72"/>
      <c r="H143" s="72">
        <f t="shared" si="22"/>
        <v>25669</v>
      </c>
    </row>
    <row r="144" spans="1:8" s="33" customFormat="1" ht="24.75" customHeight="1" x14ac:dyDescent="0.25">
      <c r="A144" s="49"/>
      <c r="B144" s="49"/>
      <c r="C144" s="112"/>
      <c r="D144" s="113" t="s">
        <v>96</v>
      </c>
      <c r="E144" s="58">
        <v>838167.6</v>
      </c>
      <c r="F144" s="71">
        <f>SUM(F145:F147)</f>
        <v>15482.78</v>
      </c>
      <c r="G144" s="71">
        <f>SUM(G145:G147)</f>
        <v>0</v>
      </c>
      <c r="H144" s="58">
        <f t="shared" si="22"/>
        <v>853650.38</v>
      </c>
    </row>
    <row r="145" spans="1:8" s="33" customFormat="1" ht="12" customHeight="1" x14ac:dyDescent="0.25">
      <c r="A145" s="49"/>
      <c r="B145" s="49"/>
      <c r="C145" s="52">
        <v>4010</v>
      </c>
      <c r="D145" s="59" t="s">
        <v>57</v>
      </c>
      <c r="E145" s="60">
        <v>447073.4</v>
      </c>
      <c r="F145" s="72">
        <v>12912</v>
      </c>
      <c r="G145" s="72"/>
      <c r="H145" s="72">
        <f t="shared" si="22"/>
        <v>459985.4</v>
      </c>
    </row>
    <row r="146" spans="1:8" s="33" customFormat="1" ht="12" customHeight="1" x14ac:dyDescent="0.25">
      <c r="A146" s="49"/>
      <c r="B146" s="49"/>
      <c r="C146" s="52">
        <v>4110</v>
      </c>
      <c r="D146" s="59" t="s">
        <v>58</v>
      </c>
      <c r="E146" s="60">
        <v>100000</v>
      </c>
      <c r="F146" s="72">
        <v>2254.44</v>
      </c>
      <c r="G146" s="72"/>
      <c r="H146" s="72">
        <f t="shared" si="22"/>
        <v>102254.44</v>
      </c>
    </row>
    <row r="147" spans="1:8" s="33" customFormat="1" ht="12" customHeight="1" x14ac:dyDescent="0.25">
      <c r="A147" s="49"/>
      <c r="B147" s="49"/>
      <c r="C147" s="52">
        <v>4120</v>
      </c>
      <c r="D147" s="59" t="s">
        <v>20</v>
      </c>
      <c r="E147" s="72">
        <v>16644</v>
      </c>
      <c r="F147" s="72">
        <v>316.33999999999997</v>
      </c>
      <c r="G147" s="72"/>
      <c r="H147" s="72">
        <f t="shared" si="22"/>
        <v>16960.34</v>
      </c>
    </row>
    <row r="148" spans="1:8" s="33" customFormat="1" ht="12" customHeight="1" x14ac:dyDescent="0.25">
      <c r="A148" s="49"/>
      <c r="B148" s="49"/>
      <c r="C148" s="43"/>
      <c r="D148" s="114" t="s">
        <v>97</v>
      </c>
      <c r="E148" s="60"/>
      <c r="F148" s="60"/>
      <c r="G148" s="60"/>
      <c r="H148" s="60"/>
    </row>
    <row r="149" spans="1:8" s="33" customFormat="1" ht="12" customHeight="1" x14ac:dyDescent="0.25">
      <c r="A149" s="49"/>
      <c r="B149" s="49"/>
      <c r="C149" s="43"/>
      <c r="D149" s="114" t="s">
        <v>98</v>
      </c>
      <c r="E149" s="60"/>
      <c r="F149" s="60"/>
      <c r="G149" s="60"/>
      <c r="H149" s="60"/>
    </row>
    <row r="150" spans="1:8" s="33" customFormat="1" ht="12" customHeight="1" x14ac:dyDescent="0.25">
      <c r="A150" s="49"/>
      <c r="B150" s="49"/>
      <c r="C150" s="52"/>
      <c r="D150" s="115" t="s">
        <v>99</v>
      </c>
      <c r="E150" s="58">
        <v>514748.2</v>
      </c>
      <c r="F150" s="58">
        <f>SUM(F151:F153)</f>
        <v>16327</v>
      </c>
      <c r="G150" s="58">
        <f>SUM(G151:G153)</f>
        <v>0</v>
      </c>
      <c r="H150" s="58">
        <f>SUM(E150+F150-G150)</f>
        <v>531075.19999999995</v>
      </c>
    </row>
    <row r="151" spans="1:8" s="33" customFormat="1" ht="12" customHeight="1" x14ac:dyDescent="0.25">
      <c r="A151" s="49"/>
      <c r="B151" s="49"/>
      <c r="C151" s="52">
        <v>4010</v>
      </c>
      <c r="D151" s="59" t="s">
        <v>57</v>
      </c>
      <c r="E151" s="72">
        <v>347876.2</v>
      </c>
      <c r="F151" s="72">
        <v>13630</v>
      </c>
      <c r="G151" s="72"/>
      <c r="H151" s="72">
        <f t="shared" ref="H151:H157" si="23">SUM(E151+F151-G151)</f>
        <v>361506.2</v>
      </c>
    </row>
    <row r="152" spans="1:8" s="33" customFormat="1" ht="12" customHeight="1" x14ac:dyDescent="0.25">
      <c r="A152" s="49"/>
      <c r="B152" s="49"/>
      <c r="C152" s="52">
        <v>4110</v>
      </c>
      <c r="D152" s="59" t="s">
        <v>58</v>
      </c>
      <c r="E152" s="72">
        <v>65260</v>
      </c>
      <c r="F152" s="72">
        <v>2363</v>
      </c>
      <c r="G152" s="72"/>
      <c r="H152" s="72">
        <f t="shared" si="23"/>
        <v>67623</v>
      </c>
    </row>
    <row r="153" spans="1:8" s="33" customFormat="1" ht="12" customHeight="1" x14ac:dyDescent="0.25">
      <c r="A153" s="49"/>
      <c r="B153" s="49"/>
      <c r="C153" s="52">
        <v>4120</v>
      </c>
      <c r="D153" s="59" t="s">
        <v>20</v>
      </c>
      <c r="E153" s="60">
        <v>8177</v>
      </c>
      <c r="F153" s="72">
        <v>334</v>
      </c>
      <c r="G153" s="72"/>
      <c r="H153" s="72">
        <f t="shared" si="23"/>
        <v>8511</v>
      </c>
    </row>
    <row r="154" spans="1:8" s="33" customFormat="1" ht="12" customHeight="1" thickBot="1" x14ac:dyDescent="0.3">
      <c r="A154" s="48">
        <v>853</v>
      </c>
      <c r="B154" s="49"/>
      <c r="C154" s="50"/>
      <c r="D154" s="51" t="s">
        <v>100</v>
      </c>
      <c r="E154" s="47">
        <v>8898879.6799999997</v>
      </c>
      <c r="F154" s="69">
        <f>SUM(F155)</f>
        <v>382514.38</v>
      </c>
      <c r="G154" s="69">
        <f>SUM(G155)</f>
        <v>88157.16</v>
      </c>
      <c r="H154" s="47">
        <f t="shared" si="23"/>
        <v>9193236.9000000004</v>
      </c>
    </row>
    <row r="155" spans="1:8" s="33" customFormat="1" ht="12" customHeight="1" thickTop="1" x14ac:dyDescent="0.25">
      <c r="A155" s="50"/>
      <c r="B155" s="42">
        <v>85395</v>
      </c>
      <c r="C155" s="43"/>
      <c r="D155" s="53" t="s">
        <v>27</v>
      </c>
      <c r="E155" s="54">
        <v>8898879.6799999997</v>
      </c>
      <c r="F155" s="70">
        <f>SUM(F156,F159,F163,F167,)</f>
        <v>382514.38</v>
      </c>
      <c r="G155" s="70">
        <f>SUM(G156,G159,G163,G167,)</f>
        <v>88157.16</v>
      </c>
      <c r="H155" s="54">
        <f t="shared" si="23"/>
        <v>9193236.9000000004</v>
      </c>
    </row>
    <row r="156" spans="1:8" s="33" customFormat="1" ht="12" customHeight="1" x14ac:dyDescent="0.25">
      <c r="A156" s="50"/>
      <c r="B156" s="49"/>
      <c r="C156" s="43"/>
      <c r="D156" s="73" t="s">
        <v>101</v>
      </c>
      <c r="E156" s="89">
        <v>1313080</v>
      </c>
      <c r="F156" s="116">
        <f t="shared" ref="F156:G156" si="24">SUM(F157)</f>
        <v>175684.22</v>
      </c>
      <c r="G156" s="116">
        <f t="shared" si="24"/>
        <v>0</v>
      </c>
      <c r="H156" s="58">
        <f t="shared" si="23"/>
        <v>1488764.22</v>
      </c>
    </row>
    <row r="157" spans="1:8" s="33" customFormat="1" ht="12" customHeight="1" x14ac:dyDescent="0.25">
      <c r="A157" s="50"/>
      <c r="B157" s="49"/>
      <c r="C157" s="11">
        <v>2510</v>
      </c>
      <c r="D157" s="6" t="s">
        <v>102</v>
      </c>
      <c r="E157" s="72">
        <v>1186180</v>
      </c>
      <c r="F157" s="72">
        <v>175684.22</v>
      </c>
      <c r="G157" s="72"/>
      <c r="H157" s="72">
        <f t="shared" si="23"/>
        <v>1361864.22</v>
      </c>
    </row>
    <row r="158" spans="1:8" s="33" customFormat="1" ht="12" customHeight="1" x14ac:dyDescent="0.25">
      <c r="A158" s="50"/>
      <c r="B158" s="49"/>
      <c r="C158" s="112"/>
      <c r="D158" s="108" t="s">
        <v>103</v>
      </c>
      <c r="E158" s="109"/>
      <c r="F158" s="110"/>
      <c r="G158" s="110"/>
      <c r="H158" s="72"/>
    </row>
    <row r="159" spans="1:8" s="33" customFormat="1" ht="12" customHeight="1" x14ac:dyDescent="0.25">
      <c r="A159" s="50"/>
      <c r="B159" s="49"/>
      <c r="C159" s="112"/>
      <c r="D159" s="74" t="s">
        <v>104</v>
      </c>
      <c r="E159" s="58">
        <v>589896</v>
      </c>
      <c r="F159" s="71">
        <f>SUM(F160:F162)</f>
        <v>15770</v>
      </c>
      <c r="G159" s="71">
        <f>SUM(G160:G162)</f>
        <v>0</v>
      </c>
      <c r="H159" s="58">
        <f>SUM(E159+F159-G159)</f>
        <v>605666</v>
      </c>
    </row>
    <row r="160" spans="1:8" s="33" customFormat="1" ht="12" customHeight="1" x14ac:dyDescent="0.25">
      <c r="A160" s="50"/>
      <c r="B160" s="49"/>
      <c r="C160" s="52">
        <v>4010</v>
      </c>
      <c r="D160" s="59" t="s">
        <v>57</v>
      </c>
      <c r="E160" s="60">
        <v>315870</v>
      </c>
      <c r="F160" s="72">
        <v>13100</v>
      </c>
      <c r="G160" s="72"/>
      <c r="H160" s="72">
        <f>SUM(E160+F160-G160)</f>
        <v>328970</v>
      </c>
    </row>
    <row r="161" spans="1:8" s="33" customFormat="1" ht="12" customHeight="1" x14ac:dyDescent="0.25">
      <c r="A161" s="50"/>
      <c r="B161" s="49"/>
      <c r="C161" s="52">
        <v>4110</v>
      </c>
      <c r="D161" s="59" t="s">
        <v>58</v>
      </c>
      <c r="E161" s="60">
        <v>57139</v>
      </c>
      <c r="F161" s="72">
        <v>2350</v>
      </c>
      <c r="G161" s="72"/>
      <c r="H161" s="72">
        <f t="shared" ref="H161:H162" si="25">SUM(E161+F161-G161)</f>
        <v>59489</v>
      </c>
    </row>
    <row r="162" spans="1:8" s="33" customFormat="1" ht="12" customHeight="1" x14ac:dyDescent="0.25">
      <c r="A162" s="50"/>
      <c r="B162" s="49"/>
      <c r="C162" s="52">
        <v>4120</v>
      </c>
      <c r="D162" s="59" t="s">
        <v>20</v>
      </c>
      <c r="E162" s="60">
        <v>7973</v>
      </c>
      <c r="F162" s="72">
        <v>320</v>
      </c>
      <c r="G162" s="72"/>
      <c r="H162" s="72">
        <f t="shared" si="25"/>
        <v>8293</v>
      </c>
    </row>
    <row r="163" spans="1:8" s="33" customFormat="1" ht="12" customHeight="1" x14ac:dyDescent="0.25">
      <c r="A163" s="50"/>
      <c r="B163" s="49"/>
      <c r="C163" s="112"/>
      <c r="D163" s="74" t="s">
        <v>105</v>
      </c>
      <c r="E163" s="58">
        <v>6223376</v>
      </c>
      <c r="F163" s="71">
        <f>SUM(F164:F166)</f>
        <v>102903</v>
      </c>
      <c r="G163" s="71">
        <f>SUM(G164:G166)</f>
        <v>0</v>
      </c>
      <c r="H163" s="58">
        <f>SUM(E163+F163-G163)</f>
        <v>6326279</v>
      </c>
    </row>
    <row r="164" spans="1:8" s="33" customFormat="1" ht="12" customHeight="1" x14ac:dyDescent="0.25">
      <c r="A164" s="50"/>
      <c r="B164" s="49"/>
      <c r="C164" s="52">
        <v>4010</v>
      </c>
      <c r="D164" s="59" t="s">
        <v>57</v>
      </c>
      <c r="E164" s="60">
        <v>2661872</v>
      </c>
      <c r="F164" s="72">
        <v>86674</v>
      </c>
      <c r="G164" s="72"/>
      <c r="H164" s="72">
        <f>SUM(E164+F164-G164)</f>
        <v>2748546</v>
      </c>
    </row>
    <row r="165" spans="1:8" s="33" customFormat="1" ht="12" customHeight="1" x14ac:dyDescent="0.25">
      <c r="A165" s="50"/>
      <c r="B165" s="49"/>
      <c r="C165" s="52">
        <v>4110</v>
      </c>
      <c r="D165" s="59" t="s">
        <v>58</v>
      </c>
      <c r="E165" s="60">
        <v>459063</v>
      </c>
      <c r="F165" s="72">
        <v>14674</v>
      </c>
      <c r="G165" s="72"/>
      <c r="H165" s="72">
        <f t="shared" ref="H165:H166" si="26">SUM(E165+F165-G165)</f>
        <v>473737</v>
      </c>
    </row>
    <row r="166" spans="1:8" s="33" customFormat="1" ht="12" customHeight="1" x14ac:dyDescent="0.25">
      <c r="A166" s="50"/>
      <c r="B166" s="49"/>
      <c r="C166" s="52">
        <v>4120</v>
      </c>
      <c r="D166" s="59" t="s">
        <v>20</v>
      </c>
      <c r="E166" s="60">
        <v>47465</v>
      </c>
      <c r="F166" s="72">
        <v>1555</v>
      </c>
      <c r="G166" s="72"/>
      <c r="H166" s="72">
        <f t="shared" si="26"/>
        <v>49020</v>
      </c>
    </row>
    <row r="167" spans="1:8" s="33" customFormat="1" ht="24.75" customHeight="1" x14ac:dyDescent="0.25">
      <c r="A167" s="50"/>
      <c r="B167" s="49"/>
      <c r="C167" s="112"/>
      <c r="D167" s="104" t="s">
        <v>106</v>
      </c>
      <c r="E167" s="71">
        <v>262227.68</v>
      </c>
      <c r="F167" s="71">
        <f>SUM(F168:F171)</f>
        <v>88157.16</v>
      </c>
      <c r="G167" s="71">
        <f>SUM(G168:G171)</f>
        <v>88157.16</v>
      </c>
      <c r="H167" s="58">
        <f>SUM(E167+F167-G167)</f>
        <v>262227.67999999993</v>
      </c>
    </row>
    <row r="168" spans="1:8" s="33" customFormat="1" ht="12" customHeight="1" x14ac:dyDescent="0.25">
      <c r="A168" s="50"/>
      <c r="B168" s="49"/>
      <c r="C168" s="117" t="s">
        <v>107</v>
      </c>
      <c r="D168" s="62" t="s">
        <v>108</v>
      </c>
      <c r="E168" s="60">
        <v>0</v>
      </c>
      <c r="F168" s="60">
        <v>41462.07</v>
      </c>
      <c r="G168" s="72"/>
      <c r="H168" s="60">
        <f t="shared" ref="H168:H171" si="27">SUM(E168+F168-G168)</f>
        <v>41462.07</v>
      </c>
    </row>
    <row r="169" spans="1:8" s="33" customFormat="1" ht="12" customHeight="1" x14ac:dyDescent="0.25">
      <c r="A169" s="50"/>
      <c r="B169" s="49"/>
      <c r="C169" s="117" t="s">
        <v>109</v>
      </c>
      <c r="D169" s="62" t="s">
        <v>108</v>
      </c>
      <c r="E169" s="60">
        <v>0</v>
      </c>
      <c r="F169" s="60">
        <f>4877.89+41817.2</f>
        <v>46695.09</v>
      </c>
      <c r="G169" s="72"/>
      <c r="H169" s="60">
        <f t="shared" si="27"/>
        <v>46695.09</v>
      </c>
    </row>
    <row r="170" spans="1:8" s="33" customFormat="1" ht="12" customHeight="1" x14ac:dyDescent="0.25">
      <c r="A170" s="50"/>
      <c r="B170" s="49"/>
      <c r="C170" s="52">
        <v>4307</v>
      </c>
      <c r="D170" s="59" t="s">
        <v>16</v>
      </c>
      <c r="E170" s="60">
        <v>61654.53</v>
      </c>
      <c r="F170" s="60"/>
      <c r="G170" s="72">
        <v>41462.07</v>
      </c>
      <c r="H170" s="60">
        <f t="shared" si="27"/>
        <v>20192.46</v>
      </c>
    </row>
    <row r="171" spans="1:8" s="33" customFormat="1" ht="12" customHeight="1" x14ac:dyDescent="0.25">
      <c r="A171" s="50"/>
      <c r="B171" s="49"/>
      <c r="C171" s="52">
        <v>4309</v>
      </c>
      <c r="D171" s="59" t="s">
        <v>16</v>
      </c>
      <c r="E171" s="60">
        <v>64125.87</v>
      </c>
      <c r="F171" s="60"/>
      <c r="G171" s="72">
        <f>4877.89+41817.2</f>
        <v>46695.09</v>
      </c>
      <c r="H171" s="60">
        <f t="shared" si="27"/>
        <v>17430.780000000006</v>
      </c>
    </row>
    <row r="172" spans="1:8" s="33" customFormat="1" ht="13.5" thickBot="1" x14ac:dyDescent="0.3">
      <c r="A172" s="49">
        <v>855</v>
      </c>
      <c r="B172" s="49"/>
      <c r="C172" s="50"/>
      <c r="D172" s="51" t="s">
        <v>36</v>
      </c>
      <c r="E172" s="1">
        <v>15701520.65</v>
      </c>
      <c r="F172" s="69">
        <f>SUM(F175,F180,F190,)</f>
        <v>358128</v>
      </c>
      <c r="G172" s="69">
        <f>SUM(G175,G180,G190,)</f>
        <v>0</v>
      </c>
      <c r="H172" s="47">
        <f>SUM(E172+F172-G172)</f>
        <v>16059648.65</v>
      </c>
    </row>
    <row r="173" spans="1:8" s="33" customFormat="1" ht="13.5" thickTop="1" x14ac:dyDescent="0.25">
      <c r="A173" s="49"/>
      <c r="B173" s="52">
        <v>85502</v>
      </c>
      <c r="C173" s="43"/>
      <c r="D173" s="84" t="s">
        <v>110</v>
      </c>
      <c r="E173" s="118"/>
      <c r="F173" s="119"/>
      <c r="G173" s="119"/>
      <c r="H173" s="120"/>
    </row>
    <row r="174" spans="1:8" s="33" customFormat="1" ht="12.75" x14ac:dyDescent="0.25">
      <c r="A174" s="49"/>
      <c r="B174" s="52"/>
      <c r="C174" s="43"/>
      <c r="D174" s="84" t="s">
        <v>111</v>
      </c>
      <c r="E174" s="118"/>
      <c r="F174" s="119"/>
      <c r="G174" s="119"/>
      <c r="H174" s="120"/>
    </row>
    <row r="175" spans="1:8" s="33" customFormat="1" ht="12.75" x14ac:dyDescent="0.25">
      <c r="A175" s="49"/>
      <c r="B175" s="52"/>
      <c r="C175" s="43"/>
      <c r="D175" s="83" t="s">
        <v>112</v>
      </c>
      <c r="E175" s="54">
        <v>1347749</v>
      </c>
      <c r="F175" s="54">
        <f>SUM(F176)</f>
        <v>103272</v>
      </c>
      <c r="G175" s="54">
        <f>SUM(G176)</f>
        <v>0</v>
      </c>
      <c r="H175" s="54">
        <f t="shared" ref="H175:H180" si="28">SUM(E175+F175-G175)</f>
        <v>1451021</v>
      </c>
    </row>
    <row r="176" spans="1:8" s="33" customFormat="1" ht="12.75" x14ac:dyDescent="0.25">
      <c r="A176" s="49"/>
      <c r="B176" s="52"/>
      <c r="C176" s="112"/>
      <c r="D176" s="74" t="s">
        <v>95</v>
      </c>
      <c r="E176" s="58">
        <v>1068689</v>
      </c>
      <c r="F176" s="71">
        <f>SUM(F177:F179)</f>
        <v>103272</v>
      </c>
      <c r="G176" s="71">
        <f>SUM(G177:G179)</f>
        <v>0</v>
      </c>
      <c r="H176" s="58">
        <f t="shared" si="28"/>
        <v>1171961</v>
      </c>
    </row>
    <row r="177" spans="1:8" s="33" customFormat="1" ht="12.75" x14ac:dyDescent="0.25">
      <c r="A177" s="49"/>
      <c r="B177" s="52"/>
      <c r="C177" s="52">
        <v>4010</v>
      </c>
      <c r="D177" s="59" t="s">
        <v>57</v>
      </c>
      <c r="E177" s="60">
        <v>664577</v>
      </c>
      <c r="F177" s="72">
        <v>86211</v>
      </c>
      <c r="G177" s="72"/>
      <c r="H177" s="72">
        <f t="shared" si="28"/>
        <v>750788</v>
      </c>
    </row>
    <row r="178" spans="1:8" s="33" customFormat="1" ht="12.75" x14ac:dyDescent="0.25">
      <c r="A178" s="49"/>
      <c r="B178" s="52"/>
      <c r="C178" s="52">
        <v>4110</v>
      </c>
      <c r="D178" s="59" t="s">
        <v>58</v>
      </c>
      <c r="E178" s="60">
        <v>99924</v>
      </c>
      <c r="F178" s="72">
        <v>14949</v>
      </c>
      <c r="G178" s="72"/>
      <c r="H178" s="72">
        <f t="shared" si="28"/>
        <v>114873</v>
      </c>
    </row>
    <row r="179" spans="1:8" s="33" customFormat="1" ht="12.75" x14ac:dyDescent="0.25">
      <c r="A179" s="121"/>
      <c r="B179" s="122"/>
      <c r="C179" s="122">
        <v>4120</v>
      </c>
      <c r="D179" s="53" t="s">
        <v>20</v>
      </c>
      <c r="E179" s="54">
        <v>12758</v>
      </c>
      <c r="F179" s="70">
        <v>2112</v>
      </c>
      <c r="G179" s="70"/>
      <c r="H179" s="70">
        <f t="shared" si="28"/>
        <v>14870</v>
      </c>
    </row>
    <row r="180" spans="1:8" s="33" customFormat="1" ht="12.75" x14ac:dyDescent="0.25">
      <c r="A180" s="49"/>
      <c r="B180" s="52">
        <v>85504</v>
      </c>
      <c r="C180" s="43"/>
      <c r="D180" s="123" t="s">
        <v>113</v>
      </c>
      <c r="E180" s="54">
        <v>1977297.76</v>
      </c>
      <c r="F180" s="54">
        <f>SUM(F182,F186,)</f>
        <v>72691</v>
      </c>
      <c r="G180" s="54">
        <f>SUM(G182,G186,)</f>
        <v>0</v>
      </c>
      <c r="H180" s="54">
        <f t="shared" si="28"/>
        <v>2049988.76</v>
      </c>
    </row>
    <row r="181" spans="1:8" s="33" customFormat="1" ht="12.75" x14ac:dyDescent="0.25">
      <c r="A181" s="49"/>
      <c r="B181" s="52"/>
      <c r="C181" s="43"/>
      <c r="D181" s="124" t="s">
        <v>114</v>
      </c>
      <c r="E181" s="60"/>
      <c r="F181" s="60"/>
      <c r="G181" s="60"/>
      <c r="H181" s="60"/>
    </row>
    <row r="182" spans="1:8" s="33" customFormat="1" ht="12.75" x14ac:dyDescent="0.25">
      <c r="A182" s="49"/>
      <c r="B182" s="48"/>
      <c r="C182" s="43"/>
      <c r="D182" s="125" t="s">
        <v>115</v>
      </c>
      <c r="E182" s="58">
        <v>1048511.06</v>
      </c>
      <c r="F182" s="71">
        <f>SUM(F183:F185)</f>
        <v>35147</v>
      </c>
      <c r="G182" s="71">
        <f>SUM(G183:G185)</f>
        <v>0</v>
      </c>
      <c r="H182" s="58">
        <f t="shared" ref="H182:H226" si="29">SUM(E182+F182-G182)</f>
        <v>1083658.06</v>
      </c>
    </row>
    <row r="183" spans="1:8" s="33" customFormat="1" ht="12.75" x14ac:dyDescent="0.25">
      <c r="A183" s="49"/>
      <c r="B183" s="48"/>
      <c r="C183" s="52">
        <v>4010</v>
      </c>
      <c r="D183" s="59" t="s">
        <v>57</v>
      </c>
      <c r="E183" s="60">
        <v>596867.06000000006</v>
      </c>
      <c r="F183" s="72">
        <v>29340</v>
      </c>
      <c r="G183" s="72"/>
      <c r="H183" s="72">
        <f t="shared" si="29"/>
        <v>626207.06000000006</v>
      </c>
    </row>
    <row r="184" spans="1:8" s="33" customFormat="1" ht="12.75" x14ac:dyDescent="0.25">
      <c r="A184" s="49"/>
      <c r="B184" s="48"/>
      <c r="C184" s="52">
        <v>4110</v>
      </c>
      <c r="D184" s="59" t="s">
        <v>58</v>
      </c>
      <c r="E184" s="60">
        <v>137258</v>
      </c>
      <c r="F184" s="72">
        <v>5088</v>
      </c>
      <c r="G184" s="72"/>
      <c r="H184" s="72">
        <f>SUM(E184+F184-G184)</f>
        <v>142346</v>
      </c>
    </row>
    <row r="185" spans="1:8" s="33" customFormat="1" ht="12.75" x14ac:dyDescent="0.25">
      <c r="A185" s="49"/>
      <c r="B185" s="48"/>
      <c r="C185" s="52">
        <v>4120</v>
      </c>
      <c r="D185" s="59" t="s">
        <v>20</v>
      </c>
      <c r="E185" s="60">
        <v>19261</v>
      </c>
      <c r="F185" s="72">
        <v>719</v>
      </c>
      <c r="G185" s="72"/>
      <c r="H185" s="72">
        <f>SUM(E185+F185-G185)</f>
        <v>19980</v>
      </c>
    </row>
    <row r="186" spans="1:8" s="33" customFormat="1" ht="12.75" x14ac:dyDescent="0.25">
      <c r="A186" s="49"/>
      <c r="B186" s="48"/>
      <c r="C186" s="52"/>
      <c r="D186" s="68" t="s">
        <v>116</v>
      </c>
      <c r="E186" s="58">
        <v>928336.7</v>
      </c>
      <c r="F186" s="71">
        <f>SUM(F187:F189)</f>
        <v>37544</v>
      </c>
      <c r="G186" s="71">
        <f>SUM(G187:G189)</f>
        <v>0</v>
      </c>
      <c r="H186" s="58">
        <f t="shared" ref="H186:H190" si="30">SUM(E186+F186-G186)</f>
        <v>965880.7</v>
      </c>
    </row>
    <row r="187" spans="1:8" s="33" customFormat="1" ht="12.75" x14ac:dyDescent="0.25">
      <c r="A187" s="49"/>
      <c r="B187" s="48"/>
      <c r="C187" s="52">
        <v>4010</v>
      </c>
      <c r="D187" s="59" t="s">
        <v>57</v>
      </c>
      <c r="E187" s="60">
        <v>626352</v>
      </c>
      <c r="F187" s="72">
        <v>31341</v>
      </c>
      <c r="G187" s="72"/>
      <c r="H187" s="72">
        <f t="shared" si="30"/>
        <v>657693</v>
      </c>
    </row>
    <row r="188" spans="1:8" s="33" customFormat="1" ht="12.75" x14ac:dyDescent="0.25">
      <c r="A188" s="49"/>
      <c r="B188" s="48"/>
      <c r="C188" s="52">
        <v>4110</v>
      </c>
      <c r="D188" s="59" t="s">
        <v>58</v>
      </c>
      <c r="E188" s="60">
        <v>125328</v>
      </c>
      <c r="F188" s="72">
        <v>5435</v>
      </c>
      <c r="G188" s="72"/>
      <c r="H188" s="72">
        <f t="shared" si="30"/>
        <v>130763</v>
      </c>
    </row>
    <row r="189" spans="1:8" s="33" customFormat="1" ht="12.75" x14ac:dyDescent="0.25">
      <c r="A189" s="49"/>
      <c r="B189" s="48"/>
      <c r="C189" s="52">
        <v>4120</v>
      </c>
      <c r="D189" s="59" t="s">
        <v>20</v>
      </c>
      <c r="E189" s="60">
        <v>18737</v>
      </c>
      <c r="F189" s="72">
        <v>768</v>
      </c>
      <c r="G189" s="72"/>
      <c r="H189" s="72">
        <f t="shared" si="30"/>
        <v>19505</v>
      </c>
    </row>
    <row r="190" spans="1:8" s="33" customFormat="1" ht="12.75" x14ac:dyDescent="0.25">
      <c r="A190" s="49"/>
      <c r="B190" s="52">
        <v>85516</v>
      </c>
      <c r="C190" s="65"/>
      <c r="D190" s="126" t="s">
        <v>117</v>
      </c>
      <c r="E190" s="54">
        <v>11792952</v>
      </c>
      <c r="F190" s="70">
        <f>SUM(F191)</f>
        <v>182165</v>
      </c>
      <c r="G190" s="70">
        <f>SUM(G191)</f>
        <v>0</v>
      </c>
      <c r="H190" s="54">
        <f t="shared" si="30"/>
        <v>11975117</v>
      </c>
    </row>
    <row r="191" spans="1:8" s="33" customFormat="1" ht="12.75" x14ac:dyDescent="0.25">
      <c r="A191" s="49"/>
      <c r="B191" s="66"/>
      <c r="C191" s="65"/>
      <c r="D191" s="68" t="s">
        <v>118</v>
      </c>
      <c r="E191" s="58">
        <v>9783350</v>
      </c>
      <c r="F191" s="71">
        <f>SUM(F192:F194)</f>
        <v>182165</v>
      </c>
      <c r="G191" s="71">
        <f>SUM(G192:G194)</f>
        <v>0</v>
      </c>
      <c r="H191" s="58">
        <f>SUM(E191+F191-G191)</f>
        <v>9965515</v>
      </c>
    </row>
    <row r="192" spans="1:8" s="33" customFormat="1" ht="12.75" x14ac:dyDescent="0.25">
      <c r="A192" s="49"/>
      <c r="B192" s="42"/>
      <c r="C192" s="9">
        <v>4010</v>
      </c>
      <c r="D192" s="10" t="s">
        <v>57</v>
      </c>
      <c r="E192" s="60">
        <v>6449248</v>
      </c>
      <c r="F192" s="72">
        <v>151918</v>
      </c>
      <c r="G192" s="72"/>
      <c r="H192" s="72">
        <f t="shared" ref="H192:H194" si="31">SUM(E192+F192-G192)</f>
        <v>6601166</v>
      </c>
    </row>
    <row r="193" spans="1:8" s="33" customFormat="1" ht="12.75" x14ac:dyDescent="0.25">
      <c r="A193" s="49"/>
      <c r="B193" s="42"/>
      <c r="C193" s="52">
        <v>4110</v>
      </c>
      <c r="D193" s="59" t="s">
        <v>58</v>
      </c>
      <c r="E193" s="60">
        <v>1147125</v>
      </c>
      <c r="F193" s="72">
        <v>26525</v>
      </c>
      <c r="G193" s="72"/>
      <c r="H193" s="72">
        <f t="shared" si="31"/>
        <v>1173650</v>
      </c>
    </row>
    <row r="194" spans="1:8" s="33" customFormat="1" ht="12.75" x14ac:dyDescent="0.25">
      <c r="A194" s="49"/>
      <c r="B194" s="42"/>
      <c r="C194" s="52">
        <v>4120</v>
      </c>
      <c r="D194" s="59" t="s">
        <v>119</v>
      </c>
      <c r="E194" s="60">
        <v>142474</v>
      </c>
      <c r="F194" s="72">
        <v>3722</v>
      </c>
      <c r="G194" s="72"/>
      <c r="H194" s="72">
        <f t="shared" si="31"/>
        <v>146196</v>
      </c>
    </row>
    <row r="195" spans="1:8" s="33" customFormat="1" ht="12" customHeight="1" thickBot="1" x14ac:dyDescent="0.3">
      <c r="A195" s="48">
        <v>900</v>
      </c>
      <c r="B195" s="49"/>
      <c r="C195" s="50"/>
      <c r="D195" s="51" t="s">
        <v>37</v>
      </c>
      <c r="E195" s="47">
        <v>98401541.150000006</v>
      </c>
      <c r="F195" s="69">
        <f>SUM(F196,F201)</f>
        <v>40788</v>
      </c>
      <c r="G195" s="69">
        <f>SUM(G196,G201)</f>
        <v>0</v>
      </c>
      <c r="H195" s="47">
        <f t="shared" si="29"/>
        <v>98442329.150000006</v>
      </c>
    </row>
    <row r="196" spans="1:8" s="33" customFormat="1" ht="12" customHeight="1" thickTop="1" x14ac:dyDescent="0.25">
      <c r="A196" s="48"/>
      <c r="B196" s="52">
        <v>90013</v>
      </c>
      <c r="C196" s="50"/>
      <c r="D196" s="53" t="s">
        <v>120</v>
      </c>
      <c r="E196" s="54">
        <v>2552392</v>
      </c>
      <c r="F196" s="54">
        <f>SUM(F197)</f>
        <v>26958</v>
      </c>
      <c r="G196" s="54">
        <f>SUM(G197)</f>
        <v>0</v>
      </c>
      <c r="H196" s="54">
        <f t="shared" si="29"/>
        <v>2579350</v>
      </c>
    </row>
    <row r="197" spans="1:8" s="33" customFormat="1" ht="12" customHeight="1" x14ac:dyDescent="0.25">
      <c r="A197" s="48"/>
      <c r="B197" s="52"/>
      <c r="C197" s="52"/>
      <c r="D197" s="78" t="s">
        <v>121</v>
      </c>
      <c r="E197" s="58">
        <v>2552392</v>
      </c>
      <c r="F197" s="58">
        <f>SUM(F198:F200)</f>
        <v>26958</v>
      </c>
      <c r="G197" s="58">
        <f>SUM(G198:G200)</f>
        <v>0</v>
      </c>
      <c r="H197" s="58">
        <f t="shared" si="29"/>
        <v>2579350</v>
      </c>
    </row>
    <row r="198" spans="1:8" s="33" customFormat="1" ht="12" customHeight="1" x14ac:dyDescent="0.25">
      <c r="A198" s="48"/>
      <c r="B198" s="52"/>
      <c r="C198" s="52">
        <v>4010</v>
      </c>
      <c r="D198" s="59" t="s">
        <v>57</v>
      </c>
      <c r="E198" s="60">
        <v>1277715</v>
      </c>
      <c r="F198" s="60">
        <v>22517</v>
      </c>
      <c r="G198" s="60"/>
      <c r="H198" s="60">
        <f t="shared" si="29"/>
        <v>1300232</v>
      </c>
    </row>
    <row r="199" spans="1:8" s="33" customFormat="1" ht="12" customHeight="1" x14ac:dyDescent="0.25">
      <c r="A199" s="48"/>
      <c r="B199" s="52"/>
      <c r="C199" s="52">
        <v>4110</v>
      </c>
      <c r="D199" s="59" t="s">
        <v>58</v>
      </c>
      <c r="E199" s="60">
        <v>250138</v>
      </c>
      <c r="F199" s="60">
        <v>3889</v>
      </c>
      <c r="G199" s="60"/>
      <c r="H199" s="60">
        <f t="shared" si="29"/>
        <v>254027</v>
      </c>
    </row>
    <row r="200" spans="1:8" s="33" customFormat="1" ht="12" customHeight="1" x14ac:dyDescent="0.25">
      <c r="A200" s="48"/>
      <c r="B200" s="52"/>
      <c r="C200" s="52">
        <v>4120</v>
      </c>
      <c r="D200" s="59" t="s">
        <v>20</v>
      </c>
      <c r="E200" s="60">
        <v>34507</v>
      </c>
      <c r="F200" s="60">
        <v>552</v>
      </c>
      <c r="G200" s="60"/>
      <c r="H200" s="60">
        <f t="shared" si="29"/>
        <v>35059</v>
      </c>
    </row>
    <row r="201" spans="1:8" s="33" customFormat="1" ht="12" customHeight="1" x14ac:dyDescent="0.25">
      <c r="A201" s="48"/>
      <c r="B201" s="127">
        <v>90095</v>
      </c>
      <c r="C201" s="128"/>
      <c r="D201" s="53" t="s">
        <v>27</v>
      </c>
      <c r="E201" s="96">
        <v>21027616.75</v>
      </c>
      <c r="F201" s="97">
        <f>SUM(F202)</f>
        <v>13830</v>
      </c>
      <c r="G201" s="97">
        <f>SUM(G202)</f>
        <v>0</v>
      </c>
      <c r="H201" s="96">
        <f t="shared" si="29"/>
        <v>21041446.75</v>
      </c>
    </row>
    <row r="202" spans="1:8" s="33" customFormat="1" ht="12.75" x14ac:dyDescent="0.25">
      <c r="A202" s="48"/>
      <c r="B202" s="127"/>
      <c r="C202" s="127"/>
      <c r="D202" s="68" t="s">
        <v>63</v>
      </c>
      <c r="E202" s="91">
        <v>1734154.47</v>
      </c>
      <c r="F202" s="129">
        <f>SUM(F203:F206)</f>
        <v>13830</v>
      </c>
      <c r="G202" s="129">
        <f>SUM(G203:G206)</f>
        <v>0</v>
      </c>
      <c r="H202" s="91">
        <f t="shared" si="29"/>
        <v>1747984.47</v>
      </c>
    </row>
    <row r="203" spans="1:8" s="33" customFormat="1" ht="12" customHeight="1" x14ac:dyDescent="0.25">
      <c r="A203" s="48"/>
      <c r="B203" s="127"/>
      <c r="C203" s="52">
        <v>4010</v>
      </c>
      <c r="D203" s="59" t="s">
        <v>57</v>
      </c>
      <c r="E203" s="94">
        <v>405274.1</v>
      </c>
      <c r="F203" s="93">
        <v>11440</v>
      </c>
      <c r="G203" s="93"/>
      <c r="H203" s="93">
        <f t="shared" si="29"/>
        <v>416714.1</v>
      </c>
    </row>
    <row r="204" spans="1:8" s="33" customFormat="1" ht="12" customHeight="1" x14ac:dyDescent="0.25">
      <c r="A204" s="48"/>
      <c r="B204" s="127"/>
      <c r="C204" s="52">
        <v>4110</v>
      </c>
      <c r="D204" s="59" t="s">
        <v>58</v>
      </c>
      <c r="E204" s="94">
        <v>63500</v>
      </c>
      <c r="F204" s="93">
        <v>1937</v>
      </c>
      <c r="G204" s="93"/>
      <c r="H204" s="93">
        <f t="shared" si="29"/>
        <v>65437</v>
      </c>
    </row>
    <row r="205" spans="1:8" s="33" customFormat="1" ht="12" customHeight="1" x14ac:dyDescent="0.25">
      <c r="A205" s="48"/>
      <c r="B205" s="127"/>
      <c r="C205" s="52">
        <v>4120</v>
      </c>
      <c r="D205" s="59" t="s">
        <v>20</v>
      </c>
      <c r="E205" s="94">
        <v>9185.369999999999</v>
      </c>
      <c r="F205" s="93">
        <v>281</v>
      </c>
      <c r="G205" s="93"/>
      <c r="H205" s="93">
        <f t="shared" si="29"/>
        <v>9466.369999999999</v>
      </c>
    </row>
    <row r="206" spans="1:8" s="33" customFormat="1" ht="12" customHeight="1" x14ac:dyDescent="0.25">
      <c r="A206" s="48"/>
      <c r="B206" s="127"/>
      <c r="C206" s="61">
        <v>4710</v>
      </c>
      <c r="D206" s="62" t="s">
        <v>59</v>
      </c>
      <c r="E206" s="94">
        <v>2000</v>
      </c>
      <c r="F206" s="93">
        <v>172</v>
      </c>
      <c r="G206" s="93"/>
      <c r="H206" s="93">
        <f t="shared" si="29"/>
        <v>2172</v>
      </c>
    </row>
    <row r="207" spans="1:8" s="33" customFormat="1" ht="12" customHeight="1" thickBot="1" x14ac:dyDescent="0.3">
      <c r="A207" s="48">
        <v>921</v>
      </c>
      <c r="B207" s="49"/>
      <c r="C207" s="50"/>
      <c r="D207" s="51" t="s">
        <v>122</v>
      </c>
      <c r="E207" s="47">
        <v>22956703.589999996</v>
      </c>
      <c r="F207" s="69">
        <f>SUM(F208,F211,F214,F217)</f>
        <v>575764.49</v>
      </c>
      <c r="G207" s="69">
        <f>SUM(G208,G211,G214,G217)</f>
        <v>0</v>
      </c>
      <c r="H207" s="47">
        <f t="shared" si="29"/>
        <v>23532468.079999994</v>
      </c>
    </row>
    <row r="208" spans="1:8" s="33" customFormat="1" ht="12" customHeight="1" thickTop="1" x14ac:dyDescent="0.25">
      <c r="A208" s="48"/>
      <c r="B208" s="9">
        <v>92110</v>
      </c>
      <c r="C208" s="9"/>
      <c r="D208" s="8" t="s">
        <v>123</v>
      </c>
      <c r="E208" s="54">
        <v>1413156.78</v>
      </c>
      <c r="F208" s="54">
        <f>SUM(F209)</f>
        <v>53385.72</v>
      </c>
      <c r="G208" s="54">
        <f>SUM(G209)</f>
        <v>0</v>
      </c>
      <c r="H208" s="54">
        <f t="shared" si="29"/>
        <v>1466542.5</v>
      </c>
    </row>
    <row r="209" spans="1:8" s="33" customFormat="1" ht="12" customHeight="1" x14ac:dyDescent="0.25">
      <c r="A209" s="48"/>
      <c r="B209" s="82"/>
      <c r="C209" s="52"/>
      <c r="D209" s="73" t="s">
        <v>124</v>
      </c>
      <c r="E209" s="58">
        <v>1413156.78</v>
      </c>
      <c r="F209" s="71">
        <f>SUM(F210:F210)</f>
        <v>53385.72</v>
      </c>
      <c r="G209" s="71">
        <f>SUM(G210:G210)</f>
        <v>0</v>
      </c>
      <c r="H209" s="58">
        <f t="shared" si="29"/>
        <v>1466542.5</v>
      </c>
    </row>
    <row r="210" spans="1:8" s="33" customFormat="1" ht="12" customHeight="1" x14ac:dyDescent="0.25">
      <c r="A210" s="48"/>
      <c r="B210" s="82"/>
      <c r="C210" s="130" t="s">
        <v>125</v>
      </c>
      <c r="D210" s="131" t="s">
        <v>126</v>
      </c>
      <c r="E210" s="60">
        <v>1380000</v>
      </c>
      <c r="F210" s="72">
        <v>53385.72</v>
      </c>
      <c r="G210" s="72"/>
      <c r="H210" s="72">
        <f t="shared" si="29"/>
        <v>1433385.72</v>
      </c>
    </row>
    <row r="211" spans="1:8" s="33" customFormat="1" ht="12" customHeight="1" x14ac:dyDescent="0.25">
      <c r="A211" s="48"/>
      <c r="B211" s="52">
        <v>92113</v>
      </c>
      <c r="C211" s="52"/>
      <c r="D211" s="53" t="s">
        <v>127</v>
      </c>
      <c r="E211" s="54">
        <v>10788880.369999999</v>
      </c>
      <c r="F211" s="54">
        <f>SUM(F212)</f>
        <v>240385.22</v>
      </c>
      <c r="G211" s="54">
        <f>SUM(G212)</f>
        <v>0</v>
      </c>
      <c r="H211" s="54">
        <f t="shared" si="29"/>
        <v>11029265.59</v>
      </c>
    </row>
    <row r="212" spans="1:8" s="33" customFormat="1" ht="12" customHeight="1" x14ac:dyDescent="0.25">
      <c r="A212" s="48"/>
      <c r="B212" s="82"/>
      <c r="C212" s="52"/>
      <c r="D212" s="73" t="s">
        <v>124</v>
      </c>
      <c r="E212" s="58">
        <v>10788880.369999999</v>
      </c>
      <c r="F212" s="71">
        <f>SUM(F213:F213)</f>
        <v>240385.22</v>
      </c>
      <c r="G212" s="71">
        <f>SUM(G213:G213)</f>
        <v>0</v>
      </c>
      <c r="H212" s="58">
        <f t="shared" si="29"/>
        <v>11029265.59</v>
      </c>
    </row>
    <row r="213" spans="1:8" s="33" customFormat="1" ht="12" customHeight="1" x14ac:dyDescent="0.25">
      <c r="A213" s="48"/>
      <c r="B213" s="82"/>
      <c r="C213" s="130" t="s">
        <v>125</v>
      </c>
      <c r="D213" s="131" t="s">
        <v>126</v>
      </c>
      <c r="E213" s="60">
        <v>10500000</v>
      </c>
      <c r="F213" s="72">
        <v>240385.22</v>
      </c>
      <c r="G213" s="72"/>
      <c r="H213" s="72">
        <f t="shared" si="29"/>
        <v>10740385.220000001</v>
      </c>
    </row>
    <row r="214" spans="1:8" s="33" customFormat="1" ht="12" customHeight="1" x14ac:dyDescent="0.25">
      <c r="A214" s="48"/>
      <c r="B214" s="52">
        <v>92114</v>
      </c>
      <c r="C214" s="52"/>
      <c r="D214" s="53" t="s">
        <v>128</v>
      </c>
      <c r="E214" s="54">
        <v>2228856.59</v>
      </c>
      <c r="F214" s="54">
        <f>SUM(F215)</f>
        <v>59414.83</v>
      </c>
      <c r="G214" s="54">
        <f>SUM(G215)</f>
        <v>0</v>
      </c>
      <c r="H214" s="54">
        <f t="shared" si="29"/>
        <v>2288271.42</v>
      </c>
    </row>
    <row r="215" spans="1:8" s="33" customFormat="1" ht="12" customHeight="1" x14ac:dyDescent="0.25">
      <c r="A215" s="48"/>
      <c r="B215" s="132"/>
      <c r="C215" s="52"/>
      <c r="D215" s="73" t="s">
        <v>124</v>
      </c>
      <c r="E215" s="58">
        <v>2228856.59</v>
      </c>
      <c r="F215" s="71">
        <f>SUM(F216:F216)</f>
        <v>59414.83</v>
      </c>
      <c r="G215" s="71">
        <f>SUM(G216:G216)</f>
        <v>0</v>
      </c>
      <c r="H215" s="58">
        <f t="shared" si="29"/>
        <v>2288271.42</v>
      </c>
    </row>
    <row r="216" spans="1:8" s="33" customFormat="1" ht="12" customHeight="1" x14ac:dyDescent="0.25">
      <c r="A216" s="48"/>
      <c r="B216" s="132"/>
      <c r="C216" s="130" t="s">
        <v>125</v>
      </c>
      <c r="D216" s="131" t="s">
        <v>126</v>
      </c>
      <c r="E216" s="72">
        <v>2220000</v>
      </c>
      <c r="F216" s="72">
        <v>59414.83</v>
      </c>
      <c r="G216" s="72"/>
      <c r="H216" s="72">
        <f t="shared" si="29"/>
        <v>2279414.83</v>
      </c>
    </row>
    <row r="217" spans="1:8" s="33" customFormat="1" ht="12" customHeight="1" x14ac:dyDescent="0.25">
      <c r="A217" s="48"/>
      <c r="B217" s="52">
        <v>92116</v>
      </c>
      <c r="C217" s="66"/>
      <c r="D217" s="67" t="s">
        <v>129</v>
      </c>
      <c r="E217" s="54">
        <v>6487139.8499999996</v>
      </c>
      <c r="F217" s="54">
        <f>SUM(F218)</f>
        <v>222578.72</v>
      </c>
      <c r="G217" s="54">
        <f>SUM(G218)</f>
        <v>0</v>
      </c>
      <c r="H217" s="54">
        <f t="shared" si="29"/>
        <v>6709718.5699999994</v>
      </c>
    </row>
    <row r="218" spans="1:8" s="33" customFormat="1" ht="12" customHeight="1" x14ac:dyDescent="0.25">
      <c r="A218" s="48"/>
      <c r="B218" s="132"/>
      <c r="C218" s="52"/>
      <c r="D218" s="73" t="s">
        <v>124</v>
      </c>
      <c r="E218" s="58">
        <v>6487139.8499999996</v>
      </c>
      <c r="F218" s="71">
        <f>SUM(F219:F219)</f>
        <v>222578.72</v>
      </c>
      <c r="G218" s="71">
        <f>SUM(G219:G219)</f>
        <v>0</v>
      </c>
      <c r="H218" s="58">
        <f t="shared" si="29"/>
        <v>6709718.5699999994</v>
      </c>
    </row>
    <row r="219" spans="1:8" s="33" customFormat="1" ht="12" customHeight="1" x14ac:dyDescent="0.25">
      <c r="A219" s="48"/>
      <c r="B219" s="132"/>
      <c r="C219" s="130" t="s">
        <v>125</v>
      </c>
      <c r="D219" s="131" t="s">
        <v>126</v>
      </c>
      <c r="E219" s="72">
        <v>6400000</v>
      </c>
      <c r="F219" s="72">
        <v>222578.72</v>
      </c>
      <c r="G219" s="72"/>
      <c r="H219" s="72">
        <f t="shared" si="29"/>
        <v>6622578.7199999997</v>
      </c>
    </row>
    <row r="220" spans="1:8" s="33" customFormat="1" ht="12" customHeight="1" thickBot="1" x14ac:dyDescent="0.3">
      <c r="A220" s="48">
        <v>926</v>
      </c>
      <c r="B220" s="49"/>
      <c r="C220" s="50"/>
      <c r="D220" s="51" t="s">
        <v>130</v>
      </c>
      <c r="E220" s="47">
        <v>38373954.18</v>
      </c>
      <c r="F220" s="47">
        <f>SUM(F221,F227)</f>
        <v>324499.32</v>
      </c>
      <c r="G220" s="47">
        <f>SUM(G221,G227)</f>
        <v>0</v>
      </c>
      <c r="H220" s="47">
        <f t="shared" si="29"/>
        <v>38698453.5</v>
      </c>
    </row>
    <row r="221" spans="1:8" s="33" customFormat="1" ht="12" customHeight="1" thickTop="1" x14ac:dyDescent="0.25">
      <c r="A221" s="48"/>
      <c r="B221" s="52">
        <v>92604</v>
      </c>
      <c r="C221" s="66"/>
      <c r="D221" s="53" t="s">
        <v>131</v>
      </c>
      <c r="E221" s="54">
        <v>20468388.880000003</v>
      </c>
      <c r="F221" s="54">
        <f>SUM(F222)</f>
        <v>254499.32</v>
      </c>
      <c r="G221" s="54">
        <f>SUM(G222)</f>
        <v>0</v>
      </c>
      <c r="H221" s="54">
        <f t="shared" si="29"/>
        <v>20722888.200000003</v>
      </c>
    </row>
    <row r="222" spans="1:8" s="33" customFormat="1" ht="12" customHeight="1" x14ac:dyDescent="0.25">
      <c r="A222" s="48"/>
      <c r="B222" s="48"/>
      <c r="C222" s="50"/>
      <c r="D222" s="68" t="s">
        <v>61</v>
      </c>
      <c r="E222" s="58">
        <v>20468388.880000003</v>
      </c>
      <c r="F222" s="58">
        <f>SUM(F223:F226)</f>
        <v>254499.32</v>
      </c>
      <c r="G222" s="58">
        <f>SUM(G223:G226)</f>
        <v>0</v>
      </c>
      <c r="H222" s="58">
        <f t="shared" si="29"/>
        <v>20722888.200000003</v>
      </c>
    </row>
    <row r="223" spans="1:8" s="33" customFormat="1" ht="12" customHeight="1" x14ac:dyDescent="0.25">
      <c r="A223" s="48"/>
      <c r="B223" s="42"/>
      <c r="C223" s="52">
        <v>4010</v>
      </c>
      <c r="D223" s="59" t="s">
        <v>57</v>
      </c>
      <c r="E223" s="13">
        <v>7473371.5800000001</v>
      </c>
      <c r="F223" s="60">
        <v>206901.76000000001</v>
      </c>
      <c r="G223" s="60"/>
      <c r="H223" s="60">
        <f t="shared" si="29"/>
        <v>7680273.3399999999</v>
      </c>
    </row>
    <row r="224" spans="1:8" s="33" customFormat="1" ht="12" customHeight="1" x14ac:dyDescent="0.25">
      <c r="A224" s="48"/>
      <c r="B224" s="42"/>
      <c r="C224" s="52">
        <v>4110</v>
      </c>
      <c r="D224" s="59" t="s">
        <v>58</v>
      </c>
      <c r="E224" s="13">
        <v>1071514</v>
      </c>
      <c r="F224" s="60">
        <v>35028.47</v>
      </c>
      <c r="G224" s="60"/>
      <c r="H224" s="60">
        <f t="shared" si="29"/>
        <v>1106542.47</v>
      </c>
    </row>
    <row r="225" spans="1:8" s="33" customFormat="1" ht="12" customHeight="1" x14ac:dyDescent="0.25">
      <c r="A225" s="48"/>
      <c r="B225" s="42"/>
      <c r="C225" s="52">
        <v>4120</v>
      </c>
      <c r="D225" s="59" t="s">
        <v>20</v>
      </c>
      <c r="E225" s="13">
        <v>196888</v>
      </c>
      <c r="F225" s="60">
        <v>5069.09</v>
      </c>
      <c r="G225" s="60"/>
      <c r="H225" s="60">
        <f t="shared" si="29"/>
        <v>201957.09</v>
      </c>
    </row>
    <row r="226" spans="1:8" s="33" customFormat="1" ht="23.25" customHeight="1" x14ac:dyDescent="0.25">
      <c r="A226" s="48"/>
      <c r="B226" s="42"/>
      <c r="C226" s="133">
        <v>4600</v>
      </c>
      <c r="D226" s="134" t="s">
        <v>132</v>
      </c>
      <c r="E226" s="13">
        <v>0</v>
      </c>
      <c r="F226" s="60">
        <v>7500</v>
      </c>
      <c r="G226" s="60"/>
      <c r="H226" s="60">
        <f t="shared" si="29"/>
        <v>7500</v>
      </c>
    </row>
    <row r="227" spans="1:8" s="33" customFormat="1" ht="11.25" customHeight="1" x14ac:dyDescent="0.25">
      <c r="A227" s="48"/>
      <c r="B227" s="52">
        <v>92695</v>
      </c>
      <c r="C227" s="66"/>
      <c r="D227" s="4" t="s">
        <v>27</v>
      </c>
      <c r="E227" s="54">
        <v>857281.3</v>
      </c>
      <c r="F227" s="54">
        <f>SUM(F228)</f>
        <v>70000</v>
      </c>
      <c r="G227" s="54">
        <f>SUM(G228)</f>
        <v>0</v>
      </c>
      <c r="H227" s="54">
        <f t="shared" ref="H227:H229" si="32">SUM(E227+F227-G227)</f>
        <v>927281.3</v>
      </c>
    </row>
    <row r="228" spans="1:8" s="33" customFormat="1" ht="11.25" customHeight="1" x14ac:dyDescent="0.25">
      <c r="A228" s="48"/>
      <c r="B228" s="48"/>
      <c r="C228" s="50"/>
      <c r="D228" s="68" t="s">
        <v>61</v>
      </c>
      <c r="E228" s="58">
        <v>174381.3</v>
      </c>
      <c r="F228" s="58">
        <f>SUM(F229)</f>
        <v>70000</v>
      </c>
      <c r="G228" s="58">
        <f>SUM(G229)</f>
        <v>0</v>
      </c>
      <c r="H228" s="58">
        <f t="shared" si="32"/>
        <v>244381.3</v>
      </c>
    </row>
    <row r="229" spans="1:8" s="33" customFormat="1" ht="11.25" customHeight="1" x14ac:dyDescent="0.25">
      <c r="A229" s="48"/>
      <c r="B229" s="42"/>
      <c r="C229" s="3">
        <v>4300</v>
      </c>
      <c r="D229" s="5" t="s">
        <v>16</v>
      </c>
      <c r="E229" s="13">
        <v>140993</v>
      </c>
      <c r="F229" s="60">
        <v>70000</v>
      </c>
      <c r="G229" s="60"/>
      <c r="H229" s="60">
        <f t="shared" si="32"/>
        <v>210993</v>
      </c>
    </row>
    <row r="230" spans="1:8" s="33" customFormat="1" ht="19.5" customHeight="1" thickBot="1" x14ac:dyDescent="0.3">
      <c r="A230" s="48"/>
      <c r="B230" s="42"/>
      <c r="C230" s="52"/>
      <c r="D230" s="46" t="s">
        <v>38</v>
      </c>
      <c r="E230" s="47">
        <v>386293668.31000006</v>
      </c>
      <c r="F230" s="47">
        <f>SUM(F231,F238,F325,F332,F357,)</f>
        <v>1619346</v>
      </c>
      <c r="G230" s="47">
        <f>SUM(G231,G238,G332,G357,)</f>
        <v>0</v>
      </c>
      <c r="H230" s="47">
        <f>SUM(E230+F230-G230)</f>
        <v>387913014.31000006</v>
      </c>
    </row>
    <row r="231" spans="1:8" s="33" customFormat="1" ht="18" customHeight="1" thickTop="1" thickBot="1" x14ac:dyDescent="0.3">
      <c r="A231" s="48">
        <v>750</v>
      </c>
      <c r="B231" s="49"/>
      <c r="C231" s="50"/>
      <c r="D231" s="51" t="s">
        <v>23</v>
      </c>
      <c r="E231" s="47">
        <v>12810337.5</v>
      </c>
      <c r="F231" s="69">
        <f>SUM(F232)</f>
        <v>223951</v>
      </c>
      <c r="G231" s="69">
        <f>SUM(G232)</f>
        <v>0</v>
      </c>
      <c r="H231" s="47">
        <f>SUM(E231+F231-G231)</f>
        <v>13034288.5</v>
      </c>
    </row>
    <row r="232" spans="1:8" s="33" customFormat="1" ht="12" customHeight="1" thickTop="1" x14ac:dyDescent="0.25">
      <c r="A232" s="2"/>
      <c r="B232" s="43" t="s">
        <v>66</v>
      </c>
      <c r="C232" s="52"/>
      <c r="D232" s="53" t="s">
        <v>67</v>
      </c>
      <c r="E232" s="54">
        <v>4417459</v>
      </c>
      <c r="F232" s="70">
        <f>SUM(F233)</f>
        <v>223951</v>
      </c>
      <c r="G232" s="70">
        <f>SUM(G233)</f>
        <v>0</v>
      </c>
      <c r="H232" s="54">
        <f>SUM(E232+F232-G232)</f>
        <v>4641410</v>
      </c>
    </row>
    <row r="233" spans="1:8" s="33" customFormat="1" ht="12" customHeight="1" x14ac:dyDescent="0.25">
      <c r="A233" s="2"/>
      <c r="B233" s="43"/>
      <c r="C233" s="43"/>
      <c r="D233" s="74" t="s">
        <v>68</v>
      </c>
      <c r="E233" s="58">
        <v>4417459</v>
      </c>
      <c r="F233" s="71">
        <f>SUM(F234:F237)</f>
        <v>223951</v>
      </c>
      <c r="G233" s="71">
        <f>SUM(G234:G237)</f>
        <v>0</v>
      </c>
      <c r="H233" s="58">
        <f>SUM(E233+F233-G233)</f>
        <v>4641410</v>
      </c>
    </row>
    <row r="234" spans="1:8" s="33" customFormat="1" ht="12" customHeight="1" x14ac:dyDescent="0.25">
      <c r="A234" s="2"/>
      <c r="B234" s="43"/>
      <c r="C234" s="52">
        <v>4010</v>
      </c>
      <c r="D234" s="59" t="s">
        <v>57</v>
      </c>
      <c r="E234" s="60">
        <v>2892789</v>
      </c>
      <c r="F234" s="72">
        <f>58800+123832</f>
        <v>182632</v>
      </c>
      <c r="G234" s="72"/>
      <c r="H234" s="60">
        <f t="shared" ref="H234:H237" si="33">SUM(E234+F234-G234)</f>
        <v>3075421</v>
      </c>
    </row>
    <row r="235" spans="1:8" s="33" customFormat="1" ht="12" customHeight="1" x14ac:dyDescent="0.25">
      <c r="A235" s="2"/>
      <c r="B235" s="43"/>
      <c r="C235" s="52">
        <v>4110</v>
      </c>
      <c r="D235" s="59" t="s">
        <v>58</v>
      </c>
      <c r="E235" s="75">
        <v>535644</v>
      </c>
      <c r="F235" s="76">
        <f>10108+23999</f>
        <v>34107</v>
      </c>
      <c r="G235" s="76"/>
      <c r="H235" s="60">
        <f t="shared" si="33"/>
        <v>569751</v>
      </c>
    </row>
    <row r="236" spans="1:8" s="33" customFormat="1" ht="12" customHeight="1" x14ac:dyDescent="0.25">
      <c r="A236" s="2"/>
      <c r="B236" s="43"/>
      <c r="C236" s="52">
        <v>4120</v>
      </c>
      <c r="D236" s="59" t="s">
        <v>20</v>
      </c>
      <c r="E236" s="75">
        <v>81598</v>
      </c>
      <c r="F236" s="76">
        <f>1440+3034</f>
        <v>4474</v>
      </c>
      <c r="G236" s="76"/>
      <c r="H236" s="60">
        <f t="shared" si="33"/>
        <v>86072</v>
      </c>
    </row>
    <row r="237" spans="1:8" s="33" customFormat="1" ht="12" customHeight="1" x14ac:dyDescent="0.25">
      <c r="A237" s="7"/>
      <c r="B237" s="87"/>
      <c r="C237" s="101">
        <v>4710</v>
      </c>
      <c r="D237" s="102" t="s">
        <v>59</v>
      </c>
      <c r="E237" s="135">
        <v>23250</v>
      </c>
      <c r="F237" s="136">
        <f>880+1858</f>
        <v>2738</v>
      </c>
      <c r="G237" s="136"/>
      <c r="H237" s="54">
        <f t="shared" si="33"/>
        <v>25988</v>
      </c>
    </row>
    <row r="238" spans="1:8" s="33" customFormat="1" ht="12" customHeight="1" thickBot="1" x14ac:dyDescent="0.3">
      <c r="A238" s="49">
        <v>801</v>
      </c>
      <c r="B238" s="49"/>
      <c r="C238" s="50"/>
      <c r="D238" s="51" t="s">
        <v>39</v>
      </c>
      <c r="E238" s="1">
        <v>210173559.80999994</v>
      </c>
      <c r="F238" s="69">
        <f>SUM(F239,F245,F251,F257,F263,F269,F275,F281,F287,F294,F300,F306,F312,F318)</f>
        <v>864592</v>
      </c>
      <c r="G238" s="69">
        <f>SUM(G239,G251,G263,G281,G287,G312,G318)</f>
        <v>0</v>
      </c>
      <c r="H238" s="47">
        <f>SUM(E238+F238-G238)</f>
        <v>211038151.80999994</v>
      </c>
    </row>
    <row r="239" spans="1:8" s="33" customFormat="1" ht="12" customHeight="1" thickTop="1" x14ac:dyDescent="0.25">
      <c r="A239" s="49"/>
      <c r="B239" s="42">
        <v>80102</v>
      </c>
      <c r="C239" s="43"/>
      <c r="D239" s="53" t="s">
        <v>133</v>
      </c>
      <c r="E239" s="54">
        <v>17439406.059999999</v>
      </c>
      <c r="F239" s="70">
        <f>SUM(F240)</f>
        <v>101326</v>
      </c>
      <c r="G239" s="70">
        <f>SUM(G240)</f>
        <v>0</v>
      </c>
      <c r="H239" s="54">
        <f t="shared" ref="H239:H245" si="34">SUM(E239+F239-G239)</f>
        <v>17540732.059999999</v>
      </c>
    </row>
    <row r="240" spans="1:8" s="33" customFormat="1" ht="12" customHeight="1" x14ac:dyDescent="0.25">
      <c r="A240" s="49"/>
      <c r="B240" s="42"/>
      <c r="C240" s="43"/>
      <c r="D240" s="74" t="s">
        <v>73</v>
      </c>
      <c r="E240" s="58">
        <v>17439406.059999999</v>
      </c>
      <c r="F240" s="58">
        <f>SUM(F241:F244)</f>
        <v>101326</v>
      </c>
      <c r="G240" s="58">
        <f>SUM(G241:G244)</f>
        <v>0</v>
      </c>
      <c r="H240" s="58">
        <f t="shared" si="34"/>
        <v>17540732.059999999</v>
      </c>
    </row>
    <row r="241" spans="1:8" s="33" customFormat="1" ht="12" customHeight="1" x14ac:dyDescent="0.25">
      <c r="A241" s="49"/>
      <c r="B241" s="42"/>
      <c r="C241" s="52">
        <v>4010</v>
      </c>
      <c r="D241" s="59" t="s">
        <v>57</v>
      </c>
      <c r="E241" s="60">
        <v>2430741.8199999998</v>
      </c>
      <c r="F241" s="60">
        <v>75316</v>
      </c>
      <c r="G241" s="60"/>
      <c r="H241" s="60">
        <f t="shared" si="34"/>
        <v>2506057.8199999998</v>
      </c>
    </row>
    <row r="242" spans="1:8" s="33" customFormat="1" ht="12" customHeight="1" x14ac:dyDescent="0.25">
      <c r="A242" s="49"/>
      <c r="B242" s="42"/>
      <c r="C242" s="52">
        <v>4110</v>
      </c>
      <c r="D242" s="59" t="s">
        <v>58</v>
      </c>
      <c r="E242" s="60">
        <v>2436609</v>
      </c>
      <c r="F242" s="60">
        <v>21150</v>
      </c>
      <c r="G242" s="60"/>
      <c r="H242" s="60">
        <f t="shared" si="34"/>
        <v>2457759</v>
      </c>
    </row>
    <row r="243" spans="1:8" s="33" customFormat="1" ht="12" customHeight="1" x14ac:dyDescent="0.25">
      <c r="A243" s="49"/>
      <c r="B243" s="42"/>
      <c r="C243" s="52">
        <v>4120</v>
      </c>
      <c r="D243" s="59" t="s">
        <v>20</v>
      </c>
      <c r="E243" s="60">
        <v>332569</v>
      </c>
      <c r="F243" s="60">
        <v>3000</v>
      </c>
      <c r="G243" s="60"/>
      <c r="H243" s="60">
        <f t="shared" si="34"/>
        <v>335569</v>
      </c>
    </row>
    <row r="244" spans="1:8" s="33" customFormat="1" ht="12" customHeight="1" x14ac:dyDescent="0.25">
      <c r="A244" s="49"/>
      <c r="B244" s="42"/>
      <c r="C244" s="61">
        <v>4710</v>
      </c>
      <c r="D244" s="62" t="s">
        <v>59</v>
      </c>
      <c r="E244" s="60">
        <v>29973</v>
      </c>
      <c r="F244" s="60">
        <v>1860</v>
      </c>
      <c r="G244" s="60"/>
      <c r="H244" s="60">
        <f t="shared" si="34"/>
        <v>31833</v>
      </c>
    </row>
    <row r="245" spans="1:8" s="33" customFormat="1" ht="12" customHeight="1" x14ac:dyDescent="0.25">
      <c r="A245" s="49"/>
      <c r="B245" s="42">
        <v>80113</v>
      </c>
      <c r="C245" s="43"/>
      <c r="D245" s="8" t="s">
        <v>75</v>
      </c>
      <c r="E245" s="54">
        <v>792320</v>
      </c>
      <c r="F245" s="70">
        <f>SUM(F246,)</f>
        <v>22910</v>
      </c>
      <c r="G245" s="70">
        <f>SUM(G246,)</f>
        <v>0</v>
      </c>
      <c r="H245" s="54">
        <f t="shared" si="34"/>
        <v>815230</v>
      </c>
    </row>
    <row r="246" spans="1:8" s="33" customFormat="1" ht="12" customHeight="1" x14ac:dyDescent="0.25">
      <c r="A246" s="49"/>
      <c r="B246" s="49"/>
      <c r="C246" s="43"/>
      <c r="D246" s="74" t="s">
        <v>73</v>
      </c>
      <c r="E246" s="58">
        <v>792320</v>
      </c>
      <c r="F246" s="58">
        <f>SUM(F247:F250)</f>
        <v>22910</v>
      </c>
      <c r="G246" s="58">
        <f>SUM(G247:G250)</f>
        <v>0</v>
      </c>
      <c r="H246" s="58">
        <f>SUM(E246+F246-G246)</f>
        <v>815230</v>
      </c>
    </row>
    <row r="247" spans="1:8" s="33" customFormat="1" ht="12" customHeight="1" x14ac:dyDescent="0.25">
      <c r="A247" s="49"/>
      <c r="B247" s="49"/>
      <c r="C247" s="52">
        <v>4010</v>
      </c>
      <c r="D247" s="59" t="s">
        <v>57</v>
      </c>
      <c r="E247" s="60">
        <v>503928</v>
      </c>
      <c r="F247" s="60">
        <v>18890</v>
      </c>
      <c r="G247" s="60"/>
      <c r="H247" s="60">
        <f t="shared" ref="H247:H248" si="35">SUM(E247+F247-G247)</f>
        <v>522818</v>
      </c>
    </row>
    <row r="248" spans="1:8" s="33" customFormat="1" ht="12" customHeight="1" x14ac:dyDescent="0.25">
      <c r="A248" s="49"/>
      <c r="B248" s="49"/>
      <c r="C248" s="52">
        <v>4110</v>
      </c>
      <c r="D248" s="59" t="s">
        <v>58</v>
      </c>
      <c r="E248" s="60">
        <v>95500</v>
      </c>
      <c r="F248" s="60">
        <v>3250</v>
      </c>
      <c r="G248" s="60"/>
      <c r="H248" s="60">
        <f t="shared" si="35"/>
        <v>98750</v>
      </c>
    </row>
    <row r="249" spans="1:8" s="33" customFormat="1" ht="12" customHeight="1" x14ac:dyDescent="0.25">
      <c r="A249" s="49"/>
      <c r="B249" s="49"/>
      <c r="C249" s="52">
        <v>4120</v>
      </c>
      <c r="D249" s="59" t="s">
        <v>20</v>
      </c>
      <c r="E249" s="60">
        <v>15500</v>
      </c>
      <c r="F249" s="60">
        <v>480</v>
      </c>
      <c r="G249" s="60"/>
      <c r="H249" s="60">
        <f>SUM(E249+F249-G249)</f>
        <v>15980</v>
      </c>
    </row>
    <row r="250" spans="1:8" s="33" customFormat="1" ht="12" customHeight="1" x14ac:dyDescent="0.25">
      <c r="A250" s="49"/>
      <c r="B250" s="49"/>
      <c r="C250" s="61">
        <v>4710</v>
      </c>
      <c r="D250" s="62" t="s">
        <v>59</v>
      </c>
      <c r="E250" s="60">
        <v>3000</v>
      </c>
      <c r="F250" s="60">
        <v>290</v>
      </c>
      <c r="G250" s="60"/>
      <c r="H250" s="60">
        <f t="shared" ref="H250" si="36">SUM(E250+F250-G250)</f>
        <v>3290</v>
      </c>
    </row>
    <row r="251" spans="1:8" s="33" customFormat="1" ht="12.75" x14ac:dyDescent="0.25">
      <c r="A251" s="42"/>
      <c r="B251" s="42">
        <v>80115</v>
      </c>
      <c r="C251" s="43"/>
      <c r="D251" s="53" t="s">
        <v>17</v>
      </c>
      <c r="E251" s="54">
        <v>64839521.719999999</v>
      </c>
      <c r="F251" s="70">
        <f>SUM(F252,)</f>
        <v>340257</v>
      </c>
      <c r="G251" s="70">
        <f>SUM(G252,)</f>
        <v>0</v>
      </c>
      <c r="H251" s="54">
        <f>SUM(E251+F251-G251)</f>
        <v>65179778.719999999</v>
      </c>
    </row>
    <row r="252" spans="1:8" s="33" customFormat="1" ht="12.75" x14ac:dyDescent="0.25">
      <c r="A252" s="42"/>
      <c r="B252" s="42"/>
      <c r="C252" s="43"/>
      <c r="D252" s="74" t="s">
        <v>73</v>
      </c>
      <c r="E252" s="58">
        <v>60583192.280000001</v>
      </c>
      <c r="F252" s="58">
        <f>SUM(F253:F256)</f>
        <v>340257</v>
      </c>
      <c r="G252" s="58">
        <f>SUM(G253:G256)</f>
        <v>0</v>
      </c>
      <c r="H252" s="58">
        <f>SUM(E252+F252-G252)</f>
        <v>60923449.280000001</v>
      </c>
    </row>
    <row r="253" spans="1:8" s="33" customFormat="1" ht="12.75" x14ac:dyDescent="0.25">
      <c r="A253" s="42"/>
      <c r="B253" s="42"/>
      <c r="C253" s="52">
        <v>4010</v>
      </c>
      <c r="D253" s="59" t="s">
        <v>57</v>
      </c>
      <c r="E253" s="60">
        <v>7424434.4199999999</v>
      </c>
      <c r="F253" s="60">
        <v>265387</v>
      </c>
      <c r="G253" s="60"/>
      <c r="H253" s="60">
        <f t="shared" ref="H253:H256" si="37">SUM(E253+F253-G253)</f>
        <v>7689821.4199999999</v>
      </c>
    </row>
    <row r="254" spans="1:8" s="33" customFormat="1" ht="12.75" x14ac:dyDescent="0.25">
      <c r="A254" s="42"/>
      <c r="B254" s="42"/>
      <c r="C254" s="52">
        <v>4110</v>
      </c>
      <c r="D254" s="59" t="s">
        <v>58</v>
      </c>
      <c r="E254" s="60">
        <v>7821608</v>
      </c>
      <c r="F254" s="60">
        <v>61864</v>
      </c>
      <c r="G254" s="60"/>
      <c r="H254" s="60">
        <f t="shared" si="37"/>
        <v>7883472</v>
      </c>
    </row>
    <row r="255" spans="1:8" s="33" customFormat="1" ht="12.75" x14ac:dyDescent="0.25">
      <c r="A255" s="42"/>
      <c r="B255" s="42"/>
      <c r="C255" s="52">
        <v>4120</v>
      </c>
      <c r="D255" s="59" t="s">
        <v>20</v>
      </c>
      <c r="E255" s="60">
        <v>1089740</v>
      </c>
      <c r="F255" s="60">
        <v>8824</v>
      </c>
      <c r="G255" s="60"/>
      <c r="H255" s="60">
        <f t="shared" si="37"/>
        <v>1098564</v>
      </c>
    </row>
    <row r="256" spans="1:8" s="33" customFormat="1" ht="12.75" x14ac:dyDescent="0.25">
      <c r="A256" s="42"/>
      <c r="B256" s="42"/>
      <c r="C256" s="61">
        <v>4710</v>
      </c>
      <c r="D256" s="62" t="s">
        <v>59</v>
      </c>
      <c r="E256" s="60">
        <v>322868</v>
      </c>
      <c r="F256" s="60">
        <v>4182</v>
      </c>
      <c r="G256" s="60"/>
      <c r="H256" s="60">
        <f t="shared" si="37"/>
        <v>327050</v>
      </c>
    </row>
    <row r="257" spans="1:8" s="33" customFormat="1" ht="12.75" x14ac:dyDescent="0.25">
      <c r="A257" s="42"/>
      <c r="B257" s="42">
        <v>80116</v>
      </c>
      <c r="C257" s="43"/>
      <c r="D257" s="8" t="s">
        <v>40</v>
      </c>
      <c r="E257" s="54">
        <v>10997025.280000001</v>
      </c>
      <c r="F257" s="70">
        <f>SUM(F258)</f>
        <v>17354</v>
      </c>
      <c r="G257" s="70">
        <f>SUM(G258)</f>
        <v>0</v>
      </c>
      <c r="H257" s="54">
        <f>SUM(E257+F257-G257)</f>
        <v>11014379.280000001</v>
      </c>
    </row>
    <row r="258" spans="1:8" s="33" customFormat="1" ht="12.75" x14ac:dyDescent="0.25">
      <c r="A258" s="42"/>
      <c r="B258" s="42"/>
      <c r="C258" s="43"/>
      <c r="D258" s="74" t="s">
        <v>73</v>
      </c>
      <c r="E258" s="58">
        <v>1268505.98</v>
      </c>
      <c r="F258" s="58">
        <f>SUM(F259:F262)</f>
        <v>17354</v>
      </c>
      <c r="G258" s="58">
        <f>SUM(G259:G262)</f>
        <v>0</v>
      </c>
      <c r="H258" s="58">
        <f t="shared" ref="H258:H262" si="38">SUM(E258+F258-G258)</f>
        <v>1285859.98</v>
      </c>
    </row>
    <row r="259" spans="1:8" s="33" customFormat="1" ht="12.75" x14ac:dyDescent="0.25">
      <c r="A259" s="42"/>
      <c r="B259" s="42"/>
      <c r="C259" s="52">
        <v>4010</v>
      </c>
      <c r="D259" s="59" t="s">
        <v>57</v>
      </c>
      <c r="E259" s="60">
        <v>198405.66</v>
      </c>
      <c r="F259" s="60">
        <v>14323</v>
      </c>
      <c r="G259" s="60"/>
      <c r="H259" s="60">
        <f t="shared" si="38"/>
        <v>212728.66</v>
      </c>
    </row>
    <row r="260" spans="1:8" s="33" customFormat="1" ht="12.75" x14ac:dyDescent="0.25">
      <c r="A260" s="42"/>
      <c r="B260" s="42"/>
      <c r="C260" s="52">
        <v>4110</v>
      </c>
      <c r="D260" s="59" t="s">
        <v>58</v>
      </c>
      <c r="E260" s="60">
        <v>165544</v>
      </c>
      <c r="F260" s="60">
        <v>2463</v>
      </c>
      <c r="G260" s="60"/>
      <c r="H260" s="60">
        <f t="shared" si="38"/>
        <v>168007</v>
      </c>
    </row>
    <row r="261" spans="1:8" s="33" customFormat="1" ht="12.75" x14ac:dyDescent="0.25">
      <c r="A261" s="42"/>
      <c r="B261" s="42"/>
      <c r="C261" s="52">
        <v>4120</v>
      </c>
      <c r="D261" s="59" t="s">
        <v>20</v>
      </c>
      <c r="E261" s="60">
        <v>25295</v>
      </c>
      <c r="F261" s="60">
        <v>352</v>
      </c>
      <c r="G261" s="60"/>
      <c r="H261" s="60">
        <f t="shared" si="38"/>
        <v>25647</v>
      </c>
    </row>
    <row r="262" spans="1:8" s="33" customFormat="1" ht="12.75" x14ac:dyDescent="0.25">
      <c r="A262" s="42"/>
      <c r="B262" s="42"/>
      <c r="C262" s="61">
        <v>4710</v>
      </c>
      <c r="D262" s="62" t="s">
        <v>59</v>
      </c>
      <c r="E262" s="60">
        <v>4341</v>
      </c>
      <c r="F262" s="60">
        <v>216</v>
      </c>
      <c r="G262" s="60"/>
      <c r="H262" s="60">
        <f t="shared" si="38"/>
        <v>4557</v>
      </c>
    </row>
    <row r="263" spans="1:8" s="33" customFormat="1" ht="12.75" x14ac:dyDescent="0.25">
      <c r="A263" s="42"/>
      <c r="B263" s="42">
        <v>80117</v>
      </c>
      <c r="C263" s="43"/>
      <c r="D263" s="53" t="s">
        <v>51</v>
      </c>
      <c r="E263" s="54">
        <v>12232152.640000001</v>
      </c>
      <c r="F263" s="70">
        <f>SUM(F264)</f>
        <v>17239</v>
      </c>
      <c r="G263" s="70">
        <f>SUM(G264)</f>
        <v>0</v>
      </c>
      <c r="H263" s="54">
        <f>SUM(E263+F263-G263)</f>
        <v>12249391.640000001</v>
      </c>
    </row>
    <row r="264" spans="1:8" s="33" customFormat="1" ht="12.75" x14ac:dyDescent="0.25">
      <c r="A264" s="42"/>
      <c r="B264" s="42"/>
      <c r="C264" s="43"/>
      <c r="D264" s="74" t="s">
        <v>73</v>
      </c>
      <c r="E264" s="58">
        <v>7570744.46</v>
      </c>
      <c r="F264" s="58">
        <f>SUM(F265:F268)</f>
        <v>17239</v>
      </c>
      <c r="G264" s="58">
        <f>SUM(G265:G268)</f>
        <v>0</v>
      </c>
      <c r="H264" s="58">
        <f t="shared" ref="H264:H268" si="39">SUM(E264+F264-G264)</f>
        <v>7587983.46</v>
      </c>
    </row>
    <row r="265" spans="1:8" s="33" customFormat="1" ht="12.75" x14ac:dyDescent="0.25">
      <c r="A265" s="42"/>
      <c r="B265" s="42"/>
      <c r="C265" s="52">
        <v>4010</v>
      </c>
      <c r="D265" s="59" t="s">
        <v>57</v>
      </c>
      <c r="E265" s="60">
        <v>342427.16</v>
      </c>
      <c r="F265" s="60">
        <v>14227</v>
      </c>
      <c r="G265" s="60"/>
      <c r="H265" s="60">
        <f t="shared" si="39"/>
        <v>356654.16</v>
      </c>
    </row>
    <row r="266" spans="1:8" s="33" customFormat="1" ht="12.75" x14ac:dyDescent="0.25">
      <c r="A266" s="42"/>
      <c r="B266" s="42"/>
      <c r="C266" s="52">
        <v>4110</v>
      </c>
      <c r="D266" s="59" t="s">
        <v>58</v>
      </c>
      <c r="E266" s="60">
        <v>881151</v>
      </c>
      <c r="F266" s="60">
        <v>2447</v>
      </c>
      <c r="G266" s="60"/>
      <c r="H266" s="60">
        <f t="shared" si="39"/>
        <v>883598</v>
      </c>
    </row>
    <row r="267" spans="1:8" s="33" customFormat="1" ht="12.75" x14ac:dyDescent="0.25">
      <c r="A267" s="42"/>
      <c r="B267" s="42"/>
      <c r="C267" s="52">
        <v>4120</v>
      </c>
      <c r="D267" s="59" t="s">
        <v>20</v>
      </c>
      <c r="E267" s="60">
        <v>126845</v>
      </c>
      <c r="F267" s="60">
        <v>350</v>
      </c>
      <c r="G267" s="60"/>
      <c r="H267" s="60">
        <f t="shared" si="39"/>
        <v>127195</v>
      </c>
    </row>
    <row r="268" spans="1:8" s="33" customFormat="1" ht="12.75" x14ac:dyDescent="0.25">
      <c r="A268" s="42"/>
      <c r="B268" s="42"/>
      <c r="C268" s="61">
        <v>4710</v>
      </c>
      <c r="D268" s="62" t="s">
        <v>59</v>
      </c>
      <c r="E268" s="60">
        <v>42949</v>
      </c>
      <c r="F268" s="60">
        <v>215</v>
      </c>
      <c r="G268" s="60"/>
      <c r="H268" s="60">
        <f t="shared" si="39"/>
        <v>43164</v>
      </c>
    </row>
    <row r="269" spans="1:8" s="33" customFormat="1" ht="12.75" x14ac:dyDescent="0.25">
      <c r="A269" s="42"/>
      <c r="B269" s="42">
        <v>80118</v>
      </c>
      <c r="C269" s="43"/>
      <c r="D269" s="53" t="s">
        <v>134</v>
      </c>
      <c r="E269" s="54">
        <v>1875389</v>
      </c>
      <c r="F269" s="70">
        <f>SUM(F270,)</f>
        <v>20813</v>
      </c>
      <c r="G269" s="70">
        <f>SUM(G270,)</f>
        <v>0</v>
      </c>
      <c r="H269" s="54">
        <f>SUM(E269+F269-G269)</f>
        <v>1896202</v>
      </c>
    </row>
    <row r="270" spans="1:8" s="33" customFormat="1" ht="12.75" x14ac:dyDescent="0.25">
      <c r="A270" s="42"/>
      <c r="B270" s="49"/>
      <c r="C270" s="43"/>
      <c r="D270" s="74" t="s">
        <v>73</v>
      </c>
      <c r="E270" s="58">
        <v>1875389</v>
      </c>
      <c r="F270" s="58">
        <f>SUM(F271:F274)</f>
        <v>20813</v>
      </c>
      <c r="G270" s="58">
        <f>SUM(G271:G274)</f>
        <v>0</v>
      </c>
      <c r="H270" s="58">
        <f>SUM(E270+F270-G270)</f>
        <v>1896202</v>
      </c>
    </row>
    <row r="271" spans="1:8" s="33" customFormat="1" ht="12.75" x14ac:dyDescent="0.25">
      <c r="A271" s="42"/>
      <c r="B271" s="49"/>
      <c r="C271" s="52">
        <v>4010</v>
      </c>
      <c r="D271" s="59" t="s">
        <v>57</v>
      </c>
      <c r="E271" s="60">
        <v>405501</v>
      </c>
      <c r="F271" s="60">
        <v>17179</v>
      </c>
      <c r="G271" s="60"/>
      <c r="H271" s="60">
        <f t="shared" ref="H271" si="40">SUM(E271+F271-G271)</f>
        <v>422680</v>
      </c>
    </row>
    <row r="272" spans="1:8" s="33" customFormat="1" ht="12.75" x14ac:dyDescent="0.25">
      <c r="A272" s="42"/>
      <c r="B272" s="49"/>
      <c r="C272" s="52">
        <v>4110</v>
      </c>
      <c r="D272" s="59" t="s">
        <v>58</v>
      </c>
      <c r="E272" s="60">
        <v>228142</v>
      </c>
      <c r="F272" s="60">
        <v>2954</v>
      </c>
      <c r="G272" s="60"/>
      <c r="H272" s="60">
        <f>SUM(E272+F272-G272)</f>
        <v>231096</v>
      </c>
    </row>
    <row r="273" spans="1:8" s="33" customFormat="1" ht="12.75" x14ac:dyDescent="0.25">
      <c r="A273" s="42"/>
      <c r="B273" s="49"/>
      <c r="C273" s="52">
        <v>4120</v>
      </c>
      <c r="D273" s="59" t="s">
        <v>20</v>
      </c>
      <c r="E273" s="60">
        <v>33023</v>
      </c>
      <c r="F273" s="60">
        <v>422</v>
      </c>
      <c r="G273" s="60"/>
      <c r="H273" s="60">
        <f t="shared" ref="H273:H274" si="41">SUM(E273+F273-G273)</f>
        <v>33445</v>
      </c>
    </row>
    <row r="274" spans="1:8" s="33" customFormat="1" ht="12.75" x14ac:dyDescent="0.25">
      <c r="A274" s="42"/>
      <c r="B274" s="49"/>
      <c r="C274" s="61">
        <v>4710</v>
      </c>
      <c r="D274" s="62" t="s">
        <v>59</v>
      </c>
      <c r="E274" s="60">
        <v>5369</v>
      </c>
      <c r="F274" s="60">
        <v>258</v>
      </c>
      <c r="G274" s="60"/>
      <c r="H274" s="60">
        <f t="shared" si="41"/>
        <v>5627</v>
      </c>
    </row>
    <row r="275" spans="1:8" s="33" customFormat="1" ht="12.75" x14ac:dyDescent="0.25">
      <c r="A275" s="42"/>
      <c r="B275" s="52">
        <v>80120</v>
      </c>
      <c r="C275" s="66"/>
      <c r="D275" s="67" t="s">
        <v>18</v>
      </c>
      <c r="E275" s="54">
        <v>44521779.079999991</v>
      </c>
      <c r="F275" s="70">
        <f>SUM(F276,)</f>
        <v>181816</v>
      </c>
      <c r="G275" s="70">
        <f>SUM(G276,)</f>
        <v>0</v>
      </c>
      <c r="H275" s="54">
        <f>SUM(E275+F275-G275)</f>
        <v>44703595.079999991</v>
      </c>
    </row>
    <row r="276" spans="1:8" s="33" customFormat="1" ht="12.75" x14ac:dyDescent="0.25">
      <c r="A276" s="42"/>
      <c r="B276" s="49"/>
      <c r="C276" s="43"/>
      <c r="D276" s="74" t="s">
        <v>73</v>
      </c>
      <c r="E276" s="58">
        <v>36135349.779999994</v>
      </c>
      <c r="F276" s="58">
        <f>SUM(F277:F280)</f>
        <v>181816</v>
      </c>
      <c r="G276" s="58">
        <f>SUM(G277:G280)</f>
        <v>0</v>
      </c>
      <c r="H276" s="58">
        <f>SUM(E276+F276-G276)</f>
        <v>36317165.779999994</v>
      </c>
    </row>
    <row r="277" spans="1:8" s="33" customFormat="1" ht="12.75" x14ac:dyDescent="0.25">
      <c r="A277" s="42"/>
      <c r="B277" s="49"/>
      <c r="C277" s="52">
        <v>4010</v>
      </c>
      <c r="D277" s="59" t="s">
        <v>57</v>
      </c>
      <c r="E277" s="60">
        <v>3745748.24</v>
      </c>
      <c r="F277" s="60">
        <v>142000</v>
      </c>
      <c r="G277" s="60"/>
      <c r="H277" s="60">
        <f t="shared" ref="H277" si="42">SUM(E277+F277-G277)</f>
        <v>3887748.24</v>
      </c>
    </row>
    <row r="278" spans="1:8" s="33" customFormat="1" ht="12.75" x14ac:dyDescent="0.25">
      <c r="A278" s="42"/>
      <c r="B278" s="49"/>
      <c r="C278" s="52">
        <v>4110</v>
      </c>
      <c r="D278" s="59" t="s">
        <v>58</v>
      </c>
      <c r="E278" s="60">
        <v>4575319</v>
      </c>
      <c r="F278" s="60">
        <v>32373</v>
      </c>
      <c r="G278" s="60"/>
      <c r="H278" s="60">
        <f>SUM(E278+F278-G278)</f>
        <v>4607692</v>
      </c>
    </row>
    <row r="279" spans="1:8" s="33" customFormat="1" ht="12.75" x14ac:dyDescent="0.25">
      <c r="A279" s="42"/>
      <c r="B279" s="49"/>
      <c r="C279" s="52">
        <v>4120</v>
      </c>
      <c r="D279" s="59" t="s">
        <v>20</v>
      </c>
      <c r="E279" s="60">
        <v>652001</v>
      </c>
      <c r="F279" s="60">
        <v>4616</v>
      </c>
      <c r="G279" s="60"/>
      <c r="H279" s="60">
        <f t="shared" ref="H279:H280" si="43">SUM(E279+F279-G279)</f>
        <v>656617</v>
      </c>
    </row>
    <row r="280" spans="1:8" s="33" customFormat="1" ht="12.75" x14ac:dyDescent="0.25">
      <c r="A280" s="42"/>
      <c r="B280" s="49"/>
      <c r="C280" s="61">
        <v>4710</v>
      </c>
      <c r="D280" s="62" t="s">
        <v>59</v>
      </c>
      <c r="E280" s="60">
        <v>116562</v>
      </c>
      <c r="F280" s="60">
        <v>2827</v>
      </c>
      <c r="G280" s="60"/>
      <c r="H280" s="60">
        <f t="shared" si="43"/>
        <v>119389</v>
      </c>
    </row>
    <row r="281" spans="1:8" s="33" customFormat="1" ht="12.75" x14ac:dyDescent="0.25">
      <c r="A281" s="42"/>
      <c r="B281" s="52">
        <v>80132</v>
      </c>
      <c r="C281" s="43"/>
      <c r="D281" s="53" t="s">
        <v>135</v>
      </c>
      <c r="E281" s="54">
        <v>8534458.1999999993</v>
      </c>
      <c r="F281" s="70">
        <f>SUM(F282,)</f>
        <v>36831</v>
      </c>
      <c r="G281" s="70">
        <f>SUM(G282,)</f>
        <v>0</v>
      </c>
      <c r="H281" s="54">
        <f>SUM(E281+F281-G281)</f>
        <v>8571289.1999999993</v>
      </c>
    </row>
    <row r="282" spans="1:8" s="33" customFormat="1" ht="12.75" x14ac:dyDescent="0.25">
      <c r="A282" s="42"/>
      <c r="B282" s="49"/>
      <c r="C282" s="43"/>
      <c r="D282" s="74" t="s">
        <v>73</v>
      </c>
      <c r="E282" s="58">
        <v>8534458.1999999993</v>
      </c>
      <c r="F282" s="58">
        <f>SUM(F283:F286)</f>
        <v>36831</v>
      </c>
      <c r="G282" s="58">
        <f>SUM(G283:G286)</f>
        <v>0</v>
      </c>
      <c r="H282" s="58">
        <f>SUM(E282+F282-G282)</f>
        <v>8571289.1999999993</v>
      </c>
    </row>
    <row r="283" spans="1:8" s="33" customFormat="1" ht="12.75" x14ac:dyDescent="0.25">
      <c r="A283" s="42"/>
      <c r="B283" s="49"/>
      <c r="C283" s="52">
        <v>4010</v>
      </c>
      <c r="D283" s="59" t="s">
        <v>57</v>
      </c>
      <c r="E283" s="60">
        <v>827516.82000000007</v>
      </c>
      <c r="F283" s="60">
        <v>28796</v>
      </c>
      <c r="G283" s="60"/>
      <c r="H283" s="60">
        <f t="shared" ref="H283" si="44">SUM(E283+F283-G283)</f>
        <v>856312.82000000007</v>
      </c>
    </row>
    <row r="284" spans="1:8" s="33" customFormat="1" ht="12.75" x14ac:dyDescent="0.25">
      <c r="A284" s="42"/>
      <c r="B284" s="49"/>
      <c r="C284" s="52">
        <v>4110</v>
      </c>
      <c r="D284" s="59" t="s">
        <v>58</v>
      </c>
      <c r="E284" s="60">
        <v>1198771</v>
      </c>
      <c r="F284" s="60">
        <v>6532</v>
      </c>
      <c r="G284" s="60"/>
      <c r="H284" s="60">
        <f>SUM(E284+F284-G284)</f>
        <v>1205303</v>
      </c>
    </row>
    <row r="285" spans="1:8" s="33" customFormat="1" ht="12.75" x14ac:dyDescent="0.25">
      <c r="A285" s="42"/>
      <c r="B285" s="49"/>
      <c r="C285" s="52">
        <v>4120</v>
      </c>
      <c r="D285" s="59" t="s">
        <v>20</v>
      </c>
      <c r="E285" s="60">
        <v>161952</v>
      </c>
      <c r="F285" s="60">
        <v>932</v>
      </c>
      <c r="G285" s="60"/>
      <c r="H285" s="60">
        <f t="shared" ref="H285:H287" si="45">SUM(E285+F285-G285)</f>
        <v>162884</v>
      </c>
    </row>
    <row r="286" spans="1:8" s="33" customFormat="1" ht="12.75" x14ac:dyDescent="0.25">
      <c r="A286" s="42"/>
      <c r="B286" s="49"/>
      <c r="C286" s="61">
        <v>4710</v>
      </c>
      <c r="D286" s="62" t="s">
        <v>59</v>
      </c>
      <c r="E286" s="60">
        <v>51749</v>
      </c>
      <c r="F286" s="60">
        <v>571</v>
      </c>
      <c r="G286" s="60"/>
      <c r="H286" s="60">
        <f t="shared" si="45"/>
        <v>52320</v>
      </c>
    </row>
    <row r="287" spans="1:8" s="33" customFormat="1" ht="12.75" x14ac:dyDescent="0.25">
      <c r="A287" s="42"/>
      <c r="B287" s="42">
        <v>80134</v>
      </c>
      <c r="C287" s="43"/>
      <c r="D287" s="83" t="s">
        <v>136</v>
      </c>
      <c r="E287" s="54">
        <v>18086537.32</v>
      </c>
      <c r="F287" s="70">
        <f>SUM(F288)</f>
        <v>45990</v>
      </c>
      <c r="G287" s="70">
        <f>SUM(G288)</f>
        <v>0</v>
      </c>
      <c r="H287" s="54">
        <f t="shared" si="45"/>
        <v>18132527.32</v>
      </c>
    </row>
    <row r="288" spans="1:8" s="33" customFormat="1" ht="12.75" x14ac:dyDescent="0.25">
      <c r="A288" s="42"/>
      <c r="B288" s="42"/>
      <c r="C288" s="43"/>
      <c r="D288" s="74" t="s">
        <v>73</v>
      </c>
      <c r="E288" s="58">
        <v>17878037.32</v>
      </c>
      <c r="F288" s="58">
        <f>SUM(F289:F292)</f>
        <v>45990</v>
      </c>
      <c r="G288" s="58">
        <f>SUM(G289:G292)</f>
        <v>0</v>
      </c>
      <c r="H288" s="58">
        <f>SUM(E288+F288-G288)</f>
        <v>17924027.32</v>
      </c>
    </row>
    <row r="289" spans="1:8" s="33" customFormat="1" ht="12.75" x14ac:dyDescent="0.25">
      <c r="A289" s="42"/>
      <c r="B289" s="42"/>
      <c r="C289" s="52">
        <v>4010</v>
      </c>
      <c r="D289" s="59" t="s">
        <v>57</v>
      </c>
      <c r="E289" s="60">
        <v>770905.2</v>
      </c>
      <c r="F289" s="60">
        <v>37780</v>
      </c>
      <c r="G289" s="60"/>
      <c r="H289" s="60">
        <f t="shared" ref="H289" si="46">SUM(E289+F289-G289)</f>
        <v>808685.2</v>
      </c>
    </row>
    <row r="290" spans="1:8" s="33" customFormat="1" ht="12.75" x14ac:dyDescent="0.25">
      <c r="A290" s="42"/>
      <c r="B290" s="42"/>
      <c r="C290" s="52">
        <v>4110</v>
      </c>
      <c r="D290" s="59" t="s">
        <v>58</v>
      </c>
      <c r="E290" s="60">
        <v>2037458</v>
      </c>
      <c r="F290" s="60">
        <v>6570</v>
      </c>
      <c r="G290" s="60"/>
      <c r="H290" s="60">
        <f>SUM(E290+F290-G290)</f>
        <v>2044028</v>
      </c>
    </row>
    <row r="291" spans="1:8" s="33" customFormat="1" ht="12.75" x14ac:dyDescent="0.25">
      <c r="A291" s="42"/>
      <c r="B291" s="42"/>
      <c r="C291" s="52">
        <v>4120</v>
      </c>
      <c r="D291" s="59" t="s">
        <v>20</v>
      </c>
      <c r="E291" s="60">
        <v>260404</v>
      </c>
      <c r="F291" s="60">
        <v>1020</v>
      </c>
      <c r="G291" s="60"/>
      <c r="H291" s="60">
        <f t="shared" ref="H291:H292" si="47">SUM(E291+F291-G291)</f>
        <v>261424</v>
      </c>
    </row>
    <row r="292" spans="1:8" s="33" customFormat="1" ht="12.75" x14ac:dyDescent="0.25">
      <c r="A292" s="67"/>
      <c r="B292" s="67"/>
      <c r="C292" s="101">
        <v>4710</v>
      </c>
      <c r="D292" s="102" t="s">
        <v>59</v>
      </c>
      <c r="E292" s="54">
        <v>36909</v>
      </c>
      <c r="F292" s="54">
        <v>620</v>
      </c>
      <c r="G292" s="54"/>
      <c r="H292" s="54">
        <f t="shared" si="47"/>
        <v>37529</v>
      </c>
    </row>
    <row r="293" spans="1:8" s="33" customFormat="1" ht="12.75" x14ac:dyDescent="0.25">
      <c r="A293" s="42"/>
      <c r="B293" s="42">
        <v>80140</v>
      </c>
      <c r="C293" s="43"/>
      <c r="D293" s="84" t="s">
        <v>137</v>
      </c>
      <c r="E293" s="120"/>
      <c r="F293" s="119"/>
      <c r="G293" s="119"/>
      <c r="H293" s="120"/>
    </row>
    <row r="294" spans="1:8" s="33" customFormat="1" ht="12.75" x14ac:dyDescent="0.25">
      <c r="A294" s="42"/>
      <c r="B294" s="42"/>
      <c r="C294" s="43"/>
      <c r="D294" s="53" t="s">
        <v>138</v>
      </c>
      <c r="E294" s="54">
        <v>5592675.3200000003</v>
      </c>
      <c r="F294" s="70">
        <f>SUM(F295)</f>
        <v>27779</v>
      </c>
      <c r="G294" s="70">
        <f>SUM(G295)</f>
        <v>0</v>
      </c>
      <c r="H294" s="54">
        <f t="shared" ref="H294" si="48">SUM(E294+F294-G294)</f>
        <v>5620454.3200000003</v>
      </c>
    </row>
    <row r="295" spans="1:8" s="33" customFormat="1" ht="12.75" x14ac:dyDescent="0.25">
      <c r="A295" s="42"/>
      <c r="B295" s="42"/>
      <c r="C295" s="43"/>
      <c r="D295" s="74" t="s">
        <v>73</v>
      </c>
      <c r="E295" s="58">
        <v>5592675.3200000003</v>
      </c>
      <c r="F295" s="58">
        <f>SUM(F296:F299)</f>
        <v>27779</v>
      </c>
      <c r="G295" s="58">
        <f>SUM(G296:G299)</f>
        <v>0</v>
      </c>
      <c r="H295" s="58">
        <f>SUM(E295+F295-G295)</f>
        <v>5620454.3200000003</v>
      </c>
    </row>
    <row r="296" spans="1:8" s="33" customFormat="1" ht="12.75" x14ac:dyDescent="0.25">
      <c r="A296" s="42"/>
      <c r="B296" s="49"/>
      <c r="C296" s="52">
        <v>4010</v>
      </c>
      <c r="D296" s="59" t="s">
        <v>57</v>
      </c>
      <c r="E296" s="60">
        <v>678544.5</v>
      </c>
      <c r="F296" s="60">
        <v>19458</v>
      </c>
      <c r="G296" s="60"/>
      <c r="H296" s="60">
        <f t="shared" ref="H296" si="49">SUM(E296+F296-G296)</f>
        <v>698002.5</v>
      </c>
    </row>
    <row r="297" spans="1:8" s="33" customFormat="1" ht="12.75" x14ac:dyDescent="0.25">
      <c r="A297" s="42"/>
      <c r="B297" s="49"/>
      <c r="C297" s="52">
        <v>4110</v>
      </c>
      <c r="D297" s="59" t="s">
        <v>58</v>
      </c>
      <c r="E297" s="60">
        <v>601027</v>
      </c>
      <c r="F297" s="60">
        <v>6765</v>
      </c>
      <c r="G297" s="60"/>
      <c r="H297" s="60">
        <f>SUM(E297+F297-G297)</f>
        <v>607792</v>
      </c>
    </row>
    <row r="298" spans="1:8" s="33" customFormat="1" ht="12.75" x14ac:dyDescent="0.25">
      <c r="A298" s="42"/>
      <c r="B298" s="49"/>
      <c r="C298" s="52">
        <v>4120</v>
      </c>
      <c r="D298" s="59" t="s">
        <v>20</v>
      </c>
      <c r="E298" s="60">
        <v>81786</v>
      </c>
      <c r="F298" s="60">
        <v>965</v>
      </c>
      <c r="G298" s="60"/>
      <c r="H298" s="60">
        <f t="shared" ref="H298:H299" si="50">SUM(E298+F298-G298)</f>
        <v>82751</v>
      </c>
    </row>
    <row r="299" spans="1:8" s="33" customFormat="1" ht="12.75" x14ac:dyDescent="0.25">
      <c r="A299" s="42"/>
      <c r="B299" s="49"/>
      <c r="C299" s="61">
        <v>4710</v>
      </c>
      <c r="D299" s="62" t="s">
        <v>59</v>
      </c>
      <c r="E299" s="60">
        <v>13758</v>
      </c>
      <c r="F299" s="60">
        <v>591</v>
      </c>
      <c r="G299" s="60"/>
      <c r="H299" s="60">
        <f t="shared" si="50"/>
        <v>14349</v>
      </c>
    </row>
    <row r="300" spans="1:8" s="33" customFormat="1" ht="12.75" x14ac:dyDescent="0.25">
      <c r="A300" s="42"/>
      <c r="B300" s="42">
        <v>80142</v>
      </c>
      <c r="C300" s="43"/>
      <c r="D300" s="53" t="s">
        <v>139</v>
      </c>
      <c r="E300" s="54">
        <v>174806.26</v>
      </c>
      <c r="F300" s="70">
        <f>SUM(F301)</f>
        <v>8075</v>
      </c>
      <c r="G300" s="70">
        <f>SUM(G301)</f>
        <v>0</v>
      </c>
      <c r="H300" s="54">
        <f>SUM(E300+F300-G300)</f>
        <v>182881.26</v>
      </c>
    </row>
    <row r="301" spans="1:8" s="33" customFormat="1" ht="12.75" x14ac:dyDescent="0.25">
      <c r="A301" s="42"/>
      <c r="B301" s="42"/>
      <c r="C301" s="43"/>
      <c r="D301" s="74" t="s">
        <v>73</v>
      </c>
      <c r="E301" s="58">
        <v>174806.26</v>
      </c>
      <c r="F301" s="58">
        <f>SUM(F302:F305)</f>
        <v>8075</v>
      </c>
      <c r="G301" s="58">
        <f>SUM(G302:G305)</f>
        <v>0</v>
      </c>
      <c r="H301" s="58">
        <f>SUM(E301+F301-G301)</f>
        <v>182881.26</v>
      </c>
    </row>
    <row r="302" spans="1:8" s="33" customFormat="1" ht="12.75" x14ac:dyDescent="0.25">
      <c r="A302" s="42"/>
      <c r="B302" s="42"/>
      <c r="C302" s="52">
        <v>4010</v>
      </c>
      <c r="D302" s="59" t="s">
        <v>57</v>
      </c>
      <c r="E302" s="60">
        <v>126719.26</v>
      </c>
      <c r="F302" s="60">
        <v>6664</v>
      </c>
      <c r="G302" s="60"/>
      <c r="H302" s="60">
        <f t="shared" ref="H302" si="51">SUM(E302+F302-G302)</f>
        <v>133383.26</v>
      </c>
    </row>
    <row r="303" spans="1:8" s="33" customFormat="1" ht="12.75" x14ac:dyDescent="0.25">
      <c r="A303" s="42"/>
      <c r="B303" s="42"/>
      <c r="C303" s="52">
        <v>4110</v>
      </c>
      <c r="D303" s="59" t="s">
        <v>58</v>
      </c>
      <c r="E303" s="60">
        <v>25000</v>
      </c>
      <c r="F303" s="60">
        <v>1146</v>
      </c>
      <c r="G303" s="60"/>
      <c r="H303" s="60">
        <f>SUM(E303+F303-G303)</f>
        <v>26146</v>
      </c>
    </row>
    <row r="304" spans="1:8" s="33" customFormat="1" ht="12.75" x14ac:dyDescent="0.25">
      <c r="A304" s="42"/>
      <c r="B304" s="42"/>
      <c r="C304" s="52">
        <v>4120</v>
      </c>
      <c r="D304" s="59" t="s">
        <v>20</v>
      </c>
      <c r="E304" s="60">
        <v>3600</v>
      </c>
      <c r="F304" s="60">
        <v>164</v>
      </c>
      <c r="G304" s="60"/>
      <c r="H304" s="60">
        <f t="shared" ref="H304:H305" si="52">SUM(E304+F304-G304)</f>
        <v>3764</v>
      </c>
    </row>
    <row r="305" spans="1:8" s="33" customFormat="1" ht="12.75" x14ac:dyDescent="0.25">
      <c r="A305" s="42"/>
      <c r="B305" s="42"/>
      <c r="C305" s="61">
        <v>4710</v>
      </c>
      <c r="D305" s="62" t="s">
        <v>59</v>
      </c>
      <c r="E305" s="60">
        <v>1100</v>
      </c>
      <c r="F305" s="60">
        <v>101</v>
      </c>
      <c r="G305" s="60"/>
      <c r="H305" s="60">
        <f t="shared" si="52"/>
        <v>1201</v>
      </c>
    </row>
    <row r="306" spans="1:8" s="33" customFormat="1" ht="12.75" x14ac:dyDescent="0.25">
      <c r="A306" s="42"/>
      <c r="B306" s="42">
        <v>80148</v>
      </c>
      <c r="C306" s="43"/>
      <c r="D306" s="8" t="s">
        <v>76</v>
      </c>
      <c r="E306" s="54">
        <v>558051</v>
      </c>
      <c r="F306" s="70">
        <f>SUM(F307,)</f>
        <v>13730</v>
      </c>
      <c r="G306" s="70">
        <f>SUM(G307,)</f>
        <v>0</v>
      </c>
      <c r="H306" s="54">
        <f>SUM(E306+F306-G306)</f>
        <v>571781</v>
      </c>
    </row>
    <row r="307" spans="1:8" s="33" customFormat="1" ht="12.75" x14ac:dyDescent="0.25">
      <c r="A307" s="42"/>
      <c r="B307" s="49"/>
      <c r="C307" s="43"/>
      <c r="D307" s="74" t="s">
        <v>73</v>
      </c>
      <c r="E307" s="58">
        <v>558051</v>
      </c>
      <c r="F307" s="58">
        <f>SUM(F308:F311)</f>
        <v>13730</v>
      </c>
      <c r="G307" s="58">
        <f>SUM(G308:G311)</f>
        <v>0</v>
      </c>
      <c r="H307" s="58">
        <f>SUM(E307+F307-G307)</f>
        <v>571781</v>
      </c>
    </row>
    <row r="308" spans="1:8" s="33" customFormat="1" ht="12.75" x14ac:dyDescent="0.25">
      <c r="A308" s="42"/>
      <c r="B308" s="49"/>
      <c r="C308" s="52">
        <v>4010</v>
      </c>
      <c r="D308" s="59" t="s">
        <v>57</v>
      </c>
      <c r="E308" s="60">
        <v>268761</v>
      </c>
      <c r="F308" s="60">
        <v>11320</v>
      </c>
      <c r="G308" s="60"/>
      <c r="H308" s="60">
        <f t="shared" ref="H308" si="53">SUM(E308+F308-G308)</f>
        <v>280081</v>
      </c>
    </row>
    <row r="309" spans="1:8" s="33" customFormat="1" ht="12.75" x14ac:dyDescent="0.25">
      <c r="A309" s="42"/>
      <c r="B309" s="49"/>
      <c r="C309" s="52">
        <v>4110</v>
      </c>
      <c r="D309" s="59" t="s">
        <v>58</v>
      </c>
      <c r="E309" s="60">
        <v>50650</v>
      </c>
      <c r="F309" s="60">
        <v>1950</v>
      </c>
      <c r="G309" s="60"/>
      <c r="H309" s="60">
        <f>SUM(E309+F309-G309)</f>
        <v>52600</v>
      </c>
    </row>
    <row r="310" spans="1:8" s="33" customFormat="1" ht="12.75" x14ac:dyDescent="0.25">
      <c r="A310" s="42"/>
      <c r="B310" s="49"/>
      <c r="C310" s="52">
        <v>4120</v>
      </c>
      <c r="D310" s="59" t="s">
        <v>20</v>
      </c>
      <c r="E310" s="60">
        <v>9500</v>
      </c>
      <c r="F310" s="60">
        <v>290</v>
      </c>
      <c r="G310" s="60"/>
      <c r="H310" s="60">
        <f t="shared" ref="H310:H311" si="54">SUM(E310+F310-G310)</f>
        <v>9790</v>
      </c>
    </row>
    <row r="311" spans="1:8" s="33" customFormat="1" ht="12.75" x14ac:dyDescent="0.25">
      <c r="A311" s="42"/>
      <c r="B311" s="49"/>
      <c r="C311" s="61">
        <v>4710</v>
      </c>
      <c r="D311" s="62" t="s">
        <v>59</v>
      </c>
      <c r="E311" s="60">
        <v>2500</v>
      </c>
      <c r="F311" s="60">
        <v>170</v>
      </c>
      <c r="G311" s="60"/>
      <c r="H311" s="60">
        <f t="shared" si="54"/>
        <v>2670</v>
      </c>
    </row>
    <row r="312" spans="1:8" s="33" customFormat="1" ht="12.75" x14ac:dyDescent="0.25">
      <c r="A312" s="42"/>
      <c r="B312" s="42">
        <v>80151</v>
      </c>
      <c r="C312" s="43"/>
      <c r="D312" s="53" t="s">
        <v>52</v>
      </c>
      <c r="E312" s="54">
        <v>645454.79</v>
      </c>
      <c r="F312" s="70">
        <f>SUM(F313)</f>
        <v>11476</v>
      </c>
      <c r="G312" s="70">
        <f>SUM(G313)</f>
        <v>0</v>
      </c>
      <c r="H312" s="54">
        <f>SUM(E312+F312-G312)</f>
        <v>656930.79</v>
      </c>
    </row>
    <row r="313" spans="1:8" s="33" customFormat="1" ht="12.75" x14ac:dyDescent="0.25">
      <c r="A313" s="42"/>
      <c r="B313" s="48"/>
      <c r="C313" s="43"/>
      <c r="D313" s="74" t="s">
        <v>73</v>
      </c>
      <c r="E313" s="58">
        <v>590462.5</v>
      </c>
      <c r="F313" s="58">
        <f>SUM(F314:F317)</f>
        <v>11476</v>
      </c>
      <c r="G313" s="58">
        <f>SUM(G314:G317)</f>
        <v>0</v>
      </c>
      <c r="H313" s="58">
        <f>SUM(E313+F313-G313)</f>
        <v>601938.5</v>
      </c>
    </row>
    <row r="314" spans="1:8" s="33" customFormat="1" ht="12.75" x14ac:dyDescent="0.25">
      <c r="A314" s="42"/>
      <c r="B314" s="42"/>
      <c r="C314" s="52">
        <v>4010</v>
      </c>
      <c r="D314" s="59" t="s">
        <v>57</v>
      </c>
      <c r="E314" s="60">
        <v>190643.4</v>
      </c>
      <c r="F314" s="60">
        <v>9471</v>
      </c>
      <c r="G314" s="60"/>
      <c r="H314" s="60">
        <f t="shared" ref="H314" si="55">SUM(E314+F314-G314)</f>
        <v>200114.4</v>
      </c>
    </row>
    <row r="315" spans="1:8" s="33" customFormat="1" ht="12.75" x14ac:dyDescent="0.25">
      <c r="A315" s="42"/>
      <c r="B315" s="42"/>
      <c r="C315" s="52">
        <v>4110</v>
      </c>
      <c r="D315" s="59" t="s">
        <v>58</v>
      </c>
      <c r="E315" s="60">
        <v>74000</v>
      </c>
      <c r="F315" s="60">
        <v>1629</v>
      </c>
      <c r="G315" s="60"/>
      <c r="H315" s="60">
        <f>SUM(E315+F315-G315)</f>
        <v>75629</v>
      </c>
    </row>
    <row r="316" spans="1:8" s="33" customFormat="1" ht="12.75" x14ac:dyDescent="0.25">
      <c r="A316" s="42"/>
      <c r="B316" s="42"/>
      <c r="C316" s="52">
        <v>4120</v>
      </c>
      <c r="D316" s="59" t="s">
        <v>20</v>
      </c>
      <c r="E316" s="60">
        <v>10500</v>
      </c>
      <c r="F316" s="60">
        <v>233</v>
      </c>
      <c r="G316" s="60"/>
      <c r="H316" s="60">
        <f t="shared" ref="H316:H317" si="56">SUM(E316+F316-G316)</f>
        <v>10733</v>
      </c>
    </row>
    <row r="317" spans="1:8" s="33" customFormat="1" ht="12.75" x14ac:dyDescent="0.25">
      <c r="A317" s="42"/>
      <c r="B317" s="42"/>
      <c r="C317" s="61">
        <v>4710</v>
      </c>
      <c r="D317" s="62" t="s">
        <v>59</v>
      </c>
      <c r="E317" s="60">
        <v>3000</v>
      </c>
      <c r="F317" s="60">
        <v>143</v>
      </c>
      <c r="G317" s="60"/>
      <c r="H317" s="60">
        <f t="shared" si="56"/>
        <v>3143</v>
      </c>
    </row>
    <row r="318" spans="1:8" s="33" customFormat="1" ht="12.75" x14ac:dyDescent="0.25">
      <c r="A318" s="42"/>
      <c r="B318" s="42">
        <v>80195</v>
      </c>
      <c r="C318" s="43"/>
      <c r="D318" s="8" t="s">
        <v>27</v>
      </c>
      <c r="E318" s="70">
        <v>11646662.91</v>
      </c>
      <c r="F318" s="70">
        <f>SUM(F319,)</f>
        <v>18996</v>
      </c>
      <c r="G318" s="70">
        <f>SUM(G319,)</f>
        <v>0</v>
      </c>
      <c r="H318" s="54">
        <f>SUM(E318+F318-G318)</f>
        <v>11665658.91</v>
      </c>
    </row>
    <row r="319" spans="1:8" s="33" customFormat="1" ht="12" customHeight="1" x14ac:dyDescent="0.25">
      <c r="A319" s="42"/>
      <c r="B319" s="52"/>
      <c r="C319" s="43"/>
      <c r="D319" s="74" t="s">
        <v>73</v>
      </c>
      <c r="E319" s="58">
        <v>1170949</v>
      </c>
      <c r="F319" s="58">
        <f>SUM(F320:F324)</f>
        <v>18996</v>
      </c>
      <c r="G319" s="58">
        <f>SUM(G320:G324)</f>
        <v>0</v>
      </c>
      <c r="H319" s="58">
        <f>SUM(E319+F319-G319)</f>
        <v>1189945</v>
      </c>
    </row>
    <row r="320" spans="1:8" s="33" customFormat="1" ht="12.75" x14ac:dyDescent="0.25">
      <c r="A320" s="42"/>
      <c r="B320" s="52"/>
      <c r="C320" s="52">
        <v>4010</v>
      </c>
      <c r="D320" s="59" t="s">
        <v>57</v>
      </c>
      <c r="E320" s="60">
        <v>16800</v>
      </c>
      <c r="F320" s="60">
        <v>660</v>
      </c>
      <c r="G320" s="60"/>
      <c r="H320" s="60">
        <f t="shared" ref="H320:H326" si="57">SUM(E320+F320-G320)</f>
        <v>17460</v>
      </c>
    </row>
    <row r="321" spans="1:8" s="33" customFormat="1" ht="12.75" x14ac:dyDescent="0.25">
      <c r="A321" s="42"/>
      <c r="B321" s="52"/>
      <c r="C321" s="52">
        <v>4110</v>
      </c>
      <c r="D321" s="59" t="s">
        <v>58</v>
      </c>
      <c r="E321" s="60">
        <v>3180</v>
      </c>
      <c r="F321" s="60">
        <v>108</v>
      </c>
      <c r="G321" s="60"/>
      <c r="H321" s="60">
        <f t="shared" si="57"/>
        <v>3288</v>
      </c>
    </row>
    <row r="322" spans="1:8" s="33" customFormat="1" ht="12.75" x14ac:dyDescent="0.25">
      <c r="A322" s="42"/>
      <c r="B322" s="52"/>
      <c r="C322" s="52">
        <v>4120</v>
      </c>
      <c r="D322" s="59" t="s">
        <v>20</v>
      </c>
      <c r="E322" s="60">
        <v>26</v>
      </c>
      <c r="F322" s="60">
        <v>17</v>
      </c>
      <c r="G322" s="60"/>
      <c r="H322" s="60">
        <f t="shared" si="57"/>
        <v>43</v>
      </c>
    </row>
    <row r="323" spans="1:8" s="33" customFormat="1" ht="12.75" x14ac:dyDescent="0.25">
      <c r="A323" s="42"/>
      <c r="B323" s="52"/>
      <c r="C323" s="52">
        <v>4300</v>
      </c>
      <c r="D323" s="59" t="s">
        <v>16</v>
      </c>
      <c r="E323" s="60">
        <v>18428</v>
      </c>
      <c r="F323" s="60">
        <v>18201</v>
      </c>
      <c r="G323" s="60"/>
      <c r="H323" s="60">
        <f t="shared" si="57"/>
        <v>36629</v>
      </c>
    </row>
    <row r="324" spans="1:8" s="33" customFormat="1" ht="12.75" x14ac:dyDescent="0.25">
      <c r="A324" s="42"/>
      <c r="B324" s="52"/>
      <c r="C324" s="61">
        <v>4710</v>
      </c>
      <c r="D324" s="62" t="s">
        <v>59</v>
      </c>
      <c r="E324" s="60">
        <v>252</v>
      </c>
      <c r="F324" s="60">
        <v>10</v>
      </c>
      <c r="G324" s="60"/>
      <c r="H324" s="60">
        <f t="shared" si="57"/>
        <v>262</v>
      </c>
    </row>
    <row r="325" spans="1:8" s="33" customFormat="1" ht="13.5" thickBot="1" x14ac:dyDescent="0.3">
      <c r="A325" s="48">
        <v>853</v>
      </c>
      <c r="B325" s="49"/>
      <c r="C325" s="50"/>
      <c r="D325" s="51" t="s">
        <v>100</v>
      </c>
      <c r="E325" s="47">
        <v>5942340</v>
      </c>
      <c r="F325" s="69">
        <f>SUM(F326,)</f>
        <v>25016</v>
      </c>
      <c r="G325" s="69">
        <f>SUM(G326,)</f>
        <v>0</v>
      </c>
      <c r="H325" s="47">
        <f t="shared" si="57"/>
        <v>5967356</v>
      </c>
    </row>
    <row r="326" spans="1:8" s="33" customFormat="1" ht="13.5" thickTop="1" x14ac:dyDescent="0.25">
      <c r="A326" s="48"/>
      <c r="B326" s="9">
        <v>85321</v>
      </c>
      <c r="C326" s="9"/>
      <c r="D326" s="8" t="s">
        <v>140</v>
      </c>
      <c r="E326" s="54">
        <v>531431</v>
      </c>
      <c r="F326" s="54">
        <f>SUM(F327)</f>
        <v>25016</v>
      </c>
      <c r="G326" s="54">
        <f>SUM(G327)</f>
        <v>0</v>
      </c>
      <c r="H326" s="54">
        <f t="shared" si="57"/>
        <v>556447</v>
      </c>
    </row>
    <row r="327" spans="1:8" s="33" customFormat="1" ht="12.75" x14ac:dyDescent="0.25">
      <c r="A327" s="48"/>
      <c r="B327" s="49"/>
      <c r="C327" s="112"/>
      <c r="D327" s="73" t="s">
        <v>65</v>
      </c>
      <c r="E327" s="58">
        <v>454442</v>
      </c>
      <c r="F327" s="71">
        <f>SUM(F328:F331)</f>
        <v>25016</v>
      </c>
      <c r="G327" s="71">
        <f>SUM(G328:G331)</f>
        <v>0</v>
      </c>
      <c r="H327" s="58">
        <f>SUM(E327+F327-G327)</f>
        <v>479458</v>
      </c>
    </row>
    <row r="328" spans="1:8" s="33" customFormat="1" ht="12.75" x14ac:dyDescent="0.25">
      <c r="A328" s="48"/>
      <c r="B328" s="49"/>
      <c r="C328" s="52">
        <v>4010</v>
      </c>
      <c r="D328" s="59" t="s">
        <v>57</v>
      </c>
      <c r="E328" s="60">
        <v>304488</v>
      </c>
      <c r="F328" s="72">
        <v>20864</v>
      </c>
      <c r="G328" s="72"/>
      <c r="H328" s="72">
        <f>SUM(E328+F328-G328)</f>
        <v>325352</v>
      </c>
    </row>
    <row r="329" spans="1:8" s="33" customFormat="1" ht="12.75" x14ac:dyDescent="0.25">
      <c r="A329" s="42"/>
      <c r="B329" s="52"/>
      <c r="C329" s="52">
        <v>4110</v>
      </c>
      <c r="D329" s="59" t="s">
        <v>58</v>
      </c>
      <c r="E329" s="60">
        <v>39869</v>
      </c>
      <c r="F329" s="60">
        <v>3536</v>
      </c>
      <c r="G329" s="72"/>
      <c r="H329" s="72">
        <f t="shared" ref="H329:H331" si="58">SUM(E329+F329-G329)</f>
        <v>43405</v>
      </c>
    </row>
    <row r="330" spans="1:8" s="33" customFormat="1" ht="12.75" x14ac:dyDescent="0.25">
      <c r="A330" s="42"/>
      <c r="B330" s="52"/>
      <c r="C330" s="52">
        <v>4120</v>
      </c>
      <c r="D330" s="59" t="s">
        <v>20</v>
      </c>
      <c r="E330" s="60">
        <v>5770</v>
      </c>
      <c r="F330" s="60">
        <v>512</v>
      </c>
      <c r="G330" s="72"/>
      <c r="H330" s="72">
        <f t="shared" si="58"/>
        <v>6282</v>
      </c>
    </row>
    <row r="331" spans="1:8" s="33" customFormat="1" ht="12.75" x14ac:dyDescent="0.25">
      <c r="A331" s="42"/>
      <c r="B331" s="52"/>
      <c r="C331" s="61">
        <v>4710</v>
      </c>
      <c r="D331" s="62" t="s">
        <v>59</v>
      </c>
      <c r="E331" s="60">
        <v>623</v>
      </c>
      <c r="F331" s="60">
        <v>104</v>
      </c>
      <c r="G331" s="72"/>
      <c r="H331" s="72">
        <f t="shared" si="58"/>
        <v>727</v>
      </c>
    </row>
    <row r="332" spans="1:8" s="33" customFormat="1" ht="12" customHeight="1" thickBot="1" x14ac:dyDescent="0.3">
      <c r="A332" s="48">
        <v>854</v>
      </c>
      <c r="B332" s="49"/>
      <c r="C332" s="50"/>
      <c r="D332" s="51" t="s">
        <v>141</v>
      </c>
      <c r="E332" s="69">
        <v>35323965.200000003</v>
      </c>
      <c r="F332" s="69">
        <f>SUM(F333,F339,F345,F351)</f>
        <v>108592</v>
      </c>
      <c r="G332" s="69">
        <f>SUM(G333,G339,G345,G351)</f>
        <v>0</v>
      </c>
      <c r="H332" s="69">
        <f>SUM(E332+F332-G332)</f>
        <v>35432557.200000003</v>
      </c>
    </row>
    <row r="333" spans="1:8" s="33" customFormat="1" ht="12" customHeight="1" thickTop="1" x14ac:dyDescent="0.25">
      <c r="A333" s="48"/>
      <c r="B333" s="137">
        <v>85406</v>
      </c>
      <c r="C333" s="43"/>
      <c r="D333" s="138" t="s">
        <v>53</v>
      </c>
      <c r="E333" s="54">
        <v>6234677.5199999996</v>
      </c>
      <c r="F333" s="70">
        <f>SUM(F334)</f>
        <v>28933</v>
      </c>
      <c r="G333" s="70">
        <f>SUM(G334)</f>
        <v>0</v>
      </c>
      <c r="H333" s="54">
        <f t="shared" ref="H333" si="59">SUM(E333+F333-G333)</f>
        <v>6263610.5199999996</v>
      </c>
    </row>
    <row r="334" spans="1:8" s="33" customFormat="1" ht="12" customHeight="1" x14ac:dyDescent="0.25">
      <c r="A334" s="48"/>
      <c r="B334" s="52"/>
      <c r="C334" s="43"/>
      <c r="D334" s="74" t="s">
        <v>73</v>
      </c>
      <c r="E334" s="58">
        <v>6110772.5</v>
      </c>
      <c r="F334" s="58">
        <f>SUM(F335:F338)</f>
        <v>28933</v>
      </c>
      <c r="G334" s="58">
        <f>SUM(G335:G338)</f>
        <v>0</v>
      </c>
      <c r="H334" s="58">
        <f>SUM(E334+F334-G334)</f>
        <v>6139705.5</v>
      </c>
    </row>
    <row r="335" spans="1:8" s="33" customFormat="1" ht="12" customHeight="1" x14ac:dyDescent="0.25">
      <c r="A335" s="48"/>
      <c r="B335" s="52"/>
      <c r="C335" s="52">
        <v>4010</v>
      </c>
      <c r="D335" s="59" t="s">
        <v>57</v>
      </c>
      <c r="E335" s="60">
        <v>510562.52</v>
      </c>
      <c r="F335" s="60">
        <v>22773</v>
      </c>
      <c r="G335" s="60"/>
      <c r="H335" s="60">
        <f t="shared" ref="H335" si="60">SUM(E335+F335-G335)</f>
        <v>533335.52</v>
      </c>
    </row>
    <row r="336" spans="1:8" s="33" customFormat="1" ht="12" customHeight="1" x14ac:dyDescent="0.25">
      <c r="A336" s="48"/>
      <c r="B336" s="52"/>
      <c r="C336" s="52">
        <v>4110</v>
      </c>
      <c r="D336" s="59" t="s">
        <v>58</v>
      </c>
      <c r="E336" s="60">
        <v>819148</v>
      </c>
      <c r="F336" s="60">
        <v>5004</v>
      </c>
      <c r="G336" s="60"/>
      <c r="H336" s="60">
        <f>SUM(E336+F336-G336)</f>
        <v>824152</v>
      </c>
    </row>
    <row r="337" spans="1:8" s="33" customFormat="1" ht="12" customHeight="1" x14ac:dyDescent="0.25">
      <c r="A337" s="48"/>
      <c r="B337" s="52"/>
      <c r="C337" s="52">
        <v>4120</v>
      </c>
      <c r="D337" s="59" t="s">
        <v>20</v>
      </c>
      <c r="E337" s="60">
        <v>112308</v>
      </c>
      <c r="F337" s="60">
        <v>717</v>
      </c>
      <c r="G337" s="60"/>
      <c r="H337" s="60">
        <f t="shared" ref="H337:H339" si="61">SUM(E337+F337-G337)</f>
        <v>113025</v>
      </c>
    </row>
    <row r="338" spans="1:8" s="33" customFormat="1" ht="12" customHeight="1" x14ac:dyDescent="0.25">
      <c r="A338" s="48"/>
      <c r="B338" s="52"/>
      <c r="C338" s="61">
        <v>4710</v>
      </c>
      <c r="D338" s="62" t="s">
        <v>59</v>
      </c>
      <c r="E338" s="60">
        <v>14783</v>
      </c>
      <c r="F338" s="60">
        <v>439</v>
      </c>
      <c r="G338" s="60"/>
      <c r="H338" s="60">
        <f t="shared" si="61"/>
        <v>15222</v>
      </c>
    </row>
    <row r="339" spans="1:8" s="33" customFormat="1" ht="12" customHeight="1" x14ac:dyDescent="0.25">
      <c r="A339" s="48"/>
      <c r="B339" s="52">
        <v>85410</v>
      </c>
      <c r="C339" s="65"/>
      <c r="D339" s="67" t="s">
        <v>19</v>
      </c>
      <c r="E339" s="54">
        <v>17625258.93</v>
      </c>
      <c r="F339" s="70">
        <f>SUM(F340)</f>
        <v>47702</v>
      </c>
      <c r="G339" s="70">
        <f>SUM(G340)</f>
        <v>0</v>
      </c>
      <c r="H339" s="54">
        <f t="shared" si="61"/>
        <v>17672960.93</v>
      </c>
    </row>
    <row r="340" spans="1:8" s="33" customFormat="1" ht="12" customHeight="1" x14ac:dyDescent="0.25">
      <c r="A340" s="48"/>
      <c r="B340" s="52"/>
      <c r="C340" s="43"/>
      <c r="D340" s="74" t="s">
        <v>73</v>
      </c>
      <c r="E340" s="58">
        <v>3960176.02</v>
      </c>
      <c r="F340" s="58">
        <f>SUM(F341:F344)</f>
        <v>47702</v>
      </c>
      <c r="G340" s="58">
        <f>SUM(G341:G344)</f>
        <v>0</v>
      </c>
      <c r="H340" s="58">
        <f>SUM(E340+F340-G340)</f>
        <v>4007878.02</v>
      </c>
    </row>
    <row r="341" spans="1:8" s="33" customFormat="1" ht="12" customHeight="1" x14ac:dyDescent="0.25">
      <c r="A341" s="48"/>
      <c r="B341" s="52"/>
      <c r="C341" s="52">
        <v>4010</v>
      </c>
      <c r="D341" s="59" t="s">
        <v>57</v>
      </c>
      <c r="E341" s="60">
        <v>1074538.92</v>
      </c>
      <c r="F341" s="60">
        <v>36982</v>
      </c>
      <c r="G341" s="60"/>
      <c r="H341" s="60">
        <f t="shared" ref="H341" si="62">SUM(E341+F341-G341)</f>
        <v>1111520.92</v>
      </c>
    </row>
    <row r="342" spans="1:8" s="33" customFormat="1" ht="12" customHeight="1" x14ac:dyDescent="0.25">
      <c r="A342" s="48"/>
      <c r="B342" s="52"/>
      <c r="C342" s="52">
        <v>4110</v>
      </c>
      <c r="D342" s="59" t="s">
        <v>58</v>
      </c>
      <c r="E342" s="60">
        <v>435722</v>
      </c>
      <c r="F342" s="60">
        <v>8725</v>
      </c>
      <c r="G342" s="60"/>
      <c r="H342" s="60">
        <f>SUM(E342+F342-G342)</f>
        <v>444447</v>
      </c>
    </row>
    <row r="343" spans="1:8" s="33" customFormat="1" ht="12" customHeight="1" x14ac:dyDescent="0.25">
      <c r="A343" s="48"/>
      <c r="B343" s="52"/>
      <c r="C343" s="52">
        <v>4120</v>
      </c>
      <c r="D343" s="59" t="s">
        <v>20</v>
      </c>
      <c r="E343" s="60">
        <v>54671</v>
      </c>
      <c r="F343" s="60">
        <v>1237</v>
      </c>
      <c r="G343" s="60"/>
      <c r="H343" s="60">
        <f t="shared" ref="H343:H345" si="63">SUM(E343+F343-G343)</f>
        <v>55908</v>
      </c>
    </row>
    <row r="344" spans="1:8" s="33" customFormat="1" ht="12" customHeight="1" x14ac:dyDescent="0.25">
      <c r="A344" s="48"/>
      <c r="B344" s="52"/>
      <c r="C344" s="61">
        <v>4710</v>
      </c>
      <c r="D344" s="62" t="s">
        <v>59</v>
      </c>
      <c r="E344" s="60">
        <v>28889</v>
      </c>
      <c r="F344" s="60">
        <v>758</v>
      </c>
      <c r="G344" s="60"/>
      <c r="H344" s="60">
        <f t="shared" si="63"/>
        <v>29647</v>
      </c>
    </row>
    <row r="345" spans="1:8" s="33" customFormat="1" ht="12" customHeight="1" x14ac:dyDescent="0.25">
      <c r="A345" s="48"/>
      <c r="B345" s="42">
        <v>85417</v>
      </c>
      <c r="C345" s="43"/>
      <c r="D345" s="8" t="s">
        <v>142</v>
      </c>
      <c r="E345" s="54">
        <v>271220.3</v>
      </c>
      <c r="F345" s="70">
        <f>SUM(F346)</f>
        <v>3202</v>
      </c>
      <c r="G345" s="70">
        <f>SUM(G346)</f>
        <v>0</v>
      </c>
      <c r="H345" s="54">
        <f t="shared" si="63"/>
        <v>274422.3</v>
      </c>
    </row>
    <row r="346" spans="1:8" s="33" customFormat="1" ht="12" customHeight="1" x14ac:dyDescent="0.25">
      <c r="A346" s="48"/>
      <c r="B346" s="52"/>
      <c r="C346" s="43"/>
      <c r="D346" s="74" t="s">
        <v>73</v>
      </c>
      <c r="E346" s="58">
        <v>271220.3</v>
      </c>
      <c r="F346" s="58">
        <f>SUM(F347:F350)</f>
        <v>3202</v>
      </c>
      <c r="G346" s="58">
        <f>SUM(G347:G350)</f>
        <v>0</v>
      </c>
      <c r="H346" s="58">
        <f>SUM(E346+F346-G346)</f>
        <v>274422.3</v>
      </c>
    </row>
    <row r="347" spans="1:8" s="33" customFormat="1" ht="12" customHeight="1" x14ac:dyDescent="0.25">
      <c r="A347" s="48"/>
      <c r="B347" s="52"/>
      <c r="C347" s="52">
        <v>4010</v>
      </c>
      <c r="D347" s="59" t="s">
        <v>57</v>
      </c>
      <c r="E347" s="60">
        <v>71352</v>
      </c>
      <c r="F347" s="60">
        <v>2640</v>
      </c>
      <c r="G347" s="60"/>
      <c r="H347" s="60">
        <f t="shared" ref="H347" si="64">SUM(E347+F347-G347)</f>
        <v>73992</v>
      </c>
    </row>
    <row r="348" spans="1:8" s="33" customFormat="1" ht="12" customHeight="1" x14ac:dyDescent="0.25">
      <c r="A348" s="48"/>
      <c r="B348" s="52"/>
      <c r="C348" s="52">
        <v>4110</v>
      </c>
      <c r="D348" s="59" t="s">
        <v>58</v>
      </c>
      <c r="E348" s="60">
        <v>12771</v>
      </c>
      <c r="F348" s="60">
        <v>457</v>
      </c>
      <c r="G348" s="60"/>
      <c r="H348" s="60">
        <f>SUM(E348+F348-G348)</f>
        <v>13228</v>
      </c>
    </row>
    <row r="349" spans="1:8" s="33" customFormat="1" ht="12" customHeight="1" x14ac:dyDescent="0.25">
      <c r="A349" s="48"/>
      <c r="B349" s="52"/>
      <c r="C349" s="52">
        <v>4120</v>
      </c>
      <c r="D349" s="59" t="s">
        <v>20</v>
      </c>
      <c r="E349" s="60">
        <v>1535</v>
      </c>
      <c r="F349" s="60">
        <v>65</v>
      </c>
      <c r="G349" s="60"/>
      <c r="H349" s="60">
        <f t="shared" ref="H349:H351" si="65">SUM(E349+F349-G349)</f>
        <v>1600</v>
      </c>
    </row>
    <row r="350" spans="1:8" s="33" customFormat="1" ht="12" customHeight="1" x14ac:dyDescent="0.25">
      <c r="A350" s="139"/>
      <c r="B350" s="122"/>
      <c r="C350" s="101">
        <v>4710</v>
      </c>
      <c r="D350" s="102" t="s">
        <v>59</v>
      </c>
      <c r="E350" s="54">
        <v>848</v>
      </c>
      <c r="F350" s="54">
        <v>40</v>
      </c>
      <c r="G350" s="54"/>
      <c r="H350" s="54">
        <f t="shared" si="65"/>
        <v>888</v>
      </c>
    </row>
    <row r="351" spans="1:8" s="33" customFormat="1" ht="12" customHeight="1" x14ac:dyDescent="0.25">
      <c r="A351" s="48"/>
      <c r="B351" s="52">
        <v>85420</v>
      </c>
      <c r="C351" s="52"/>
      <c r="D351" s="83" t="s">
        <v>143</v>
      </c>
      <c r="E351" s="54">
        <v>9241797.3599999994</v>
      </c>
      <c r="F351" s="70">
        <f>SUM(F352)</f>
        <v>28755</v>
      </c>
      <c r="G351" s="70">
        <f>SUM(G352)</f>
        <v>0</v>
      </c>
      <c r="H351" s="54">
        <f t="shared" si="65"/>
        <v>9270552.3599999994</v>
      </c>
    </row>
    <row r="352" spans="1:8" s="33" customFormat="1" ht="12" customHeight="1" x14ac:dyDescent="0.25">
      <c r="A352" s="48"/>
      <c r="B352" s="52"/>
      <c r="C352" s="43"/>
      <c r="D352" s="74" t="s">
        <v>73</v>
      </c>
      <c r="E352" s="58">
        <v>8991797.3599999994</v>
      </c>
      <c r="F352" s="58">
        <f>SUM(F353:F356)</f>
        <v>28755</v>
      </c>
      <c r="G352" s="58">
        <f>SUM(G353:G356)</f>
        <v>0</v>
      </c>
      <c r="H352" s="58">
        <f>SUM(E352+F352-G352)</f>
        <v>9020552.3599999994</v>
      </c>
    </row>
    <row r="353" spans="1:8" s="33" customFormat="1" ht="12" customHeight="1" x14ac:dyDescent="0.25">
      <c r="A353" s="48"/>
      <c r="B353" s="52"/>
      <c r="C353" s="52">
        <v>4010</v>
      </c>
      <c r="D353" s="59" t="s">
        <v>57</v>
      </c>
      <c r="E353" s="60">
        <v>1022654.4</v>
      </c>
      <c r="F353" s="60">
        <v>20355</v>
      </c>
      <c r="G353" s="60"/>
      <c r="H353" s="60">
        <f t="shared" ref="H353" si="66">SUM(E353+F353-G353)</f>
        <v>1043009.4</v>
      </c>
    </row>
    <row r="354" spans="1:8" s="33" customFormat="1" ht="12" customHeight="1" x14ac:dyDescent="0.25">
      <c r="A354" s="48"/>
      <c r="B354" s="49"/>
      <c r="C354" s="52">
        <v>4110</v>
      </c>
      <c r="D354" s="59" t="s">
        <v>58</v>
      </c>
      <c r="E354" s="60">
        <v>913200</v>
      </c>
      <c r="F354" s="60">
        <v>6800</v>
      </c>
      <c r="G354" s="60"/>
      <c r="H354" s="60">
        <f>SUM(E354+F354-G354)</f>
        <v>920000</v>
      </c>
    </row>
    <row r="355" spans="1:8" s="33" customFormat="1" ht="12" customHeight="1" x14ac:dyDescent="0.25">
      <c r="A355" s="48"/>
      <c r="B355" s="49"/>
      <c r="C355" s="52">
        <v>4120</v>
      </c>
      <c r="D355" s="59" t="s">
        <v>20</v>
      </c>
      <c r="E355" s="60">
        <v>120200</v>
      </c>
      <c r="F355" s="60">
        <v>1000</v>
      </c>
      <c r="G355" s="60"/>
      <c r="H355" s="60">
        <f t="shared" ref="H355:H356" si="67">SUM(E355+F355-G355)</f>
        <v>121200</v>
      </c>
    </row>
    <row r="356" spans="1:8" s="33" customFormat="1" ht="12" customHeight="1" x14ac:dyDescent="0.25">
      <c r="A356" s="48"/>
      <c r="B356" s="49"/>
      <c r="C356" s="61">
        <v>4710</v>
      </c>
      <c r="D356" s="62" t="s">
        <v>59</v>
      </c>
      <c r="E356" s="60">
        <v>15400</v>
      </c>
      <c r="F356" s="60">
        <v>600</v>
      </c>
      <c r="G356" s="60"/>
      <c r="H356" s="60">
        <f t="shared" si="67"/>
        <v>16000</v>
      </c>
    </row>
    <row r="357" spans="1:8" s="33" customFormat="1" ht="13.5" thickBot="1" x14ac:dyDescent="0.3">
      <c r="A357" s="49">
        <v>855</v>
      </c>
      <c r="B357" s="49"/>
      <c r="C357" s="50"/>
      <c r="D357" s="51" t="s">
        <v>36</v>
      </c>
      <c r="E357" s="1">
        <v>23267998.460000001</v>
      </c>
      <c r="F357" s="69">
        <f>SUM(F358,F364)</f>
        <v>397195</v>
      </c>
      <c r="G357" s="69">
        <f>SUM(G358,G364)</f>
        <v>0</v>
      </c>
      <c r="H357" s="47">
        <f>SUM(E357+F357-G357)</f>
        <v>23665193.460000001</v>
      </c>
    </row>
    <row r="358" spans="1:8" s="33" customFormat="1" ht="13.5" thickTop="1" x14ac:dyDescent="0.25">
      <c r="A358" s="49"/>
      <c r="B358" s="52">
        <v>85508</v>
      </c>
      <c r="C358" s="65"/>
      <c r="D358" s="126" t="s">
        <v>144</v>
      </c>
      <c r="E358" s="54">
        <v>5065591.9400000004</v>
      </c>
      <c r="F358" s="54">
        <f>SUM(F360)</f>
        <v>31895</v>
      </c>
      <c r="G358" s="54">
        <f>SUM(G360)</f>
        <v>0</v>
      </c>
      <c r="H358" s="54">
        <f t="shared" ref="H358" si="68">SUM(E358+F358-G358)</f>
        <v>5097486.9400000004</v>
      </c>
    </row>
    <row r="359" spans="1:8" s="33" customFormat="1" ht="12.75" x14ac:dyDescent="0.25">
      <c r="A359" s="49"/>
      <c r="B359" s="140"/>
      <c r="C359" s="79"/>
      <c r="D359" s="108" t="s">
        <v>145</v>
      </c>
      <c r="E359" s="109"/>
      <c r="F359" s="110"/>
      <c r="G359" s="110"/>
      <c r="H359" s="110"/>
    </row>
    <row r="360" spans="1:8" s="33" customFormat="1" ht="12.75" x14ac:dyDescent="0.25">
      <c r="A360" s="49"/>
      <c r="B360" s="48"/>
      <c r="C360" s="52"/>
      <c r="D360" s="68" t="s">
        <v>146</v>
      </c>
      <c r="E360" s="58">
        <v>841482.86</v>
      </c>
      <c r="F360" s="71">
        <f>SUM(F361:F363)</f>
        <v>31895</v>
      </c>
      <c r="G360" s="71">
        <f>SUM(G361:G363)</f>
        <v>0</v>
      </c>
      <c r="H360" s="58">
        <f t="shared" ref="H360:H381" si="69">SUM(E360+F360-G360)</f>
        <v>873377.86</v>
      </c>
    </row>
    <row r="361" spans="1:8" s="33" customFormat="1" ht="12.75" x14ac:dyDescent="0.25">
      <c r="A361" s="49"/>
      <c r="B361" s="48"/>
      <c r="C361" s="52">
        <v>4010</v>
      </c>
      <c r="D361" s="59" t="s">
        <v>57</v>
      </c>
      <c r="E361" s="60">
        <v>566691.86</v>
      </c>
      <c r="F361" s="72">
        <v>26626</v>
      </c>
      <c r="G361" s="72"/>
      <c r="H361" s="72">
        <f t="shared" si="69"/>
        <v>593317.86</v>
      </c>
    </row>
    <row r="362" spans="1:8" s="33" customFormat="1" ht="12.75" x14ac:dyDescent="0.25">
      <c r="A362" s="49"/>
      <c r="B362" s="48"/>
      <c r="C362" s="52">
        <v>4110</v>
      </c>
      <c r="D362" s="59" t="s">
        <v>58</v>
      </c>
      <c r="E362" s="60">
        <v>99593</v>
      </c>
      <c r="F362" s="72">
        <v>4617</v>
      </c>
      <c r="G362" s="72"/>
      <c r="H362" s="72">
        <f t="shared" si="69"/>
        <v>104210</v>
      </c>
    </row>
    <row r="363" spans="1:8" s="33" customFormat="1" ht="12.75" x14ac:dyDescent="0.25">
      <c r="A363" s="49"/>
      <c r="B363" s="48"/>
      <c r="C363" s="52">
        <v>4120</v>
      </c>
      <c r="D363" s="59" t="s">
        <v>20</v>
      </c>
      <c r="E363" s="60">
        <v>14269</v>
      </c>
      <c r="F363" s="72">
        <v>652</v>
      </c>
      <c r="G363" s="72"/>
      <c r="H363" s="72">
        <f t="shared" si="69"/>
        <v>14921</v>
      </c>
    </row>
    <row r="364" spans="1:8" s="33" customFormat="1" ht="12.75" x14ac:dyDescent="0.25">
      <c r="A364" s="42"/>
      <c r="B364" s="52">
        <v>85510</v>
      </c>
      <c r="C364" s="43"/>
      <c r="D364" s="53" t="s">
        <v>49</v>
      </c>
      <c r="E364" s="54">
        <v>17917994.52</v>
      </c>
      <c r="F364" s="54">
        <f>SUM(F365,F370,F374,F378)</f>
        <v>365300</v>
      </c>
      <c r="G364" s="54">
        <f>SUM(G365,G370,G374,G378)</f>
        <v>0</v>
      </c>
      <c r="H364" s="54">
        <f t="shared" si="69"/>
        <v>18283294.52</v>
      </c>
    </row>
    <row r="365" spans="1:8" s="33" customFormat="1" ht="12.75" x14ac:dyDescent="0.25">
      <c r="A365" s="42"/>
      <c r="B365" s="52"/>
      <c r="C365" s="43"/>
      <c r="D365" s="74" t="s">
        <v>147</v>
      </c>
      <c r="E365" s="58">
        <v>5837894.4800000004</v>
      </c>
      <c r="F365" s="71">
        <f>SUM(F366:F369)</f>
        <v>176813</v>
      </c>
      <c r="G365" s="71">
        <f>SUM(G366:G369)</f>
        <v>0</v>
      </c>
      <c r="H365" s="58">
        <f t="shared" si="69"/>
        <v>6014707.4800000004</v>
      </c>
    </row>
    <row r="366" spans="1:8" s="33" customFormat="1" ht="12.75" x14ac:dyDescent="0.25">
      <c r="A366" s="42"/>
      <c r="B366" s="52"/>
      <c r="C366" s="9">
        <v>4010</v>
      </c>
      <c r="D366" s="10" t="s">
        <v>57</v>
      </c>
      <c r="E366" s="60">
        <v>3289035.7800000003</v>
      </c>
      <c r="F366" s="72">
        <v>145921</v>
      </c>
      <c r="G366" s="72"/>
      <c r="H366" s="72">
        <f t="shared" si="69"/>
        <v>3434956.7800000003</v>
      </c>
    </row>
    <row r="367" spans="1:8" s="33" customFormat="1" ht="12.75" x14ac:dyDescent="0.25">
      <c r="A367" s="42"/>
      <c r="B367" s="52"/>
      <c r="C367" s="9">
        <v>4110</v>
      </c>
      <c r="D367" s="10" t="s">
        <v>148</v>
      </c>
      <c r="E367" s="60">
        <v>576728</v>
      </c>
      <c r="F367" s="72">
        <v>25128</v>
      </c>
      <c r="G367" s="72"/>
      <c r="H367" s="72">
        <f t="shared" si="69"/>
        <v>601856</v>
      </c>
    </row>
    <row r="368" spans="1:8" s="33" customFormat="1" ht="12.75" x14ac:dyDescent="0.25">
      <c r="A368" s="42"/>
      <c r="B368" s="52"/>
      <c r="C368" s="9">
        <v>4120</v>
      </c>
      <c r="D368" s="10" t="s">
        <v>20</v>
      </c>
      <c r="E368" s="60">
        <v>82055</v>
      </c>
      <c r="F368" s="72">
        <v>3575</v>
      </c>
      <c r="G368" s="72"/>
      <c r="H368" s="72">
        <f t="shared" si="69"/>
        <v>85630</v>
      </c>
    </row>
    <row r="369" spans="1:8" s="33" customFormat="1" ht="12.75" x14ac:dyDescent="0.25">
      <c r="A369" s="42"/>
      <c r="B369" s="52"/>
      <c r="C369" s="61">
        <v>4710</v>
      </c>
      <c r="D369" s="62" t="s">
        <v>59</v>
      </c>
      <c r="E369" s="60">
        <v>25420</v>
      </c>
      <c r="F369" s="60">
        <v>2189</v>
      </c>
      <c r="G369" s="60"/>
      <c r="H369" s="72">
        <f t="shared" si="69"/>
        <v>27609</v>
      </c>
    </row>
    <row r="370" spans="1:8" s="33" customFormat="1" ht="12" customHeight="1" x14ac:dyDescent="0.25">
      <c r="A370" s="42"/>
      <c r="B370" s="52"/>
      <c r="C370" s="43"/>
      <c r="D370" s="68" t="s">
        <v>149</v>
      </c>
      <c r="E370" s="58">
        <v>2846966</v>
      </c>
      <c r="F370" s="71">
        <f>SUM(F371:F373)</f>
        <v>67137</v>
      </c>
      <c r="G370" s="71">
        <f>SUM(G371:G373)</f>
        <v>0</v>
      </c>
      <c r="H370" s="58">
        <f t="shared" si="69"/>
        <v>2914103</v>
      </c>
    </row>
    <row r="371" spans="1:8" s="33" customFormat="1" ht="12" customHeight="1" x14ac:dyDescent="0.25">
      <c r="A371" s="42"/>
      <c r="B371" s="52"/>
      <c r="C371" s="52">
        <v>4010</v>
      </c>
      <c r="D371" s="59" t="s">
        <v>57</v>
      </c>
      <c r="E371" s="60">
        <v>1737464</v>
      </c>
      <c r="F371" s="72">
        <v>55989</v>
      </c>
      <c r="G371" s="72"/>
      <c r="H371" s="72">
        <f t="shared" si="69"/>
        <v>1793453</v>
      </c>
    </row>
    <row r="372" spans="1:8" s="33" customFormat="1" ht="12" customHeight="1" x14ac:dyDescent="0.25">
      <c r="A372" s="42"/>
      <c r="B372" s="52"/>
      <c r="C372" s="52">
        <v>4110</v>
      </c>
      <c r="D372" s="59" t="s">
        <v>58</v>
      </c>
      <c r="E372" s="60">
        <v>312010</v>
      </c>
      <c r="F372" s="72">
        <v>9776</v>
      </c>
      <c r="G372" s="72"/>
      <c r="H372" s="72">
        <f t="shared" si="69"/>
        <v>321786</v>
      </c>
    </row>
    <row r="373" spans="1:8" s="33" customFormat="1" ht="12.75" x14ac:dyDescent="0.25">
      <c r="A373" s="42"/>
      <c r="B373" s="52"/>
      <c r="C373" s="52">
        <v>4120</v>
      </c>
      <c r="D373" s="59" t="s">
        <v>20</v>
      </c>
      <c r="E373" s="60">
        <v>43782</v>
      </c>
      <c r="F373" s="72">
        <v>1372</v>
      </c>
      <c r="G373" s="72"/>
      <c r="H373" s="72">
        <f t="shared" si="69"/>
        <v>45154</v>
      </c>
    </row>
    <row r="374" spans="1:8" s="33" customFormat="1" ht="12" customHeight="1" x14ac:dyDescent="0.25">
      <c r="A374" s="42"/>
      <c r="B374" s="43"/>
      <c r="C374" s="43"/>
      <c r="D374" s="68" t="s">
        <v>150</v>
      </c>
      <c r="E374" s="58">
        <v>2369705.88</v>
      </c>
      <c r="F374" s="71">
        <f>SUM(F375:F377)</f>
        <v>57727</v>
      </c>
      <c r="G374" s="71">
        <f>SUM(G375:G377)</f>
        <v>0</v>
      </c>
      <c r="H374" s="58">
        <f>SUM(E374+F374-G374)</f>
        <v>2427432.88</v>
      </c>
    </row>
    <row r="375" spans="1:8" s="33" customFormat="1" ht="12" customHeight="1" x14ac:dyDescent="0.25">
      <c r="A375" s="42"/>
      <c r="B375" s="43"/>
      <c r="C375" s="52">
        <v>4010</v>
      </c>
      <c r="D375" s="59" t="s">
        <v>57</v>
      </c>
      <c r="E375" s="12">
        <v>1493169.88</v>
      </c>
      <c r="F375" s="72">
        <v>48141</v>
      </c>
      <c r="G375" s="72"/>
      <c r="H375" s="72">
        <f t="shared" si="69"/>
        <v>1541310.88</v>
      </c>
    </row>
    <row r="376" spans="1:8" s="33" customFormat="1" ht="12" customHeight="1" x14ac:dyDescent="0.25">
      <c r="A376" s="42"/>
      <c r="B376" s="43"/>
      <c r="C376" s="52">
        <v>4110</v>
      </c>
      <c r="D376" s="59" t="s">
        <v>58</v>
      </c>
      <c r="E376" s="12">
        <v>263128</v>
      </c>
      <c r="F376" s="72">
        <v>8406</v>
      </c>
      <c r="G376" s="72"/>
      <c r="H376" s="72">
        <f t="shared" si="69"/>
        <v>271534</v>
      </c>
    </row>
    <row r="377" spans="1:8" s="33" customFormat="1" ht="12" customHeight="1" x14ac:dyDescent="0.25">
      <c r="A377" s="42"/>
      <c r="B377" s="43"/>
      <c r="C377" s="52">
        <v>4120</v>
      </c>
      <c r="D377" s="59" t="s">
        <v>20</v>
      </c>
      <c r="E377" s="12">
        <v>37718</v>
      </c>
      <c r="F377" s="72">
        <v>1180</v>
      </c>
      <c r="G377" s="72"/>
      <c r="H377" s="72">
        <f t="shared" si="69"/>
        <v>38898</v>
      </c>
    </row>
    <row r="378" spans="1:8" s="33" customFormat="1" ht="12" customHeight="1" x14ac:dyDescent="0.25">
      <c r="A378" s="42"/>
      <c r="B378" s="43"/>
      <c r="C378" s="43"/>
      <c r="D378" s="88" t="s">
        <v>151</v>
      </c>
      <c r="E378" s="58">
        <v>2310692.16</v>
      </c>
      <c r="F378" s="71">
        <f>SUM(F379:F381)</f>
        <v>63623</v>
      </c>
      <c r="G378" s="71">
        <f>SUM(G379:G381)</f>
        <v>0</v>
      </c>
      <c r="H378" s="58">
        <f t="shared" si="69"/>
        <v>2374315.16</v>
      </c>
    </row>
    <row r="379" spans="1:8" s="33" customFormat="1" ht="12" customHeight="1" x14ac:dyDescent="0.25">
      <c r="A379" s="42"/>
      <c r="B379" s="43"/>
      <c r="C379" s="52">
        <v>4010</v>
      </c>
      <c r="D379" s="59" t="s">
        <v>57</v>
      </c>
      <c r="E379" s="12">
        <v>1459736.16</v>
      </c>
      <c r="F379" s="72">
        <v>52851</v>
      </c>
      <c r="G379" s="72"/>
      <c r="H379" s="72">
        <f t="shared" si="69"/>
        <v>1512587.16</v>
      </c>
    </row>
    <row r="380" spans="1:8" s="33" customFormat="1" ht="12" customHeight="1" x14ac:dyDescent="0.25">
      <c r="A380" s="42"/>
      <c r="B380" s="43"/>
      <c r="C380" s="52">
        <v>4110</v>
      </c>
      <c r="D380" s="59" t="s">
        <v>58</v>
      </c>
      <c r="E380" s="12">
        <v>245415</v>
      </c>
      <c r="F380" s="72">
        <v>9477</v>
      </c>
      <c r="G380" s="72"/>
      <c r="H380" s="72">
        <f t="shared" si="69"/>
        <v>254892</v>
      </c>
    </row>
    <row r="381" spans="1:8" s="33" customFormat="1" ht="12" customHeight="1" x14ac:dyDescent="0.25">
      <c r="A381" s="42"/>
      <c r="B381" s="43"/>
      <c r="C381" s="52">
        <v>4120</v>
      </c>
      <c r="D381" s="59" t="s">
        <v>20</v>
      </c>
      <c r="E381" s="12">
        <v>29718</v>
      </c>
      <c r="F381" s="72">
        <v>1295</v>
      </c>
      <c r="G381" s="72"/>
      <c r="H381" s="72">
        <f t="shared" si="69"/>
        <v>31013</v>
      </c>
    </row>
    <row r="382" spans="1:8" s="33" customFormat="1" ht="3.75" customHeight="1" x14ac:dyDescent="0.25">
      <c r="A382" s="141"/>
      <c r="B382" s="141"/>
      <c r="C382" s="142"/>
      <c r="D382" s="143"/>
      <c r="E382" s="54"/>
      <c r="F382" s="54"/>
      <c r="G382" s="54"/>
      <c r="H382" s="54"/>
    </row>
    <row r="383" spans="1:8" s="33" customFormat="1" ht="12.95" customHeight="1" x14ac:dyDescent="0.25"/>
    <row r="384" spans="1:8" s="33" customFormat="1" ht="12.95" customHeight="1" x14ac:dyDescent="0.25"/>
    <row r="385" s="33" customFormat="1" ht="12.95" customHeight="1" x14ac:dyDescent="0.25"/>
    <row r="386" s="33" customFormat="1" ht="12.95" customHeight="1" x14ac:dyDescent="0.25"/>
    <row r="387" s="33" customFormat="1" ht="12.95" customHeight="1" x14ac:dyDescent="0.25"/>
    <row r="388" s="33" customFormat="1" ht="12.95" customHeight="1" x14ac:dyDescent="0.25"/>
    <row r="389" s="33" customFormat="1" ht="12.95" customHeight="1" x14ac:dyDescent="0.25"/>
    <row r="390" s="33" customFormat="1" ht="12.95" customHeight="1" x14ac:dyDescent="0.25"/>
    <row r="391" s="33" customFormat="1" ht="12.95" customHeight="1" x14ac:dyDescent="0.25"/>
    <row r="392" s="33" customFormat="1" ht="12.95" customHeight="1" x14ac:dyDescent="0.25"/>
    <row r="393" s="33" customFormat="1" ht="12.95" customHeight="1" x14ac:dyDescent="0.25"/>
    <row r="394" s="33" customFormat="1" ht="12.95" customHeight="1" x14ac:dyDescent="0.25"/>
    <row r="395" s="33" customFormat="1" ht="12.95" customHeight="1" x14ac:dyDescent="0.25"/>
    <row r="396" s="33" customFormat="1" ht="12.95" customHeight="1" x14ac:dyDescent="0.25"/>
    <row r="397" s="33" customFormat="1" ht="12.95" customHeight="1" x14ac:dyDescent="0.25"/>
    <row r="398" s="33" customFormat="1" ht="12.95" customHeight="1" x14ac:dyDescent="0.25"/>
    <row r="399" s="33" customFormat="1" ht="12.95" customHeight="1" x14ac:dyDescent="0.25"/>
    <row r="400" s="33" customFormat="1" ht="12.95" customHeight="1" x14ac:dyDescent="0.25"/>
    <row r="401" s="33" customFormat="1" ht="12.95" customHeight="1" x14ac:dyDescent="0.25"/>
    <row r="402" s="33" customFormat="1" ht="12.95" customHeight="1" x14ac:dyDescent="0.25"/>
    <row r="403" s="33" customFormat="1" ht="12.95" customHeight="1" x14ac:dyDescent="0.25"/>
    <row r="404" s="33" customFormat="1" ht="12.95" customHeight="1" x14ac:dyDescent="0.25"/>
    <row r="405" s="33" customFormat="1" ht="12.95" customHeight="1" x14ac:dyDescent="0.25"/>
    <row r="406" s="33" customFormat="1" ht="12.95" customHeight="1" x14ac:dyDescent="0.25"/>
    <row r="407" s="33" customFormat="1" ht="12.95" customHeight="1" x14ac:dyDescent="0.25"/>
    <row r="408" s="33" customFormat="1" ht="12.95" customHeight="1" x14ac:dyDescent="0.25"/>
    <row r="409" s="33" customFormat="1" ht="12.95" customHeight="1" x14ac:dyDescent="0.25"/>
    <row r="410" s="33" customFormat="1" ht="12.95" customHeight="1" x14ac:dyDescent="0.25"/>
    <row r="411" s="33" customFormat="1" ht="12.95" customHeight="1" x14ac:dyDescent="0.25"/>
    <row r="412" s="33" customFormat="1" ht="12.95" customHeight="1" x14ac:dyDescent="0.25"/>
    <row r="413" s="33" customFormat="1" ht="12.95" customHeight="1" x14ac:dyDescent="0.25"/>
    <row r="414" s="33" customFormat="1" ht="12.95" customHeight="1" x14ac:dyDescent="0.25"/>
    <row r="415" s="33" customFormat="1" ht="12.95" customHeight="1" x14ac:dyDescent="0.25"/>
    <row r="416" s="33" customFormat="1" ht="12.95" customHeight="1" x14ac:dyDescent="0.25"/>
    <row r="417" s="33" customFormat="1" ht="12.95" customHeight="1" x14ac:dyDescent="0.25"/>
    <row r="418" s="33" customFormat="1" ht="12.95" customHeight="1" x14ac:dyDescent="0.25"/>
    <row r="419" s="33" customFormat="1" ht="12.95" customHeight="1" x14ac:dyDescent="0.25"/>
    <row r="420" s="33" customFormat="1" ht="12.95" customHeight="1" x14ac:dyDescent="0.25"/>
    <row r="421" s="33" customFormat="1" ht="12.95" customHeight="1" x14ac:dyDescent="0.25"/>
    <row r="422" s="33" customFormat="1" ht="12.95" customHeight="1" x14ac:dyDescent="0.25"/>
    <row r="423" s="33" customFormat="1" ht="12.95" customHeight="1" x14ac:dyDescent="0.25"/>
    <row r="424" s="33" customFormat="1" ht="12.95" customHeight="1" x14ac:dyDescent="0.25"/>
    <row r="425" s="33" customFormat="1" ht="12.95" customHeight="1" x14ac:dyDescent="0.25"/>
    <row r="426" s="33" customFormat="1" ht="12.95" customHeight="1" x14ac:dyDescent="0.25"/>
    <row r="427" s="33" customFormat="1" ht="12.95" customHeight="1" x14ac:dyDescent="0.25"/>
    <row r="428" s="33" customFormat="1" ht="12.95" customHeight="1" x14ac:dyDescent="0.25"/>
    <row r="429" s="33" customFormat="1" ht="12.95" customHeight="1" x14ac:dyDescent="0.25"/>
    <row r="430" s="33" customFormat="1" ht="12.95" customHeight="1" x14ac:dyDescent="0.25"/>
    <row r="431" s="33" customFormat="1" ht="12.95" customHeight="1" x14ac:dyDescent="0.25"/>
    <row r="432" s="33" customFormat="1" ht="12.95" customHeight="1" x14ac:dyDescent="0.25"/>
    <row r="433" s="33" customFormat="1" ht="12.95" customHeight="1" x14ac:dyDescent="0.25"/>
    <row r="434" s="33" customFormat="1" ht="12.95" customHeight="1" x14ac:dyDescent="0.25"/>
    <row r="435" s="33" customFormat="1" ht="12.95" customHeight="1" x14ac:dyDescent="0.25"/>
    <row r="436" s="33" customFormat="1" ht="12.95" customHeight="1" x14ac:dyDescent="0.25"/>
    <row r="437" s="33" customFormat="1" ht="12.95" customHeight="1" x14ac:dyDescent="0.25"/>
    <row r="438" s="33" customFormat="1" ht="12.95" customHeight="1" x14ac:dyDescent="0.25"/>
    <row r="439" s="33" customFormat="1" ht="12.95" customHeight="1" x14ac:dyDescent="0.25"/>
    <row r="440" s="33" customFormat="1" ht="12.95" customHeight="1" x14ac:dyDescent="0.25"/>
    <row r="441" s="33" customFormat="1" ht="12.95" customHeight="1" x14ac:dyDescent="0.25"/>
    <row r="442" s="33" customFormat="1" ht="12.95" customHeight="1" x14ac:dyDescent="0.25"/>
    <row r="443" s="33" customFormat="1" ht="12.95" customHeight="1" x14ac:dyDescent="0.25"/>
    <row r="444" s="33" customFormat="1" ht="12.95" customHeight="1" x14ac:dyDescent="0.25"/>
    <row r="445" s="33" customFormat="1" ht="12.95" customHeight="1" x14ac:dyDescent="0.25"/>
    <row r="446" s="33" customFormat="1" ht="12.95" customHeight="1" x14ac:dyDescent="0.25"/>
    <row r="447" s="33" customFormat="1" ht="12.95" customHeight="1" x14ac:dyDescent="0.25"/>
    <row r="448" s="33" customFormat="1" ht="12.95" customHeight="1" x14ac:dyDescent="0.25"/>
    <row r="449" s="33" customFormat="1" ht="12.95" customHeight="1" x14ac:dyDescent="0.25"/>
    <row r="450" ht="12.95" customHeight="1" x14ac:dyDescent="0.3"/>
    <row r="451" ht="12.95" customHeight="1" x14ac:dyDescent="0.3"/>
    <row r="452" ht="12.95" customHeight="1" x14ac:dyDescent="0.3"/>
    <row r="453" ht="12.95" customHeight="1" x14ac:dyDescent="0.3"/>
    <row r="454" ht="12.95" customHeight="1" x14ac:dyDescent="0.3"/>
    <row r="455" ht="12.95" customHeight="1" x14ac:dyDescent="0.3"/>
    <row r="456" ht="12.95" customHeight="1" x14ac:dyDescent="0.3"/>
    <row r="457" ht="12.95" customHeight="1" x14ac:dyDescent="0.3"/>
    <row r="458" ht="12.95" customHeight="1" x14ac:dyDescent="0.3"/>
    <row r="459" ht="12.95" customHeight="1" x14ac:dyDescent="0.3"/>
    <row r="460" ht="12.95" customHeight="1" x14ac:dyDescent="0.3"/>
    <row r="461" ht="12.9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1" manualBreakCount="1">
    <brk id="29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524CC-1647-4F0E-AAF5-916C12EA9ECD}">
  <sheetPr>
    <tabColor rgb="FFCC00CC"/>
    <pageSetUpPr fitToPage="1"/>
  </sheetPr>
  <dimension ref="A1:H52"/>
  <sheetViews>
    <sheetView zoomScale="130" zoomScaleNormal="130" workbookViewId="0"/>
  </sheetViews>
  <sheetFormatPr defaultRowHeight="13.5" x14ac:dyDescent="0.25"/>
  <cols>
    <col min="1" max="1" width="4" style="144" customWidth="1"/>
    <col min="2" max="2" width="5.28515625" style="144" customWidth="1"/>
    <col min="3" max="3" width="8.42578125" style="144" customWidth="1"/>
    <col min="4" max="4" width="8" style="145" customWidth="1"/>
    <col min="5" max="5" width="49.7109375" style="144" customWidth="1"/>
    <col min="6" max="6" width="23" style="144" customWidth="1"/>
    <col min="7" max="7" width="13" style="144" customWidth="1"/>
    <col min="8" max="8" width="10.7109375" style="144" customWidth="1"/>
    <col min="9" max="256" width="9.140625" style="144"/>
    <col min="257" max="257" width="4" style="144" customWidth="1"/>
    <col min="258" max="258" width="5.28515625" style="144" customWidth="1"/>
    <col min="259" max="259" width="8.42578125" style="144" customWidth="1"/>
    <col min="260" max="260" width="8" style="144" customWidth="1"/>
    <col min="261" max="261" width="49.7109375" style="144" customWidth="1"/>
    <col min="262" max="262" width="23" style="144" customWidth="1"/>
    <col min="263" max="263" width="13" style="144" customWidth="1"/>
    <col min="264" max="264" width="10.7109375" style="144" customWidth="1"/>
    <col min="265" max="512" width="9.140625" style="144"/>
    <col min="513" max="513" width="4" style="144" customWidth="1"/>
    <col min="514" max="514" width="5.28515625" style="144" customWidth="1"/>
    <col min="515" max="515" width="8.42578125" style="144" customWidth="1"/>
    <col min="516" max="516" width="8" style="144" customWidth="1"/>
    <col min="517" max="517" width="49.7109375" style="144" customWidth="1"/>
    <col min="518" max="518" width="23" style="144" customWidth="1"/>
    <col min="519" max="519" width="13" style="144" customWidth="1"/>
    <col min="520" max="520" width="10.7109375" style="144" customWidth="1"/>
    <col min="521" max="768" width="9.140625" style="144"/>
    <col min="769" max="769" width="4" style="144" customWidth="1"/>
    <col min="770" max="770" width="5.28515625" style="144" customWidth="1"/>
    <col min="771" max="771" width="8.42578125" style="144" customWidth="1"/>
    <col min="772" max="772" width="8" style="144" customWidth="1"/>
    <col min="773" max="773" width="49.7109375" style="144" customWidth="1"/>
    <col min="774" max="774" width="23" style="144" customWidth="1"/>
    <col min="775" max="775" width="13" style="144" customWidth="1"/>
    <col min="776" max="776" width="10.7109375" style="144" customWidth="1"/>
    <col min="777" max="1024" width="9.140625" style="144"/>
    <col min="1025" max="1025" width="4" style="144" customWidth="1"/>
    <col min="1026" max="1026" width="5.28515625" style="144" customWidth="1"/>
    <col min="1027" max="1027" width="8.42578125" style="144" customWidth="1"/>
    <col min="1028" max="1028" width="8" style="144" customWidth="1"/>
    <col min="1029" max="1029" width="49.7109375" style="144" customWidth="1"/>
    <col min="1030" max="1030" width="23" style="144" customWidth="1"/>
    <col min="1031" max="1031" width="13" style="144" customWidth="1"/>
    <col min="1032" max="1032" width="10.7109375" style="144" customWidth="1"/>
    <col min="1033" max="1280" width="9.140625" style="144"/>
    <col min="1281" max="1281" width="4" style="144" customWidth="1"/>
    <col min="1282" max="1282" width="5.28515625" style="144" customWidth="1"/>
    <col min="1283" max="1283" width="8.42578125" style="144" customWidth="1"/>
    <col min="1284" max="1284" width="8" style="144" customWidth="1"/>
    <col min="1285" max="1285" width="49.7109375" style="144" customWidth="1"/>
    <col min="1286" max="1286" width="23" style="144" customWidth="1"/>
    <col min="1287" max="1287" width="13" style="144" customWidth="1"/>
    <col min="1288" max="1288" width="10.7109375" style="144" customWidth="1"/>
    <col min="1289" max="1536" width="9.140625" style="144"/>
    <col min="1537" max="1537" width="4" style="144" customWidth="1"/>
    <col min="1538" max="1538" width="5.28515625" style="144" customWidth="1"/>
    <col min="1539" max="1539" width="8.42578125" style="144" customWidth="1"/>
    <col min="1540" max="1540" width="8" style="144" customWidth="1"/>
    <col min="1541" max="1541" width="49.7109375" style="144" customWidth="1"/>
    <col min="1542" max="1542" width="23" style="144" customWidth="1"/>
    <col min="1543" max="1543" width="13" style="144" customWidth="1"/>
    <col min="1544" max="1544" width="10.7109375" style="144" customWidth="1"/>
    <col min="1545" max="1792" width="9.140625" style="144"/>
    <col min="1793" max="1793" width="4" style="144" customWidth="1"/>
    <col min="1794" max="1794" width="5.28515625" style="144" customWidth="1"/>
    <col min="1795" max="1795" width="8.42578125" style="144" customWidth="1"/>
    <col min="1796" max="1796" width="8" style="144" customWidth="1"/>
    <col min="1797" max="1797" width="49.7109375" style="144" customWidth="1"/>
    <col min="1798" max="1798" width="23" style="144" customWidth="1"/>
    <col min="1799" max="1799" width="13" style="144" customWidth="1"/>
    <col min="1800" max="1800" width="10.7109375" style="144" customWidth="1"/>
    <col min="1801" max="2048" width="9.140625" style="144"/>
    <col min="2049" max="2049" width="4" style="144" customWidth="1"/>
    <col min="2050" max="2050" width="5.28515625" style="144" customWidth="1"/>
    <col min="2051" max="2051" width="8.42578125" style="144" customWidth="1"/>
    <col min="2052" max="2052" width="8" style="144" customWidth="1"/>
    <col min="2053" max="2053" width="49.7109375" style="144" customWidth="1"/>
    <col min="2054" max="2054" width="23" style="144" customWidth="1"/>
    <col min="2055" max="2055" width="13" style="144" customWidth="1"/>
    <col min="2056" max="2056" width="10.7109375" style="144" customWidth="1"/>
    <col min="2057" max="2304" width="9.140625" style="144"/>
    <col min="2305" max="2305" width="4" style="144" customWidth="1"/>
    <col min="2306" max="2306" width="5.28515625" style="144" customWidth="1"/>
    <col min="2307" max="2307" width="8.42578125" style="144" customWidth="1"/>
    <col min="2308" max="2308" width="8" style="144" customWidth="1"/>
    <col min="2309" max="2309" width="49.7109375" style="144" customWidth="1"/>
    <col min="2310" max="2310" width="23" style="144" customWidth="1"/>
    <col min="2311" max="2311" width="13" style="144" customWidth="1"/>
    <col min="2312" max="2312" width="10.7109375" style="144" customWidth="1"/>
    <col min="2313" max="2560" width="9.140625" style="144"/>
    <col min="2561" max="2561" width="4" style="144" customWidth="1"/>
    <col min="2562" max="2562" width="5.28515625" style="144" customWidth="1"/>
    <col min="2563" max="2563" width="8.42578125" style="144" customWidth="1"/>
    <col min="2564" max="2564" width="8" style="144" customWidth="1"/>
    <col min="2565" max="2565" width="49.7109375" style="144" customWidth="1"/>
    <col min="2566" max="2566" width="23" style="144" customWidth="1"/>
    <col min="2567" max="2567" width="13" style="144" customWidth="1"/>
    <col min="2568" max="2568" width="10.7109375" style="144" customWidth="1"/>
    <col min="2569" max="2816" width="9.140625" style="144"/>
    <col min="2817" max="2817" width="4" style="144" customWidth="1"/>
    <col min="2818" max="2818" width="5.28515625" style="144" customWidth="1"/>
    <col min="2819" max="2819" width="8.42578125" style="144" customWidth="1"/>
    <col min="2820" max="2820" width="8" style="144" customWidth="1"/>
    <col min="2821" max="2821" width="49.7109375" style="144" customWidth="1"/>
    <col min="2822" max="2822" width="23" style="144" customWidth="1"/>
    <col min="2823" max="2823" width="13" style="144" customWidth="1"/>
    <col min="2824" max="2824" width="10.7109375" style="144" customWidth="1"/>
    <col min="2825" max="3072" width="9.140625" style="144"/>
    <col min="3073" max="3073" width="4" style="144" customWidth="1"/>
    <col min="3074" max="3074" width="5.28515625" style="144" customWidth="1"/>
    <col min="3075" max="3075" width="8.42578125" style="144" customWidth="1"/>
    <col min="3076" max="3076" width="8" style="144" customWidth="1"/>
    <col min="3077" max="3077" width="49.7109375" style="144" customWidth="1"/>
    <col min="3078" max="3078" width="23" style="144" customWidth="1"/>
    <col min="3079" max="3079" width="13" style="144" customWidth="1"/>
    <col min="3080" max="3080" width="10.7109375" style="144" customWidth="1"/>
    <col min="3081" max="3328" width="9.140625" style="144"/>
    <col min="3329" max="3329" width="4" style="144" customWidth="1"/>
    <col min="3330" max="3330" width="5.28515625" style="144" customWidth="1"/>
    <col min="3331" max="3331" width="8.42578125" style="144" customWidth="1"/>
    <col min="3332" max="3332" width="8" style="144" customWidth="1"/>
    <col min="3333" max="3333" width="49.7109375" style="144" customWidth="1"/>
    <col min="3334" max="3334" width="23" style="144" customWidth="1"/>
    <col min="3335" max="3335" width="13" style="144" customWidth="1"/>
    <col min="3336" max="3336" width="10.7109375" style="144" customWidth="1"/>
    <col min="3337" max="3584" width="9.140625" style="144"/>
    <col min="3585" max="3585" width="4" style="144" customWidth="1"/>
    <col min="3586" max="3586" width="5.28515625" style="144" customWidth="1"/>
    <col min="3587" max="3587" width="8.42578125" style="144" customWidth="1"/>
    <col min="3588" max="3588" width="8" style="144" customWidth="1"/>
    <col min="3589" max="3589" width="49.7109375" style="144" customWidth="1"/>
    <col min="3590" max="3590" width="23" style="144" customWidth="1"/>
    <col min="3591" max="3591" width="13" style="144" customWidth="1"/>
    <col min="3592" max="3592" width="10.7109375" style="144" customWidth="1"/>
    <col min="3593" max="3840" width="9.140625" style="144"/>
    <col min="3841" max="3841" width="4" style="144" customWidth="1"/>
    <col min="3842" max="3842" width="5.28515625" style="144" customWidth="1"/>
    <col min="3843" max="3843" width="8.42578125" style="144" customWidth="1"/>
    <col min="3844" max="3844" width="8" style="144" customWidth="1"/>
    <col min="3845" max="3845" width="49.7109375" style="144" customWidth="1"/>
    <col min="3846" max="3846" width="23" style="144" customWidth="1"/>
    <col min="3847" max="3847" width="13" style="144" customWidth="1"/>
    <col min="3848" max="3848" width="10.7109375" style="144" customWidth="1"/>
    <col min="3849" max="4096" width="9.140625" style="144"/>
    <col min="4097" max="4097" width="4" style="144" customWidth="1"/>
    <col min="4098" max="4098" width="5.28515625" style="144" customWidth="1"/>
    <col min="4099" max="4099" width="8.42578125" style="144" customWidth="1"/>
    <col min="4100" max="4100" width="8" style="144" customWidth="1"/>
    <col min="4101" max="4101" width="49.7109375" style="144" customWidth="1"/>
    <col min="4102" max="4102" width="23" style="144" customWidth="1"/>
    <col min="4103" max="4103" width="13" style="144" customWidth="1"/>
    <col min="4104" max="4104" width="10.7109375" style="144" customWidth="1"/>
    <col min="4105" max="4352" width="9.140625" style="144"/>
    <col min="4353" max="4353" width="4" style="144" customWidth="1"/>
    <col min="4354" max="4354" width="5.28515625" style="144" customWidth="1"/>
    <col min="4355" max="4355" width="8.42578125" style="144" customWidth="1"/>
    <col min="4356" max="4356" width="8" style="144" customWidth="1"/>
    <col min="4357" max="4357" width="49.7109375" style="144" customWidth="1"/>
    <col min="4358" max="4358" width="23" style="144" customWidth="1"/>
    <col min="4359" max="4359" width="13" style="144" customWidth="1"/>
    <col min="4360" max="4360" width="10.7109375" style="144" customWidth="1"/>
    <col min="4361" max="4608" width="9.140625" style="144"/>
    <col min="4609" max="4609" width="4" style="144" customWidth="1"/>
    <col min="4610" max="4610" width="5.28515625" style="144" customWidth="1"/>
    <col min="4611" max="4611" width="8.42578125" style="144" customWidth="1"/>
    <col min="4612" max="4612" width="8" style="144" customWidth="1"/>
    <col min="4613" max="4613" width="49.7109375" style="144" customWidth="1"/>
    <col min="4614" max="4614" width="23" style="144" customWidth="1"/>
    <col min="4615" max="4615" width="13" style="144" customWidth="1"/>
    <col min="4616" max="4616" width="10.7109375" style="144" customWidth="1"/>
    <col min="4617" max="4864" width="9.140625" style="144"/>
    <col min="4865" max="4865" width="4" style="144" customWidth="1"/>
    <col min="4866" max="4866" width="5.28515625" style="144" customWidth="1"/>
    <col min="4867" max="4867" width="8.42578125" style="144" customWidth="1"/>
    <col min="4868" max="4868" width="8" style="144" customWidth="1"/>
    <col min="4869" max="4869" width="49.7109375" style="144" customWidth="1"/>
    <col min="4870" max="4870" width="23" style="144" customWidth="1"/>
    <col min="4871" max="4871" width="13" style="144" customWidth="1"/>
    <col min="4872" max="4872" width="10.7109375" style="144" customWidth="1"/>
    <col min="4873" max="5120" width="9.140625" style="144"/>
    <col min="5121" max="5121" width="4" style="144" customWidth="1"/>
    <col min="5122" max="5122" width="5.28515625" style="144" customWidth="1"/>
    <col min="5123" max="5123" width="8.42578125" style="144" customWidth="1"/>
    <col min="5124" max="5124" width="8" style="144" customWidth="1"/>
    <col min="5125" max="5125" width="49.7109375" style="144" customWidth="1"/>
    <col min="5126" max="5126" width="23" style="144" customWidth="1"/>
    <col min="5127" max="5127" width="13" style="144" customWidth="1"/>
    <col min="5128" max="5128" width="10.7109375" style="144" customWidth="1"/>
    <col min="5129" max="5376" width="9.140625" style="144"/>
    <col min="5377" max="5377" width="4" style="144" customWidth="1"/>
    <col min="5378" max="5378" width="5.28515625" style="144" customWidth="1"/>
    <col min="5379" max="5379" width="8.42578125" style="144" customWidth="1"/>
    <col min="5380" max="5380" width="8" style="144" customWidth="1"/>
    <col min="5381" max="5381" width="49.7109375" style="144" customWidth="1"/>
    <col min="5382" max="5382" width="23" style="144" customWidth="1"/>
    <col min="5383" max="5383" width="13" style="144" customWidth="1"/>
    <col min="5384" max="5384" width="10.7109375" style="144" customWidth="1"/>
    <col min="5385" max="5632" width="9.140625" style="144"/>
    <col min="5633" max="5633" width="4" style="144" customWidth="1"/>
    <col min="5634" max="5634" width="5.28515625" style="144" customWidth="1"/>
    <col min="5635" max="5635" width="8.42578125" style="144" customWidth="1"/>
    <col min="5636" max="5636" width="8" style="144" customWidth="1"/>
    <col min="5637" max="5637" width="49.7109375" style="144" customWidth="1"/>
    <col min="5638" max="5638" width="23" style="144" customWidth="1"/>
    <col min="5639" max="5639" width="13" style="144" customWidth="1"/>
    <col min="5640" max="5640" width="10.7109375" style="144" customWidth="1"/>
    <col min="5641" max="5888" width="9.140625" style="144"/>
    <col min="5889" max="5889" width="4" style="144" customWidth="1"/>
    <col min="5890" max="5890" width="5.28515625" style="144" customWidth="1"/>
    <col min="5891" max="5891" width="8.42578125" style="144" customWidth="1"/>
    <col min="5892" max="5892" width="8" style="144" customWidth="1"/>
    <col min="5893" max="5893" width="49.7109375" style="144" customWidth="1"/>
    <col min="5894" max="5894" width="23" style="144" customWidth="1"/>
    <col min="5895" max="5895" width="13" style="144" customWidth="1"/>
    <col min="5896" max="5896" width="10.7109375" style="144" customWidth="1"/>
    <col min="5897" max="6144" width="9.140625" style="144"/>
    <col min="6145" max="6145" width="4" style="144" customWidth="1"/>
    <col min="6146" max="6146" width="5.28515625" style="144" customWidth="1"/>
    <col min="6147" max="6147" width="8.42578125" style="144" customWidth="1"/>
    <col min="6148" max="6148" width="8" style="144" customWidth="1"/>
    <col min="6149" max="6149" width="49.7109375" style="144" customWidth="1"/>
    <col min="6150" max="6150" width="23" style="144" customWidth="1"/>
    <col min="6151" max="6151" width="13" style="144" customWidth="1"/>
    <col min="6152" max="6152" width="10.7109375" style="144" customWidth="1"/>
    <col min="6153" max="6400" width="9.140625" style="144"/>
    <col min="6401" max="6401" width="4" style="144" customWidth="1"/>
    <col min="6402" max="6402" width="5.28515625" style="144" customWidth="1"/>
    <col min="6403" max="6403" width="8.42578125" style="144" customWidth="1"/>
    <col min="6404" max="6404" width="8" style="144" customWidth="1"/>
    <col min="6405" max="6405" width="49.7109375" style="144" customWidth="1"/>
    <col min="6406" max="6406" width="23" style="144" customWidth="1"/>
    <col min="6407" max="6407" width="13" style="144" customWidth="1"/>
    <col min="6408" max="6408" width="10.7109375" style="144" customWidth="1"/>
    <col min="6409" max="6656" width="9.140625" style="144"/>
    <col min="6657" max="6657" width="4" style="144" customWidth="1"/>
    <col min="6658" max="6658" width="5.28515625" style="144" customWidth="1"/>
    <col min="6659" max="6659" width="8.42578125" style="144" customWidth="1"/>
    <col min="6660" max="6660" width="8" style="144" customWidth="1"/>
    <col min="6661" max="6661" width="49.7109375" style="144" customWidth="1"/>
    <col min="6662" max="6662" width="23" style="144" customWidth="1"/>
    <col min="6663" max="6663" width="13" style="144" customWidth="1"/>
    <col min="6664" max="6664" width="10.7109375" style="144" customWidth="1"/>
    <col min="6665" max="6912" width="9.140625" style="144"/>
    <col min="6913" max="6913" width="4" style="144" customWidth="1"/>
    <col min="6914" max="6914" width="5.28515625" style="144" customWidth="1"/>
    <col min="6915" max="6915" width="8.42578125" style="144" customWidth="1"/>
    <col min="6916" max="6916" width="8" style="144" customWidth="1"/>
    <col min="6917" max="6917" width="49.7109375" style="144" customWidth="1"/>
    <col min="6918" max="6918" width="23" style="144" customWidth="1"/>
    <col min="6919" max="6919" width="13" style="144" customWidth="1"/>
    <col min="6920" max="6920" width="10.7109375" style="144" customWidth="1"/>
    <col min="6921" max="7168" width="9.140625" style="144"/>
    <col min="7169" max="7169" width="4" style="144" customWidth="1"/>
    <col min="7170" max="7170" width="5.28515625" style="144" customWidth="1"/>
    <col min="7171" max="7171" width="8.42578125" style="144" customWidth="1"/>
    <col min="7172" max="7172" width="8" style="144" customWidth="1"/>
    <col min="7173" max="7173" width="49.7109375" style="144" customWidth="1"/>
    <col min="7174" max="7174" width="23" style="144" customWidth="1"/>
    <col min="7175" max="7175" width="13" style="144" customWidth="1"/>
    <col min="7176" max="7176" width="10.7109375" style="144" customWidth="1"/>
    <col min="7177" max="7424" width="9.140625" style="144"/>
    <col min="7425" max="7425" width="4" style="144" customWidth="1"/>
    <col min="7426" max="7426" width="5.28515625" style="144" customWidth="1"/>
    <col min="7427" max="7427" width="8.42578125" style="144" customWidth="1"/>
    <col min="7428" max="7428" width="8" style="144" customWidth="1"/>
    <col min="7429" max="7429" width="49.7109375" style="144" customWidth="1"/>
    <col min="7430" max="7430" width="23" style="144" customWidth="1"/>
    <col min="7431" max="7431" width="13" style="144" customWidth="1"/>
    <col min="7432" max="7432" width="10.7109375" style="144" customWidth="1"/>
    <col min="7433" max="7680" width="9.140625" style="144"/>
    <col min="7681" max="7681" width="4" style="144" customWidth="1"/>
    <col min="7682" max="7682" width="5.28515625" style="144" customWidth="1"/>
    <col min="7683" max="7683" width="8.42578125" style="144" customWidth="1"/>
    <col min="7684" max="7684" width="8" style="144" customWidth="1"/>
    <col min="7685" max="7685" width="49.7109375" style="144" customWidth="1"/>
    <col min="7686" max="7686" width="23" style="144" customWidth="1"/>
    <col min="7687" max="7687" width="13" style="144" customWidth="1"/>
    <col min="7688" max="7688" width="10.7109375" style="144" customWidth="1"/>
    <col min="7689" max="7936" width="9.140625" style="144"/>
    <col min="7937" max="7937" width="4" style="144" customWidth="1"/>
    <col min="7938" max="7938" width="5.28515625" style="144" customWidth="1"/>
    <col min="7939" max="7939" width="8.42578125" style="144" customWidth="1"/>
    <col min="7940" max="7940" width="8" style="144" customWidth="1"/>
    <col min="7941" max="7941" width="49.7109375" style="144" customWidth="1"/>
    <col min="7942" max="7942" width="23" style="144" customWidth="1"/>
    <col min="7943" max="7943" width="13" style="144" customWidth="1"/>
    <col min="7944" max="7944" width="10.7109375" style="144" customWidth="1"/>
    <col min="7945" max="8192" width="9.140625" style="144"/>
    <col min="8193" max="8193" width="4" style="144" customWidth="1"/>
    <col min="8194" max="8194" width="5.28515625" style="144" customWidth="1"/>
    <col min="8195" max="8195" width="8.42578125" style="144" customWidth="1"/>
    <col min="8196" max="8196" width="8" style="144" customWidth="1"/>
    <col min="8197" max="8197" width="49.7109375" style="144" customWidth="1"/>
    <col min="8198" max="8198" width="23" style="144" customWidth="1"/>
    <col min="8199" max="8199" width="13" style="144" customWidth="1"/>
    <col min="8200" max="8200" width="10.7109375" style="144" customWidth="1"/>
    <col min="8201" max="8448" width="9.140625" style="144"/>
    <col min="8449" max="8449" width="4" style="144" customWidth="1"/>
    <col min="8450" max="8450" width="5.28515625" style="144" customWidth="1"/>
    <col min="8451" max="8451" width="8.42578125" style="144" customWidth="1"/>
    <col min="8452" max="8452" width="8" style="144" customWidth="1"/>
    <col min="8453" max="8453" width="49.7109375" style="144" customWidth="1"/>
    <col min="8454" max="8454" width="23" style="144" customWidth="1"/>
    <col min="8455" max="8455" width="13" style="144" customWidth="1"/>
    <col min="8456" max="8456" width="10.7109375" style="144" customWidth="1"/>
    <col min="8457" max="8704" width="9.140625" style="144"/>
    <col min="8705" max="8705" width="4" style="144" customWidth="1"/>
    <col min="8706" max="8706" width="5.28515625" style="144" customWidth="1"/>
    <col min="8707" max="8707" width="8.42578125" style="144" customWidth="1"/>
    <col min="8708" max="8708" width="8" style="144" customWidth="1"/>
    <col min="8709" max="8709" width="49.7109375" style="144" customWidth="1"/>
    <col min="8710" max="8710" width="23" style="144" customWidth="1"/>
    <col min="8711" max="8711" width="13" style="144" customWidth="1"/>
    <col min="8712" max="8712" width="10.7109375" style="144" customWidth="1"/>
    <col min="8713" max="8960" width="9.140625" style="144"/>
    <col min="8961" max="8961" width="4" style="144" customWidth="1"/>
    <col min="8962" max="8962" width="5.28515625" style="144" customWidth="1"/>
    <col min="8963" max="8963" width="8.42578125" style="144" customWidth="1"/>
    <col min="8964" max="8964" width="8" style="144" customWidth="1"/>
    <col min="8965" max="8965" width="49.7109375" style="144" customWidth="1"/>
    <col min="8966" max="8966" width="23" style="144" customWidth="1"/>
    <col min="8967" max="8967" width="13" style="144" customWidth="1"/>
    <col min="8968" max="8968" width="10.7109375" style="144" customWidth="1"/>
    <col min="8969" max="9216" width="9.140625" style="144"/>
    <col min="9217" max="9217" width="4" style="144" customWidth="1"/>
    <col min="9218" max="9218" width="5.28515625" style="144" customWidth="1"/>
    <col min="9219" max="9219" width="8.42578125" style="144" customWidth="1"/>
    <col min="9220" max="9220" width="8" style="144" customWidth="1"/>
    <col min="9221" max="9221" width="49.7109375" style="144" customWidth="1"/>
    <col min="9222" max="9222" width="23" style="144" customWidth="1"/>
    <col min="9223" max="9223" width="13" style="144" customWidth="1"/>
    <col min="9224" max="9224" width="10.7109375" style="144" customWidth="1"/>
    <col min="9225" max="9472" width="9.140625" style="144"/>
    <col min="9473" max="9473" width="4" style="144" customWidth="1"/>
    <col min="9474" max="9474" width="5.28515625" style="144" customWidth="1"/>
    <col min="9475" max="9475" width="8.42578125" style="144" customWidth="1"/>
    <col min="9476" max="9476" width="8" style="144" customWidth="1"/>
    <col min="9477" max="9477" width="49.7109375" style="144" customWidth="1"/>
    <col min="9478" max="9478" width="23" style="144" customWidth="1"/>
    <col min="9479" max="9479" width="13" style="144" customWidth="1"/>
    <col min="9480" max="9480" width="10.7109375" style="144" customWidth="1"/>
    <col min="9481" max="9728" width="9.140625" style="144"/>
    <col min="9729" max="9729" width="4" style="144" customWidth="1"/>
    <col min="9730" max="9730" width="5.28515625" style="144" customWidth="1"/>
    <col min="9731" max="9731" width="8.42578125" style="144" customWidth="1"/>
    <col min="9732" max="9732" width="8" style="144" customWidth="1"/>
    <col min="9733" max="9733" width="49.7109375" style="144" customWidth="1"/>
    <col min="9734" max="9734" width="23" style="144" customWidth="1"/>
    <col min="9735" max="9735" width="13" style="144" customWidth="1"/>
    <col min="9736" max="9736" width="10.7109375" style="144" customWidth="1"/>
    <col min="9737" max="9984" width="9.140625" style="144"/>
    <col min="9985" max="9985" width="4" style="144" customWidth="1"/>
    <col min="9986" max="9986" width="5.28515625" style="144" customWidth="1"/>
    <col min="9987" max="9987" width="8.42578125" style="144" customWidth="1"/>
    <col min="9988" max="9988" width="8" style="144" customWidth="1"/>
    <col min="9989" max="9989" width="49.7109375" style="144" customWidth="1"/>
    <col min="9990" max="9990" width="23" style="144" customWidth="1"/>
    <col min="9991" max="9991" width="13" style="144" customWidth="1"/>
    <col min="9992" max="9992" width="10.7109375" style="144" customWidth="1"/>
    <col min="9993" max="10240" width="9.140625" style="144"/>
    <col min="10241" max="10241" width="4" style="144" customWidth="1"/>
    <col min="10242" max="10242" width="5.28515625" style="144" customWidth="1"/>
    <col min="10243" max="10243" width="8.42578125" style="144" customWidth="1"/>
    <col min="10244" max="10244" width="8" style="144" customWidth="1"/>
    <col min="10245" max="10245" width="49.7109375" style="144" customWidth="1"/>
    <col min="10246" max="10246" width="23" style="144" customWidth="1"/>
    <col min="10247" max="10247" width="13" style="144" customWidth="1"/>
    <col min="10248" max="10248" width="10.7109375" style="144" customWidth="1"/>
    <col min="10249" max="10496" width="9.140625" style="144"/>
    <col min="10497" max="10497" width="4" style="144" customWidth="1"/>
    <col min="10498" max="10498" width="5.28515625" style="144" customWidth="1"/>
    <col min="10499" max="10499" width="8.42578125" style="144" customWidth="1"/>
    <col min="10500" max="10500" width="8" style="144" customWidth="1"/>
    <col min="10501" max="10501" width="49.7109375" style="144" customWidth="1"/>
    <col min="10502" max="10502" width="23" style="144" customWidth="1"/>
    <col min="10503" max="10503" width="13" style="144" customWidth="1"/>
    <col min="10504" max="10504" width="10.7109375" style="144" customWidth="1"/>
    <col min="10505" max="10752" width="9.140625" style="144"/>
    <col min="10753" max="10753" width="4" style="144" customWidth="1"/>
    <col min="10754" max="10754" width="5.28515625" style="144" customWidth="1"/>
    <col min="10755" max="10755" width="8.42578125" style="144" customWidth="1"/>
    <col min="10756" max="10756" width="8" style="144" customWidth="1"/>
    <col min="10757" max="10757" width="49.7109375" style="144" customWidth="1"/>
    <col min="10758" max="10758" width="23" style="144" customWidth="1"/>
    <col min="10759" max="10759" width="13" style="144" customWidth="1"/>
    <col min="10760" max="10760" width="10.7109375" style="144" customWidth="1"/>
    <col min="10761" max="11008" width="9.140625" style="144"/>
    <col min="11009" max="11009" width="4" style="144" customWidth="1"/>
    <col min="11010" max="11010" width="5.28515625" style="144" customWidth="1"/>
    <col min="11011" max="11011" width="8.42578125" style="144" customWidth="1"/>
    <col min="11012" max="11012" width="8" style="144" customWidth="1"/>
    <col min="11013" max="11013" width="49.7109375" style="144" customWidth="1"/>
    <col min="11014" max="11014" width="23" style="144" customWidth="1"/>
    <col min="11015" max="11015" width="13" style="144" customWidth="1"/>
    <col min="11016" max="11016" width="10.7109375" style="144" customWidth="1"/>
    <col min="11017" max="11264" width="9.140625" style="144"/>
    <col min="11265" max="11265" width="4" style="144" customWidth="1"/>
    <col min="11266" max="11266" width="5.28515625" style="144" customWidth="1"/>
    <col min="11267" max="11267" width="8.42578125" style="144" customWidth="1"/>
    <col min="11268" max="11268" width="8" style="144" customWidth="1"/>
    <col min="11269" max="11269" width="49.7109375" style="144" customWidth="1"/>
    <col min="11270" max="11270" width="23" style="144" customWidth="1"/>
    <col min="11271" max="11271" width="13" style="144" customWidth="1"/>
    <col min="11272" max="11272" width="10.7109375" style="144" customWidth="1"/>
    <col min="11273" max="11520" width="9.140625" style="144"/>
    <col min="11521" max="11521" width="4" style="144" customWidth="1"/>
    <col min="11522" max="11522" width="5.28515625" style="144" customWidth="1"/>
    <col min="11523" max="11523" width="8.42578125" style="144" customWidth="1"/>
    <col min="11524" max="11524" width="8" style="144" customWidth="1"/>
    <col min="11525" max="11525" width="49.7109375" style="144" customWidth="1"/>
    <col min="11526" max="11526" width="23" style="144" customWidth="1"/>
    <col min="11527" max="11527" width="13" style="144" customWidth="1"/>
    <col min="11528" max="11528" width="10.7109375" style="144" customWidth="1"/>
    <col min="11529" max="11776" width="9.140625" style="144"/>
    <col min="11777" max="11777" width="4" style="144" customWidth="1"/>
    <col min="11778" max="11778" width="5.28515625" style="144" customWidth="1"/>
    <col min="11779" max="11779" width="8.42578125" style="144" customWidth="1"/>
    <col min="11780" max="11780" width="8" style="144" customWidth="1"/>
    <col min="11781" max="11781" width="49.7109375" style="144" customWidth="1"/>
    <col min="11782" max="11782" width="23" style="144" customWidth="1"/>
    <col min="11783" max="11783" width="13" style="144" customWidth="1"/>
    <col min="11784" max="11784" width="10.7109375" style="144" customWidth="1"/>
    <col min="11785" max="12032" width="9.140625" style="144"/>
    <col min="12033" max="12033" width="4" style="144" customWidth="1"/>
    <col min="12034" max="12034" width="5.28515625" style="144" customWidth="1"/>
    <col min="12035" max="12035" width="8.42578125" style="144" customWidth="1"/>
    <col min="12036" max="12036" width="8" style="144" customWidth="1"/>
    <col min="12037" max="12037" width="49.7109375" style="144" customWidth="1"/>
    <col min="12038" max="12038" width="23" style="144" customWidth="1"/>
    <col min="12039" max="12039" width="13" style="144" customWidth="1"/>
    <col min="12040" max="12040" width="10.7109375" style="144" customWidth="1"/>
    <col min="12041" max="12288" width="9.140625" style="144"/>
    <col min="12289" max="12289" width="4" style="144" customWidth="1"/>
    <col min="12290" max="12290" width="5.28515625" style="144" customWidth="1"/>
    <col min="12291" max="12291" width="8.42578125" style="144" customWidth="1"/>
    <col min="12292" max="12292" width="8" style="144" customWidth="1"/>
    <col min="12293" max="12293" width="49.7109375" style="144" customWidth="1"/>
    <col min="12294" max="12294" width="23" style="144" customWidth="1"/>
    <col min="12295" max="12295" width="13" style="144" customWidth="1"/>
    <col min="12296" max="12296" width="10.7109375" style="144" customWidth="1"/>
    <col min="12297" max="12544" width="9.140625" style="144"/>
    <col min="12545" max="12545" width="4" style="144" customWidth="1"/>
    <col min="12546" max="12546" width="5.28515625" style="144" customWidth="1"/>
    <col min="12547" max="12547" width="8.42578125" style="144" customWidth="1"/>
    <col min="12548" max="12548" width="8" style="144" customWidth="1"/>
    <col min="12549" max="12549" width="49.7109375" style="144" customWidth="1"/>
    <col min="12550" max="12550" width="23" style="144" customWidth="1"/>
    <col min="12551" max="12551" width="13" style="144" customWidth="1"/>
    <col min="12552" max="12552" width="10.7109375" style="144" customWidth="1"/>
    <col min="12553" max="12800" width="9.140625" style="144"/>
    <col min="12801" max="12801" width="4" style="144" customWidth="1"/>
    <col min="12802" max="12802" width="5.28515625" style="144" customWidth="1"/>
    <col min="12803" max="12803" width="8.42578125" style="144" customWidth="1"/>
    <col min="12804" max="12804" width="8" style="144" customWidth="1"/>
    <col min="12805" max="12805" width="49.7109375" style="144" customWidth="1"/>
    <col min="12806" max="12806" width="23" style="144" customWidth="1"/>
    <col min="12807" max="12807" width="13" style="144" customWidth="1"/>
    <col min="12808" max="12808" width="10.7109375" style="144" customWidth="1"/>
    <col min="12809" max="13056" width="9.140625" style="144"/>
    <col min="13057" max="13057" width="4" style="144" customWidth="1"/>
    <col min="13058" max="13058" width="5.28515625" style="144" customWidth="1"/>
    <col min="13059" max="13059" width="8.42578125" style="144" customWidth="1"/>
    <col min="13060" max="13060" width="8" style="144" customWidth="1"/>
    <col min="13061" max="13061" width="49.7109375" style="144" customWidth="1"/>
    <col min="13062" max="13062" width="23" style="144" customWidth="1"/>
    <col min="13063" max="13063" width="13" style="144" customWidth="1"/>
    <col min="13064" max="13064" width="10.7109375" style="144" customWidth="1"/>
    <col min="13065" max="13312" width="9.140625" style="144"/>
    <col min="13313" max="13313" width="4" style="144" customWidth="1"/>
    <col min="13314" max="13314" width="5.28515625" style="144" customWidth="1"/>
    <col min="13315" max="13315" width="8.42578125" style="144" customWidth="1"/>
    <col min="13316" max="13316" width="8" style="144" customWidth="1"/>
    <col min="13317" max="13317" width="49.7109375" style="144" customWidth="1"/>
    <col min="13318" max="13318" width="23" style="144" customWidth="1"/>
    <col min="13319" max="13319" width="13" style="144" customWidth="1"/>
    <col min="13320" max="13320" width="10.7109375" style="144" customWidth="1"/>
    <col min="13321" max="13568" width="9.140625" style="144"/>
    <col min="13569" max="13569" width="4" style="144" customWidth="1"/>
    <col min="13570" max="13570" width="5.28515625" style="144" customWidth="1"/>
    <col min="13571" max="13571" width="8.42578125" style="144" customWidth="1"/>
    <col min="13572" max="13572" width="8" style="144" customWidth="1"/>
    <col min="13573" max="13573" width="49.7109375" style="144" customWidth="1"/>
    <col min="13574" max="13574" width="23" style="144" customWidth="1"/>
    <col min="13575" max="13575" width="13" style="144" customWidth="1"/>
    <col min="13576" max="13576" width="10.7109375" style="144" customWidth="1"/>
    <col min="13577" max="13824" width="9.140625" style="144"/>
    <col min="13825" max="13825" width="4" style="144" customWidth="1"/>
    <col min="13826" max="13826" width="5.28515625" style="144" customWidth="1"/>
    <col min="13827" max="13827" width="8.42578125" style="144" customWidth="1"/>
    <col min="13828" max="13828" width="8" style="144" customWidth="1"/>
    <col min="13829" max="13829" width="49.7109375" style="144" customWidth="1"/>
    <col min="13830" max="13830" width="23" style="144" customWidth="1"/>
    <col min="13831" max="13831" width="13" style="144" customWidth="1"/>
    <col min="13832" max="13832" width="10.7109375" style="144" customWidth="1"/>
    <col min="13833" max="14080" width="9.140625" style="144"/>
    <col min="14081" max="14081" width="4" style="144" customWidth="1"/>
    <col min="14082" max="14082" width="5.28515625" style="144" customWidth="1"/>
    <col min="14083" max="14083" width="8.42578125" style="144" customWidth="1"/>
    <col min="14084" max="14084" width="8" style="144" customWidth="1"/>
    <col min="14085" max="14085" width="49.7109375" style="144" customWidth="1"/>
    <col min="14086" max="14086" width="23" style="144" customWidth="1"/>
    <col min="14087" max="14087" width="13" style="144" customWidth="1"/>
    <col min="14088" max="14088" width="10.7109375" style="144" customWidth="1"/>
    <col min="14089" max="14336" width="9.140625" style="144"/>
    <col min="14337" max="14337" width="4" style="144" customWidth="1"/>
    <col min="14338" max="14338" width="5.28515625" style="144" customWidth="1"/>
    <col min="14339" max="14339" width="8.42578125" style="144" customWidth="1"/>
    <col min="14340" max="14340" width="8" style="144" customWidth="1"/>
    <col min="14341" max="14341" width="49.7109375" style="144" customWidth="1"/>
    <col min="14342" max="14342" width="23" style="144" customWidth="1"/>
    <col min="14343" max="14343" width="13" style="144" customWidth="1"/>
    <col min="14344" max="14344" width="10.7109375" style="144" customWidth="1"/>
    <col min="14345" max="14592" width="9.140625" style="144"/>
    <col min="14593" max="14593" width="4" style="144" customWidth="1"/>
    <col min="14594" max="14594" width="5.28515625" style="144" customWidth="1"/>
    <col min="14595" max="14595" width="8.42578125" style="144" customWidth="1"/>
    <col min="14596" max="14596" width="8" style="144" customWidth="1"/>
    <col min="14597" max="14597" width="49.7109375" style="144" customWidth="1"/>
    <col min="14598" max="14598" width="23" style="144" customWidth="1"/>
    <col min="14599" max="14599" width="13" style="144" customWidth="1"/>
    <col min="14600" max="14600" width="10.7109375" style="144" customWidth="1"/>
    <col min="14601" max="14848" width="9.140625" style="144"/>
    <col min="14849" max="14849" width="4" style="144" customWidth="1"/>
    <col min="14850" max="14850" width="5.28515625" style="144" customWidth="1"/>
    <col min="14851" max="14851" width="8.42578125" style="144" customWidth="1"/>
    <col min="14852" max="14852" width="8" style="144" customWidth="1"/>
    <col min="14853" max="14853" width="49.7109375" style="144" customWidth="1"/>
    <col min="14854" max="14854" width="23" style="144" customWidth="1"/>
    <col min="14855" max="14855" width="13" style="144" customWidth="1"/>
    <col min="14856" max="14856" width="10.7109375" style="144" customWidth="1"/>
    <col min="14857" max="15104" width="9.140625" style="144"/>
    <col min="15105" max="15105" width="4" style="144" customWidth="1"/>
    <col min="15106" max="15106" width="5.28515625" style="144" customWidth="1"/>
    <col min="15107" max="15107" width="8.42578125" style="144" customWidth="1"/>
    <col min="15108" max="15108" width="8" style="144" customWidth="1"/>
    <col min="15109" max="15109" width="49.7109375" style="144" customWidth="1"/>
    <col min="15110" max="15110" width="23" style="144" customWidth="1"/>
    <col min="15111" max="15111" width="13" style="144" customWidth="1"/>
    <col min="15112" max="15112" width="10.7109375" style="144" customWidth="1"/>
    <col min="15113" max="15360" width="9.140625" style="144"/>
    <col min="15361" max="15361" width="4" style="144" customWidth="1"/>
    <col min="15362" max="15362" width="5.28515625" style="144" customWidth="1"/>
    <col min="15363" max="15363" width="8.42578125" style="144" customWidth="1"/>
    <col min="15364" max="15364" width="8" style="144" customWidth="1"/>
    <col min="15365" max="15365" width="49.7109375" style="144" customWidth="1"/>
    <col min="15366" max="15366" width="23" style="144" customWidth="1"/>
    <col min="15367" max="15367" width="13" style="144" customWidth="1"/>
    <col min="15368" max="15368" width="10.7109375" style="144" customWidth="1"/>
    <col min="15369" max="15616" width="9.140625" style="144"/>
    <col min="15617" max="15617" width="4" style="144" customWidth="1"/>
    <col min="15618" max="15618" width="5.28515625" style="144" customWidth="1"/>
    <col min="15619" max="15619" width="8.42578125" style="144" customWidth="1"/>
    <col min="15620" max="15620" width="8" style="144" customWidth="1"/>
    <col min="15621" max="15621" width="49.7109375" style="144" customWidth="1"/>
    <col min="15622" max="15622" width="23" style="144" customWidth="1"/>
    <col min="15623" max="15623" width="13" style="144" customWidth="1"/>
    <col min="15624" max="15624" width="10.7109375" style="144" customWidth="1"/>
    <col min="15625" max="15872" width="9.140625" style="144"/>
    <col min="15873" max="15873" width="4" style="144" customWidth="1"/>
    <col min="15874" max="15874" width="5.28515625" style="144" customWidth="1"/>
    <col min="15875" max="15875" width="8.42578125" style="144" customWidth="1"/>
    <col min="15876" max="15876" width="8" style="144" customWidth="1"/>
    <col min="15877" max="15877" width="49.7109375" style="144" customWidth="1"/>
    <col min="15878" max="15878" width="23" style="144" customWidth="1"/>
    <col min="15879" max="15879" width="13" style="144" customWidth="1"/>
    <col min="15880" max="15880" width="10.7109375" style="144" customWidth="1"/>
    <col min="15881" max="16128" width="9.140625" style="144"/>
    <col min="16129" max="16129" width="4" style="144" customWidth="1"/>
    <col min="16130" max="16130" width="5.28515625" style="144" customWidth="1"/>
    <col min="16131" max="16131" width="8.42578125" style="144" customWidth="1"/>
    <col min="16132" max="16132" width="8" style="144" customWidth="1"/>
    <col min="16133" max="16133" width="49.7109375" style="144" customWidth="1"/>
    <col min="16134" max="16134" width="23" style="144" customWidth="1"/>
    <col min="16135" max="16135" width="13" style="144" customWidth="1"/>
    <col min="16136" max="16136" width="10.7109375" style="144" customWidth="1"/>
    <col min="16137" max="16384" width="9.140625" style="144"/>
  </cols>
  <sheetData>
    <row r="1" spans="1:8" ht="12" customHeight="1" x14ac:dyDescent="0.25">
      <c r="F1" s="146" t="s">
        <v>21</v>
      </c>
    </row>
    <row r="2" spans="1:8" ht="12" customHeight="1" x14ac:dyDescent="0.25">
      <c r="E2" s="147"/>
      <c r="F2" s="146" t="s">
        <v>152</v>
      </c>
    </row>
    <row r="3" spans="1:8" ht="12" customHeight="1" x14ac:dyDescent="0.25">
      <c r="E3" s="147"/>
      <c r="F3" s="148" t="s">
        <v>1</v>
      </c>
    </row>
    <row r="4" spans="1:8" ht="12" customHeight="1" x14ac:dyDescent="0.25">
      <c r="E4" s="147"/>
      <c r="F4" s="146" t="s">
        <v>153</v>
      </c>
    </row>
    <row r="5" spans="1:8" x14ac:dyDescent="0.25">
      <c r="E5" s="147"/>
      <c r="F5" s="147"/>
    </row>
    <row r="6" spans="1:8" ht="15" customHeight="1" x14ac:dyDescent="0.25">
      <c r="A6" s="239" t="s">
        <v>41</v>
      </c>
      <c r="B6" s="239"/>
      <c r="C6" s="239"/>
      <c r="D6" s="239"/>
      <c r="E6" s="239"/>
      <c r="F6" s="239"/>
    </row>
    <row r="7" spans="1:8" ht="15" customHeight="1" x14ac:dyDescent="0.25">
      <c r="A7" s="239" t="s">
        <v>154</v>
      </c>
      <c r="B7" s="239"/>
      <c r="C7" s="239"/>
      <c r="D7" s="239"/>
      <c r="E7" s="239"/>
      <c r="F7" s="239"/>
    </row>
    <row r="8" spans="1:8" ht="13.9" customHeight="1" x14ac:dyDescent="0.25">
      <c r="E8" s="149"/>
      <c r="F8" s="149"/>
    </row>
    <row r="9" spans="1:8" ht="12" customHeight="1" x14ac:dyDescent="0.25">
      <c r="E9" s="150"/>
      <c r="F9" s="151" t="s">
        <v>2</v>
      </c>
    </row>
    <row r="10" spans="1:8" ht="19.5" customHeight="1" x14ac:dyDescent="0.25">
      <c r="A10" s="152" t="s">
        <v>22</v>
      </c>
      <c r="B10" s="153" t="s">
        <v>42</v>
      </c>
      <c r="C10" s="153" t="s">
        <v>43</v>
      </c>
      <c r="D10" s="152" t="s">
        <v>44</v>
      </c>
      <c r="E10" s="153" t="s">
        <v>45</v>
      </c>
      <c r="F10" s="153" t="s">
        <v>46</v>
      </c>
    </row>
    <row r="11" spans="1:8" s="156" customFormat="1" ht="9.75" customHeight="1" x14ac:dyDescent="0.25">
      <c r="A11" s="154">
        <v>1</v>
      </c>
      <c r="B11" s="154">
        <v>2</v>
      </c>
      <c r="C11" s="154">
        <v>3</v>
      </c>
      <c r="D11" s="155">
        <v>4</v>
      </c>
      <c r="E11" s="154">
        <v>5</v>
      </c>
      <c r="F11" s="154">
        <v>6</v>
      </c>
    </row>
    <row r="12" spans="1:8" ht="18" customHeight="1" x14ac:dyDescent="0.25">
      <c r="A12" s="157" t="s">
        <v>47</v>
      </c>
      <c r="B12" s="158"/>
      <c r="C12" s="158"/>
      <c r="D12" s="159"/>
      <c r="E12" s="158"/>
      <c r="F12" s="160"/>
    </row>
    <row r="13" spans="1:8" ht="15" customHeight="1" x14ac:dyDescent="0.25">
      <c r="A13" s="161">
        <v>1</v>
      </c>
      <c r="B13" s="161">
        <v>801</v>
      </c>
      <c r="C13" s="161">
        <v>80104</v>
      </c>
      <c r="D13" s="161">
        <v>2310</v>
      </c>
      <c r="E13" s="15" t="s">
        <v>15</v>
      </c>
      <c r="F13" s="16">
        <v>500000</v>
      </c>
      <c r="H13" s="162"/>
    </row>
    <row r="14" spans="1:8" ht="16.5" customHeight="1" x14ac:dyDescent="0.25">
      <c r="A14" s="161">
        <v>2</v>
      </c>
      <c r="B14" s="163">
        <v>851</v>
      </c>
      <c r="C14" s="163">
        <v>85149</v>
      </c>
      <c r="D14" s="163">
        <v>2780</v>
      </c>
      <c r="E14" s="15" t="s">
        <v>155</v>
      </c>
      <c r="F14" s="16">
        <v>21000</v>
      </c>
      <c r="G14" s="164"/>
      <c r="H14" s="162"/>
    </row>
    <row r="15" spans="1:8" ht="17.25" customHeight="1" x14ac:dyDescent="0.25">
      <c r="A15" s="163">
        <v>3</v>
      </c>
      <c r="B15" s="161">
        <v>851</v>
      </c>
      <c r="C15" s="161">
        <v>85154</v>
      </c>
      <c r="D15" s="161">
        <v>2330</v>
      </c>
      <c r="E15" s="15" t="s">
        <v>156</v>
      </c>
      <c r="F15" s="16">
        <v>5000</v>
      </c>
    </row>
    <row r="16" spans="1:8" ht="24" customHeight="1" x14ac:dyDescent="0.25">
      <c r="A16" s="163">
        <v>4</v>
      </c>
      <c r="B16" s="161">
        <v>851</v>
      </c>
      <c r="C16" s="161">
        <v>85154</v>
      </c>
      <c r="D16" s="161">
        <v>2800</v>
      </c>
      <c r="E16" s="15" t="s">
        <v>157</v>
      </c>
      <c r="F16" s="16">
        <f>0+100000+20000</f>
        <v>120000</v>
      </c>
    </row>
    <row r="17" spans="1:6" ht="38.25" customHeight="1" x14ac:dyDescent="0.25">
      <c r="A17" s="163">
        <v>5</v>
      </c>
      <c r="B17" s="163">
        <v>851</v>
      </c>
      <c r="C17" s="163">
        <v>85195</v>
      </c>
      <c r="D17" s="165" t="s">
        <v>158</v>
      </c>
      <c r="E17" s="15" t="s">
        <v>159</v>
      </c>
      <c r="F17" s="16">
        <f>689557.5+3907492.5</f>
        <v>4597050</v>
      </c>
    </row>
    <row r="18" spans="1:6" ht="14.25" customHeight="1" x14ac:dyDescent="0.25">
      <c r="A18" s="163">
        <v>6</v>
      </c>
      <c r="B18" s="163">
        <v>852</v>
      </c>
      <c r="C18" s="163">
        <v>85203</v>
      </c>
      <c r="D18" s="163">
        <v>2320</v>
      </c>
      <c r="E18" s="166" t="s">
        <v>87</v>
      </c>
      <c r="F18" s="16">
        <v>12000</v>
      </c>
    </row>
    <row r="19" spans="1:6" ht="14.25" customHeight="1" x14ac:dyDescent="0.25">
      <c r="A19" s="163">
        <v>7</v>
      </c>
      <c r="B19" s="163">
        <v>853</v>
      </c>
      <c r="C19" s="163">
        <v>85333</v>
      </c>
      <c r="D19" s="163">
        <v>2320</v>
      </c>
      <c r="E19" s="166" t="s">
        <v>160</v>
      </c>
      <c r="F19" s="16">
        <f>5090084</f>
        <v>5090084</v>
      </c>
    </row>
    <row r="20" spans="1:6" ht="25.5" customHeight="1" x14ac:dyDescent="0.25">
      <c r="A20" s="167">
        <v>8</v>
      </c>
      <c r="B20" s="168">
        <v>853</v>
      </c>
      <c r="C20" s="168">
        <v>85395</v>
      </c>
      <c r="D20" s="14">
        <v>2800</v>
      </c>
      <c r="E20" s="169" t="s">
        <v>161</v>
      </c>
      <c r="F20" s="16">
        <v>90000</v>
      </c>
    </row>
    <row r="21" spans="1:6" ht="16.899999999999999" customHeight="1" x14ac:dyDescent="0.25">
      <c r="A21" s="163">
        <v>9</v>
      </c>
      <c r="B21" s="161">
        <v>921</v>
      </c>
      <c r="C21" s="161">
        <v>92110</v>
      </c>
      <c r="D21" s="161">
        <v>6229</v>
      </c>
      <c r="E21" s="166" t="s">
        <v>162</v>
      </c>
      <c r="F21" s="16">
        <f>F22</f>
        <v>5156.78</v>
      </c>
    </row>
    <row r="22" spans="1:6" s="148" customFormat="1" ht="12.75" customHeight="1" x14ac:dyDescent="0.25">
      <c r="A22" s="170"/>
      <c r="B22" s="171"/>
      <c r="C22" s="172"/>
      <c r="D22" s="173"/>
      <c r="E22" s="174" t="s">
        <v>163</v>
      </c>
      <c r="F22" s="175">
        <v>5156.78</v>
      </c>
    </row>
    <row r="23" spans="1:6" s="148" customFormat="1" ht="16.5" customHeight="1" x14ac:dyDescent="0.25">
      <c r="A23" s="163">
        <v>10</v>
      </c>
      <c r="B23" s="161">
        <v>921</v>
      </c>
      <c r="C23" s="161">
        <v>92110</v>
      </c>
      <c r="D23" s="161">
        <v>2800</v>
      </c>
      <c r="E23" s="166" t="s">
        <v>164</v>
      </c>
      <c r="F23" s="16">
        <f>F24</f>
        <v>28000</v>
      </c>
    </row>
    <row r="24" spans="1:6" s="148" customFormat="1" ht="12.75" customHeight="1" x14ac:dyDescent="0.25">
      <c r="A24" s="170"/>
      <c r="B24" s="171"/>
      <c r="C24" s="172"/>
      <c r="D24" s="173"/>
      <c r="E24" s="174" t="s">
        <v>163</v>
      </c>
      <c r="F24" s="175">
        <v>28000</v>
      </c>
    </row>
    <row r="25" spans="1:6" ht="15.75" customHeight="1" x14ac:dyDescent="0.25">
      <c r="A25" s="161">
        <v>11</v>
      </c>
      <c r="B25" s="161">
        <v>921</v>
      </c>
      <c r="C25" s="161">
        <v>92113</v>
      </c>
      <c r="D25" s="161">
        <v>2800</v>
      </c>
      <c r="E25" s="176" t="s">
        <v>127</v>
      </c>
      <c r="F25" s="177">
        <f>F26</f>
        <v>263000</v>
      </c>
    </row>
    <row r="26" spans="1:6" s="148" customFormat="1" ht="12.75" customHeight="1" x14ac:dyDescent="0.25">
      <c r="A26" s="178"/>
      <c r="B26" s="179"/>
      <c r="C26" s="180"/>
      <c r="D26" s="181"/>
      <c r="E26" s="182" t="s">
        <v>165</v>
      </c>
      <c r="F26" s="183">
        <f>240000+23000</f>
        <v>263000</v>
      </c>
    </row>
    <row r="27" spans="1:6" s="148" customFormat="1" ht="16.5" customHeight="1" x14ac:dyDescent="0.25">
      <c r="A27" s="161">
        <v>12</v>
      </c>
      <c r="B27" s="161">
        <v>921</v>
      </c>
      <c r="C27" s="161">
        <v>92113</v>
      </c>
      <c r="D27" s="161">
        <v>6229</v>
      </c>
      <c r="E27" s="176" t="s">
        <v>166</v>
      </c>
      <c r="F27" s="177">
        <f>F28</f>
        <v>25880.37</v>
      </c>
    </row>
    <row r="28" spans="1:6" s="148" customFormat="1" ht="12.75" customHeight="1" x14ac:dyDescent="0.25">
      <c r="A28" s="178"/>
      <c r="B28" s="179"/>
      <c r="C28" s="180"/>
      <c r="D28" s="181"/>
      <c r="E28" s="182" t="s">
        <v>165</v>
      </c>
      <c r="F28" s="183">
        <v>25880.37</v>
      </c>
    </row>
    <row r="29" spans="1:6" s="148" customFormat="1" ht="16.899999999999999" customHeight="1" x14ac:dyDescent="0.25">
      <c r="A29" s="161">
        <v>13</v>
      </c>
      <c r="B29" s="161">
        <v>921</v>
      </c>
      <c r="C29" s="161">
        <v>92114</v>
      </c>
      <c r="D29" s="161">
        <v>6229</v>
      </c>
      <c r="E29" s="166" t="s">
        <v>167</v>
      </c>
      <c r="F29" s="16">
        <f>F30</f>
        <v>8856.59</v>
      </c>
    </row>
    <row r="30" spans="1:6" s="148" customFormat="1" ht="12.75" customHeight="1" x14ac:dyDescent="0.25">
      <c r="A30" s="178"/>
      <c r="B30" s="179"/>
      <c r="C30" s="179"/>
      <c r="D30" s="184"/>
      <c r="E30" s="185" t="s">
        <v>168</v>
      </c>
      <c r="F30" s="186">
        <v>8856.59</v>
      </c>
    </row>
    <row r="31" spans="1:6" ht="16.899999999999999" customHeight="1" x14ac:dyDescent="0.25">
      <c r="A31" s="161">
        <v>14</v>
      </c>
      <c r="B31" s="161">
        <v>921</v>
      </c>
      <c r="C31" s="161">
        <v>92116</v>
      </c>
      <c r="D31" s="161">
        <v>2800</v>
      </c>
      <c r="E31" s="166" t="s">
        <v>129</v>
      </c>
      <c r="F31" s="16">
        <f>F32</f>
        <v>50000</v>
      </c>
    </row>
    <row r="32" spans="1:6" s="148" customFormat="1" ht="12.75" customHeight="1" x14ac:dyDescent="0.25">
      <c r="A32" s="178"/>
      <c r="B32" s="179"/>
      <c r="C32" s="179"/>
      <c r="D32" s="184"/>
      <c r="E32" s="187" t="s">
        <v>169</v>
      </c>
      <c r="F32" s="186">
        <v>50000</v>
      </c>
    </row>
    <row r="33" spans="1:6" s="148" customFormat="1" ht="16.5" customHeight="1" x14ac:dyDescent="0.25">
      <c r="A33" s="161">
        <v>15</v>
      </c>
      <c r="B33" s="161">
        <v>921</v>
      </c>
      <c r="C33" s="161">
        <v>92116</v>
      </c>
      <c r="D33" s="161">
        <v>6229</v>
      </c>
      <c r="E33" s="166" t="s">
        <v>170</v>
      </c>
      <c r="F33" s="16">
        <f>F34</f>
        <v>37139.85</v>
      </c>
    </row>
    <row r="34" spans="1:6" s="148" customFormat="1" ht="12.75" customHeight="1" x14ac:dyDescent="0.25">
      <c r="A34" s="178"/>
      <c r="B34" s="179"/>
      <c r="C34" s="179"/>
      <c r="D34" s="184"/>
      <c r="E34" s="187" t="s">
        <v>169</v>
      </c>
      <c r="F34" s="186">
        <v>37139.85</v>
      </c>
    </row>
    <row r="35" spans="1:6" s="193" customFormat="1" ht="17.25" customHeight="1" x14ac:dyDescent="0.25">
      <c r="A35" s="188"/>
      <c r="B35" s="189"/>
      <c r="C35" s="189"/>
      <c r="D35" s="190"/>
      <c r="E35" s="191" t="s">
        <v>171</v>
      </c>
      <c r="F35" s="192">
        <f>SUM(F13,F14,F15,F16,F17,F18,F19,F20,F21,F23,F25,F27,F29,F31,F33)</f>
        <v>10853167.589999998</v>
      </c>
    </row>
    <row r="36" spans="1:6" ht="15.75" customHeight="1" x14ac:dyDescent="0.25">
      <c r="A36" s="157" t="s">
        <v>50</v>
      </c>
      <c r="B36" s="158"/>
      <c r="C36" s="158"/>
      <c r="D36" s="159"/>
      <c r="E36" s="158"/>
      <c r="F36" s="160"/>
    </row>
    <row r="37" spans="1:6" ht="16.899999999999999" customHeight="1" x14ac:dyDescent="0.25">
      <c r="A37" s="161">
        <v>1</v>
      </c>
      <c r="B37" s="161">
        <v>853</v>
      </c>
      <c r="C37" s="161">
        <v>85395</v>
      </c>
      <c r="D37" s="161">
        <v>2510</v>
      </c>
      <c r="E37" s="166" t="s">
        <v>27</v>
      </c>
      <c r="F37" s="16">
        <f>F38</f>
        <v>1361864.22</v>
      </c>
    </row>
    <row r="38" spans="1:6" s="148" customFormat="1" ht="12.75" customHeight="1" x14ac:dyDescent="0.25">
      <c r="A38" s="178"/>
      <c r="B38" s="179"/>
      <c r="C38" s="180"/>
      <c r="D38" s="181"/>
      <c r="E38" s="194" t="s">
        <v>172</v>
      </c>
      <c r="F38" s="195">
        <f>1186180+175684.22</f>
        <v>1361864.22</v>
      </c>
    </row>
    <row r="39" spans="1:6" ht="16.899999999999999" customHeight="1" x14ac:dyDescent="0.25">
      <c r="A39" s="161">
        <v>2</v>
      </c>
      <c r="B39" s="161">
        <v>921</v>
      </c>
      <c r="C39" s="161">
        <v>92110</v>
      </c>
      <c r="D39" s="161">
        <v>2480</v>
      </c>
      <c r="E39" s="166" t="s">
        <v>123</v>
      </c>
      <c r="F39" s="196">
        <f>F40</f>
        <v>1433385.72</v>
      </c>
    </row>
    <row r="40" spans="1:6" s="148" customFormat="1" ht="12.75" customHeight="1" x14ac:dyDescent="0.25">
      <c r="A40" s="178"/>
      <c r="B40" s="179"/>
      <c r="C40" s="180"/>
      <c r="D40" s="197"/>
      <c r="E40" s="198" t="s">
        <v>163</v>
      </c>
      <c r="F40" s="195">
        <f>1380000+53385.72</f>
        <v>1433385.72</v>
      </c>
    </row>
    <row r="41" spans="1:6" ht="16.899999999999999" customHeight="1" x14ac:dyDescent="0.25">
      <c r="A41" s="161">
        <v>3</v>
      </c>
      <c r="B41" s="161">
        <v>921</v>
      </c>
      <c r="C41" s="161">
        <v>92113</v>
      </c>
      <c r="D41" s="161">
        <v>2480</v>
      </c>
      <c r="E41" s="166" t="s">
        <v>127</v>
      </c>
      <c r="F41" s="196">
        <f>F42</f>
        <v>10740385.220000001</v>
      </c>
    </row>
    <row r="42" spans="1:6" s="148" customFormat="1" ht="12" customHeight="1" x14ac:dyDescent="0.25">
      <c r="A42" s="199"/>
      <c r="B42" s="180"/>
      <c r="C42" s="180"/>
      <c r="D42" s="180"/>
      <c r="E42" s="185" t="s">
        <v>173</v>
      </c>
      <c r="F42" s="200">
        <f>10500000+240385.22</f>
        <v>10740385.220000001</v>
      </c>
    </row>
    <row r="43" spans="1:6" ht="16.899999999999999" customHeight="1" x14ac:dyDescent="0.25">
      <c r="A43" s="161">
        <v>4</v>
      </c>
      <c r="B43" s="161">
        <v>921</v>
      </c>
      <c r="C43" s="161">
        <v>92114</v>
      </c>
      <c r="D43" s="161">
        <v>2480</v>
      </c>
      <c r="E43" s="166" t="s">
        <v>128</v>
      </c>
      <c r="F43" s="196">
        <f>F44</f>
        <v>2279414.83</v>
      </c>
    </row>
    <row r="44" spans="1:6" s="148" customFormat="1" ht="12.75" customHeight="1" x14ac:dyDescent="0.25">
      <c r="A44" s="178"/>
      <c r="B44" s="179"/>
      <c r="C44" s="179"/>
      <c r="D44" s="179"/>
      <c r="E44" s="185" t="s">
        <v>168</v>
      </c>
      <c r="F44" s="195">
        <f>2220000+59414.83</f>
        <v>2279414.83</v>
      </c>
    </row>
    <row r="45" spans="1:6" ht="16.899999999999999" customHeight="1" x14ac:dyDescent="0.25">
      <c r="A45" s="161">
        <v>5</v>
      </c>
      <c r="B45" s="161">
        <v>921</v>
      </c>
      <c r="C45" s="161">
        <v>92116</v>
      </c>
      <c r="D45" s="161">
        <v>2480</v>
      </c>
      <c r="E45" s="166" t="s">
        <v>129</v>
      </c>
      <c r="F45" s="16">
        <f>F46</f>
        <v>6622578.7199999997</v>
      </c>
    </row>
    <row r="46" spans="1:6" s="148" customFormat="1" ht="12.75" customHeight="1" x14ac:dyDescent="0.25">
      <c r="A46" s="178"/>
      <c r="B46" s="201"/>
      <c r="C46" s="201"/>
      <c r="D46" s="184"/>
      <c r="E46" s="185" t="s">
        <v>169</v>
      </c>
      <c r="F46" s="195">
        <f>6400000+222578.72</f>
        <v>6622578.7199999997</v>
      </c>
    </row>
    <row r="47" spans="1:6" s="193" customFormat="1" ht="18" customHeight="1" x14ac:dyDescent="0.25">
      <c r="A47" s="188"/>
      <c r="B47" s="189"/>
      <c r="C47" s="189"/>
      <c r="D47" s="190"/>
      <c r="E47" s="191" t="s">
        <v>171</v>
      </c>
      <c r="F47" s="192">
        <f>SUM(F37,F39,F41,F43,F45)</f>
        <v>22437628.710000001</v>
      </c>
    </row>
    <row r="48" spans="1:6" s="193" customFormat="1" ht="22.5" customHeight="1" x14ac:dyDescent="0.25">
      <c r="A48" s="202"/>
      <c r="B48" s="203"/>
      <c r="C48" s="203"/>
      <c r="D48" s="204"/>
      <c r="E48" s="205" t="s">
        <v>54</v>
      </c>
      <c r="F48" s="206">
        <f>SUM(F35,F47)</f>
        <v>33290796.299999997</v>
      </c>
    </row>
    <row r="50" spans="1:6" x14ac:dyDescent="0.25">
      <c r="A50" s="207"/>
      <c r="F50" s="162"/>
    </row>
    <row r="51" spans="1:6" x14ac:dyDescent="0.25">
      <c r="A51" s="156"/>
      <c r="F51" s="162"/>
    </row>
    <row r="52" spans="1:6" x14ac:dyDescent="0.25">
      <c r="A52" s="156"/>
    </row>
  </sheetData>
  <mergeCells count="2">
    <mergeCell ref="A6:F6"/>
    <mergeCell ref="A7:F7"/>
  </mergeCells>
  <printOptions horizontalCentered="1"/>
  <pageMargins left="0.59055118110236227" right="0.59055118110236227" top="0.74803149606299213" bottom="0.62992125984251968" header="0.31496062992125984" footer="0.31496062992125984"/>
  <pageSetup paperSize="9" scale="91" firstPageNumber="65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02F0-9A8E-45EE-924F-3881CD095E19}">
  <sheetPr>
    <tabColor rgb="FFFFFF00"/>
  </sheetPr>
  <dimension ref="A2:H20"/>
  <sheetViews>
    <sheetView zoomScale="120" zoomScaleNormal="120" workbookViewId="0"/>
  </sheetViews>
  <sheetFormatPr defaultRowHeight="15" x14ac:dyDescent="0.25"/>
  <cols>
    <col min="1" max="1" width="7" style="215" customWidth="1"/>
    <col min="2" max="2" width="45" style="215" customWidth="1"/>
    <col min="3" max="3" width="14.85546875" style="215" customWidth="1"/>
    <col min="4" max="5" width="14" style="215" customWidth="1"/>
    <col min="6" max="7" width="14.140625" style="215" customWidth="1"/>
    <col min="8" max="8" width="14.7109375" style="215" customWidth="1"/>
    <col min="9" max="190" width="9.140625" style="215"/>
    <col min="191" max="191" width="4.42578125" style="215" customWidth="1"/>
    <col min="192" max="192" width="7.5703125" style="215" customWidth="1"/>
    <col min="193" max="193" width="47.42578125" style="215" customWidth="1"/>
    <col min="194" max="194" width="14.85546875" style="215" customWidth="1"/>
    <col min="195" max="195" width="14" style="215" customWidth="1"/>
    <col min="196" max="196" width="14.140625" style="215" customWidth="1"/>
    <col min="197" max="197" width="14.7109375" style="215" customWidth="1"/>
    <col min="198" max="446" width="9.140625" style="215"/>
    <col min="447" max="447" width="4.42578125" style="215" customWidth="1"/>
    <col min="448" max="448" width="7.5703125" style="215" customWidth="1"/>
    <col min="449" max="449" width="47.42578125" style="215" customWidth="1"/>
    <col min="450" max="450" width="14.85546875" style="215" customWidth="1"/>
    <col min="451" max="451" width="14" style="215" customWidth="1"/>
    <col min="452" max="452" width="14.140625" style="215" customWidth="1"/>
    <col min="453" max="453" width="14.7109375" style="215" customWidth="1"/>
    <col min="454" max="702" width="9.140625" style="215"/>
    <col min="703" max="703" width="4.42578125" style="215" customWidth="1"/>
    <col min="704" max="704" width="7.5703125" style="215" customWidth="1"/>
    <col min="705" max="705" width="47.42578125" style="215" customWidth="1"/>
    <col min="706" max="706" width="14.85546875" style="215" customWidth="1"/>
    <col min="707" max="707" width="14" style="215" customWidth="1"/>
    <col min="708" max="708" width="14.140625" style="215" customWidth="1"/>
    <col min="709" max="709" width="14.7109375" style="215" customWidth="1"/>
    <col min="710" max="958" width="9.140625" style="215"/>
    <col min="959" max="959" width="4.42578125" style="215" customWidth="1"/>
    <col min="960" max="960" width="7.5703125" style="215" customWidth="1"/>
    <col min="961" max="961" width="47.42578125" style="215" customWidth="1"/>
    <col min="962" max="962" width="14.85546875" style="215" customWidth="1"/>
    <col min="963" max="963" width="14" style="215" customWidth="1"/>
    <col min="964" max="964" width="14.140625" style="215" customWidth="1"/>
    <col min="965" max="965" width="14.7109375" style="215" customWidth="1"/>
    <col min="966" max="1214" width="9.140625" style="215"/>
    <col min="1215" max="1215" width="4.42578125" style="215" customWidth="1"/>
    <col min="1216" max="1216" width="7.5703125" style="215" customWidth="1"/>
    <col min="1217" max="1217" width="47.42578125" style="215" customWidth="1"/>
    <col min="1218" max="1218" width="14.85546875" style="215" customWidth="1"/>
    <col min="1219" max="1219" width="14" style="215" customWidth="1"/>
    <col min="1220" max="1220" width="14.140625" style="215" customWidth="1"/>
    <col min="1221" max="1221" width="14.7109375" style="215" customWidth="1"/>
    <col min="1222" max="1470" width="9.140625" style="215"/>
    <col min="1471" max="1471" width="4.42578125" style="215" customWidth="1"/>
    <col min="1472" max="1472" width="7.5703125" style="215" customWidth="1"/>
    <col min="1473" max="1473" width="47.42578125" style="215" customWidth="1"/>
    <col min="1474" max="1474" width="14.85546875" style="215" customWidth="1"/>
    <col min="1475" max="1475" width="14" style="215" customWidth="1"/>
    <col min="1476" max="1476" width="14.140625" style="215" customWidth="1"/>
    <col min="1477" max="1477" width="14.7109375" style="215" customWidth="1"/>
    <col min="1478" max="1726" width="9.140625" style="215"/>
    <col min="1727" max="1727" width="4.42578125" style="215" customWidth="1"/>
    <col min="1728" max="1728" width="7.5703125" style="215" customWidth="1"/>
    <col min="1729" max="1729" width="47.42578125" style="215" customWidth="1"/>
    <col min="1730" max="1730" width="14.85546875" style="215" customWidth="1"/>
    <col min="1731" max="1731" width="14" style="215" customWidth="1"/>
    <col min="1732" max="1732" width="14.140625" style="215" customWidth="1"/>
    <col min="1733" max="1733" width="14.7109375" style="215" customWidth="1"/>
    <col min="1734" max="1982" width="9.140625" style="215"/>
    <col min="1983" max="1983" width="4.42578125" style="215" customWidth="1"/>
    <col min="1984" max="1984" width="7.5703125" style="215" customWidth="1"/>
    <col min="1985" max="1985" width="47.42578125" style="215" customWidth="1"/>
    <col min="1986" max="1986" width="14.85546875" style="215" customWidth="1"/>
    <col min="1987" max="1987" width="14" style="215" customWidth="1"/>
    <col min="1988" max="1988" width="14.140625" style="215" customWidth="1"/>
    <col min="1989" max="1989" width="14.7109375" style="215" customWidth="1"/>
    <col min="1990" max="2238" width="9.140625" style="215"/>
    <col min="2239" max="2239" width="4.42578125" style="215" customWidth="1"/>
    <col min="2240" max="2240" width="7.5703125" style="215" customWidth="1"/>
    <col min="2241" max="2241" width="47.42578125" style="215" customWidth="1"/>
    <col min="2242" max="2242" width="14.85546875" style="215" customWidth="1"/>
    <col min="2243" max="2243" width="14" style="215" customWidth="1"/>
    <col min="2244" max="2244" width="14.140625" style="215" customWidth="1"/>
    <col min="2245" max="2245" width="14.7109375" style="215" customWidth="1"/>
    <col min="2246" max="2494" width="9.140625" style="215"/>
    <col min="2495" max="2495" width="4.42578125" style="215" customWidth="1"/>
    <col min="2496" max="2496" width="7.5703125" style="215" customWidth="1"/>
    <col min="2497" max="2497" width="47.42578125" style="215" customWidth="1"/>
    <col min="2498" max="2498" width="14.85546875" style="215" customWidth="1"/>
    <col min="2499" max="2499" width="14" style="215" customWidth="1"/>
    <col min="2500" max="2500" width="14.140625" style="215" customWidth="1"/>
    <col min="2501" max="2501" width="14.7109375" style="215" customWidth="1"/>
    <col min="2502" max="2750" width="9.140625" style="215"/>
    <col min="2751" max="2751" width="4.42578125" style="215" customWidth="1"/>
    <col min="2752" max="2752" width="7.5703125" style="215" customWidth="1"/>
    <col min="2753" max="2753" width="47.42578125" style="215" customWidth="1"/>
    <col min="2754" max="2754" width="14.85546875" style="215" customWidth="1"/>
    <col min="2755" max="2755" width="14" style="215" customWidth="1"/>
    <col min="2756" max="2756" width="14.140625" style="215" customWidth="1"/>
    <col min="2757" max="2757" width="14.7109375" style="215" customWidth="1"/>
    <col min="2758" max="3006" width="9.140625" style="215"/>
    <col min="3007" max="3007" width="4.42578125" style="215" customWidth="1"/>
    <col min="3008" max="3008" width="7.5703125" style="215" customWidth="1"/>
    <col min="3009" max="3009" width="47.42578125" style="215" customWidth="1"/>
    <col min="3010" max="3010" width="14.85546875" style="215" customWidth="1"/>
    <col min="3011" max="3011" width="14" style="215" customWidth="1"/>
    <col min="3012" max="3012" width="14.140625" style="215" customWidth="1"/>
    <col min="3013" max="3013" width="14.7109375" style="215" customWidth="1"/>
    <col min="3014" max="3262" width="9.140625" style="215"/>
    <col min="3263" max="3263" width="4.42578125" style="215" customWidth="1"/>
    <col min="3264" max="3264" width="7.5703125" style="215" customWidth="1"/>
    <col min="3265" max="3265" width="47.42578125" style="215" customWidth="1"/>
    <col min="3266" max="3266" width="14.85546875" style="215" customWidth="1"/>
    <col min="3267" max="3267" width="14" style="215" customWidth="1"/>
    <col min="3268" max="3268" width="14.140625" style="215" customWidth="1"/>
    <col min="3269" max="3269" width="14.7109375" style="215" customWidth="1"/>
    <col min="3270" max="3518" width="9.140625" style="215"/>
    <col min="3519" max="3519" width="4.42578125" style="215" customWidth="1"/>
    <col min="3520" max="3520" width="7.5703125" style="215" customWidth="1"/>
    <col min="3521" max="3521" width="47.42578125" style="215" customWidth="1"/>
    <col min="3522" max="3522" width="14.85546875" style="215" customWidth="1"/>
    <col min="3523" max="3523" width="14" style="215" customWidth="1"/>
    <col min="3524" max="3524" width="14.140625" style="215" customWidth="1"/>
    <col min="3525" max="3525" width="14.7109375" style="215" customWidth="1"/>
    <col min="3526" max="3774" width="9.140625" style="215"/>
    <col min="3775" max="3775" width="4.42578125" style="215" customWidth="1"/>
    <col min="3776" max="3776" width="7.5703125" style="215" customWidth="1"/>
    <col min="3777" max="3777" width="47.42578125" style="215" customWidth="1"/>
    <col min="3778" max="3778" width="14.85546875" style="215" customWidth="1"/>
    <col min="3779" max="3779" width="14" style="215" customWidth="1"/>
    <col min="3780" max="3780" width="14.140625" style="215" customWidth="1"/>
    <col min="3781" max="3781" width="14.7109375" style="215" customWidth="1"/>
    <col min="3782" max="4030" width="9.140625" style="215"/>
    <col min="4031" max="4031" width="4.42578125" style="215" customWidth="1"/>
    <col min="4032" max="4032" width="7.5703125" style="215" customWidth="1"/>
    <col min="4033" max="4033" width="47.42578125" style="215" customWidth="1"/>
    <col min="4034" max="4034" width="14.85546875" style="215" customWidth="1"/>
    <col min="4035" max="4035" width="14" style="215" customWidth="1"/>
    <col min="4036" max="4036" width="14.140625" style="215" customWidth="1"/>
    <col min="4037" max="4037" width="14.7109375" style="215" customWidth="1"/>
    <col min="4038" max="4286" width="9.140625" style="215"/>
    <col min="4287" max="4287" width="4.42578125" style="215" customWidth="1"/>
    <col min="4288" max="4288" width="7.5703125" style="215" customWidth="1"/>
    <col min="4289" max="4289" width="47.42578125" style="215" customWidth="1"/>
    <col min="4290" max="4290" width="14.85546875" style="215" customWidth="1"/>
    <col min="4291" max="4291" width="14" style="215" customWidth="1"/>
    <col min="4292" max="4292" width="14.140625" style="215" customWidth="1"/>
    <col min="4293" max="4293" width="14.7109375" style="215" customWidth="1"/>
    <col min="4294" max="4542" width="9.140625" style="215"/>
    <col min="4543" max="4543" width="4.42578125" style="215" customWidth="1"/>
    <col min="4544" max="4544" width="7.5703125" style="215" customWidth="1"/>
    <col min="4545" max="4545" width="47.42578125" style="215" customWidth="1"/>
    <col min="4546" max="4546" width="14.85546875" style="215" customWidth="1"/>
    <col min="4547" max="4547" width="14" style="215" customWidth="1"/>
    <col min="4548" max="4548" width="14.140625" style="215" customWidth="1"/>
    <col min="4549" max="4549" width="14.7109375" style="215" customWidth="1"/>
    <col min="4550" max="4798" width="9.140625" style="215"/>
    <col min="4799" max="4799" width="4.42578125" style="215" customWidth="1"/>
    <col min="4800" max="4800" width="7.5703125" style="215" customWidth="1"/>
    <col min="4801" max="4801" width="47.42578125" style="215" customWidth="1"/>
    <col min="4802" max="4802" width="14.85546875" style="215" customWidth="1"/>
    <col min="4803" max="4803" width="14" style="215" customWidth="1"/>
    <col min="4804" max="4804" width="14.140625" style="215" customWidth="1"/>
    <col min="4805" max="4805" width="14.7109375" style="215" customWidth="1"/>
    <col min="4806" max="5054" width="9.140625" style="215"/>
    <col min="5055" max="5055" width="4.42578125" style="215" customWidth="1"/>
    <col min="5056" max="5056" width="7.5703125" style="215" customWidth="1"/>
    <col min="5057" max="5057" width="47.42578125" style="215" customWidth="1"/>
    <col min="5058" max="5058" width="14.85546875" style="215" customWidth="1"/>
    <col min="5059" max="5059" width="14" style="215" customWidth="1"/>
    <col min="5060" max="5060" width="14.140625" style="215" customWidth="1"/>
    <col min="5061" max="5061" width="14.7109375" style="215" customWidth="1"/>
    <col min="5062" max="5310" width="9.140625" style="215"/>
    <col min="5311" max="5311" width="4.42578125" style="215" customWidth="1"/>
    <col min="5312" max="5312" width="7.5703125" style="215" customWidth="1"/>
    <col min="5313" max="5313" width="47.42578125" style="215" customWidth="1"/>
    <col min="5314" max="5314" width="14.85546875" style="215" customWidth="1"/>
    <col min="5315" max="5315" width="14" style="215" customWidth="1"/>
    <col min="5316" max="5316" width="14.140625" style="215" customWidth="1"/>
    <col min="5317" max="5317" width="14.7109375" style="215" customWidth="1"/>
    <col min="5318" max="5566" width="9.140625" style="215"/>
    <col min="5567" max="5567" width="4.42578125" style="215" customWidth="1"/>
    <col min="5568" max="5568" width="7.5703125" style="215" customWidth="1"/>
    <col min="5569" max="5569" width="47.42578125" style="215" customWidth="1"/>
    <col min="5570" max="5570" width="14.85546875" style="215" customWidth="1"/>
    <col min="5571" max="5571" width="14" style="215" customWidth="1"/>
    <col min="5572" max="5572" width="14.140625" style="215" customWidth="1"/>
    <col min="5573" max="5573" width="14.7109375" style="215" customWidth="1"/>
    <col min="5574" max="5822" width="9.140625" style="215"/>
    <col min="5823" max="5823" width="4.42578125" style="215" customWidth="1"/>
    <col min="5824" max="5824" width="7.5703125" style="215" customWidth="1"/>
    <col min="5825" max="5825" width="47.42578125" style="215" customWidth="1"/>
    <col min="5826" max="5826" width="14.85546875" style="215" customWidth="1"/>
    <col min="5827" max="5827" width="14" style="215" customWidth="1"/>
    <col min="5828" max="5828" width="14.140625" style="215" customWidth="1"/>
    <col min="5829" max="5829" width="14.7109375" style="215" customWidth="1"/>
    <col min="5830" max="6078" width="9.140625" style="215"/>
    <col min="6079" max="6079" width="4.42578125" style="215" customWidth="1"/>
    <col min="6080" max="6080" width="7.5703125" style="215" customWidth="1"/>
    <col min="6081" max="6081" width="47.42578125" style="215" customWidth="1"/>
    <col min="6082" max="6082" width="14.85546875" style="215" customWidth="1"/>
    <col min="6083" max="6083" width="14" style="215" customWidth="1"/>
    <col min="6084" max="6084" width="14.140625" style="215" customWidth="1"/>
    <col min="6085" max="6085" width="14.7109375" style="215" customWidth="1"/>
    <col min="6086" max="6334" width="9.140625" style="215"/>
    <col min="6335" max="6335" width="4.42578125" style="215" customWidth="1"/>
    <col min="6336" max="6336" width="7.5703125" style="215" customWidth="1"/>
    <col min="6337" max="6337" width="47.42578125" style="215" customWidth="1"/>
    <col min="6338" max="6338" width="14.85546875" style="215" customWidth="1"/>
    <col min="6339" max="6339" width="14" style="215" customWidth="1"/>
    <col min="6340" max="6340" width="14.140625" style="215" customWidth="1"/>
    <col min="6341" max="6341" width="14.7109375" style="215" customWidth="1"/>
    <col min="6342" max="6590" width="9.140625" style="215"/>
    <col min="6591" max="6591" width="4.42578125" style="215" customWidth="1"/>
    <col min="6592" max="6592" width="7.5703125" style="215" customWidth="1"/>
    <col min="6593" max="6593" width="47.42578125" style="215" customWidth="1"/>
    <col min="6594" max="6594" width="14.85546875" style="215" customWidth="1"/>
    <col min="6595" max="6595" width="14" style="215" customWidth="1"/>
    <col min="6596" max="6596" width="14.140625" style="215" customWidth="1"/>
    <col min="6597" max="6597" width="14.7109375" style="215" customWidth="1"/>
    <col min="6598" max="6846" width="9.140625" style="215"/>
    <col min="6847" max="6847" width="4.42578125" style="215" customWidth="1"/>
    <col min="6848" max="6848" width="7.5703125" style="215" customWidth="1"/>
    <col min="6849" max="6849" width="47.42578125" style="215" customWidth="1"/>
    <col min="6850" max="6850" width="14.85546875" style="215" customWidth="1"/>
    <col min="6851" max="6851" width="14" style="215" customWidth="1"/>
    <col min="6852" max="6852" width="14.140625" style="215" customWidth="1"/>
    <col min="6853" max="6853" width="14.7109375" style="215" customWidth="1"/>
    <col min="6854" max="7102" width="9.140625" style="215"/>
    <col min="7103" max="7103" width="4.42578125" style="215" customWidth="1"/>
    <col min="7104" max="7104" width="7.5703125" style="215" customWidth="1"/>
    <col min="7105" max="7105" width="47.42578125" style="215" customWidth="1"/>
    <col min="7106" max="7106" width="14.85546875" style="215" customWidth="1"/>
    <col min="7107" max="7107" width="14" style="215" customWidth="1"/>
    <col min="7108" max="7108" width="14.140625" style="215" customWidth="1"/>
    <col min="7109" max="7109" width="14.7109375" style="215" customWidth="1"/>
    <col min="7110" max="7358" width="9.140625" style="215"/>
    <col min="7359" max="7359" width="4.42578125" style="215" customWidth="1"/>
    <col min="7360" max="7360" width="7.5703125" style="215" customWidth="1"/>
    <col min="7361" max="7361" width="47.42578125" style="215" customWidth="1"/>
    <col min="7362" max="7362" width="14.85546875" style="215" customWidth="1"/>
    <col min="7363" max="7363" width="14" style="215" customWidth="1"/>
    <col min="7364" max="7364" width="14.140625" style="215" customWidth="1"/>
    <col min="7365" max="7365" width="14.7109375" style="215" customWidth="1"/>
    <col min="7366" max="7614" width="9.140625" style="215"/>
    <col min="7615" max="7615" width="4.42578125" style="215" customWidth="1"/>
    <col min="7616" max="7616" width="7.5703125" style="215" customWidth="1"/>
    <col min="7617" max="7617" width="47.42578125" style="215" customWidth="1"/>
    <col min="7618" max="7618" width="14.85546875" style="215" customWidth="1"/>
    <col min="7619" max="7619" width="14" style="215" customWidth="1"/>
    <col min="7620" max="7620" width="14.140625" style="215" customWidth="1"/>
    <col min="7621" max="7621" width="14.7109375" style="215" customWidth="1"/>
    <col min="7622" max="7870" width="9.140625" style="215"/>
    <col min="7871" max="7871" width="4.42578125" style="215" customWidth="1"/>
    <col min="7872" max="7872" width="7.5703125" style="215" customWidth="1"/>
    <col min="7873" max="7873" width="47.42578125" style="215" customWidth="1"/>
    <col min="7874" max="7874" width="14.85546875" style="215" customWidth="1"/>
    <col min="7875" max="7875" width="14" style="215" customWidth="1"/>
    <col min="7876" max="7876" width="14.140625" style="215" customWidth="1"/>
    <col min="7877" max="7877" width="14.7109375" style="215" customWidth="1"/>
    <col min="7878" max="8126" width="9.140625" style="215"/>
    <col min="8127" max="8127" width="4.42578125" style="215" customWidth="1"/>
    <col min="8128" max="8128" width="7.5703125" style="215" customWidth="1"/>
    <col min="8129" max="8129" width="47.42578125" style="215" customWidth="1"/>
    <col min="8130" max="8130" width="14.85546875" style="215" customWidth="1"/>
    <col min="8131" max="8131" width="14" style="215" customWidth="1"/>
    <col min="8132" max="8132" width="14.140625" style="215" customWidth="1"/>
    <col min="8133" max="8133" width="14.7109375" style="215" customWidth="1"/>
    <col min="8134" max="8382" width="9.140625" style="215"/>
    <col min="8383" max="8383" width="4.42578125" style="215" customWidth="1"/>
    <col min="8384" max="8384" width="7.5703125" style="215" customWidth="1"/>
    <col min="8385" max="8385" width="47.42578125" style="215" customWidth="1"/>
    <col min="8386" max="8386" width="14.85546875" style="215" customWidth="1"/>
    <col min="8387" max="8387" width="14" style="215" customWidth="1"/>
    <col min="8388" max="8388" width="14.140625" style="215" customWidth="1"/>
    <col min="8389" max="8389" width="14.7109375" style="215" customWidth="1"/>
    <col min="8390" max="8638" width="9.140625" style="215"/>
    <col min="8639" max="8639" width="4.42578125" style="215" customWidth="1"/>
    <col min="8640" max="8640" width="7.5703125" style="215" customWidth="1"/>
    <col min="8641" max="8641" width="47.42578125" style="215" customWidth="1"/>
    <col min="8642" max="8642" width="14.85546875" style="215" customWidth="1"/>
    <col min="8643" max="8643" width="14" style="215" customWidth="1"/>
    <col min="8644" max="8644" width="14.140625" style="215" customWidth="1"/>
    <col min="8645" max="8645" width="14.7109375" style="215" customWidth="1"/>
    <col min="8646" max="8894" width="9.140625" style="215"/>
    <col min="8895" max="8895" width="4.42578125" style="215" customWidth="1"/>
    <col min="8896" max="8896" width="7.5703125" style="215" customWidth="1"/>
    <col min="8897" max="8897" width="47.42578125" style="215" customWidth="1"/>
    <col min="8898" max="8898" width="14.85546875" style="215" customWidth="1"/>
    <col min="8899" max="8899" width="14" style="215" customWidth="1"/>
    <col min="8900" max="8900" width="14.140625" style="215" customWidth="1"/>
    <col min="8901" max="8901" width="14.7109375" style="215" customWidth="1"/>
    <col min="8902" max="9150" width="9.140625" style="215"/>
    <col min="9151" max="9151" width="4.42578125" style="215" customWidth="1"/>
    <col min="9152" max="9152" width="7.5703125" style="215" customWidth="1"/>
    <col min="9153" max="9153" width="47.42578125" style="215" customWidth="1"/>
    <col min="9154" max="9154" width="14.85546875" style="215" customWidth="1"/>
    <col min="9155" max="9155" width="14" style="215" customWidth="1"/>
    <col min="9156" max="9156" width="14.140625" style="215" customWidth="1"/>
    <col min="9157" max="9157" width="14.7109375" style="215" customWidth="1"/>
    <col min="9158" max="9406" width="9.140625" style="215"/>
    <col min="9407" max="9407" width="4.42578125" style="215" customWidth="1"/>
    <col min="9408" max="9408" width="7.5703125" style="215" customWidth="1"/>
    <col min="9409" max="9409" width="47.42578125" style="215" customWidth="1"/>
    <col min="9410" max="9410" width="14.85546875" style="215" customWidth="1"/>
    <col min="9411" max="9411" width="14" style="215" customWidth="1"/>
    <col min="9412" max="9412" width="14.140625" style="215" customWidth="1"/>
    <col min="9413" max="9413" width="14.7109375" style="215" customWidth="1"/>
    <col min="9414" max="9662" width="9.140625" style="215"/>
    <col min="9663" max="9663" width="4.42578125" style="215" customWidth="1"/>
    <col min="9664" max="9664" width="7.5703125" style="215" customWidth="1"/>
    <col min="9665" max="9665" width="47.42578125" style="215" customWidth="1"/>
    <col min="9666" max="9666" width="14.85546875" style="215" customWidth="1"/>
    <col min="9667" max="9667" width="14" style="215" customWidth="1"/>
    <col min="9668" max="9668" width="14.140625" style="215" customWidth="1"/>
    <col min="9669" max="9669" width="14.7109375" style="215" customWidth="1"/>
    <col min="9670" max="9918" width="9.140625" style="215"/>
    <col min="9919" max="9919" width="4.42578125" style="215" customWidth="1"/>
    <col min="9920" max="9920" width="7.5703125" style="215" customWidth="1"/>
    <col min="9921" max="9921" width="47.42578125" style="215" customWidth="1"/>
    <col min="9922" max="9922" width="14.85546875" style="215" customWidth="1"/>
    <col min="9923" max="9923" width="14" style="215" customWidth="1"/>
    <col min="9924" max="9924" width="14.140625" style="215" customWidth="1"/>
    <col min="9925" max="9925" width="14.7109375" style="215" customWidth="1"/>
    <col min="9926" max="10174" width="9.140625" style="215"/>
    <col min="10175" max="10175" width="4.42578125" style="215" customWidth="1"/>
    <col min="10176" max="10176" width="7.5703125" style="215" customWidth="1"/>
    <col min="10177" max="10177" width="47.42578125" style="215" customWidth="1"/>
    <col min="10178" max="10178" width="14.85546875" style="215" customWidth="1"/>
    <col min="10179" max="10179" width="14" style="215" customWidth="1"/>
    <col min="10180" max="10180" width="14.140625" style="215" customWidth="1"/>
    <col min="10181" max="10181" width="14.7109375" style="215" customWidth="1"/>
    <col min="10182" max="10430" width="9.140625" style="215"/>
    <col min="10431" max="10431" width="4.42578125" style="215" customWidth="1"/>
    <col min="10432" max="10432" width="7.5703125" style="215" customWidth="1"/>
    <col min="10433" max="10433" width="47.42578125" style="215" customWidth="1"/>
    <col min="10434" max="10434" width="14.85546875" style="215" customWidth="1"/>
    <col min="10435" max="10435" width="14" style="215" customWidth="1"/>
    <col min="10436" max="10436" width="14.140625" style="215" customWidth="1"/>
    <col min="10437" max="10437" width="14.7109375" style="215" customWidth="1"/>
    <col min="10438" max="10686" width="9.140625" style="215"/>
    <col min="10687" max="10687" width="4.42578125" style="215" customWidth="1"/>
    <col min="10688" max="10688" width="7.5703125" style="215" customWidth="1"/>
    <col min="10689" max="10689" width="47.42578125" style="215" customWidth="1"/>
    <col min="10690" max="10690" width="14.85546875" style="215" customWidth="1"/>
    <col min="10691" max="10691" width="14" style="215" customWidth="1"/>
    <col min="10692" max="10692" width="14.140625" style="215" customWidth="1"/>
    <col min="10693" max="10693" width="14.7109375" style="215" customWidth="1"/>
    <col min="10694" max="10942" width="9.140625" style="215"/>
    <col min="10943" max="10943" width="4.42578125" style="215" customWidth="1"/>
    <col min="10944" max="10944" width="7.5703125" style="215" customWidth="1"/>
    <col min="10945" max="10945" width="47.42578125" style="215" customWidth="1"/>
    <col min="10946" max="10946" width="14.85546875" style="215" customWidth="1"/>
    <col min="10947" max="10947" width="14" style="215" customWidth="1"/>
    <col min="10948" max="10948" width="14.140625" style="215" customWidth="1"/>
    <col min="10949" max="10949" width="14.7109375" style="215" customWidth="1"/>
    <col min="10950" max="11198" width="9.140625" style="215"/>
    <col min="11199" max="11199" width="4.42578125" style="215" customWidth="1"/>
    <col min="11200" max="11200" width="7.5703125" style="215" customWidth="1"/>
    <col min="11201" max="11201" width="47.42578125" style="215" customWidth="1"/>
    <col min="11202" max="11202" width="14.85546875" style="215" customWidth="1"/>
    <col min="11203" max="11203" width="14" style="215" customWidth="1"/>
    <col min="11204" max="11204" width="14.140625" style="215" customWidth="1"/>
    <col min="11205" max="11205" width="14.7109375" style="215" customWidth="1"/>
    <col min="11206" max="11454" width="9.140625" style="215"/>
    <col min="11455" max="11455" width="4.42578125" style="215" customWidth="1"/>
    <col min="11456" max="11456" width="7.5703125" style="215" customWidth="1"/>
    <col min="11457" max="11457" width="47.42578125" style="215" customWidth="1"/>
    <col min="11458" max="11458" width="14.85546875" style="215" customWidth="1"/>
    <col min="11459" max="11459" width="14" style="215" customWidth="1"/>
    <col min="11460" max="11460" width="14.140625" style="215" customWidth="1"/>
    <col min="11461" max="11461" width="14.7109375" style="215" customWidth="1"/>
    <col min="11462" max="11710" width="9.140625" style="215"/>
    <col min="11711" max="11711" width="4.42578125" style="215" customWidth="1"/>
    <col min="11712" max="11712" width="7.5703125" style="215" customWidth="1"/>
    <col min="11713" max="11713" width="47.42578125" style="215" customWidth="1"/>
    <col min="11714" max="11714" width="14.85546875" style="215" customWidth="1"/>
    <col min="11715" max="11715" width="14" style="215" customWidth="1"/>
    <col min="11716" max="11716" width="14.140625" style="215" customWidth="1"/>
    <col min="11717" max="11717" width="14.7109375" style="215" customWidth="1"/>
    <col min="11718" max="11966" width="9.140625" style="215"/>
    <col min="11967" max="11967" width="4.42578125" style="215" customWidth="1"/>
    <col min="11968" max="11968" width="7.5703125" style="215" customWidth="1"/>
    <col min="11969" max="11969" width="47.42578125" style="215" customWidth="1"/>
    <col min="11970" max="11970" width="14.85546875" style="215" customWidth="1"/>
    <col min="11971" max="11971" width="14" style="215" customWidth="1"/>
    <col min="11972" max="11972" width="14.140625" style="215" customWidth="1"/>
    <col min="11973" max="11973" width="14.7109375" style="215" customWidth="1"/>
    <col min="11974" max="12222" width="9.140625" style="215"/>
    <col min="12223" max="12223" width="4.42578125" style="215" customWidth="1"/>
    <col min="12224" max="12224" width="7.5703125" style="215" customWidth="1"/>
    <col min="12225" max="12225" width="47.42578125" style="215" customWidth="1"/>
    <col min="12226" max="12226" width="14.85546875" style="215" customWidth="1"/>
    <col min="12227" max="12227" width="14" style="215" customWidth="1"/>
    <col min="12228" max="12228" width="14.140625" style="215" customWidth="1"/>
    <col min="12229" max="12229" width="14.7109375" style="215" customWidth="1"/>
    <col min="12230" max="12478" width="9.140625" style="215"/>
    <col min="12479" max="12479" width="4.42578125" style="215" customWidth="1"/>
    <col min="12480" max="12480" width="7.5703125" style="215" customWidth="1"/>
    <col min="12481" max="12481" width="47.42578125" style="215" customWidth="1"/>
    <col min="12482" max="12482" width="14.85546875" style="215" customWidth="1"/>
    <col min="12483" max="12483" width="14" style="215" customWidth="1"/>
    <col min="12484" max="12484" width="14.140625" style="215" customWidth="1"/>
    <col min="12485" max="12485" width="14.7109375" style="215" customWidth="1"/>
    <col min="12486" max="12734" width="9.140625" style="215"/>
    <col min="12735" max="12735" width="4.42578125" style="215" customWidth="1"/>
    <col min="12736" max="12736" width="7.5703125" style="215" customWidth="1"/>
    <col min="12737" max="12737" width="47.42578125" style="215" customWidth="1"/>
    <col min="12738" max="12738" width="14.85546875" style="215" customWidth="1"/>
    <col min="12739" max="12739" width="14" style="215" customWidth="1"/>
    <col min="12740" max="12740" width="14.140625" style="215" customWidth="1"/>
    <col min="12741" max="12741" width="14.7109375" style="215" customWidth="1"/>
    <col min="12742" max="12990" width="9.140625" style="215"/>
    <col min="12991" max="12991" width="4.42578125" style="215" customWidth="1"/>
    <col min="12992" max="12992" width="7.5703125" style="215" customWidth="1"/>
    <col min="12993" max="12993" width="47.42578125" style="215" customWidth="1"/>
    <col min="12994" max="12994" width="14.85546875" style="215" customWidth="1"/>
    <col min="12995" max="12995" width="14" style="215" customWidth="1"/>
    <col min="12996" max="12996" width="14.140625" style="215" customWidth="1"/>
    <col min="12997" max="12997" width="14.7109375" style="215" customWidth="1"/>
    <col min="12998" max="13246" width="9.140625" style="215"/>
    <col min="13247" max="13247" width="4.42578125" style="215" customWidth="1"/>
    <col min="13248" max="13248" width="7.5703125" style="215" customWidth="1"/>
    <col min="13249" max="13249" width="47.42578125" style="215" customWidth="1"/>
    <col min="13250" max="13250" width="14.85546875" style="215" customWidth="1"/>
    <col min="13251" max="13251" width="14" style="215" customWidth="1"/>
    <col min="13252" max="13252" width="14.140625" style="215" customWidth="1"/>
    <col min="13253" max="13253" width="14.7109375" style="215" customWidth="1"/>
    <col min="13254" max="13502" width="9.140625" style="215"/>
    <col min="13503" max="13503" width="4.42578125" style="215" customWidth="1"/>
    <col min="13504" max="13504" width="7.5703125" style="215" customWidth="1"/>
    <col min="13505" max="13505" width="47.42578125" style="215" customWidth="1"/>
    <col min="13506" max="13506" width="14.85546875" style="215" customWidth="1"/>
    <col min="13507" max="13507" width="14" style="215" customWidth="1"/>
    <col min="13508" max="13508" width="14.140625" style="215" customWidth="1"/>
    <col min="13509" max="13509" width="14.7109375" style="215" customWidth="1"/>
    <col min="13510" max="13758" width="9.140625" style="215"/>
    <col min="13759" max="13759" width="4.42578125" style="215" customWidth="1"/>
    <col min="13760" max="13760" width="7.5703125" style="215" customWidth="1"/>
    <col min="13761" max="13761" width="47.42578125" style="215" customWidth="1"/>
    <col min="13762" max="13762" width="14.85546875" style="215" customWidth="1"/>
    <col min="13763" max="13763" width="14" style="215" customWidth="1"/>
    <col min="13764" max="13764" width="14.140625" style="215" customWidth="1"/>
    <col min="13765" max="13765" width="14.7109375" style="215" customWidth="1"/>
    <col min="13766" max="14014" width="9.140625" style="215"/>
    <col min="14015" max="14015" width="4.42578125" style="215" customWidth="1"/>
    <col min="14016" max="14016" width="7.5703125" style="215" customWidth="1"/>
    <col min="14017" max="14017" width="47.42578125" style="215" customWidth="1"/>
    <col min="14018" max="14018" width="14.85546875" style="215" customWidth="1"/>
    <col min="14019" max="14019" width="14" style="215" customWidth="1"/>
    <col min="14020" max="14020" width="14.140625" style="215" customWidth="1"/>
    <col min="14021" max="14021" width="14.7109375" style="215" customWidth="1"/>
    <col min="14022" max="14270" width="9.140625" style="215"/>
    <col min="14271" max="14271" width="4.42578125" style="215" customWidth="1"/>
    <col min="14272" max="14272" width="7.5703125" style="215" customWidth="1"/>
    <col min="14273" max="14273" width="47.42578125" style="215" customWidth="1"/>
    <col min="14274" max="14274" width="14.85546875" style="215" customWidth="1"/>
    <col min="14275" max="14275" width="14" style="215" customWidth="1"/>
    <col min="14276" max="14276" width="14.140625" style="215" customWidth="1"/>
    <col min="14277" max="14277" width="14.7109375" style="215" customWidth="1"/>
    <col min="14278" max="14526" width="9.140625" style="215"/>
    <col min="14527" max="14527" width="4.42578125" style="215" customWidth="1"/>
    <col min="14528" max="14528" width="7.5703125" style="215" customWidth="1"/>
    <col min="14529" max="14529" width="47.42578125" style="215" customWidth="1"/>
    <col min="14530" max="14530" width="14.85546875" style="215" customWidth="1"/>
    <col min="14531" max="14531" width="14" style="215" customWidth="1"/>
    <col min="14532" max="14532" width="14.140625" style="215" customWidth="1"/>
    <col min="14533" max="14533" width="14.7109375" style="215" customWidth="1"/>
    <col min="14534" max="14782" width="9.140625" style="215"/>
    <col min="14783" max="14783" width="4.42578125" style="215" customWidth="1"/>
    <col min="14784" max="14784" width="7.5703125" style="215" customWidth="1"/>
    <col min="14785" max="14785" width="47.42578125" style="215" customWidth="1"/>
    <col min="14786" max="14786" width="14.85546875" style="215" customWidth="1"/>
    <col min="14787" max="14787" width="14" style="215" customWidth="1"/>
    <col min="14788" max="14788" width="14.140625" style="215" customWidth="1"/>
    <col min="14789" max="14789" width="14.7109375" style="215" customWidth="1"/>
    <col min="14790" max="15038" width="9.140625" style="215"/>
    <col min="15039" max="15039" width="4.42578125" style="215" customWidth="1"/>
    <col min="15040" max="15040" width="7.5703125" style="215" customWidth="1"/>
    <col min="15041" max="15041" width="47.42578125" style="215" customWidth="1"/>
    <col min="15042" max="15042" width="14.85546875" style="215" customWidth="1"/>
    <col min="15043" max="15043" width="14" style="215" customWidth="1"/>
    <col min="15044" max="15044" width="14.140625" style="215" customWidth="1"/>
    <col min="15045" max="15045" width="14.7109375" style="215" customWidth="1"/>
    <col min="15046" max="15294" width="9.140625" style="215"/>
    <col min="15295" max="15295" width="4.42578125" style="215" customWidth="1"/>
    <col min="15296" max="15296" width="7.5703125" style="215" customWidth="1"/>
    <col min="15297" max="15297" width="47.42578125" style="215" customWidth="1"/>
    <col min="15298" max="15298" width="14.85546875" style="215" customWidth="1"/>
    <col min="15299" max="15299" width="14" style="215" customWidth="1"/>
    <col min="15300" max="15300" width="14.140625" style="215" customWidth="1"/>
    <col min="15301" max="15301" width="14.7109375" style="215" customWidth="1"/>
    <col min="15302" max="15550" width="9.140625" style="215"/>
    <col min="15551" max="15551" width="4.42578125" style="215" customWidth="1"/>
    <col min="15552" max="15552" width="7.5703125" style="215" customWidth="1"/>
    <col min="15553" max="15553" width="47.42578125" style="215" customWidth="1"/>
    <col min="15554" max="15554" width="14.85546875" style="215" customWidth="1"/>
    <col min="15555" max="15555" width="14" style="215" customWidth="1"/>
    <col min="15556" max="15556" width="14.140625" style="215" customWidth="1"/>
    <col min="15557" max="15557" width="14.7109375" style="215" customWidth="1"/>
    <col min="15558" max="15806" width="9.140625" style="215"/>
    <col min="15807" max="15807" width="4.42578125" style="215" customWidth="1"/>
    <col min="15808" max="15808" width="7.5703125" style="215" customWidth="1"/>
    <col min="15809" max="15809" width="47.42578125" style="215" customWidth="1"/>
    <col min="15810" max="15810" width="14.85546875" style="215" customWidth="1"/>
    <col min="15811" max="15811" width="14" style="215" customWidth="1"/>
    <col min="15812" max="15812" width="14.140625" style="215" customWidth="1"/>
    <col min="15813" max="15813" width="14.7109375" style="215" customWidth="1"/>
    <col min="15814" max="16062" width="9.140625" style="215"/>
    <col min="16063" max="16063" width="4.42578125" style="215" customWidth="1"/>
    <col min="16064" max="16064" width="7.5703125" style="215" customWidth="1"/>
    <col min="16065" max="16065" width="47.42578125" style="215" customWidth="1"/>
    <col min="16066" max="16066" width="14.85546875" style="215" customWidth="1"/>
    <col min="16067" max="16067" width="14" style="215" customWidth="1"/>
    <col min="16068" max="16068" width="14.140625" style="215" customWidth="1"/>
    <col min="16069" max="16069" width="14.7109375" style="215" customWidth="1"/>
    <col min="16070" max="16384" width="9.140625" style="215"/>
  </cols>
  <sheetData>
    <row r="2" spans="1:8" s="208" customFormat="1" ht="12.75" x14ac:dyDescent="0.25">
      <c r="F2" s="209"/>
      <c r="G2" s="210" t="s">
        <v>174</v>
      </c>
      <c r="H2" s="211"/>
    </row>
    <row r="3" spans="1:8" s="208" customFormat="1" ht="12.75" x14ac:dyDescent="0.25">
      <c r="F3" s="212"/>
      <c r="G3" s="210" t="s">
        <v>152</v>
      </c>
      <c r="H3" s="213"/>
    </row>
    <row r="4" spans="1:8" s="208" customFormat="1" ht="12.75" x14ac:dyDescent="0.25">
      <c r="F4" s="212"/>
      <c r="G4" s="214" t="s">
        <v>1</v>
      </c>
      <c r="H4" s="213"/>
    </row>
    <row r="5" spans="1:8" s="208" customFormat="1" ht="12.75" x14ac:dyDescent="0.25">
      <c r="F5" s="212"/>
      <c r="G5" s="210" t="s">
        <v>153</v>
      </c>
      <c r="H5" s="213"/>
    </row>
    <row r="6" spans="1:8" x14ac:dyDescent="0.25">
      <c r="F6" s="212"/>
      <c r="G6" s="212"/>
    </row>
    <row r="7" spans="1:8" s="216" customFormat="1" ht="16.5" x14ac:dyDescent="0.3">
      <c r="A7" s="240" t="s">
        <v>175</v>
      </c>
      <c r="B7" s="240"/>
      <c r="C7" s="240"/>
      <c r="D7" s="240"/>
      <c r="E7" s="240"/>
      <c r="F7" s="240"/>
      <c r="G7" s="240"/>
      <c r="H7" s="240"/>
    </row>
    <row r="8" spans="1:8" s="218" customFormat="1" ht="12.75" x14ac:dyDescent="0.2">
      <c r="A8" s="217" t="s">
        <v>176</v>
      </c>
      <c r="B8" s="217"/>
      <c r="C8" s="217"/>
      <c r="D8" s="217"/>
      <c r="E8" s="217"/>
      <c r="F8" s="217"/>
      <c r="G8" s="217"/>
      <c r="H8" s="217"/>
    </row>
    <row r="9" spans="1:8" s="220" customFormat="1" ht="12.75" x14ac:dyDescent="0.2">
      <c r="A9" s="219"/>
      <c r="B9" s="219"/>
      <c r="C9" s="219"/>
      <c r="D9" s="219"/>
      <c r="E9" s="219"/>
      <c r="F9" s="219"/>
      <c r="G9" s="219"/>
      <c r="H9" s="219"/>
    </row>
    <row r="10" spans="1:8" s="220" customFormat="1" ht="12.75" x14ac:dyDescent="0.2">
      <c r="A10" s="219"/>
      <c r="B10" s="219"/>
      <c r="C10" s="219"/>
      <c r="D10" s="219"/>
      <c r="E10" s="219"/>
      <c r="F10" s="219"/>
      <c r="G10" s="219"/>
      <c r="H10" s="219"/>
    </row>
    <row r="11" spans="1:8" x14ac:dyDescent="0.25">
      <c r="A11" s="221"/>
      <c r="B11" s="221"/>
      <c r="C11" s="221"/>
      <c r="D11" s="221"/>
      <c r="E11" s="221"/>
      <c r="F11" s="221"/>
      <c r="G11" s="221"/>
      <c r="H11" s="222" t="s">
        <v>2</v>
      </c>
    </row>
    <row r="12" spans="1:8" ht="15" customHeight="1" x14ac:dyDescent="0.25">
      <c r="A12" s="223"/>
      <c r="B12" s="241" t="s">
        <v>177</v>
      </c>
      <c r="C12" s="244" t="s">
        <v>178</v>
      </c>
      <c r="D12" s="247" t="s">
        <v>179</v>
      </c>
      <c r="E12" s="248"/>
      <c r="F12" s="224"/>
      <c r="G12" s="224"/>
      <c r="H12" s="244" t="s">
        <v>180</v>
      </c>
    </row>
    <row r="13" spans="1:8" ht="15" customHeight="1" x14ac:dyDescent="0.25">
      <c r="A13" s="225" t="s">
        <v>4</v>
      </c>
      <c r="B13" s="242"/>
      <c r="C13" s="245"/>
      <c r="D13" s="227"/>
      <c r="E13" s="227"/>
      <c r="F13" s="245" t="s">
        <v>181</v>
      </c>
      <c r="G13" s="227"/>
      <c r="H13" s="245"/>
    </row>
    <row r="14" spans="1:8" ht="25.5" x14ac:dyDescent="0.25">
      <c r="A14" s="226" t="s">
        <v>5</v>
      </c>
      <c r="B14" s="242"/>
      <c r="C14" s="245"/>
      <c r="D14" s="227" t="s">
        <v>182</v>
      </c>
      <c r="E14" s="227" t="s">
        <v>183</v>
      </c>
      <c r="F14" s="245"/>
      <c r="G14" s="227" t="s">
        <v>184</v>
      </c>
      <c r="H14" s="245"/>
    </row>
    <row r="15" spans="1:8" x14ac:dyDescent="0.25">
      <c r="A15" s="225"/>
      <c r="B15" s="243"/>
      <c r="C15" s="246"/>
      <c r="D15" s="228"/>
      <c r="E15" s="228"/>
      <c r="F15" s="246"/>
      <c r="G15" s="228"/>
      <c r="H15" s="246"/>
    </row>
    <row r="16" spans="1:8" s="216" customFormat="1" ht="10.5" customHeight="1" x14ac:dyDescent="0.3">
      <c r="A16" s="229">
        <v>1</v>
      </c>
      <c r="B16" s="229">
        <v>2</v>
      </c>
      <c r="C16" s="229">
        <v>3</v>
      </c>
      <c r="D16" s="229">
        <v>4</v>
      </c>
      <c r="E16" s="229">
        <v>5</v>
      </c>
      <c r="F16" s="229">
        <v>6</v>
      </c>
      <c r="G16" s="229">
        <v>7</v>
      </c>
      <c r="H16" s="229">
        <v>8</v>
      </c>
    </row>
    <row r="17" spans="1:8" x14ac:dyDescent="0.25">
      <c r="A17" s="230">
        <v>853</v>
      </c>
      <c r="B17" s="231"/>
      <c r="C17" s="232"/>
      <c r="D17" s="232"/>
      <c r="E17" s="232"/>
      <c r="F17" s="232"/>
      <c r="G17" s="232"/>
      <c r="H17" s="232"/>
    </row>
    <row r="18" spans="1:8" ht="15.75" customHeight="1" x14ac:dyDescent="0.25">
      <c r="A18" s="233">
        <v>85395</v>
      </c>
      <c r="B18" s="234" t="s">
        <v>27</v>
      </c>
      <c r="C18" s="235">
        <f>520000-572445.24</f>
        <v>-52445.239999999991</v>
      </c>
      <c r="D18" s="235">
        <f>7164180+589000-460000+175684.22</f>
        <v>7468864.2199999997</v>
      </c>
      <c r="E18" s="235">
        <f>1186180+175684.22</f>
        <v>1361864.22</v>
      </c>
      <c r="F18" s="235">
        <f>7164180+54000-407445.24+175684.22</f>
        <v>6986418.9799999995</v>
      </c>
      <c r="G18" s="235">
        <v>0</v>
      </c>
      <c r="H18" s="235">
        <f>520000-90000</f>
        <v>430000</v>
      </c>
    </row>
    <row r="19" spans="1:8" ht="14.25" customHeight="1" x14ac:dyDescent="0.25">
      <c r="A19" s="233"/>
      <c r="B19" s="234" t="s">
        <v>185</v>
      </c>
      <c r="C19" s="235"/>
      <c r="D19" s="235"/>
      <c r="E19" s="235"/>
      <c r="F19" s="235"/>
      <c r="G19" s="235"/>
      <c r="H19" s="235"/>
    </row>
    <row r="20" spans="1:8" ht="12.75" customHeight="1" x14ac:dyDescent="0.25">
      <c r="A20" s="236"/>
      <c r="B20" s="237" t="s">
        <v>186</v>
      </c>
      <c r="C20" s="238"/>
      <c r="D20" s="238"/>
      <c r="E20" s="238"/>
      <c r="F20" s="238"/>
      <c r="G20" s="238"/>
      <c r="H20" s="238"/>
    </row>
  </sheetData>
  <mergeCells count="6">
    <mergeCell ref="A7:H7"/>
    <mergeCell ref="B12:B15"/>
    <mergeCell ref="C12:C15"/>
    <mergeCell ref="D12:E12"/>
    <mergeCell ref="H12:H15"/>
    <mergeCell ref="F13:F15"/>
  </mergeCells>
  <pageMargins left="0.19685039370078741" right="0.19685039370078741" top="0.55118110236220474" bottom="0.55118110236220474" header="0.31496062992125984" footer="0.31496062992125984"/>
  <pageSetup paperSize="9" firstPageNumber="71" orientation="landscape" useFirstPageNumber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Zał.Nr1</vt:lpstr>
      <vt:lpstr>Zał.Nr2</vt:lpstr>
      <vt:lpstr>Zał.Nr3</vt:lpstr>
      <vt:lpstr>Zał.Nr1!Obszar_wydruku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2026-05-12T06:40:39Z</cp:lastPrinted>
  <dcterms:created xsi:type="dcterms:W3CDTF">2015-06-05T18:19:34Z</dcterms:created>
  <dcterms:modified xsi:type="dcterms:W3CDTF">2026-05-12T07:28:27Z</dcterms:modified>
</cp:coreProperties>
</file>