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ciechurska\Desktop\"/>
    </mc:Choice>
  </mc:AlternateContent>
  <xr:revisionPtr revIDLastSave="0" documentId="8_{AAA4ED33-A1A0-4246-AC76-9016BCCE09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ł.Nr1" sheetId="11" r:id="rId1"/>
    <sheet name="Zał.Nr2" sheetId="12" r:id="rId2"/>
    <sheet name="Zał.Nr3" sheetId="13" r:id="rId3"/>
    <sheet name="Zał.Nr4" sheetId="14" r:id="rId4"/>
    <sheet name="Zał.Nr5" sheetId="15" r:id="rId5"/>
  </sheets>
  <definedNames>
    <definedName name="_xlnm._FilterDatabase" localSheetId="0" hidden="1">Zał.Nr1!$A$48:$H$207</definedName>
    <definedName name="_xlnm._FilterDatabase" localSheetId="1" hidden="1">Zał.Nr2!$M$1:$M$26</definedName>
    <definedName name="_xlnm.Print_Area" localSheetId="0">Zał.Nr1!$A$1:$H$405</definedName>
    <definedName name="_xlnm.Print_Area" localSheetId="1">Zał.Nr2!$A$1:$M$26</definedName>
    <definedName name="_xlnm.Print_Area" localSheetId="2">Zał.Nr3!$A$1:$I$22</definedName>
    <definedName name="_xlnm.Print_Titles" localSheetId="0">Zał.Nr1!$7:$9</definedName>
    <definedName name="_xlnm.Print_Titles" localSheetId="1">Zał.Nr2!$10:$17</definedName>
    <definedName name="_xlnm.Print_Titles" localSheetId="3">Zał.Nr4!$36:$36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5" l="1"/>
  <c r="F37" i="15"/>
  <c r="E37" i="15"/>
  <c r="D37" i="15"/>
  <c r="G20" i="15"/>
  <c r="G38" i="15" s="1"/>
  <c r="F20" i="15"/>
  <c r="F38" i="15" s="1"/>
  <c r="E20" i="15"/>
  <c r="E38" i="15" s="1"/>
  <c r="D20" i="15"/>
  <c r="D38" i="15" s="1"/>
  <c r="F138" i="14"/>
  <c r="F136" i="14"/>
  <c r="F126" i="14"/>
  <c r="F124" i="14"/>
  <c r="F122" i="14"/>
  <c r="F114" i="14"/>
  <c r="F111" i="14"/>
  <c r="F105" i="14"/>
  <c r="F90" i="14"/>
  <c r="F83" i="14"/>
  <c r="F78" i="14"/>
  <c r="F75" i="14"/>
  <c r="F64" i="14"/>
  <c r="F62" i="14"/>
  <c r="F60" i="14"/>
  <c r="F45" i="14"/>
  <c r="F140" i="14" s="1"/>
  <c r="F43" i="14"/>
  <c r="F37" i="14"/>
  <c r="F33" i="14"/>
  <c r="F31" i="14"/>
  <c r="F30" i="14"/>
  <c r="F27" i="14"/>
  <c r="F26" i="14"/>
  <c r="F25" i="14"/>
  <c r="F24" i="14"/>
  <c r="F23" i="14"/>
  <c r="F22" i="14"/>
  <c r="F21" i="14"/>
  <c r="F19" i="14"/>
  <c r="F18" i="14"/>
  <c r="F17" i="14"/>
  <c r="F16" i="14"/>
  <c r="F15" i="14"/>
  <c r="F14" i="14"/>
  <c r="F13" i="14"/>
  <c r="F34" i="14" s="1"/>
  <c r="F141" i="14" s="1"/>
  <c r="F12" i="14"/>
  <c r="F11" i="14"/>
  <c r="H404" i="11" l="1"/>
  <c r="F404" i="11"/>
  <c r="G403" i="11"/>
  <c r="H403" i="11" s="1"/>
  <c r="H402" i="11"/>
  <c r="H401" i="11"/>
  <c r="G400" i="11"/>
  <c r="G399" i="11" s="1"/>
  <c r="G398" i="11" s="1"/>
  <c r="G397" i="11" s="1"/>
  <c r="F400" i="11"/>
  <c r="H400" i="11" s="1"/>
  <c r="F399" i="11"/>
  <c r="F398" i="11" s="1"/>
  <c r="H396" i="11"/>
  <c r="G395" i="11"/>
  <c r="G394" i="11" s="1"/>
  <c r="F395" i="11"/>
  <c r="H391" i="11"/>
  <c r="H390" i="11"/>
  <c r="H389" i="11"/>
  <c r="G388" i="11"/>
  <c r="F388" i="11"/>
  <c r="F387" i="11" s="1"/>
  <c r="H385" i="11"/>
  <c r="G384" i="11"/>
  <c r="G383" i="11" s="1"/>
  <c r="G382" i="11" s="1"/>
  <c r="G381" i="11" s="1"/>
  <c r="F384" i="11"/>
  <c r="H384" i="11" s="1"/>
  <c r="H380" i="11"/>
  <c r="G379" i="11"/>
  <c r="G378" i="11" s="1"/>
  <c r="F379" i="11"/>
  <c r="H379" i="11" s="1"/>
  <c r="H376" i="11"/>
  <c r="H375" i="11"/>
  <c r="G374" i="11"/>
  <c r="F374" i="11"/>
  <c r="H373" i="11"/>
  <c r="H372" i="11"/>
  <c r="H371" i="11"/>
  <c r="H370" i="11"/>
  <c r="G369" i="11"/>
  <c r="G368" i="11" s="1"/>
  <c r="F369" i="11"/>
  <c r="H367" i="11"/>
  <c r="H366" i="11"/>
  <c r="H365" i="11"/>
  <c r="H364" i="11"/>
  <c r="G363" i="11"/>
  <c r="F363" i="11"/>
  <c r="H363" i="11" s="1"/>
  <c r="H362" i="11"/>
  <c r="G361" i="11"/>
  <c r="F361" i="11"/>
  <c r="H361" i="11" s="1"/>
  <c r="G360" i="11"/>
  <c r="H352" i="11"/>
  <c r="H351" i="11"/>
  <c r="H350" i="11"/>
  <c r="H349" i="11"/>
  <c r="G348" i="11"/>
  <c r="F348" i="11"/>
  <c r="F347" i="11"/>
  <c r="H345" i="11"/>
  <c r="H344" i="11"/>
  <c r="G343" i="11"/>
  <c r="F343" i="11"/>
  <c r="F342" i="11"/>
  <c r="H341" i="11"/>
  <c r="G340" i="11"/>
  <c r="G339" i="11" s="1"/>
  <c r="F340" i="11"/>
  <c r="H338" i="11"/>
  <c r="F338" i="11"/>
  <c r="G337" i="11"/>
  <c r="F337" i="11"/>
  <c r="H336" i="11"/>
  <c r="H335" i="11"/>
  <c r="H334" i="11"/>
  <c r="G333" i="11"/>
  <c r="G332" i="11" s="1"/>
  <c r="F333" i="11"/>
  <c r="H331" i="11"/>
  <c r="H330" i="11"/>
  <c r="G329" i="11"/>
  <c r="F329" i="11"/>
  <c r="F328" i="11" s="1"/>
  <c r="G328" i="11"/>
  <c r="H327" i="11"/>
  <c r="G326" i="11"/>
  <c r="G325" i="11" s="1"/>
  <c r="F326" i="11"/>
  <c r="F325" i="11" s="1"/>
  <c r="H324" i="11"/>
  <c r="H323" i="11"/>
  <c r="H322" i="11"/>
  <c r="H321" i="11"/>
  <c r="H320" i="11"/>
  <c r="H319" i="11"/>
  <c r="H318" i="11"/>
  <c r="G317" i="11"/>
  <c r="G316" i="11" s="1"/>
  <c r="F317" i="11"/>
  <c r="H317" i="11" s="1"/>
  <c r="H315" i="11"/>
  <c r="H314" i="11"/>
  <c r="G313" i="11"/>
  <c r="G312" i="11" s="1"/>
  <c r="F313" i="11"/>
  <c r="H313" i="11" s="1"/>
  <c r="H311" i="11"/>
  <c r="H310" i="11"/>
  <c r="G309" i="11"/>
  <c r="G308" i="11" s="1"/>
  <c r="F309" i="11"/>
  <c r="H306" i="11"/>
  <c r="H305" i="11"/>
  <c r="H304" i="11"/>
  <c r="G303" i="11"/>
  <c r="G302" i="11" s="1"/>
  <c r="G301" i="11" s="1"/>
  <c r="F303" i="11"/>
  <c r="H299" i="11"/>
  <c r="H298" i="11"/>
  <c r="G297" i="11"/>
  <c r="G296" i="11" s="1"/>
  <c r="F297" i="11"/>
  <c r="H297" i="11" s="1"/>
  <c r="H294" i="11"/>
  <c r="H293" i="11"/>
  <c r="H292" i="11"/>
  <c r="H291" i="11"/>
  <c r="H290" i="11"/>
  <c r="H289" i="11"/>
  <c r="G288" i="11"/>
  <c r="G287" i="11" s="1"/>
  <c r="F288" i="11"/>
  <c r="H288" i="11" s="1"/>
  <c r="H286" i="11"/>
  <c r="G285" i="11"/>
  <c r="F285" i="11"/>
  <c r="F284" i="11"/>
  <c r="H283" i="11"/>
  <c r="G282" i="11"/>
  <c r="G281" i="11" s="1"/>
  <c r="F282" i="11"/>
  <c r="H279" i="11"/>
  <c r="H278" i="11"/>
  <c r="H277" i="11"/>
  <c r="H276" i="11"/>
  <c r="G275" i="11"/>
  <c r="G274" i="11" s="1"/>
  <c r="G266" i="11" s="1"/>
  <c r="F275" i="11"/>
  <c r="H275" i="11" s="1"/>
  <c r="H273" i="11"/>
  <c r="H272" i="11"/>
  <c r="H271" i="11"/>
  <c r="G270" i="11"/>
  <c r="F270" i="11"/>
  <c r="H270" i="11" s="1"/>
  <c r="H269" i="11"/>
  <c r="G268" i="11"/>
  <c r="F268" i="11"/>
  <c r="H268" i="11" s="1"/>
  <c r="G267" i="11"/>
  <c r="H265" i="11"/>
  <c r="G264" i="11"/>
  <c r="G263" i="11" s="1"/>
  <c r="G262" i="11" s="1"/>
  <c r="F264" i="11"/>
  <c r="F263" i="11"/>
  <c r="H261" i="11"/>
  <c r="H260" i="11"/>
  <c r="H259" i="11"/>
  <c r="H258" i="11"/>
  <c r="H257" i="11"/>
  <c r="H256" i="11"/>
  <c r="H255" i="11"/>
  <c r="H254" i="11"/>
  <c r="G253" i="11"/>
  <c r="H253" i="11" s="1"/>
  <c r="F253" i="11"/>
  <c r="H252" i="11"/>
  <c r="H251" i="11"/>
  <c r="G250" i="11"/>
  <c r="G249" i="11" s="1"/>
  <c r="G248" i="11" s="1"/>
  <c r="F250" i="11"/>
  <c r="F249" i="11"/>
  <c r="F248" i="11" s="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G235" i="11"/>
  <c r="F235" i="11"/>
  <c r="H235" i="11" s="1"/>
  <c r="H234" i="11"/>
  <c r="H233" i="11"/>
  <c r="G232" i="11"/>
  <c r="F232" i="11"/>
  <c r="H232" i="11" s="1"/>
  <c r="H231" i="11"/>
  <c r="H230" i="11"/>
  <c r="H229" i="11"/>
  <c r="G228" i="11"/>
  <c r="F228" i="11"/>
  <c r="H225" i="11"/>
  <c r="H224" i="11"/>
  <c r="H223" i="11"/>
  <c r="H222" i="11"/>
  <c r="G221" i="11"/>
  <c r="F221" i="11"/>
  <c r="H221" i="11" s="1"/>
  <c r="H220" i="11"/>
  <c r="G219" i="11"/>
  <c r="F219" i="11"/>
  <c r="H219" i="11" s="1"/>
  <c r="H217" i="11"/>
  <c r="H216" i="11"/>
  <c r="G215" i="11"/>
  <c r="G213" i="11" s="1"/>
  <c r="F215" i="11"/>
  <c r="H215" i="11" s="1"/>
  <c r="H211" i="11"/>
  <c r="H210" i="11"/>
  <c r="G209" i="11"/>
  <c r="F209" i="11"/>
  <c r="H209" i="11" s="1"/>
  <c r="G208" i="11"/>
  <c r="H207" i="11"/>
  <c r="H206" i="11"/>
  <c r="H205" i="11"/>
  <c r="H204" i="11"/>
  <c r="H203" i="11"/>
  <c r="G202" i="11"/>
  <c r="G201" i="11" s="1"/>
  <c r="F202" i="11"/>
  <c r="F201" i="11"/>
  <c r="H199" i="11"/>
  <c r="H198" i="11"/>
  <c r="G197" i="11"/>
  <c r="F197" i="11"/>
  <c r="H197" i="11" s="1"/>
  <c r="H196" i="11"/>
  <c r="H195" i="11"/>
  <c r="G194" i="11"/>
  <c r="H194" i="11" s="1"/>
  <c r="F194" i="11"/>
  <c r="H193" i="11"/>
  <c r="G192" i="11"/>
  <c r="H192" i="11" s="1"/>
  <c r="F192" i="11"/>
  <c r="F191" i="11"/>
  <c r="H189" i="11"/>
  <c r="H188" i="11"/>
  <c r="H187" i="11"/>
  <c r="H186" i="11"/>
  <c r="H185" i="11"/>
  <c r="H184" i="11"/>
  <c r="H183" i="11"/>
  <c r="H182" i="11"/>
  <c r="G181" i="11"/>
  <c r="F181" i="11"/>
  <c r="H181" i="11" s="1"/>
  <c r="H180" i="11"/>
  <c r="H179" i="11"/>
  <c r="H178" i="11"/>
  <c r="H177" i="11"/>
  <c r="H176" i="11"/>
  <c r="H175" i="11"/>
  <c r="H174" i="11"/>
  <c r="H173" i="11"/>
  <c r="H172" i="11"/>
  <c r="H171" i="11"/>
  <c r="G170" i="11"/>
  <c r="G156" i="11" s="1"/>
  <c r="F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G157" i="11"/>
  <c r="F157" i="11"/>
  <c r="H155" i="11"/>
  <c r="H154" i="11"/>
  <c r="G153" i="11"/>
  <c r="F153" i="11"/>
  <c r="H153" i="11" s="1"/>
  <c r="H152" i="11"/>
  <c r="G151" i="11"/>
  <c r="G150" i="11" s="1"/>
  <c r="F151" i="11"/>
  <c r="F150" i="11"/>
  <c r="H147" i="11"/>
  <c r="H146" i="11"/>
  <c r="H145" i="11"/>
  <c r="H144" i="11"/>
  <c r="H143" i="11"/>
  <c r="H142" i="11"/>
  <c r="G141" i="11"/>
  <c r="G140" i="11" s="1"/>
  <c r="F141" i="11"/>
  <c r="F140" i="11"/>
  <c r="H136" i="11"/>
  <c r="H135" i="11"/>
  <c r="H134" i="11"/>
  <c r="G133" i="11"/>
  <c r="G132" i="11" s="1"/>
  <c r="F133" i="11"/>
  <c r="F132" i="11"/>
  <c r="H131" i="11"/>
  <c r="H130" i="11"/>
  <c r="G129" i="11"/>
  <c r="G128" i="11" s="1"/>
  <c r="F129" i="11"/>
  <c r="H129" i="11" s="1"/>
  <c r="H127" i="11"/>
  <c r="G126" i="11"/>
  <c r="G125" i="11" s="1"/>
  <c r="F126" i="11"/>
  <c r="F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G111" i="11"/>
  <c r="G110" i="11" s="1"/>
  <c r="F111" i="11"/>
  <c r="H109" i="11"/>
  <c r="G108" i="11"/>
  <c r="H108" i="11" s="1"/>
  <c r="F108" i="11"/>
  <c r="F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G93" i="11"/>
  <c r="H93" i="11" s="1"/>
  <c r="H92" i="11"/>
  <c r="G91" i="11"/>
  <c r="F91" i="11"/>
  <c r="H90" i="11"/>
  <c r="G89" i="11"/>
  <c r="F89" i="11"/>
  <c r="F88" i="11" s="1"/>
  <c r="H86" i="11"/>
  <c r="G85" i="11"/>
  <c r="G84" i="11" s="1"/>
  <c r="G83" i="11" s="1"/>
  <c r="F85" i="11"/>
  <c r="G82" i="11"/>
  <c r="G80" i="11" s="1"/>
  <c r="F81" i="11"/>
  <c r="H81" i="11" s="1"/>
  <c r="F80" i="11"/>
  <c r="F79" i="11" s="1"/>
  <c r="H75" i="11"/>
  <c r="G74" i="11"/>
  <c r="F74" i="11"/>
  <c r="H74" i="11" s="1"/>
  <c r="H73" i="11"/>
  <c r="G72" i="11"/>
  <c r="F72" i="11"/>
  <c r="H72" i="11" s="1"/>
  <c r="H71" i="11"/>
  <c r="G70" i="11"/>
  <c r="F70" i="11"/>
  <c r="H70" i="11" s="1"/>
  <c r="G69" i="11"/>
  <c r="G68" i="11" s="1"/>
  <c r="H67" i="11"/>
  <c r="H66" i="11"/>
  <c r="G65" i="11"/>
  <c r="F65" i="11"/>
  <c r="H65" i="11" s="1"/>
  <c r="G64" i="11"/>
  <c r="H63" i="11"/>
  <c r="H62" i="11"/>
  <c r="H61" i="11"/>
  <c r="H60" i="11"/>
  <c r="G59" i="11"/>
  <c r="F59" i="11"/>
  <c r="F58" i="11"/>
  <c r="H56" i="11"/>
  <c r="G55" i="11"/>
  <c r="G54" i="11" s="1"/>
  <c r="F55" i="11"/>
  <c r="H53" i="11"/>
  <c r="G52" i="11"/>
  <c r="F52" i="11"/>
  <c r="H52" i="11" s="1"/>
  <c r="G51" i="11"/>
  <c r="H47" i="11"/>
  <c r="G46" i="11"/>
  <c r="G45" i="11" s="1"/>
  <c r="G44" i="11" s="1"/>
  <c r="G43" i="11" s="1"/>
  <c r="F46" i="11"/>
  <c r="H42" i="11"/>
  <c r="H41" i="11"/>
  <c r="G41" i="11"/>
  <c r="F41" i="11"/>
  <c r="G40" i="11"/>
  <c r="F40" i="11"/>
  <c r="H40" i="11" s="1"/>
  <c r="H37" i="11"/>
  <c r="G36" i="11"/>
  <c r="G35" i="11" s="1"/>
  <c r="G34" i="11" s="1"/>
  <c r="F36" i="11"/>
  <c r="H36" i="11" s="1"/>
  <c r="H33" i="11"/>
  <c r="G32" i="11"/>
  <c r="F32" i="11"/>
  <c r="G31" i="11"/>
  <c r="G30" i="11"/>
  <c r="G29" i="11" s="1"/>
  <c r="H28" i="11"/>
  <c r="G27" i="11"/>
  <c r="G26" i="11" s="1"/>
  <c r="G25" i="11" s="1"/>
  <c r="G24" i="11" s="1"/>
  <c r="F27" i="11"/>
  <c r="F26" i="11" s="1"/>
  <c r="H23" i="11"/>
  <c r="G22" i="11"/>
  <c r="G21" i="11" s="1"/>
  <c r="G20" i="11" s="1"/>
  <c r="F22" i="11"/>
  <c r="F21" i="11"/>
  <c r="H19" i="11"/>
  <c r="G18" i="11"/>
  <c r="F18" i="11"/>
  <c r="H18" i="11" s="1"/>
  <c r="G17" i="11"/>
  <c r="G16" i="11" s="1"/>
  <c r="H15" i="11"/>
  <c r="G14" i="11"/>
  <c r="G13" i="11" s="1"/>
  <c r="G12" i="11" s="1"/>
  <c r="G11" i="11" s="1"/>
  <c r="F14" i="11"/>
  <c r="F13" i="11" s="1"/>
  <c r="F12" i="11" s="1"/>
  <c r="H398" i="11" l="1"/>
  <c r="F397" i="11"/>
  <c r="H287" i="11"/>
  <c r="H191" i="11"/>
  <c r="G10" i="11"/>
  <c r="F35" i="11"/>
  <c r="F34" i="11" s="1"/>
  <c r="H34" i="11" s="1"/>
  <c r="G107" i="11"/>
  <c r="H107" i="11" s="1"/>
  <c r="H133" i="11"/>
  <c r="G191" i="11"/>
  <c r="G190" i="11" s="1"/>
  <c r="H202" i="11"/>
  <c r="H328" i="11"/>
  <c r="H333" i="11"/>
  <c r="F17" i="11"/>
  <c r="F16" i="11" s="1"/>
  <c r="H27" i="11"/>
  <c r="G50" i="11"/>
  <c r="H125" i="11"/>
  <c r="F128" i="11"/>
  <c r="H150" i="11"/>
  <c r="F190" i="11"/>
  <c r="F213" i="11"/>
  <c r="H213" i="11" s="1"/>
  <c r="G218" i="11"/>
  <c r="G200" i="11" s="1"/>
  <c r="H249" i="11"/>
  <c r="F274" i="11"/>
  <c r="H274" i="11" s="1"/>
  <c r="F287" i="11"/>
  <c r="F296" i="11"/>
  <c r="F295" i="11" s="1"/>
  <c r="H309" i="11"/>
  <c r="H326" i="11"/>
  <c r="H374" i="11"/>
  <c r="F378" i="11"/>
  <c r="F377" i="11" s="1"/>
  <c r="H248" i="11"/>
  <c r="H14" i="11"/>
  <c r="H22" i="11"/>
  <c r="F64" i="11"/>
  <c r="H64" i="11" s="1"/>
  <c r="H91" i="11"/>
  <c r="H126" i="11"/>
  <c r="F208" i="11"/>
  <c r="H208" i="11" s="1"/>
  <c r="H250" i="11"/>
  <c r="F267" i="11"/>
  <c r="H329" i="11"/>
  <c r="H12" i="11"/>
  <c r="H80" i="11"/>
  <c r="G79" i="11"/>
  <c r="G76" i="11" s="1"/>
  <c r="H111" i="11"/>
  <c r="F110" i="11"/>
  <c r="H343" i="11"/>
  <c r="G342" i="11"/>
  <c r="H342" i="11" s="1"/>
  <c r="H388" i="11"/>
  <c r="G387" i="11"/>
  <c r="G386" i="11" s="1"/>
  <c r="H395" i="11"/>
  <c r="F394" i="11"/>
  <c r="H394" i="11" s="1"/>
  <c r="H17" i="11"/>
  <c r="H59" i="11"/>
  <c r="G58" i="11"/>
  <c r="G57" i="11" s="1"/>
  <c r="H170" i="11"/>
  <c r="H282" i="11"/>
  <c r="F281" i="11"/>
  <c r="H325" i="11"/>
  <c r="H348" i="11"/>
  <c r="G347" i="11"/>
  <c r="H89" i="11"/>
  <c r="G88" i="11"/>
  <c r="H21" i="11"/>
  <c r="F20" i="11"/>
  <c r="H20" i="11" s="1"/>
  <c r="H26" i="11"/>
  <c r="F25" i="11"/>
  <c r="H85" i="11"/>
  <c r="F84" i="11"/>
  <c r="H88" i="11"/>
  <c r="H132" i="11"/>
  <c r="H140" i="11"/>
  <c r="H228" i="11"/>
  <c r="F218" i="11"/>
  <c r="H263" i="11"/>
  <c r="F262" i="11"/>
  <c r="H262" i="11" s="1"/>
  <c r="H285" i="11"/>
  <c r="G284" i="11"/>
  <c r="G280" i="11" s="1"/>
  <c r="H296" i="11"/>
  <c r="G295" i="11"/>
  <c r="H303" i="11"/>
  <c r="F302" i="11"/>
  <c r="G307" i="11"/>
  <c r="H387" i="11"/>
  <c r="H82" i="11"/>
  <c r="H13" i="11"/>
  <c r="H32" i="11"/>
  <c r="F31" i="11"/>
  <c r="H35" i="11"/>
  <c r="H46" i="11"/>
  <c r="F45" i="11"/>
  <c r="H55" i="11"/>
  <c r="F54" i="11"/>
  <c r="H54" i="11" s="1"/>
  <c r="H58" i="11"/>
  <c r="H79" i="11"/>
  <c r="F76" i="11"/>
  <c r="H76" i="11" s="1"/>
  <c r="H128" i="11"/>
  <c r="H141" i="11"/>
  <c r="H157" i="11"/>
  <c r="F156" i="11"/>
  <c r="H156" i="11" s="1"/>
  <c r="H190" i="11"/>
  <c r="H201" i="11"/>
  <c r="H264" i="11"/>
  <c r="F332" i="11"/>
  <c r="H332" i="11" s="1"/>
  <c r="H337" i="11"/>
  <c r="H340" i="11"/>
  <c r="F339" i="11"/>
  <c r="H339" i="11" s="1"/>
  <c r="H347" i="11"/>
  <c r="H369" i="11"/>
  <c r="F368" i="11"/>
  <c r="H368" i="11" s="1"/>
  <c r="G377" i="11"/>
  <c r="H377" i="11" s="1"/>
  <c r="H151" i="11"/>
  <c r="H399" i="11"/>
  <c r="F51" i="11"/>
  <c r="F308" i="11"/>
  <c r="F312" i="11"/>
  <c r="H312" i="11" s="1"/>
  <c r="F316" i="11"/>
  <c r="H316" i="11" s="1"/>
  <c r="F360" i="11"/>
  <c r="H360" i="11" s="1"/>
  <c r="F383" i="11"/>
  <c r="H397" i="11"/>
  <c r="F69" i="11"/>
  <c r="F57" i="11" l="1"/>
  <c r="H378" i="11"/>
  <c r="H295" i="11"/>
  <c r="G49" i="11"/>
  <c r="G87" i="11"/>
  <c r="F266" i="11"/>
  <c r="H266" i="11" s="1"/>
  <c r="H267" i="11"/>
  <c r="G300" i="11"/>
  <c r="G48" i="11" s="1"/>
  <c r="F386" i="11"/>
  <c r="H386" i="11" s="1"/>
  <c r="H302" i="11"/>
  <c r="F301" i="11"/>
  <c r="F307" i="11"/>
  <c r="H308" i="11"/>
  <c r="F30" i="11"/>
  <c r="H31" i="11"/>
  <c r="H84" i="11"/>
  <c r="F83" i="11"/>
  <c r="H83" i="11" s="1"/>
  <c r="F50" i="11"/>
  <c r="H51" i="11"/>
  <c r="H45" i="11"/>
  <c r="F44" i="11"/>
  <c r="H69" i="11"/>
  <c r="F68" i="11"/>
  <c r="H68" i="11" s="1"/>
  <c r="F24" i="11"/>
  <c r="H24" i="11" s="1"/>
  <c r="H25" i="11"/>
  <c r="H284" i="11"/>
  <c r="H16" i="11"/>
  <c r="F11" i="11"/>
  <c r="H57" i="11"/>
  <c r="F382" i="11"/>
  <c r="H383" i="11"/>
  <c r="H281" i="11"/>
  <c r="F280" i="11"/>
  <c r="F200" i="11"/>
  <c r="H218" i="11"/>
  <c r="H110" i="11"/>
  <c r="F87" i="11"/>
  <c r="H200" i="11" l="1"/>
  <c r="F43" i="11"/>
  <c r="H44" i="11"/>
  <c r="H87" i="11"/>
  <c r="H11" i="11"/>
  <c r="H280" i="11"/>
  <c r="H307" i="11"/>
  <c r="F381" i="11"/>
  <c r="H382" i="11"/>
  <c r="F49" i="11"/>
  <c r="H50" i="11"/>
  <c r="F29" i="11"/>
  <c r="F10" i="11" s="1"/>
  <c r="H30" i="11"/>
  <c r="F300" i="11"/>
  <c r="H300" i="11" s="1"/>
  <c r="H301" i="11"/>
  <c r="H10" i="11" l="1"/>
  <c r="H43" i="11"/>
  <c r="H381" i="11"/>
  <c r="H49" i="11"/>
  <c r="F48" i="11"/>
  <c r="H29" i="11"/>
  <c r="H48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Pinkowski</author>
  </authors>
  <commentList>
    <comment ref="G24" authorId="0" shapeId="0" xr:uid="{FA9BFDCC-DD42-4224-B739-D1F6DF3C41B3}">
      <text>
        <r>
          <rPr>
            <b/>
            <sz val="9"/>
            <color indexed="81"/>
            <rFont val="Tahoma"/>
            <family val="2"/>
            <charset val="238"/>
          </rPr>
          <t>Małgorzata Pinkowski:</t>
        </r>
        <r>
          <rPr>
            <sz val="9"/>
            <color indexed="81"/>
            <rFont val="Tahoma"/>
            <family val="2"/>
            <charset val="238"/>
          </rPr>
          <t xml:space="preserve">
1.178.230,00 IZ
121.770,00 DT</t>
        </r>
      </text>
    </comment>
  </commentList>
</comments>
</file>

<file path=xl/sharedStrings.xml><?xml version="1.0" encoding="utf-8"?>
<sst xmlns="http://schemas.openxmlformats.org/spreadsheetml/2006/main" count="759" uniqueCount="407">
  <si>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</si>
  <si>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</si>
  <si>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</si>
  <si>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</si>
  <si>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</si>
  <si>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</si>
  <si>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</si>
  <si>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</si>
  <si>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</si>
  <si>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</si>
  <si>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</si>
  <si>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</si>
  <si>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</si>
  <si>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Załącznik Nr 2</t>
  </si>
  <si>
    <t>Lp.</t>
  </si>
  <si>
    <t>Zmiany w budżecie miasta Włocławek na 2026 rok</t>
  </si>
  <si>
    <t>Wydatki na zadania własne gminy:</t>
  </si>
  <si>
    <t>Pozostała działalność</t>
  </si>
  <si>
    <t>Wydatki na zadania własne powiatu:</t>
  </si>
  <si>
    <t>Oświata i wychowanie</t>
  </si>
  <si>
    <t>DOCHODY OGÓŁEM:</t>
  </si>
  <si>
    <t>Dochody na zadania własne gminy: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</si>
  <si>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</si>
  <si>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</si>
  <si>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Dochody na zadania własne powiatu:</t>
  </si>
  <si>
    <t>wynagrodzenia osobowe pracowników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</si>
  <si>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</si>
  <si>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</si>
  <si>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</si>
  <si>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</si>
  <si>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Planowane wydatki</t>
  </si>
  <si>
    <t>w okresie</t>
  </si>
  <si>
    <t>2026 rok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</si>
  <si>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</si>
  <si>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</si>
  <si>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</si>
  <si>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</si>
  <si>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</si>
  <si>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</si>
  <si>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</si>
  <si>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</si>
  <si>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</si>
  <si>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</si>
  <si>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</si>
  <si>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</si>
  <si>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</si>
  <si>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</si>
  <si>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* środki własne jst, współfinansowanie z budżetu państwa oraz inne</t>
  </si>
  <si>
    <t>Obrona narodowa</t>
  </si>
  <si>
    <t>Zadania o charakterze obronnym wynikające z ustawy o ochronie ludności i obronie cywilnej</t>
  </si>
  <si>
    <t xml:space="preserve">Organ </t>
  </si>
  <si>
    <t>6330</t>
  </si>
  <si>
    <t>dotacja celowa otrzymana z budżetu państwa na realizację inwestycji i zakupów inwestycyjnych własnych gmin (związków gmin, związków powiatowo-gminnych)</t>
  </si>
  <si>
    <t>852</t>
  </si>
  <si>
    <t>Pomoc społeczna</t>
  </si>
  <si>
    <t>Organ - projekt pn. "Osiedlowy Klub Seniora ZORZA II"</t>
  </si>
  <si>
    <t>Edukacyjna opieka wychowawcza</t>
  </si>
  <si>
    <t>Pomoc materialna dla uczniów o charakterze socjalnym</t>
  </si>
  <si>
    <t>Organ</t>
  </si>
  <si>
    <t>2030</t>
  </si>
  <si>
    <t>dotacja celowa otrzymana z budżetu państwa na realizację własnych zadań bieżących gmin (związków gmin, związków powiatowo-gminnych)</t>
  </si>
  <si>
    <t>Licea ogólnokształcące</t>
  </si>
  <si>
    <t>2130</t>
  </si>
  <si>
    <t>dotacje celowe otrzymane z budżetu państwa na realizację bieżących zadań własnych powiatu</t>
  </si>
  <si>
    <t>Dochody na zadania zlecone gminie:</t>
  </si>
  <si>
    <t>6310</t>
  </si>
  <si>
    <t>dotacja celowa otrzymana z budżetu państwa na inwestycje i zakupy inwestycyjne z zakresu administracji rządowej oraz innych zadań zleconych gminom ustawami</t>
  </si>
  <si>
    <t>Rodzina</t>
  </si>
  <si>
    <t>Świadczenia rodzinne, świadczenie z funduszu alimentacyjnego oraz składki na ubezpieczenia emerytalne i rentowe z ubezpieczenia społecznego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</si>
  <si>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</si>
  <si>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</si>
  <si>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 xml:space="preserve">Składki na ubezpieczenie zdrowotne opłacane za osoby </t>
  </si>
  <si>
    <t>pobierające niektóre świadczenia rodzinne oraz za osoby</t>
  </si>
  <si>
    <t>pobierające zasiłki dla opiekunów</t>
  </si>
  <si>
    <t>Dochody na zadania rządowe powiatu:</t>
  </si>
  <si>
    <t>Bezpieczeństwo publiczne i ochrona przeciwpożarowa</t>
  </si>
  <si>
    <t>Komendy powiatowe Państwowej Straży Pożarnej</t>
  </si>
  <si>
    <t>dotacje celowe otrzymane z budżetu państwa na zadania bieżące z zakresu administracji rządowej oraz inne zadania zlecone ustawami realizowane przez powiat</t>
  </si>
  <si>
    <t>Transport i łączność</t>
  </si>
  <si>
    <t>Płatne parkowanie</t>
  </si>
  <si>
    <t xml:space="preserve">Miejski Zarząd Dróg i Zieleni </t>
  </si>
  <si>
    <t>zakup usług pozostałych</t>
  </si>
  <si>
    <t>Funkcjonowanie dworców i węzłów przesiadkowych</t>
  </si>
  <si>
    <t>Administracja publiczna</t>
  </si>
  <si>
    <t>Urzędy gmin (miast i miast na prawach powiatu)</t>
  </si>
  <si>
    <t>Wydział Informatyki i Danych Miejskich - projekt pn. "Cyberbezpieczny Samorząd"</t>
  </si>
  <si>
    <t>szkolenia pracowników niebędących członkami korpusu służby cywilnej</t>
  </si>
  <si>
    <t>75095</t>
  </si>
  <si>
    <t>Wydział Rozwoju Miasta</t>
  </si>
  <si>
    <t xml:space="preserve">zakup usług obejmujących wykonanie ekspertyz, analiz i opinii </t>
  </si>
  <si>
    <t>Wydział Edukacji, Zdrowia i Polityki Społecznej</t>
  </si>
  <si>
    <t>wydatki inwestycyjne jednostek budżetowych</t>
  </si>
  <si>
    <t>Wydział Inwestycji i Zamówień Publicznych</t>
  </si>
  <si>
    <t>Wydział Dróg, Transportu Zbiorowego i Energii</t>
  </si>
  <si>
    <t>Obsługa długu publicznego</t>
  </si>
  <si>
    <t xml:space="preserve">Obsługa papierów wartościowych, kredytów i pożyczek </t>
  </si>
  <si>
    <t xml:space="preserve">oraz innych zobowiązań jednostek samorządu terytorialnego </t>
  </si>
  <si>
    <t>zaliczanych do tytułu dłużnego - kredyty i pożyczki</t>
  </si>
  <si>
    <t>Wydział Gospodarowania Mieniem Komunalnym</t>
  </si>
  <si>
    <t>pozostałe odsetki</t>
  </si>
  <si>
    <t>rozliczenia z bankami związane z obsługą długu publicznego</t>
  </si>
  <si>
    <t>Różne rozliczenia</t>
  </si>
  <si>
    <t>Rezerwy ogólne i celowe</t>
  </si>
  <si>
    <t>4810</t>
  </si>
  <si>
    <t xml:space="preserve">rezerwy </t>
  </si>
  <si>
    <t xml:space="preserve"> - rezerwa ogólna</t>
  </si>
  <si>
    <t>Szkoły podstawowe</t>
  </si>
  <si>
    <t xml:space="preserve">Wydział Edukacji, Zdrowia i Polityki Społecznej </t>
  </si>
  <si>
    <t>2590</t>
  </si>
  <si>
    <t>dotacja podmiotowa z budżetu dla publicznej jednostki systemu oświaty prowadzonej przez osobę prawną inną niż jednostka samorządu terytorialnego lub przez osobę fizyczną</t>
  </si>
  <si>
    <t>Jednostki oświatowe zbiorczo</t>
  </si>
  <si>
    <t>wydatki osobowe niezaliczone do wynagrodzeń</t>
  </si>
  <si>
    <t>dodatkowe wynagrodzenie roczne</t>
  </si>
  <si>
    <t>wynagrodzenia bezosobowe</t>
  </si>
  <si>
    <t>4210</t>
  </si>
  <si>
    <t>zakup materiałów i wyposażenia</t>
  </si>
  <si>
    <t>zakup środków dydaktycznych i książek</t>
  </si>
  <si>
    <t>zakup energii</t>
  </si>
  <si>
    <t>zakup usług remontowych</t>
  </si>
  <si>
    <t>zakup usług zdrowotnych</t>
  </si>
  <si>
    <t>opłaty z tytułu zakupu usług telekomunikacyjnych</t>
  </si>
  <si>
    <t>podróże służbowe krajowe</t>
  </si>
  <si>
    <t xml:space="preserve">szkolenia pracowników niebędących członkami korpusu służby cywilnej </t>
  </si>
  <si>
    <t>wpłaty na PPK finansowane przez podmiot zatrudniający</t>
  </si>
  <si>
    <t>dodatkowe wynagrodzenie roczne nauczycieli</t>
  </si>
  <si>
    <t>Oddziały przedszkolne w szkołach podstawowych</t>
  </si>
  <si>
    <t>Przedszkola</t>
  </si>
  <si>
    <t xml:space="preserve">składki na ubezpieczenia społeczne </t>
  </si>
  <si>
    <t xml:space="preserve">różne opłaty i składki </t>
  </si>
  <si>
    <t>wynagrodzenie osobowe nauczycieli</t>
  </si>
  <si>
    <t>Świetlice szkolne</t>
  </si>
  <si>
    <t>Dowożenie uczniów do szkół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</si>
  <si>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</si>
  <si>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</si>
  <si>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</si>
  <si>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</si>
  <si>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</si>
  <si>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 xml:space="preserve">składki na Fundusz Pracy oraz Fundusz Solidarnościowy </t>
  </si>
  <si>
    <t>organizacji nauki i metod pracy dla dzieci i młodzieży</t>
  </si>
  <si>
    <t>w szkołach podstawowych</t>
  </si>
  <si>
    <t>Wydział Edukacji, Zdrowia i Polityki Społecznej - projekt pn. "Dostosowanie kształcenia ogólnego do potrzeb rynku pracy II etap" (szkoły podstawowe)</t>
  </si>
  <si>
    <t>składki na ubezpieczenia społeczne</t>
  </si>
  <si>
    <t>Jednostki oświatowe zbiorczo - projekt pn. "Dostosowanie kształcenia ogólnego do potrzeb rynku pracy II etap" (szkoły podstawowe)</t>
  </si>
  <si>
    <t xml:space="preserve">wynagrodzenia osobowe nauczycieli </t>
  </si>
  <si>
    <t>Centrum Usług Wspólnych Placówek Oświatowych - projekt pn. "Dostosowanie kształcenia ogólnego do potrzeb rynku pracy II etap" (szkoły podstawowe)</t>
  </si>
  <si>
    <t>4177</t>
  </si>
  <si>
    <t>4179</t>
  </si>
  <si>
    <t>851</t>
  </si>
  <si>
    <t>Ochrona zdrowia</t>
  </si>
  <si>
    <t>Przeciwdziałanie alkoholizmowi</t>
  </si>
  <si>
    <t xml:space="preserve">Miejski Ośrodek Pomocy Rodzinie </t>
  </si>
  <si>
    <t>odpisy na zakładowy fundusz świadczeń socjalnych</t>
  </si>
  <si>
    <t>Dom Pomocy Społecznej ul. Dobrzyńska 102</t>
  </si>
  <si>
    <t>4110</t>
  </si>
  <si>
    <t>Domy pomocy społecznej</t>
  </si>
  <si>
    <t>Dom Pomocy Społecznej ul. Nowomiejska 19</t>
  </si>
  <si>
    <t>koszty postępowania sądowego i prokuratorskiego</t>
  </si>
  <si>
    <t>Ośrodki wsparcia</t>
  </si>
  <si>
    <t>Dom Pomocy Społecznej przy ul. Nowomiejskiej 19 - Centrum Wsparcia Społecznego</t>
  </si>
  <si>
    <t>Jednostki specjalistycznego poradnictwa, mieszkania</t>
  </si>
  <si>
    <t>chronione i ośrodki interwencji kryzysowej</t>
  </si>
  <si>
    <t>Miejski Ośrodek Pomocy Rodzinie - mieszkania treningowe</t>
  </si>
  <si>
    <t>(ul. Ptasia 2)</t>
  </si>
  <si>
    <t>Miejski Ośrodek Pomocy Rodzinie</t>
  </si>
  <si>
    <t>Miejski Ośrodek Pomocy Rodzinie - projekt pn. "Pokonaj kryzys"</t>
  </si>
  <si>
    <t xml:space="preserve">Miejski Ośrodek Pomocy Rodzinie - projekt pn. "Usługi </t>
  </si>
  <si>
    <t>indywidualnego transportu door-to-door - dla mieszkańców</t>
  </si>
  <si>
    <t xml:space="preserve">Miasta Włocławka" </t>
  </si>
  <si>
    <t>Dom Pomocy Społecznej przy ul. Nowomiejskiej 19 - mieszkania wspomagane ul. Piekarska 25</t>
  </si>
  <si>
    <t>Miejski Ośrodek Pomocy Rodzinie - projekt pn. "Osiedlowy Klub Seniora ZORZA"</t>
  </si>
  <si>
    <t>zakup środków żywności</t>
  </si>
  <si>
    <t>Pozostałe zadania w zakresie polityki społecznej</t>
  </si>
  <si>
    <t>Włocławskie Centrum Organizacji Pozarządowych i Wolontariatu</t>
  </si>
  <si>
    <t>Włocławskie Centrum Organizacji Pozarządowych i Wolontariatu - zadanie pn. "Od wolontariatu do etatu" w ramach projektu pn. "Włocławek – Miasto dobrego klimatu dla gospodarki, środowiska i wygodnego życia"</t>
  </si>
  <si>
    <t>stypendia dla uczniów</t>
  </si>
  <si>
    <t>Wspieranie rodziny</t>
  </si>
  <si>
    <t>Miejski Ośrodek Pomocy Rodzinie - placówki wsparcia dziennego</t>
  </si>
  <si>
    <t>Miejski Ośrodek Pomocy Rodzinie - asystent rodziny</t>
  </si>
  <si>
    <t>Miejski Ośrodek Pomocy Rodzinie - projekt pn. "Rodzina w Centrum - Etap I"</t>
  </si>
  <si>
    <t>Gospodarka komunalna i ochrona środowiska</t>
  </si>
  <si>
    <t>Gospodarka odpadami komunalnymi</t>
  </si>
  <si>
    <t>Wydział Nadzoru Właścicielskiego i Gospodarki Komunalnej</t>
  </si>
  <si>
    <t>kary i odszkodowania wypłacane na rzecz osób prawnych i innych jednostek organizacyjnych</t>
  </si>
  <si>
    <t>Utrzymanie zieleni w miastach i gminach</t>
  </si>
  <si>
    <t>Schroniska dla zwierząt</t>
  </si>
  <si>
    <t>Schronisko dla Zwierząt</t>
  </si>
  <si>
    <t>opłaty na rzecz budżetu państwa</t>
  </si>
  <si>
    <t>Kultura fizyczna</t>
  </si>
  <si>
    <t>Instytucje kultury fizycznej</t>
  </si>
  <si>
    <t>Ośrodek Sportu i Rekreacji</t>
  </si>
  <si>
    <t>Działalność usługowa</t>
  </si>
  <si>
    <t>Miejski Ośrodek Dokumentacji Geodezyjnej i Kartograficznej</t>
  </si>
  <si>
    <t xml:space="preserve">zakup materiałów i wyposażenia </t>
  </si>
  <si>
    <t>Szkoły podstawowe specjalne</t>
  </si>
  <si>
    <t>Technika</t>
  </si>
  <si>
    <t>Szkoły policealne</t>
  </si>
  <si>
    <t>Branżowe szkoły I stopnia</t>
  </si>
  <si>
    <t xml:space="preserve">Jednostki oświatowe zbiorczo - Oddział przygotowania mundurowego </t>
  </si>
  <si>
    <t>Licea ogólnokształcące dla dorosłych</t>
  </si>
  <si>
    <t>2540</t>
  </si>
  <si>
    <t>dotacja podmiotowa z budżetu dla niepublicznej jednostki systemu oświaty</t>
  </si>
  <si>
    <t>Szkoły artystyczne</t>
  </si>
  <si>
    <t>Placówki kształcenia ustawicznego i centra kształcenia</t>
  </si>
  <si>
    <t>zawodowego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</si>
  <si>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</si>
  <si>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</si>
  <si>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</si>
  <si>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</si>
  <si>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</si>
  <si>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</si>
  <si>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Zespół Szkół Nr 3 - projekt pn. "Budowa skoordynowanego systemu pomocy specjalistycznej opartego na Specjalistycznych Centrach Wspierających Edukację Włączającą - I edycja"</t>
  </si>
  <si>
    <t>Zespół Szkół Technicznych - Erasmus+ Akcja KA1 pn. "Mobilność edukacyjna techników w ramach zagranicznych praktyk zawodowych 2026"</t>
  </si>
  <si>
    <t>podróże służbowe zagraniczne</t>
  </si>
  <si>
    <t>Gospodarka ściekowa i ochrona wód</t>
  </si>
  <si>
    <t>różne opłaty i składki</t>
  </si>
  <si>
    <t>Wydatki na zadania zlecone gminie:</t>
  </si>
  <si>
    <t>świadczenia społeczne</t>
  </si>
  <si>
    <t xml:space="preserve">składki na ubezpieczenie zdrowotne </t>
  </si>
  <si>
    <t>Wydatki na zadania rządowe powiatu:</t>
  </si>
  <si>
    <t>Komenda Miejska Państwowej Straży Pożarnej</t>
  </si>
  <si>
    <t>wynagrodzenia osobowe członków korpusu służby cywilnej</t>
  </si>
  <si>
    <t>uposażenia żołnierzy zawodowych oraz funkcjonariuszy</t>
  </si>
  <si>
    <t>inne należności żołnierzy zawodowych oraz funkcjonariuszy zaliczane do wynagrodzeń</t>
  </si>
  <si>
    <t>do Zarządzenia NR 274/2026</t>
  </si>
  <si>
    <t>z dnia 29 maja 2026 r.</t>
  </si>
  <si>
    <t>Zmiana planu wydatków majątkowych na 2026 rok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</si>
  <si>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</si>
  <si>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</si>
  <si>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</si>
  <si>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</si>
  <si>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</si>
  <si>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</si>
  <si>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</si>
  <si>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</si>
  <si>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</si>
  <si>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</si>
  <si>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</si>
  <si>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</si>
  <si>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</si>
  <si>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</si>
  <si>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</si>
  <si>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</si>
  <si>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</si>
  <si>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</si>
  <si>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</si>
  <si>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>(6+7+8)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</si>
  <si>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</si>
  <si>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</si>
  <si>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</si>
  <si>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</si>
  <si>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</si>
  <si>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</si>
  <si>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</si>
  <si>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</si>
  <si>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</si>
  <si>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</si>
  <si>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</si>
  <si>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</si>
  <si>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OBRONA NARODOWA</t>
  </si>
  <si>
    <t>wprowadza się nowe zadanie:</t>
  </si>
  <si>
    <t>§ 6050</t>
  </si>
  <si>
    <t>Powstanie budowli ochronnej - przebudowa części budynku Zespołu Szkół nr 4 w celu dostosowania do funkcji ukrycia, ul. Kaliska 108a we Włocławku</t>
  </si>
  <si>
    <t>Urząd Miasta /Wydział Inwestycji i Zamówień Publicznych</t>
  </si>
  <si>
    <t>Przystosowanie obiektów użyteczności publicznej do podłączenia zasilania awaryjnego (29 placówek)</t>
  </si>
  <si>
    <t>Urząd Miasta /Wydział Inwestycji i Zamówień Publicznych /Wydział Dróg, Transportu Zbiorowego i Energii</t>
  </si>
  <si>
    <t>Wykonanie instalacji wraz z projektem pozwalającej na podłączenie agregatów prądotwórczych do istniejących budynków MZOZ Sp. z o.o. oraz budowę konstrukcji zabezpieczających agregaty prądotwórcze przed kradzieżą</t>
  </si>
  <si>
    <t>Urząd Miasta /Wydział Edukacji, Zdrowia i Polityki Społecznej</t>
  </si>
  <si>
    <t>Załącznik Nr 3</t>
  </si>
  <si>
    <t xml:space="preserve"> </t>
  </si>
  <si>
    <t>1</t>
  </si>
  <si>
    <t xml:space="preserve"> FUNDUSZE EUROPEJSKIE DLA KUJAW I POMORZA 2021 -  2027</t>
  </si>
  <si>
    <t>1.19</t>
  </si>
  <si>
    <t>Osiedlowy Klub Seniora ZORZA II</t>
  </si>
  <si>
    <t>w tym: /Miejski Ośrodek Pomocy Rodzinie/</t>
  </si>
  <si>
    <t>dz. 852</t>
  </si>
  <si>
    <t xml:space="preserve"> rozdz. 85295</t>
  </si>
  <si>
    <t>Załącznik Nr 4</t>
  </si>
  <si>
    <t xml:space="preserve">Dotacje udzielane z budżetu jednostki samorządu terytorialnego </t>
  </si>
  <si>
    <t>dla jednostek spoza sektora finansów publicznych na 2026 rok</t>
  </si>
  <si>
    <t>Rozdział</t>
  </si>
  <si>
    <t xml:space="preserve">§ </t>
  </si>
  <si>
    <t>Nazwa zadania</t>
  </si>
  <si>
    <t>Kwota dotacji</t>
  </si>
  <si>
    <t>dotacje celowe</t>
  </si>
  <si>
    <t>Zadania w zakresie upowszechniania turystyki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</si>
  <si>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</si>
  <si>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</si>
  <si>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</si>
  <si>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2837    2839</t>
  </si>
  <si>
    <t>Realizacja projektu unijnego "Dostosowanie kształcenia ogólnego do potrzeb rynku pracy I ETAP" (licea)</t>
  </si>
  <si>
    <t>Realizacja projektu unijnego "Dostosowanie kształcenia ogólnego do potrzeb rynku pracy II ETAP" (szkoły podstawowe)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</si>
  <si>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</si>
  <si>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</si>
  <si>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</si>
  <si>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Pozostała działalność (ćwiczenia gimnastyczne poprawiające kondycję seniora - Budżet Obywatelski)</t>
  </si>
  <si>
    <t>Zapewnienie schronienia osobom bezdomnym (wypłata dodatku motywacyjnego dla pracowników schroniska dla osób bezdomnych w ramach programu rządowego)</t>
  </si>
  <si>
    <t>Usługi opiekuńcze i specjalistyczne usługi opiekuńcze - ogółem, z tego:</t>
  </si>
  <si>
    <t>12.1</t>
  </si>
  <si>
    <t xml:space="preserve"> - zadania własne</t>
  </si>
  <si>
    <t>12.2</t>
  </si>
  <si>
    <t xml:space="preserve"> - zadania zlecone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</si>
  <si>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</si>
  <si>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</si>
  <si>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</si>
  <si>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Działalność placówek opiekuńczo - wychowawczych</t>
  </si>
  <si>
    <t>Dofinansowanie  przyłączy kanalizacyjnych do nieruchomości (dotacja na inwestycje)</t>
  </si>
  <si>
    <t>Ochrona powietrza atmosferycznego i klimatu (zadania w zakresie ekologii i ochrony zwierząt oraz ochrony dziedzictwa przyrodniczego)</t>
  </si>
  <si>
    <t>2366   2367</t>
  </si>
  <si>
    <t>Realizacja projektu unijnego  "Włocławek miastem bioróżnorodnym"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</si>
  <si>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</si>
  <si>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</si>
  <si>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</si>
  <si>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</si>
  <si>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</si>
  <si>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</si>
  <si>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</si>
  <si>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</si>
  <si>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</si>
  <si>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</si>
  <si>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</si>
  <si>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</si>
  <si>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</si>
  <si>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</si>
  <si>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</si>
  <si>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</si>
  <si>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</si>
  <si>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</si>
  <si>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</si>
  <si>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 Kinga Mizak Aneta Kryczka s.c.</t>
  </si>
  <si>
    <t>Przedszkole Niepubliczne "Happy Kids"</t>
  </si>
  <si>
    <t>Przedszkole Niepubliczne "Kujawiaczek"</t>
  </si>
  <si>
    <t>Niepubliczne Przedszkole "Sensosmyki"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</si>
  <si>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</si>
  <si>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</si>
  <si>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</si>
  <si>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</si>
  <si>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</si>
  <si>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</si>
  <si>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Publiczna Szkoła Policealna 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</si>
  <si>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</si>
  <si>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</si>
  <si>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</si>
  <si>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</si>
  <si>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</si>
  <si>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</si>
  <si>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</si>
  <si>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</si>
  <si>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</si>
  <si>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Branżowa Szkoła I Stopnia IMPULS</t>
  </si>
  <si>
    <t xml:space="preserve">Branżowa Szkoła I Stopnia nr 9 w Zespole Szkół Włocławskiego Stowarzyszenia Oświatowego "Cogito"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</si>
  <si>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</si>
  <si>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</si>
  <si>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</si>
  <si>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</si>
  <si>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Liceum Ogólnokształcące dla Dorosłych Futuro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</si>
  <si>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</si>
  <si>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</si>
  <si>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</si>
  <si>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</si>
  <si>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</si>
  <si>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</si>
  <si>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</si>
  <si>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</si>
  <si>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</si>
  <si>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</si>
  <si>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</si>
  <si>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</si>
  <si>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</si>
  <si>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</si>
  <si>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</si>
  <si>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</si>
  <si>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</si>
  <si>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</si>
  <si>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</si>
  <si>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</si>
  <si>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</si>
  <si>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</si>
  <si>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</si>
  <si>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Ogółem:</t>
  </si>
  <si>
    <t>Załącznik Nr 5</t>
  </si>
  <si>
    <t xml:space="preserve">Plan </t>
  </si>
  <si>
    <t xml:space="preserve"> dochodów i wydatków wydzielonych rachunków dochodów oświatowych jednostek budżetowych na 2026 rok</t>
  </si>
  <si>
    <t>(zbiorczo)</t>
  </si>
  <si>
    <t>Wyszczególnienie</t>
  </si>
  <si>
    <t>Stan środków pieniężnych na początek roku</t>
  </si>
  <si>
    <t>Stan środków pieniężnych na koniec roku</t>
  </si>
  <si>
    <t>Dochody</t>
  </si>
  <si>
    <t>Wydatki</t>
  </si>
  <si>
    <t>1.</t>
  </si>
  <si>
    <t>2.</t>
  </si>
  <si>
    <t>3.</t>
  </si>
  <si>
    <t xml:space="preserve">Kolonie i obozy oraz inne formy wypoczynku dzieci i młodzieży szkolnej, a także szkolenia młodzieży </t>
  </si>
  <si>
    <t>Ogółem dochody i wydatki na zadania gminy</t>
  </si>
  <si>
    <t>4.</t>
  </si>
  <si>
    <t xml:space="preserve">Szkoły artystyczne </t>
  </si>
  <si>
    <t>5.</t>
  </si>
  <si>
    <t>Placówki kształcenia ustawicznego i centra kształcenia zawodowego</t>
  </si>
  <si>
    <t>6.</t>
  </si>
  <si>
    <t>Ośrodki szkolenia, dokształcania i doskonalenia kadr</t>
  </si>
  <si>
    <t>7.</t>
  </si>
  <si>
    <t>Inne formy kształcenia osobno niewymienione</t>
  </si>
  <si>
    <t>8.</t>
  </si>
  <si>
    <t xml:space="preserve">Poradnie psychologiczno-pedagogiczne, w tym poradnie specjalistyczne </t>
  </si>
  <si>
    <t>Szkolne schroniska młodzieżowe</t>
  </si>
  <si>
    <t>Młodzieżowe ośrodki wychowawcze</t>
  </si>
  <si>
    <t>Ogółem dochody i wydatki na zadania powiatu</t>
  </si>
  <si>
    <t xml:space="preserve">Ogółem dochody i wydatki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</si>
</sst>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11"/>
      <color rgb="FF9C0006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b/>
      <sz val="8"/>
      <name val="Arial CE"/>
      <family val="2"/>
      <charset val="238"/>
    </font>
    <font>
      <sz val="6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7"/>
      <name val="Arial CE"/>
      <charset val="238"/>
    </font>
    <font>
      <b/>
      <sz val="7"/>
      <name val="Arial Narrow"/>
      <family val="2"/>
      <charset val="238"/>
    </font>
    <font>
      <sz val="8"/>
      <color theme="1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 CE"/>
      <charset val="238"/>
    </font>
    <font>
      <sz val="10"/>
      <name val="Arial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7"/>
      <name val="Arial CE"/>
      <charset val="238"/>
    </font>
    <font>
      <u/>
      <sz val="7"/>
      <name val="Arial CE"/>
      <charset val="238"/>
    </font>
    <font>
      <b/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2">
    <xf numFmtId="0" fontId="0" fillId="0" borderId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0" fontId="8" fillId="0" borderId="0"/>
    <xf numFmtId="0" fontId="21" fillId="3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</cellStyleXfs>
  <cellXfs count="536">
    <xf numFmtId="0" fontId="0" fillId="0" borderId="0" xfId="0"/>
    <xf numFmtId="4" fontId="15" fillId="0" borderId="10" xfId="2" applyNumberFormat="1" applyFont="1" applyBorder="1"/>
    <xf numFmtId="0" fontId="11" fillId="0" borderId="5" xfId="2" applyFont="1" applyBorder="1"/>
    <xf numFmtId="0" fontId="18" fillId="0" borderId="0" xfId="14" applyFont="1"/>
    <xf numFmtId="0" fontId="19" fillId="0" borderId="0" xfId="0" applyFont="1"/>
    <xf numFmtId="0" fontId="19" fillId="0" borderId="0" xfId="15" applyFont="1"/>
    <xf numFmtId="0" fontId="19" fillId="0" borderId="0" xfId="15" applyFont="1" applyAlignment="1">
      <alignment horizontal="left"/>
    </xf>
    <xf numFmtId="0" fontId="11" fillId="0" borderId="0" xfId="17" applyFont="1"/>
    <xf numFmtId="49" fontId="11" fillId="0" borderId="0" xfId="17" applyNumberFormat="1" applyFont="1"/>
    <xf numFmtId="0" fontId="11" fillId="0" borderId="0" xfId="17" applyFont="1" applyAlignment="1">
      <alignment horizontal="left"/>
    </xf>
    <xf numFmtId="4" fontId="12" fillId="0" borderId="0" xfId="17" applyNumberFormat="1" applyFont="1"/>
    <xf numFmtId="0" fontId="13" fillId="0" borderId="0" xfId="17" applyFont="1"/>
    <xf numFmtId="0" fontId="14" fillId="0" borderId="0" xfId="17" applyFont="1" applyAlignment="1">
      <alignment horizontal="centerContinuous"/>
    </xf>
    <xf numFmtId="0" fontId="13" fillId="0" borderId="0" xfId="17" applyFont="1" applyAlignment="1">
      <alignment horizontal="centerContinuous"/>
    </xf>
    <xf numFmtId="49" fontId="14" fillId="0" borderId="0" xfId="17" applyNumberFormat="1" applyFont="1" applyAlignment="1">
      <alignment horizontal="centerContinuous"/>
    </xf>
    <xf numFmtId="0" fontId="15" fillId="0" borderId="0" xfId="17" applyFont="1"/>
    <xf numFmtId="0" fontId="11" fillId="0" borderId="0" xfId="17" applyFont="1" applyAlignment="1">
      <alignment horizontal="center"/>
    </xf>
    <xf numFmtId="0" fontId="12" fillId="0" borderId="0" xfId="17" applyFont="1" applyAlignment="1">
      <alignment horizontal="center"/>
    </xf>
    <xf numFmtId="0" fontId="11" fillId="0" borderId="1" xfId="17" applyFont="1" applyBorder="1"/>
    <xf numFmtId="49" fontId="11" fillId="0" borderId="1" xfId="17" applyNumberFormat="1" applyFont="1" applyBorder="1"/>
    <xf numFmtId="0" fontId="15" fillId="0" borderId="2" xfId="17" applyFont="1" applyBorder="1"/>
    <xf numFmtId="0" fontId="15" fillId="0" borderId="1" xfId="17" applyFont="1" applyBorder="1" applyAlignment="1">
      <alignment horizontal="center"/>
    </xf>
    <xf numFmtId="3" fontId="11" fillId="0" borderId="1" xfId="17" applyNumberFormat="1" applyFont="1" applyBorder="1"/>
    <xf numFmtId="0" fontId="11" fillId="0" borderId="1" xfId="17" applyFont="1" applyBorder="1" applyAlignment="1">
      <alignment horizontal="center"/>
    </xf>
    <xf numFmtId="0" fontId="16" fillId="0" borderId="0" xfId="17" applyFont="1"/>
    <xf numFmtId="0" fontId="15" fillId="0" borderId="3" xfId="17" applyFont="1" applyBorder="1" applyAlignment="1">
      <alignment horizontal="center"/>
    </xf>
    <xf numFmtId="49" fontId="15" fillId="0" borderId="3" xfId="17" applyNumberFormat="1" applyFont="1" applyBorder="1" applyAlignment="1">
      <alignment horizontal="center"/>
    </xf>
    <xf numFmtId="0" fontId="15" fillId="0" borderId="4" xfId="17" applyFont="1" applyBorder="1" applyAlignment="1">
      <alignment horizontal="center"/>
    </xf>
    <xf numFmtId="3" fontId="15" fillId="0" borderId="3" xfId="17" applyNumberFormat="1" applyFont="1" applyBorder="1" applyAlignment="1">
      <alignment horizontal="center"/>
    </xf>
    <xf numFmtId="0" fontId="15" fillId="0" borderId="5" xfId="17" applyFont="1" applyBorder="1" applyAlignment="1">
      <alignment horizontal="center"/>
    </xf>
    <xf numFmtId="49" fontId="15" fillId="0" borderId="5" xfId="17" applyNumberFormat="1" applyFont="1" applyBorder="1" applyAlignment="1">
      <alignment horizontal="center"/>
    </xf>
    <xf numFmtId="0" fontId="15" fillId="0" borderId="6" xfId="17" applyFont="1" applyBorder="1" applyAlignment="1">
      <alignment horizontal="center"/>
    </xf>
    <xf numFmtId="3" fontId="15" fillId="0" borderId="5" xfId="17" applyNumberFormat="1" applyFont="1" applyBorder="1" applyAlignment="1">
      <alignment horizontal="center"/>
    </xf>
    <xf numFmtId="3" fontId="11" fillId="0" borderId="3" xfId="17" applyNumberFormat="1" applyFont="1" applyBorder="1"/>
    <xf numFmtId="49" fontId="11" fillId="0" borderId="3" xfId="17" applyNumberFormat="1" applyFont="1" applyBorder="1" applyAlignment="1">
      <alignment horizontal="right"/>
    </xf>
    <xf numFmtId="0" fontId="15" fillId="0" borderId="7" xfId="17" applyFont="1" applyBorder="1"/>
    <xf numFmtId="4" fontId="15" fillId="0" borderId="8" xfId="17" applyNumberFormat="1" applyFont="1" applyBorder="1"/>
    <xf numFmtId="0" fontId="15" fillId="0" borderId="9" xfId="17" applyFont="1" applyBorder="1"/>
    <xf numFmtId="4" fontId="15" fillId="0" borderId="10" xfId="17" applyNumberFormat="1" applyFont="1" applyBorder="1"/>
    <xf numFmtId="3" fontId="15" fillId="0" borderId="3" xfId="17" applyNumberFormat="1" applyFont="1" applyBorder="1" applyAlignment="1">
      <alignment horizontal="right"/>
    </xf>
    <xf numFmtId="3" fontId="15" fillId="0" borderId="3" xfId="17" applyNumberFormat="1" applyFont="1" applyBorder="1"/>
    <xf numFmtId="49" fontId="15" fillId="0" borderId="3" xfId="17" applyNumberFormat="1" applyFont="1" applyBorder="1" applyAlignment="1">
      <alignment horizontal="right"/>
    </xf>
    <xf numFmtId="3" fontId="15" fillId="0" borderId="4" xfId="17" applyNumberFormat="1" applyFont="1" applyBorder="1"/>
    <xf numFmtId="4" fontId="15" fillId="0" borderId="10" xfId="17" applyNumberFormat="1" applyFont="1" applyBorder="1" applyAlignment="1">
      <alignment horizontal="right"/>
    </xf>
    <xf numFmtId="0" fontId="11" fillId="0" borderId="3" xfId="17" applyFont="1" applyBorder="1" applyAlignment="1">
      <alignment horizontal="right" vertical="top"/>
    </xf>
    <xf numFmtId="0" fontId="11" fillId="0" borderId="6" xfId="17" applyFont="1" applyBorder="1" applyAlignment="1">
      <alignment wrapText="1"/>
    </xf>
    <xf numFmtId="4" fontId="11" fillId="0" borderId="5" xfId="17" applyNumberFormat="1" applyFont="1" applyBorder="1"/>
    <xf numFmtId="4" fontId="11" fillId="0" borderId="5" xfId="17" applyNumberFormat="1" applyFont="1" applyBorder="1" applyAlignment="1">
      <alignment horizontal="right"/>
    </xf>
    <xf numFmtId="0" fontId="11" fillId="0" borderId="3" xfId="17" applyFont="1" applyBorder="1"/>
    <xf numFmtId="3" fontId="11" fillId="0" borderId="3" xfId="17" applyNumberFormat="1" applyFont="1" applyBorder="1" applyAlignment="1">
      <alignment horizontal="right"/>
    </xf>
    <xf numFmtId="49" fontId="11" fillId="0" borderId="3" xfId="17" applyNumberFormat="1" applyFont="1" applyBorder="1" applyAlignment="1">
      <alignment horizontal="right" vertical="top"/>
    </xf>
    <xf numFmtId="0" fontId="22" fillId="0" borderId="0" xfId="17" applyFont="1" applyAlignment="1">
      <alignment wrapText="1"/>
    </xf>
    <xf numFmtId="4" fontId="11" fillId="0" borderId="3" xfId="17" applyNumberFormat="1" applyFont="1" applyBorder="1" applyAlignment="1">
      <alignment horizontal="right"/>
    </xf>
    <xf numFmtId="4" fontId="11" fillId="0" borderId="3" xfId="17" applyNumberFormat="1" applyFont="1" applyBorder="1"/>
    <xf numFmtId="0" fontId="11" fillId="0" borderId="3" xfId="17" applyFont="1" applyBorder="1" applyAlignment="1">
      <alignment horizontal="right"/>
    </xf>
    <xf numFmtId="0" fontId="11" fillId="0" borderId="3" xfId="17" applyFont="1" applyBorder="1" applyAlignment="1">
      <alignment horizontal="center"/>
    </xf>
    <xf numFmtId="0" fontId="11" fillId="0" borderId="6" xfId="17" applyFont="1" applyBorder="1"/>
    <xf numFmtId="4" fontId="12" fillId="0" borderId="0" xfId="17" applyNumberFormat="1" applyFont="1" applyAlignment="1">
      <alignment horizontal="right"/>
    </xf>
    <xf numFmtId="0" fontId="11" fillId="0" borderId="4" xfId="17" applyFont="1" applyBorder="1" applyAlignment="1">
      <alignment vertical="top" wrapText="1"/>
    </xf>
    <xf numFmtId="0" fontId="11" fillId="0" borderId="5" xfId="17" applyFont="1" applyBorder="1"/>
    <xf numFmtId="0" fontId="11" fillId="0" borderId="3" xfId="17" applyFont="1" applyBorder="1" applyAlignment="1">
      <alignment wrapText="1"/>
    </xf>
    <xf numFmtId="0" fontId="16" fillId="0" borderId="0" xfId="17" applyFont="1" applyAlignment="1">
      <alignment wrapText="1"/>
    </xf>
    <xf numFmtId="0" fontId="11" fillId="0" borderId="3" xfId="17" applyFont="1" applyBorder="1" applyAlignment="1">
      <alignment vertical="top" wrapText="1"/>
    </xf>
    <xf numFmtId="4" fontId="11" fillId="0" borderId="0" xfId="17" applyNumberFormat="1" applyFont="1"/>
    <xf numFmtId="3" fontId="11" fillId="0" borderId="4" xfId="17" applyNumberFormat="1" applyFont="1" applyBorder="1"/>
    <xf numFmtId="3" fontId="15" fillId="0" borderId="5" xfId="17" applyNumberFormat="1" applyFont="1" applyBorder="1"/>
    <xf numFmtId="49" fontId="11" fillId="0" borderId="5" xfId="17" applyNumberFormat="1" applyFont="1" applyBorder="1" applyAlignment="1">
      <alignment horizontal="right" vertical="top"/>
    </xf>
    <xf numFmtId="0" fontId="11" fillId="0" borderId="5" xfId="17" applyFont="1" applyBorder="1" applyAlignment="1">
      <alignment vertical="top" wrapText="1"/>
    </xf>
    <xf numFmtId="3" fontId="23" fillId="0" borderId="3" xfId="17" applyNumberFormat="1" applyFont="1" applyBorder="1"/>
    <xf numFmtId="49" fontId="23" fillId="0" borderId="3" xfId="17" applyNumberFormat="1" applyFont="1" applyBorder="1" applyAlignment="1">
      <alignment horizontal="right"/>
    </xf>
    <xf numFmtId="3" fontId="11" fillId="0" borderId="6" xfId="17" applyNumberFormat="1" applyFont="1" applyBorder="1"/>
    <xf numFmtId="0" fontId="11" fillId="0" borderId="4" xfId="17" applyFont="1" applyBorder="1" applyAlignment="1">
      <alignment wrapText="1"/>
    </xf>
    <xf numFmtId="0" fontId="11" fillId="0" borderId="4" xfId="17" applyFont="1" applyBorder="1"/>
    <xf numFmtId="0" fontId="11" fillId="0" borderId="3" xfId="2" applyFont="1" applyBorder="1" applyAlignment="1">
      <alignment horizontal="right" vertical="center"/>
    </xf>
    <xf numFmtId="0" fontId="11" fillId="0" borderId="5" xfId="2" applyFont="1" applyBorder="1" applyAlignment="1">
      <alignment vertical="center"/>
    </xf>
    <xf numFmtId="4" fontId="11" fillId="0" borderId="5" xfId="2" applyNumberFormat="1" applyFont="1" applyBorder="1" applyAlignment="1">
      <alignment vertical="center"/>
    </xf>
    <xf numFmtId="4" fontId="11" fillId="0" borderId="5" xfId="17" applyNumberFormat="1" applyFont="1" applyBorder="1" applyAlignment="1">
      <alignment vertical="center"/>
    </xf>
    <xf numFmtId="0" fontId="11" fillId="0" borderId="3" xfId="2" applyFont="1" applyBorder="1" applyAlignment="1">
      <alignment vertical="center" wrapText="1"/>
    </xf>
    <xf numFmtId="0" fontId="11" fillId="0" borderId="3" xfId="18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3" xfId="2" applyFont="1" applyBorder="1"/>
    <xf numFmtId="4" fontId="11" fillId="0" borderId="3" xfId="18" applyNumberFormat="1" applyFont="1" applyBorder="1" applyAlignment="1">
      <alignment vertical="center"/>
    </xf>
    <xf numFmtId="4" fontId="11" fillId="0" borderId="3" xfId="18" applyNumberFormat="1" applyFont="1" applyBorder="1" applyAlignment="1">
      <alignment horizontal="right" vertical="center"/>
    </xf>
    <xf numFmtId="4" fontId="11" fillId="0" borderId="3" xfId="18" applyNumberFormat="1" applyFont="1" applyBorder="1"/>
    <xf numFmtId="0" fontId="11" fillId="0" borderId="3" xfId="17" applyFont="1" applyBorder="1" applyAlignment="1">
      <alignment horizontal="right" vertical="center"/>
    </xf>
    <xf numFmtId="0" fontId="11" fillId="0" borderId="4" xfId="17" applyFont="1" applyBorder="1" applyAlignment="1">
      <alignment vertical="center" wrapText="1"/>
    </xf>
    <xf numFmtId="0" fontId="15" fillId="0" borderId="3" xfId="2" applyFont="1" applyBorder="1" applyAlignment="1">
      <alignment horizontal="right"/>
    </xf>
    <xf numFmtId="0" fontId="11" fillId="0" borderId="3" xfId="2" applyFont="1" applyBorder="1" applyAlignment="1">
      <alignment horizontal="center"/>
    </xf>
    <xf numFmtId="0" fontId="15" fillId="0" borderId="10" xfId="2" applyFont="1" applyBorder="1"/>
    <xf numFmtId="0" fontId="15" fillId="0" borderId="3" xfId="2" applyFont="1" applyBorder="1" applyAlignment="1">
      <alignment horizontal="center"/>
    </xf>
    <xf numFmtId="4" fontId="15" fillId="0" borderId="3" xfId="17" applyNumberFormat="1" applyFont="1" applyBorder="1"/>
    <xf numFmtId="4" fontId="15" fillId="0" borderId="3" xfId="17" applyNumberFormat="1" applyFont="1" applyBorder="1" applyAlignment="1">
      <alignment horizontal="right"/>
    </xf>
    <xf numFmtId="0" fontId="11" fillId="0" borderId="4" xfId="17" applyFont="1" applyBorder="1" applyAlignment="1">
      <alignment vertical="center"/>
    </xf>
    <xf numFmtId="0" fontId="11" fillId="0" borderId="3" xfId="2" applyFont="1" applyBorder="1" applyAlignment="1">
      <alignment horizontal="right" vertical="top" wrapText="1"/>
    </xf>
    <xf numFmtId="4" fontId="11" fillId="0" borderId="3" xfId="2" applyNumberFormat="1" applyFont="1" applyBorder="1" applyAlignment="1">
      <alignment horizontal="right"/>
    </xf>
    <xf numFmtId="4" fontId="11" fillId="0" borderId="1" xfId="17" applyNumberFormat="1" applyFont="1" applyBorder="1"/>
    <xf numFmtId="49" fontId="11" fillId="0" borderId="5" xfId="17" applyNumberFormat="1" applyFont="1" applyBorder="1" applyAlignment="1">
      <alignment horizontal="right" vertical="center"/>
    </xf>
    <xf numFmtId="0" fontId="11" fillId="0" borderId="6" xfId="17" applyFont="1" applyBorder="1" applyAlignment="1">
      <alignment vertical="center"/>
    </xf>
    <xf numFmtId="49" fontId="11" fillId="0" borderId="3" xfId="17" applyNumberFormat="1" applyFont="1" applyBorder="1" applyAlignment="1">
      <alignment horizontal="right" vertical="center"/>
    </xf>
    <xf numFmtId="0" fontId="16" fillId="0" borderId="0" xfId="17" applyFont="1" applyAlignment="1">
      <alignment vertical="center"/>
    </xf>
    <xf numFmtId="0" fontId="11" fillId="0" borderId="5" xfId="17" applyFont="1" applyBorder="1" applyAlignment="1">
      <alignment horizontal="right"/>
    </xf>
    <xf numFmtId="0" fontId="11" fillId="0" borderId="4" xfId="2" applyFont="1" applyBorder="1"/>
    <xf numFmtId="4" fontId="11" fillId="0" borderId="3" xfId="2" applyNumberFormat="1" applyFont="1" applyBorder="1"/>
    <xf numFmtId="49" fontId="11" fillId="0" borderId="3" xfId="18" applyNumberFormat="1" applyFont="1" applyBorder="1" applyAlignment="1">
      <alignment horizontal="right"/>
    </xf>
    <xf numFmtId="4" fontId="11" fillId="0" borderId="3" xfId="18" applyNumberFormat="1" applyFont="1" applyBorder="1" applyAlignment="1">
      <alignment horizontal="right"/>
    </xf>
    <xf numFmtId="49" fontId="11" fillId="0" borderId="0" xfId="2" applyNumberFormat="1" applyFont="1" applyAlignment="1">
      <alignment horizontal="right"/>
    </xf>
    <xf numFmtId="0" fontId="11" fillId="0" borderId="4" xfId="18" applyFont="1" applyBorder="1"/>
    <xf numFmtId="4" fontId="11" fillId="0" borderId="5" xfId="18" applyNumberFormat="1" applyFont="1" applyBorder="1"/>
    <xf numFmtId="4" fontId="11" fillId="0" borderId="5" xfId="18" applyNumberFormat="1" applyFont="1" applyBorder="1" applyAlignment="1">
      <alignment horizontal="right"/>
    </xf>
    <xf numFmtId="0" fontId="11" fillId="0" borderId="3" xfId="18" applyFont="1" applyBorder="1"/>
    <xf numFmtId="49" fontId="15" fillId="0" borderId="5" xfId="17" applyNumberFormat="1" applyFont="1" applyBorder="1" applyAlignment="1">
      <alignment horizontal="right"/>
    </xf>
    <xf numFmtId="0" fontId="11" fillId="0" borderId="5" xfId="18" applyFont="1" applyBorder="1"/>
    <xf numFmtId="0" fontId="11" fillId="0" borderId="5" xfId="17" applyFont="1" applyBorder="1" applyAlignment="1">
      <alignment horizontal="right" vertical="center"/>
    </xf>
    <xf numFmtId="0" fontId="11" fillId="0" borderId="5" xfId="17" applyFont="1" applyBorder="1" applyAlignment="1">
      <alignment vertical="center"/>
    </xf>
    <xf numFmtId="49" fontId="11" fillId="0" borderId="3" xfId="17" applyNumberFormat="1" applyFont="1" applyBorder="1" applyAlignment="1">
      <alignment horizontal="center"/>
    </xf>
    <xf numFmtId="0" fontId="11" fillId="0" borderId="4" xfId="17" applyFont="1" applyBorder="1" applyAlignment="1">
      <alignment vertical="top"/>
    </xf>
    <xf numFmtId="0" fontId="11" fillId="0" borderId="5" xfId="17" applyFont="1" applyBorder="1" applyAlignment="1">
      <alignment horizontal="right" vertical="top"/>
    </xf>
    <xf numFmtId="0" fontId="11" fillId="0" borderId="6" xfId="17" applyFont="1" applyBorder="1" applyAlignment="1">
      <alignment vertical="top"/>
    </xf>
    <xf numFmtId="0" fontId="11" fillId="0" borderId="5" xfId="17" applyFont="1" applyBorder="1" applyAlignment="1">
      <alignment horizontal="left"/>
    </xf>
    <xf numFmtId="0" fontId="11" fillId="0" borderId="5" xfId="19" applyNumberFormat="1" applyFont="1" applyFill="1" applyBorder="1" applyAlignment="1">
      <alignment horizontal="left"/>
    </xf>
    <xf numFmtId="4" fontId="11" fillId="0" borderId="4" xfId="17" applyNumberFormat="1" applyFont="1" applyBorder="1"/>
    <xf numFmtId="0" fontId="15" fillId="0" borderId="3" xfId="2" applyFont="1" applyBorder="1" applyAlignment="1">
      <alignment horizontal="right" vertical="center"/>
    </xf>
    <xf numFmtId="0" fontId="11" fillId="0" borderId="3" xfId="2" applyFont="1" applyBorder="1" applyAlignment="1">
      <alignment vertical="center"/>
    </xf>
    <xf numFmtId="4" fontId="11" fillId="0" borderId="3" xfId="17" applyNumberFormat="1" applyFont="1" applyBorder="1" applyAlignment="1">
      <alignment vertical="center"/>
    </xf>
    <xf numFmtId="4" fontId="11" fillId="0" borderId="3" xfId="17" applyNumberFormat="1" applyFont="1" applyBorder="1" applyAlignment="1">
      <alignment horizontal="right" vertical="center"/>
    </xf>
    <xf numFmtId="4" fontId="11" fillId="0" borderId="11" xfId="17" applyNumberFormat="1" applyFont="1" applyBorder="1"/>
    <xf numFmtId="0" fontId="11" fillId="0" borderId="5" xfId="2" applyFont="1" applyBorder="1" applyAlignment="1">
      <alignment horizontal="right"/>
    </xf>
    <xf numFmtId="0" fontId="11" fillId="0" borderId="6" xfId="2" applyFont="1" applyBorder="1"/>
    <xf numFmtId="0" fontId="11" fillId="0" borderId="5" xfId="3" applyNumberFormat="1" applyFont="1" applyFill="1" applyBorder="1" applyAlignment="1">
      <alignment horizontal="left"/>
    </xf>
    <xf numFmtId="49" fontId="11" fillId="0" borderId="3" xfId="2" applyNumberFormat="1" applyFont="1" applyBorder="1" applyAlignment="1">
      <alignment horizontal="right"/>
    </xf>
    <xf numFmtId="49" fontId="15" fillId="0" borderId="3" xfId="17" applyNumberFormat="1" applyFont="1" applyBorder="1"/>
    <xf numFmtId="0" fontId="11" fillId="0" borderId="6" xfId="17" applyFont="1" applyBorder="1" applyAlignment="1">
      <alignment horizontal="left"/>
    </xf>
    <xf numFmtId="0" fontId="11" fillId="0" borderId="3" xfId="17" applyFont="1" applyBorder="1" applyAlignment="1">
      <alignment horizontal="left" vertical="center"/>
    </xf>
    <xf numFmtId="0" fontId="11" fillId="0" borderId="4" xfId="17" applyFont="1" applyBorder="1" applyAlignment="1">
      <alignment horizontal="left" vertical="center" wrapText="1"/>
    </xf>
    <xf numFmtId="0" fontId="16" fillId="0" borderId="5" xfId="17" applyFont="1" applyBorder="1"/>
    <xf numFmtId="49" fontId="16" fillId="0" borderId="5" xfId="17" applyNumberFormat="1" applyFont="1" applyBorder="1" applyAlignment="1">
      <alignment horizontal="right"/>
    </xf>
    <xf numFmtId="0" fontId="16" fillId="0" borderId="6" xfId="17" applyFont="1" applyBorder="1"/>
    <xf numFmtId="0" fontId="20" fillId="0" borderId="0" xfId="17" applyFont="1" applyAlignment="1">
      <alignment horizontal="center" vertical="center"/>
    </xf>
    <xf numFmtId="0" fontId="26" fillId="0" borderId="0" xfId="17" applyFont="1" applyAlignment="1">
      <alignment horizontal="center" vertical="center"/>
    </xf>
    <xf numFmtId="0" fontId="26" fillId="0" borderId="0" xfId="17" applyFont="1"/>
    <xf numFmtId="0" fontId="26" fillId="0" borderId="0" xfId="17" applyFont="1" applyAlignment="1">
      <alignment horizontal="right" vertical="center"/>
    </xf>
    <xf numFmtId="0" fontId="11" fillId="0" borderId="0" xfId="17" applyFont="1" applyAlignment="1">
      <alignment horizontal="right" vertical="center"/>
    </xf>
    <xf numFmtId="0" fontId="27" fillId="0" borderId="0" xfId="17" applyFont="1"/>
    <xf numFmtId="0" fontId="28" fillId="0" borderId="0" xfId="17" applyFont="1" applyAlignment="1">
      <alignment horizontal="left" vertical="center"/>
    </xf>
    <xf numFmtId="0" fontId="12" fillId="0" borderId="0" xfId="17" applyFont="1"/>
    <xf numFmtId="0" fontId="27" fillId="0" borderId="0" xfId="17" applyFont="1" applyAlignment="1">
      <alignment vertical="center"/>
    </xf>
    <xf numFmtId="4" fontId="26" fillId="0" borderId="0" xfId="17" applyNumberFormat="1" applyFont="1" applyAlignment="1">
      <alignment horizontal="right" vertical="center"/>
    </xf>
    <xf numFmtId="43" fontId="28" fillId="0" borderId="0" xfId="17" applyNumberFormat="1" applyFont="1" applyAlignment="1">
      <alignment horizontal="right" vertical="center"/>
    </xf>
    <xf numFmtId="0" fontId="20" fillId="0" borderId="0" xfId="17" applyFont="1" applyAlignment="1">
      <alignment horizontal="centerContinuous" vertical="center"/>
    </xf>
    <xf numFmtId="0" fontId="20" fillId="0" borderId="0" xfId="17" applyFont="1" applyAlignment="1">
      <alignment horizontal="centerContinuous"/>
    </xf>
    <xf numFmtId="0" fontId="15" fillId="0" borderId="0" xfId="17" applyFont="1" applyAlignment="1">
      <alignment horizontal="left"/>
    </xf>
    <xf numFmtId="0" fontId="12" fillId="0" borderId="0" xfId="17" applyFont="1" applyAlignment="1">
      <alignment horizontal="left"/>
    </xf>
    <xf numFmtId="4" fontId="15" fillId="0" borderId="0" xfId="17" applyNumberFormat="1" applyFont="1"/>
    <xf numFmtId="0" fontId="29" fillId="0" borderId="0" xfId="17" applyFont="1"/>
    <xf numFmtId="0" fontId="26" fillId="0" borderId="0" xfId="17" applyFont="1" applyAlignment="1">
      <alignment horizontal="centerContinuous"/>
    </xf>
    <xf numFmtId="0" fontId="20" fillId="0" borderId="0" xfId="17" applyFont="1" applyAlignment="1">
      <alignment horizontal="right" vertical="center"/>
    </xf>
    <xf numFmtId="0" fontId="26" fillId="0" borderId="0" xfId="17" applyFont="1" applyAlignment="1">
      <alignment horizontal="center"/>
    </xf>
    <xf numFmtId="0" fontId="20" fillId="0" borderId="1" xfId="17" applyFont="1" applyBorder="1" applyAlignment="1">
      <alignment horizontal="center" vertical="center"/>
    </xf>
    <xf numFmtId="0" fontId="26" fillId="0" borderId="1" xfId="17" applyFont="1" applyBorder="1" applyAlignment="1">
      <alignment horizontal="center" vertical="center"/>
    </xf>
    <xf numFmtId="0" fontId="20" fillId="4" borderId="1" xfId="17" applyFont="1" applyFill="1" applyBorder="1" applyAlignment="1">
      <alignment horizontal="center" vertical="center"/>
    </xf>
    <xf numFmtId="0" fontId="20" fillId="4" borderId="15" xfId="17" applyFont="1" applyFill="1" applyBorder="1" applyAlignment="1">
      <alignment horizontal="centerContinuous" vertical="center"/>
    </xf>
    <xf numFmtId="0" fontId="20" fillId="4" borderId="34" xfId="17" applyFont="1" applyFill="1" applyBorder="1" applyAlignment="1">
      <alignment horizontal="centerContinuous" vertical="center"/>
    </xf>
    <xf numFmtId="0" fontId="20" fillId="4" borderId="16" xfId="17" applyFont="1" applyFill="1" applyBorder="1" applyAlignment="1">
      <alignment horizontal="centerContinuous" vertical="center"/>
    </xf>
    <xf numFmtId="0" fontId="20" fillId="4" borderId="35" xfId="17" applyFont="1" applyFill="1" applyBorder="1" applyAlignment="1">
      <alignment horizontal="centerContinuous" vertical="center"/>
    </xf>
    <xf numFmtId="0" fontId="20" fillId="4" borderId="35" xfId="17" applyFont="1" applyFill="1" applyBorder="1" applyAlignment="1">
      <alignment horizontal="center" vertical="center"/>
    </xf>
    <xf numFmtId="0" fontId="11" fillId="0" borderId="0" xfId="17" applyFont="1" applyAlignment="1">
      <alignment horizontal="center" vertical="center"/>
    </xf>
    <xf numFmtId="4" fontId="12" fillId="0" borderId="0" xfId="17" applyNumberFormat="1" applyFont="1" applyAlignment="1">
      <alignment horizontal="right" vertical="center"/>
    </xf>
    <xf numFmtId="0" fontId="12" fillId="0" borderId="0" xfId="17" applyFont="1" applyAlignment="1">
      <alignment horizontal="left" vertical="center"/>
    </xf>
    <xf numFmtId="4" fontId="11" fillId="0" borderId="0" xfId="17" applyNumberFormat="1" applyFont="1" applyAlignment="1">
      <alignment horizontal="center" vertical="center"/>
    </xf>
    <xf numFmtId="0" fontId="11" fillId="0" borderId="0" xfId="17" applyFont="1" applyAlignment="1">
      <alignment horizontal="left" vertical="center"/>
    </xf>
    <xf numFmtId="0" fontId="20" fillId="0" borderId="3" xfId="17" applyFont="1" applyBorder="1" applyAlignment="1">
      <alignment horizontal="center" vertical="center"/>
    </xf>
    <xf numFmtId="0" fontId="20" fillId="0" borderId="36" xfId="17" applyFont="1" applyBorder="1" applyAlignment="1">
      <alignment horizontal="center" vertical="center"/>
    </xf>
    <xf numFmtId="0" fontId="26" fillId="0" borderId="36" xfId="17" applyFont="1" applyBorder="1" applyAlignment="1">
      <alignment horizontal="center" vertical="center"/>
    </xf>
    <xf numFmtId="0" fontId="20" fillId="4" borderId="36" xfId="17" applyFont="1" applyFill="1" applyBorder="1" applyAlignment="1">
      <alignment horizontal="center" vertical="center"/>
    </xf>
    <xf numFmtId="0" fontId="20" fillId="4" borderId="0" xfId="17" applyFont="1" applyFill="1" applyAlignment="1">
      <alignment horizontal="center" vertical="center"/>
    </xf>
    <xf numFmtId="0" fontId="20" fillId="2" borderId="15" xfId="17" applyFont="1" applyFill="1" applyBorder="1" applyAlignment="1">
      <alignment horizontal="center" vertical="center"/>
    </xf>
    <xf numFmtId="0" fontId="26" fillId="0" borderId="17" xfId="17" applyFont="1" applyBorder="1" applyAlignment="1">
      <alignment horizontal="center" vertical="center" wrapText="1"/>
    </xf>
    <xf numFmtId="0" fontId="20" fillId="4" borderId="3" xfId="17" applyFont="1" applyFill="1" applyBorder="1" applyAlignment="1">
      <alignment horizontal="center" vertical="center"/>
    </xf>
    <xf numFmtId="4" fontId="12" fillId="0" borderId="0" xfId="17" applyNumberFormat="1" applyFont="1" applyAlignment="1">
      <alignment vertical="center"/>
    </xf>
    <xf numFmtId="0" fontId="12" fillId="0" borderId="0" xfId="17" applyFont="1" applyAlignment="1">
      <alignment vertical="center"/>
    </xf>
    <xf numFmtId="0" fontId="11" fillId="0" borderId="0" xfId="17" applyFont="1" applyAlignment="1">
      <alignment vertical="center"/>
    </xf>
    <xf numFmtId="0" fontId="20" fillId="0" borderId="37" xfId="4" applyFont="1" applyBorder="1" applyAlignment="1">
      <alignment horizontal="center" vertical="center"/>
    </xf>
    <xf numFmtId="0" fontId="12" fillId="0" borderId="0" xfId="17" applyFont="1" applyAlignment="1">
      <alignment horizontal="center" vertical="center"/>
    </xf>
    <xf numFmtId="0" fontId="20" fillId="0" borderId="5" xfId="17" applyFont="1" applyBorder="1" applyAlignment="1">
      <alignment horizontal="center" vertical="center"/>
    </xf>
    <xf numFmtId="0" fontId="20" fillId="0" borderId="38" xfId="17" applyFont="1" applyBorder="1" applyAlignment="1">
      <alignment horizontal="center" vertical="center"/>
    </xf>
    <xf numFmtId="0" fontId="26" fillId="0" borderId="38" xfId="17" applyFont="1" applyBorder="1" applyAlignment="1">
      <alignment horizontal="center" vertical="center"/>
    </xf>
    <xf numFmtId="0" fontId="20" fillId="4" borderId="38" xfId="17" applyFont="1" applyFill="1" applyBorder="1" applyAlignment="1">
      <alignment horizontal="center" vertical="center"/>
    </xf>
    <xf numFmtId="0" fontId="20" fillId="4" borderId="5" xfId="17" applyFont="1" applyFill="1" applyBorder="1" applyAlignment="1">
      <alignment horizontal="center" vertical="center"/>
    </xf>
    <xf numFmtId="0" fontId="26" fillId="0" borderId="13" xfId="17" applyFont="1" applyBorder="1" applyAlignment="1">
      <alignment horizontal="center" vertical="center"/>
    </xf>
    <xf numFmtId="0" fontId="26" fillId="4" borderId="13" xfId="17" applyFont="1" applyFill="1" applyBorder="1" applyAlignment="1">
      <alignment horizontal="center" vertical="center"/>
    </xf>
    <xf numFmtId="0" fontId="26" fillId="0" borderId="15" xfId="17" applyFont="1" applyBorder="1" applyAlignment="1">
      <alignment horizontal="center" vertical="center"/>
    </xf>
    <xf numFmtId="0" fontId="26" fillId="4" borderId="35" xfId="17" applyFont="1" applyFill="1" applyBorder="1" applyAlignment="1">
      <alignment horizontal="center" vertical="center"/>
    </xf>
    <xf numFmtId="0" fontId="26" fillId="4" borderId="17" xfId="17" applyFont="1" applyFill="1" applyBorder="1" applyAlignment="1">
      <alignment horizontal="center" vertical="center"/>
    </xf>
    <xf numFmtId="4" fontId="11" fillId="0" borderId="0" xfId="17" applyNumberFormat="1" applyFont="1" applyAlignment="1">
      <alignment vertical="center"/>
    </xf>
    <xf numFmtId="0" fontId="20" fillId="0" borderId="13" xfId="17" applyFont="1" applyBorder="1" applyAlignment="1">
      <alignment horizontal="center" vertical="center"/>
    </xf>
    <xf numFmtId="0" fontId="28" fillId="0" borderId="13" xfId="17" applyFont="1" applyBorder="1" applyAlignment="1">
      <alignment horizontal="center" vertical="center" wrapText="1"/>
    </xf>
    <xf numFmtId="0" fontId="20" fillId="0" borderId="13" xfId="4" applyFont="1" applyBorder="1" applyAlignment="1">
      <alignment horizontal="left" vertical="center" wrapText="1"/>
    </xf>
    <xf numFmtId="4" fontId="20" fillId="0" borderId="13" xfId="4" applyNumberFormat="1" applyFont="1" applyBorder="1" applyAlignment="1">
      <alignment horizontal="right" vertical="center"/>
    </xf>
    <xf numFmtId="0" fontId="26" fillId="0" borderId="1" xfId="17" applyFont="1" applyBorder="1" applyAlignment="1">
      <alignment horizontal="center" vertical="center" wrapText="1"/>
    </xf>
    <xf numFmtId="0" fontId="26" fillId="0" borderId="1" xfId="17" applyFont="1" applyBorder="1" applyAlignment="1">
      <alignment vertical="center" wrapText="1"/>
    </xf>
    <xf numFmtId="4" fontId="26" fillId="0" borderId="1" xfId="17" applyNumberFormat="1" applyFont="1" applyBorder="1" applyAlignment="1">
      <alignment vertical="center" wrapText="1"/>
    </xf>
    <xf numFmtId="164" fontId="26" fillId="0" borderId="1" xfId="19" applyNumberFormat="1" applyFont="1" applyBorder="1" applyAlignment="1">
      <alignment horizontal="right" vertical="center"/>
    </xf>
    <xf numFmtId="43" fontId="26" fillId="0" borderId="1" xfId="19" applyFont="1" applyBorder="1" applyAlignment="1">
      <alignment horizontal="right" vertical="center"/>
    </xf>
    <xf numFmtId="0" fontId="28" fillId="0" borderId="5" xfId="17" applyFont="1" applyBorder="1" applyAlignment="1">
      <alignment horizontal="center" vertical="center"/>
    </xf>
    <xf numFmtId="0" fontId="26" fillId="0" borderId="5" xfId="17" applyFont="1" applyBorder="1" applyAlignment="1">
      <alignment horizontal="center" vertical="center"/>
    </xf>
    <xf numFmtId="0" fontId="30" fillId="0" borderId="5" xfId="17" applyFont="1" applyBorder="1" applyAlignment="1">
      <alignment vertical="center" wrapText="1"/>
    </xf>
    <xf numFmtId="4" fontId="26" fillId="0" borderId="5" xfId="4" applyNumberFormat="1" applyFont="1" applyBorder="1" applyAlignment="1">
      <alignment horizontal="right" vertical="center"/>
    </xf>
    <xf numFmtId="0" fontId="26" fillId="0" borderId="5" xfId="17" applyFont="1" applyBorder="1" applyAlignment="1">
      <alignment vertical="center" wrapText="1"/>
    </xf>
    <xf numFmtId="0" fontId="15" fillId="0" borderId="0" xfId="17" applyFont="1" applyAlignment="1">
      <alignment horizontal="center" vertical="center"/>
    </xf>
    <xf numFmtId="0" fontId="33" fillId="0" borderId="0" xfId="14" applyFont="1"/>
    <xf numFmtId="0" fontId="34" fillId="0" borderId="0" xfId="14" applyFont="1"/>
    <xf numFmtId="0" fontId="35" fillId="0" borderId="0" xfId="0" applyFont="1"/>
    <xf numFmtId="0" fontId="35" fillId="0" borderId="0" xfId="0" applyFont="1" applyAlignment="1">
      <alignment horizontal="left"/>
    </xf>
    <xf numFmtId="0" fontId="36" fillId="0" borderId="0" xfId="14" applyFont="1" applyAlignment="1">
      <alignment horizontal="centerContinuous" vertical="center"/>
    </xf>
    <xf numFmtId="0" fontId="37" fillId="0" borderId="1" xfId="14" applyFont="1" applyBorder="1" applyAlignment="1">
      <alignment horizontal="center" vertical="center"/>
    </xf>
    <xf numFmtId="0" fontId="37" fillId="0" borderId="1" xfId="14" applyFont="1" applyBorder="1" applyAlignment="1">
      <alignment horizontal="center" vertical="center" wrapText="1"/>
    </xf>
    <xf numFmtId="0" fontId="38" fillId="0" borderId="1" xfId="14" applyFont="1" applyBorder="1" applyAlignment="1">
      <alignment horizontal="center" vertical="top" wrapText="1"/>
    </xf>
    <xf numFmtId="0" fontId="37" fillId="0" borderId="15" xfId="14" applyFont="1" applyBorder="1" applyAlignment="1">
      <alignment horizontal="centerContinuous" vertical="center"/>
    </xf>
    <xf numFmtId="0" fontId="37" fillId="0" borderId="17" xfId="14" applyFont="1" applyBorder="1" applyAlignment="1">
      <alignment horizontal="centerContinuous" vertical="center"/>
    </xf>
    <xf numFmtId="0" fontId="37" fillId="0" borderId="16" xfId="14" applyFont="1" applyBorder="1" applyAlignment="1">
      <alignment horizontal="centerContinuous" vertical="center"/>
    </xf>
    <xf numFmtId="0" fontId="37" fillId="0" borderId="3" xfId="14" applyFont="1" applyBorder="1" applyAlignment="1">
      <alignment horizontal="center" vertical="center"/>
    </xf>
    <xf numFmtId="0" fontId="37" fillId="0" borderId="3" xfId="14" applyFont="1" applyBorder="1" applyAlignment="1">
      <alignment horizontal="center" vertical="center" wrapText="1"/>
    </xf>
    <xf numFmtId="0" fontId="38" fillId="0" borderId="3" xfId="14" applyFont="1" applyBorder="1" applyAlignment="1">
      <alignment horizontal="center" vertical="center" wrapText="1"/>
    </xf>
    <xf numFmtId="0" fontId="37" fillId="0" borderId="5" xfId="14" applyFont="1" applyBorder="1" applyAlignment="1">
      <alignment horizontal="center" vertical="center"/>
    </xf>
    <xf numFmtId="0" fontId="38" fillId="0" borderId="5" xfId="14" applyFont="1" applyBorder="1" applyAlignment="1">
      <alignment horizontal="center" vertical="center" wrapText="1"/>
    </xf>
    <xf numFmtId="0" fontId="37" fillId="0" borderId="5" xfId="14" applyFont="1" applyBorder="1" applyAlignment="1">
      <alignment horizontal="center" vertical="center" wrapText="1"/>
    </xf>
    <xf numFmtId="0" fontId="39" fillId="0" borderId="13" xfId="14" applyFont="1" applyBorder="1" applyAlignment="1">
      <alignment horizontal="center" vertical="center"/>
    </xf>
    <xf numFmtId="0" fontId="39" fillId="0" borderId="17" xfId="14" applyFont="1" applyBorder="1" applyAlignment="1">
      <alignment horizontal="center" vertical="center"/>
    </xf>
    <xf numFmtId="0" fontId="36" fillId="0" borderId="1" xfId="14" applyFont="1" applyBorder="1" applyAlignment="1">
      <alignment horizontal="center" vertical="center"/>
    </xf>
    <xf numFmtId="0" fontId="36" fillId="0" borderId="13" xfId="14" applyFont="1" applyBorder="1" applyAlignment="1">
      <alignment vertical="center"/>
    </xf>
    <xf numFmtId="4" fontId="37" fillId="0" borderId="17" xfId="14" applyNumberFormat="1" applyFont="1" applyBorder="1" applyAlignment="1">
      <alignment horizontal="center" vertical="center"/>
    </xf>
    <xf numFmtId="4" fontId="37" fillId="0" borderId="13" xfId="14" applyNumberFormat="1" applyFont="1" applyBorder="1" applyAlignment="1">
      <alignment vertical="center"/>
    </xf>
    <xf numFmtId="4" fontId="37" fillId="0" borderId="0" xfId="14" applyNumberFormat="1" applyFont="1"/>
    <xf numFmtId="0" fontId="37" fillId="0" borderId="0" xfId="14" applyFont="1"/>
    <xf numFmtId="0" fontId="36" fillId="0" borderId="3" xfId="14" applyFont="1" applyBorder="1" applyAlignment="1">
      <alignment horizontal="center" vertical="center"/>
    </xf>
    <xf numFmtId="43" fontId="40" fillId="0" borderId="0" xfId="12" applyFont="1"/>
    <xf numFmtId="3" fontId="34" fillId="0" borderId="0" xfId="14" applyNumberFormat="1" applyFont="1"/>
    <xf numFmtId="49" fontId="37" fillId="0" borderId="39" xfId="14" applyNumberFormat="1" applyFont="1" applyBorder="1" applyAlignment="1">
      <alignment horizontal="center" vertical="center"/>
    </xf>
    <xf numFmtId="0" fontId="37" fillId="0" borderId="22" xfId="14" applyFont="1" applyBorder="1" applyAlignment="1">
      <alignment vertical="center" wrapText="1"/>
    </xf>
    <xf numFmtId="4" fontId="36" fillId="0" borderId="40" xfId="0" applyNumberFormat="1" applyFont="1" applyBorder="1" applyAlignment="1">
      <alignment horizontal="center" vertical="center"/>
    </xf>
    <xf numFmtId="4" fontId="37" fillId="0" borderId="21" xfId="0" applyNumberFormat="1" applyFont="1" applyBorder="1" applyAlignment="1">
      <alignment horizontal="right" vertical="center"/>
    </xf>
    <xf numFmtId="49" fontId="34" fillId="0" borderId="19" xfId="14" applyNumberFormat="1" applyFont="1" applyBorder="1" applyAlignment="1">
      <alignment horizontal="center" vertical="center"/>
    </xf>
    <xf numFmtId="0" fontId="41" fillId="0" borderId="19" xfId="0" applyFont="1" applyBorder="1" applyAlignment="1">
      <alignment horizontal="left" vertical="center" wrapText="1"/>
    </xf>
    <xf numFmtId="0" fontId="34" fillId="0" borderId="25" xfId="14" applyFont="1" applyBorder="1" applyAlignment="1">
      <alignment horizontal="center" vertical="top"/>
    </xf>
    <xf numFmtId="0" fontId="34" fillId="0" borderId="14" xfId="14" applyFont="1" applyBorder="1" applyAlignment="1">
      <alignment vertical="top" wrapText="1"/>
    </xf>
    <xf numFmtId="0" fontId="34" fillId="0" borderId="27" xfId="14" applyFont="1" applyBorder="1"/>
    <xf numFmtId="0" fontId="34" fillId="0" borderId="25" xfId="14" applyFont="1" applyBorder="1" applyAlignment="1">
      <alignment horizontal="center" vertical="center"/>
    </xf>
    <xf numFmtId="4" fontId="34" fillId="0" borderId="29" xfId="14" applyNumberFormat="1" applyFont="1" applyBorder="1" applyAlignment="1">
      <alignment horizontal="center"/>
    </xf>
    <xf numFmtId="164" fontId="34" fillId="0" borderId="28" xfId="12" applyNumberFormat="1" applyFont="1" applyFill="1" applyBorder="1"/>
    <xf numFmtId="164" fontId="34" fillId="0" borderId="29" xfId="12" applyNumberFormat="1" applyFont="1" applyFill="1" applyBorder="1"/>
    <xf numFmtId="164" fontId="34" fillId="0" borderId="30" xfId="12" applyNumberFormat="1" applyFont="1" applyFill="1" applyBorder="1"/>
    <xf numFmtId="0" fontId="34" fillId="0" borderId="20" xfId="14" applyFont="1" applyBorder="1" applyAlignment="1">
      <alignment horizontal="center" vertical="center"/>
    </xf>
    <xf numFmtId="4" fontId="34" fillId="0" borderId="20" xfId="14" applyNumberFormat="1" applyFont="1" applyBorder="1" applyAlignment="1">
      <alignment horizontal="center"/>
    </xf>
    <xf numFmtId="43" fontId="34" fillId="0" borderId="31" xfId="12" applyFont="1" applyFill="1" applyBorder="1"/>
    <xf numFmtId="43" fontId="34" fillId="0" borderId="20" xfId="12" applyFont="1" applyFill="1" applyBorder="1"/>
    <xf numFmtId="0" fontId="34" fillId="0" borderId="20" xfId="14" applyFont="1" applyBorder="1"/>
    <xf numFmtId="43" fontId="34" fillId="0" borderId="41" xfId="12" applyFont="1" applyFill="1" applyBorder="1"/>
    <xf numFmtId="0" fontId="34" fillId="0" borderId="0" xfId="14" applyFont="1" applyAlignment="1">
      <alignment horizontal="center" vertical="center"/>
    </xf>
    <xf numFmtId="4" fontId="34" fillId="0" borderId="0" xfId="14" applyNumberFormat="1" applyFont="1" applyAlignment="1">
      <alignment horizontal="center"/>
    </xf>
    <xf numFmtId="4" fontId="34" fillId="0" borderId="0" xfId="14" applyNumberFormat="1" applyFont="1"/>
    <xf numFmtId="4" fontId="34" fillId="0" borderId="0" xfId="14" applyNumberFormat="1" applyFont="1" applyAlignment="1">
      <alignment horizontal="right"/>
    </xf>
    <xf numFmtId="0" fontId="26" fillId="0" borderId="0" xfId="17" applyFont="1" applyAlignment="1">
      <alignment vertical="center"/>
    </xf>
    <xf numFmtId="0" fontId="43" fillId="0" borderId="0" xfId="21" applyFont="1"/>
    <xf numFmtId="0" fontId="43" fillId="0" borderId="0" xfId="21" applyFont="1" applyAlignment="1">
      <alignment horizontal="center"/>
    </xf>
    <xf numFmtId="0" fontId="11" fillId="0" borderId="0" xfId="21" applyFont="1"/>
    <xf numFmtId="0" fontId="11" fillId="0" borderId="0" xfId="21" applyFont="1" applyAlignment="1">
      <alignment horizontal="left"/>
    </xf>
    <xf numFmtId="0" fontId="44" fillId="0" borderId="0" xfId="21" applyFont="1" applyAlignment="1">
      <alignment horizontal="centerContinuous" vertical="center" wrapText="1"/>
    </xf>
    <xf numFmtId="0" fontId="44" fillId="0" borderId="0" xfId="21" applyFont="1" applyAlignment="1">
      <alignment horizontal="centerContinuous" wrapText="1"/>
    </xf>
    <xf numFmtId="0" fontId="12" fillId="0" borderId="0" xfId="21" applyFont="1" applyAlignment="1">
      <alignment horizontal="right"/>
    </xf>
    <xf numFmtId="0" fontId="44" fillId="2" borderId="13" xfId="21" applyFont="1" applyFill="1" applyBorder="1" applyAlignment="1">
      <alignment horizontal="center" vertical="center"/>
    </xf>
    <xf numFmtId="0" fontId="43" fillId="2" borderId="15" xfId="16" applyFont="1" applyFill="1" applyBorder="1" applyAlignment="1">
      <alignment horizontal="center" vertical="center"/>
    </xf>
    <xf numFmtId="0" fontId="44" fillId="2" borderId="15" xfId="21" applyFont="1" applyFill="1" applyBorder="1" applyAlignment="1">
      <alignment horizontal="centerContinuous" vertical="center"/>
    </xf>
    <xf numFmtId="0" fontId="24" fillId="2" borderId="13" xfId="21" applyFont="1" applyFill="1" applyBorder="1" applyAlignment="1">
      <alignment horizontal="center" vertical="center"/>
    </xf>
    <xf numFmtId="0" fontId="24" fillId="2" borderId="15" xfId="16" applyFont="1" applyFill="1" applyBorder="1" applyAlignment="1">
      <alignment horizontal="center" vertical="top"/>
    </xf>
    <xf numFmtId="0" fontId="24" fillId="2" borderId="15" xfId="21" applyFont="1" applyFill="1" applyBorder="1" applyAlignment="1">
      <alignment horizontal="centerContinuous" vertical="center"/>
    </xf>
    <xf numFmtId="0" fontId="24" fillId="0" borderId="0" xfId="21" applyFont="1"/>
    <xf numFmtId="0" fontId="43" fillId="0" borderId="16" xfId="16" applyFont="1" applyFill="1" applyBorder="1" applyAlignment="1">
      <alignment horizontal="center" vertical="top"/>
    </xf>
    <xf numFmtId="0" fontId="43" fillId="0" borderId="13" xfId="21" applyFont="1" applyBorder="1" applyAlignment="1">
      <alignment vertical="center"/>
    </xf>
    <xf numFmtId="0" fontId="43" fillId="0" borderId="13" xfId="11" applyFont="1" applyBorder="1" applyAlignment="1">
      <alignment horizontal="right" vertical="center"/>
    </xf>
    <xf numFmtId="0" fontId="43" fillId="0" borderId="13" xfId="11" applyFont="1" applyBorder="1" applyAlignment="1">
      <alignment vertical="center" wrapText="1"/>
    </xf>
    <xf numFmtId="4" fontId="43" fillId="0" borderId="13" xfId="11" applyNumberFormat="1" applyFont="1" applyBorder="1" applyAlignment="1">
      <alignment vertical="center"/>
    </xf>
    <xf numFmtId="0" fontId="43" fillId="2" borderId="13" xfId="21" applyFont="1" applyFill="1" applyBorder="1" applyAlignment="1">
      <alignment vertical="center"/>
    </xf>
    <xf numFmtId="0" fontId="43" fillId="2" borderId="13" xfId="16" applyFont="1" applyFill="1" applyBorder="1" applyAlignment="1">
      <alignment horizontal="center" vertical="center"/>
    </xf>
    <xf numFmtId="0" fontId="43" fillId="2" borderId="13" xfId="21" applyFont="1" applyFill="1" applyBorder="1" applyAlignment="1">
      <alignment horizontal="left" vertical="center" wrapText="1"/>
    </xf>
    <xf numFmtId="4" fontId="43" fillId="0" borderId="13" xfId="21" applyNumberFormat="1" applyFont="1" applyBorder="1" applyAlignment="1">
      <alignment vertical="center"/>
    </xf>
    <xf numFmtId="0" fontId="25" fillId="0" borderId="0" xfId="21" applyFont="1"/>
    <xf numFmtId="0" fontId="43" fillId="2" borderId="15" xfId="21" applyFont="1" applyFill="1" applyBorder="1" applyAlignment="1">
      <alignment vertical="top" wrapText="1"/>
    </xf>
    <xf numFmtId="4" fontId="43" fillId="0" borderId="0" xfId="21" applyNumberFormat="1" applyFont="1"/>
    <xf numFmtId="0" fontId="43" fillId="2" borderId="15" xfId="21" applyFont="1" applyFill="1" applyBorder="1" applyAlignment="1">
      <alignment vertical="center" wrapText="1"/>
    </xf>
    <xf numFmtId="4" fontId="43" fillId="0" borderId="5" xfId="21" applyNumberFormat="1" applyFont="1" applyBorder="1"/>
    <xf numFmtId="0" fontId="43" fillId="2" borderId="6" xfId="16" applyFont="1" applyFill="1" applyBorder="1" applyAlignment="1">
      <alignment horizontal="center" vertical="center" wrapText="1"/>
    </xf>
    <xf numFmtId="0" fontId="43" fillId="2" borderId="6" xfId="21" applyFont="1" applyFill="1" applyBorder="1" applyAlignment="1">
      <alignment vertical="center" wrapText="1"/>
    </xf>
    <xf numFmtId="4" fontId="43" fillId="0" borderId="5" xfId="21" applyNumberFormat="1" applyFont="1" applyBorder="1" applyAlignment="1">
      <alignment vertical="center"/>
    </xf>
    <xf numFmtId="0" fontId="43" fillId="2" borderId="6" xfId="16" applyFont="1" applyFill="1" applyBorder="1" applyAlignment="1">
      <alignment horizontal="center" vertical="center"/>
    </xf>
    <xf numFmtId="0" fontId="43" fillId="2" borderId="6" xfId="21" applyFont="1" applyFill="1" applyBorder="1" applyAlignment="1">
      <alignment vertical="center"/>
    </xf>
    <xf numFmtId="0" fontId="43" fillId="0" borderId="1" xfId="21" applyFont="1" applyBorder="1" applyAlignment="1">
      <alignment vertical="center"/>
    </xf>
    <xf numFmtId="0" fontId="43" fillId="2" borderId="1" xfId="21" applyFont="1" applyFill="1" applyBorder="1" applyAlignment="1">
      <alignment vertical="center"/>
    </xf>
    <xf numFmtId="0" fontId="43" fillId="2" borderId="35" xfId="21" applyFont="1" applyFill="1" applyBorder="1" applyAlignment="1">
      <alignment vertical="center"/>
    </xf>
    <xf numFmtId="0" fontId="43" fillId="2" borderId="34" xfId="16" applyFont="1" applyFill="1" applyBorder="1" applyAlignment="1">
      <alignment horizontal="center" vertical="center"/>
    </xf>
    <xf numFmtId="0" fontId="43" fillId="0" borderId="15" xfId="21" applyFont="1" applyBorder="1" applyAlignment="1">
      <alignment vertical="top" wrapText="1"/>
    </xf>
    <xf numFmtId="0" fontId="43" fillId="0" borderId="15" xfId="16" applyFont="1" applyFill="1" applyBorder="1" applyAlignment="1">
      <alignment horizontal="center" vertical="center"/>
    </xf>
    <xf numFmtId="0" fontId="43" fillId="0" borderId="15" xfId="21" applyFont="1" applyBorder="1" applyAlignment="1">
      <alignment vertical="center" wrapText="1"/>
    </xf>
    <xf numFmtId="0" fontId="43" fillId="2" borderId="1" xfId="21" applyFont="1" applyFill="1" applyBorder="1" applyAlignment="1">
      <alignment horizontal="right" vertical="center"/>
    </xf>
    <xf numFmtId="0" fontId="43" fillId="2" borderId="35" xfId="21" applyFont="1" applyFill="1" applyBorder="1" applyAlignment="1">
      <alignment horizontal="right" vertical="center"/>
    </xf>
    <xf numFmtId="0" fontId="43" fillId="2" borderId="15" xfId="21" applyFont="1" applyFill="1" applyBorder="1" applyAlignment="1">
      <alignment wrapText="1"/>
    </xf>
    <xf numFmtId="49" fontId="11" fillId="0" borderId="1" xfId="21" applyNumberFormat="1" applyFont="1" applyBorder="1" applyAlignment="1">
      <alignment horizontal="right"/>
    </xf>
    <xf numFmtId="0" fontId="11" fillId="2" borderId="1" xfId="21" applyFont="1" applyFill="1" applyBorder="1" applyAlignment="1">
      <alignment horizontal="right" vertical="top"/>
    </xf>
    <xf numFmtId="0" fontId="11" fillId="2" borderId="35" xfId="21" applyFont="1" applyFill="1" applyBorder="1" applyAlignment="1">
      <alignment horizontal="right" vertical="top"/>
    </xf>
    <xf numFmtId="0" fontId="11" fillId="2" borderId="34" xfId="16" applyFont="1" applyFill="1" applyBorder="1" applyAlignment="1">
      <alignment horizontal="center" vertical="top"/>
    </xf>
    <xf numFmtId="0" fontId="11" fillId="2" borderId="15" xfId="21" applyFont="1" applyFill="1" applyBorder="1" applyAlignment="1">
      <alignment wrapText="1"/>
    </xf>
    <xf numFmtId="4" fontId="11" fillId="0" borderId="13" xfId="21" applyNumberFormat="1" applyFont="1" applyBorder="1" applyAlignment="1">
      <alignment vertical="center"/>
    </xf>
    <xf numFmtId="0" fontId="43" fillId="0" borderId="13" xfId="21" applyFont="1" applyBorder="1"/>
    <xf numFmtId="0" fontId="43" fillId="2" borderId="13" xfId="21" applyFont="1" applyFill="1" applyBorder="1"/>
    <xf numFmtId="0" fontId="43" fillId="2" borderId="15" xfId="16" applyFont="1" applyFill="1" applyBorder="1" applyAlignment="1">
      <alignment horizontal="center"/>
    </xf>
    <xf numFmtId="4" fontId="43" fillId="0" borderId="13" xfId="21" applyNumberFormat="1" applyFont="1" applyBorder="1"/>
    <xf numFmtId="0" fontId="43" fillId="2" borderId="15" xfId="16" applyFont="1" applyFill="1" applyBorder="1" applyAlignment="1">
      <alignment horizontal="center" vertical="top" wrapText="1"/>
    </xf>
    <xf numFmtId="0" fontId="43" fillId="0" borderId="15" xfId="21" applyFont="1" applyBorder="1" applyAlignment="1">
      <alignment wrapText="1"/>
    </xf>
    <xf numFmtId="0" fontId="43" fillId="0" borderId="13" xfId="21" quotePrefix="1" applyFont="1" applyBorder="1" applyAlignment="1">
      <alignment horizontal="right" vertical="center"/>
    </xf>
    <xf numFmtId="0" fontId="43" fillId="0" borderId="15" xfId="21" quotePrefix="1" applyFont="1" applyBorder="1" applyAlignment="1">
      <alignment vertical="top" wrapText="1"/>
    </xf>
    <xf numFmtId="4" fontId="43" fillId="0" borderId="13" xfId="21" applyNumberFormat="1" applyFont="1" applyBorder="1" applyAlignment="1">
      <alignment horizontal="right" vertical="center"/>
    </xf>
    <xf numFmtId="0" fontId="45" fillId="0" borderId="0" xfId="21" applyFont="1" applyAlignment="1">
      <alignment horizontal="center" vertical="center"/>
    </xf>
    <xf numFmtId="0" fontId="43" fillId="2" borderId="15" xfId="21" applyFont="1" applyFill="1" applyBorder="1" applyAlignment="1">
      <alignment vertical="center"/>
    </xf>
    <xf numFmtId="0" fontId="43" fillId="2" borderId="15" xfId="16" applyFont="1" applyFill="1" applyBorder="1" applyAlignment="1">
      <alignment horizontal="center" vertical="center" wrapText="1"/>
    </xf>
    <xf numFmtId="0" fontId="43" fillId="0" borderId="16" xfId="16" applyFont="1" applyFill="1" applyBorder="1" applyAlignment="1">
      <alignment horizontal="center" vertical="center"/>
    </xf>
    <xf numFmtId="0" fontId="43" fillId="0" borderId="0" xfId="21" applyFont="1" applyAlignment="1">
      <alignment vertical="center"/>
    </xf>
    <xf numFmtId="4" fontId="43" fillId="0" borderId="0" xfId="21" applyNumberFormat="1" applyFont="1" applyAlignment="1">
      <alignment vertical="center"/>
    </xf>
    <xf numFmtId="0" fontId="43" fillId="2" borderId="15" xfId="16" applyFont="1" applyFill="1" applyBorder="1" applyAlignment="1">
      <alignment horizontal="center" vertical="top"/>
    </xf>
    <xf numFmtId="0" fontId="44" fillId="0" borderId="13" xfId="21" applyFont="1" applyBorder="1" applyAlignment="1">
      <alignment horizontal="center" vertical="center"/>
    </xf>
    <xf numFmtId="0" fontId="11" fillId="0" borderId="15" xfId="21" applyFont="1" applyBorder="1"/>
    <xf numFmtId="0" fontId="11" fillId="0" borderId="16" xfId="21" applyFont="1" applyBorder="1"/>
    <xf numFmtId="0" fontId="11" fillId="0" borderId="17" xfId="21" applyFont="1" applyBorder="1"/>
    <xf numFmtId="0" fontId="11" fillId="0" borderId="16" xfId="16" applyFont="1" applyFill="1" applyBorder="1" applyAlignment="1">
      <alignment horizontal="center" vertical="top"/>
    </xf>
    <xf numFmtId="0" fontId="11" fillId="0" borderId="15" xfId="21" applyFont="1" applyBorder="1" applyAlignment="1">
      <alignment vertical="center" wrapText="1"/>
    </xf>
    <xf numFmtId="4" fontId="11" fillId="0" borderId="13" xfId="21" applyNumberFormat="1" applyFont="1" applyBorder="1"/>
    <xf numFmtId="0" fontId="11" fillId="0" borderId="4" xfId="21" applyFont="1" applyBorder="1"/>
    <xf numFmtId="0" fontId="11" fillId="0" borderId="36" xfId="21" applyFont="1" applyBorder="1"/>
    <xf numFmtId="0" fontId="11" fillId="0" borderId="36" xfId="16" applyFont="1" applyFill="1" applyBorder="1" applyAlignment="1">
      <alignment horizontal="center" vertical="top"/>
    </xf>
    <xf numFmtId="0" fontId="11" fillId="0" borderId="12" xfId="21" applyFont="1" applyBorder="1" applyAlignment="1">
      <alignment horizontal="left" wrapText="1"/>
    </xf>
    <xf numFmtId="4" fontId="11" fillId="0" borderId="11" xfId="21" applyNumberFormat="1" applyFont="1" applyBorder="1"/>
    <xf numFmtId="0" fontId="45" fillId="0" borderId="0" xfId="21" applyFont="1"/>
    <xf numFmtId="0" fontId="11" fillId="0" borderId="0" xfId="16" applyFont="1" applyFill="1" applyBorder="1" applyAlignment="1">
      <alignment horizontal="center" vertical="top"/>
    </xf>
    <xf numFmtId="0" fontId="11" fillId="0" borderId="12" xfId="21" applyFont="1" applyBorder="1" applyAlignment="1">
      <alignment horizontal="left" vertical="center" wrapText="1"/>
    </xf>
    <xf numFmtId="0" fontId="11" fillId="0" borderId="42" xfId="21" applyFont="1" applyBorder="1" applyAlignment="1">
      <alignment horizontal="left" vertical="center" wrapText="1"/>
    </xf>
    <xf numFmtId="4" fontId="11" fillId="0" borderId="43" xfId="21" applyNumberFormat="1" applyFont="1" applyBorder="1"/>
    <xf numFmtId="0" fontId="11" fillId="0" borderId="6" xfId="21" applyFont="1" applyBorder="1"/>
    <xf numFmtId="0" fontId="11" fillId="0" borderId="44" xfId="21" applyFont="1" applyBorder="1"/>
    <xf numFmtId="0" fontId="11" fillId="0" borderId="38" xfId="21" applyFont="1" applyBorder="1"/>
    <xf numFmtId="0" fontId="11" fillId="0" borderId="44" xfId="16" applyFont="1" applyFill="1" applyBorder="1" applyAlignment="1">
      <alignment horizontal="center" vertical="top"/>
    </xf>
    <xf numFmtId="0" fontId="11" fillId="0" borderId="6" xfId="21" applyFont="1" applyBorder="1" applyAlignment="1">
      <alignment horizontal="left" wrapText="1"/>
    </xf>
    <xf numFmtId="4" fontId="11" fillId="0" borderId="5" xfId="21" applyNumberFormat="1" applyFont="1" applyBorder="1"/>
    <xf numFmtId="0" fontId="43" fillId="2" borderId="15" xfId="21" applyFont="1" applyFill="1" applyBorder="1"/>
    <xf numFmtId="0" fontId="11" fillId="0" borderId="33" xfId="21" applyFont="1" applyBorder="1" applyAlignment="1">
      <alignment horizontal="left" vertical="center" wrapText="1"/>
    </xf>
    <xf numFmtId="4" fontId="11" fillId="0" borderId="32" xfId="21" applyNumberFormat="1" applyFont="1" applyBorder="1"/>
    <xf numFmtId="0" fontId="11" fillId="0" borderId="2" xfId="21" applyFont="1" applyBorder="1"/>
    <xf numFmtId="0" fontId="11" fillId="0" borderId="34" xfId="21" applyFont="1" applyBorder="1"/>
    <xf numFmtId="0" fontId="11" fillId="0" borderId="35" xfId="21" applyFont="1" applyBorder="1"/>
    <xf numFmtId="0" fontId="11" fillId="0" borderId="34" xfId="16" applyFont="1" applyFill="1" applyBorder="1" applyAlignment="1">
      <alignment horizontal="center" vertical="top"/>
    </xf>
    <xf numFmtId="0" fontId="11" fillId="0" borderId="33" xfId="21" applyFont="1" applyBorder="1" applyAlignment="1">
      <alignment vertical="center" wrapText="1"/>
    </xf>
    <xf numFmtId="0" fontId="11" fillId="0" borderId="42" xfId="21" applyFont="1" applyBorder="1" applyAlignment="1">
      <alignment vertical="center" wrapText="1"/>
    </xf>
    <xf numFmtId="0" fontId="11" fillId="0" borderId="42" xfId="21" applyFont="1" applyBorder="1"/>
    <xf numFmtId="0" fontId="11" fillId="0" borderId="6" xfId="21" applyFont="1" applyBorder="1" applyAlignment="1">
      <alignment vertical="center" wrapText="1"/>
    </xf>
    <xf numFmtId="0" fontId="11" fillId="0" borderId="1" xfId="16" applyFont="1" applyFill="1" applyBorder="1" applyAlignment="1">
      <alignment horizontal="center" vertical="top"/>
    </xf>
    <xf numFmtId="0" fontId="11" fillId="0" borderId="18" xfId="21" applyFont="1" applyBorder="1" applyAlignment="1">
      <alignment vertical="center" wrapText="1"/>
    </xf>
    <xf numFmtId="4" fontId="11" fillId="0" borderId="14" xfId="21" applyNumberFormat="1" applyFont="1" applyBorder="1"/>
    <xf numFmtId="0" fontId="43" fillId="2" borderId="13" xfId="16" applyFont="1" applyFill="1" applyBorder="1" applyAlignment="1">
      <alignment horizontal="center"/>
    </xf>
    <xf numFmtId="0" fontId="43" fillId="2" borderId="16" xfId="21" applyFont="1" applyFill="1" applyBorder="1"/>
    <xf numFmtId="0" fontId="11" fillId="0" borderId="13" xfId="16" applyFont="1" applyFill="1" applyBorder="1" applyAlignment="1">
      <alignment horizontal="center" vertical="top"/>
    </xf>
    <xf numFmtId="0" fontId="11" fillId="0" borderId="16" xfId="21" applyFont="1" applyBorder="1" applyAlignment="1">
      <alignment horizontal="left" vertical="center" wrapText="1"/>
    </xf>
    <xf numFmtId="0" fontId="43" fillId="2" borderId="13" xfId="16" applyFont="1" applyFill="1" applyBorder="1" applyAlignment="1">
      <alignment horizontal="center" vertical="center" wrapText="1"/>
    </xf>
    <xf numFmtId="0" fontId="43" fillId="2" borderId="16" xfId="21" applyFont="1" applyFill="1" applyBorder="1" applyAlignment="1">
      <alignment vertical="center"/>
    </xf>
    <xf numFmtId="0" fontId="11" fillId="0" borderId="33" xfId="21" applyFont="1" applyBorder="1"/>
    <xf numFmtId="0" fontId="11" fillId="0" borderId="42" xfId="21" applyFont="1" applyBorder="1" applyAlignment="1">
      <alignment horizontal="left" wrapText="1"/>
    </xf>
    <xf numFmtId="0" fontId="11" fillId="0" borderId="0" xfId="16" quotePrefix="1" applyFont="1" applyFill="1" applyBorder="1" applyAlignment="1">
      <alignment horizontal="center" vertical="top"/>
    </xf>
    <xf numFmtId="0" fontId="11" fillId="0" borderId="12" xfId="21" applyFont="1" applyBorder="1"/>
    <xf numFmtId="0" fontId="11" fillId="0" borderId="36" xfId="16" quotePrefix="1" applyFont="1" applyFill="1" applyBorder="1" applyAlignment="1">
      <alignment horizontal="center" vertical="top"/>
    </xf>
    <xf numFmtId="0" fontId="43" fillId="0" borderId="15" xfId="16" applyFont="1" applyFill="1" applyBorder="1" applyAlignment="1">
      <alignment horizontal="center" vertical="center" wrapText="1"/>
    </xf>
    <xf numFmtId="0" fontId="11" fillId="0" borderId="45" xfId="21" applyFont="1" applyBorder="1" applyAlignment="1">
      <alignment horizontal="left" vertical="center" wrapText="1"/>
    </xf>
    <xf numFmtId="4" fontId="11" fillId="0" borderId="46" xfId="21" applyNumberFormat="1" applyFont="1" applyBorder="1"/>
    <xf numFmtId="0" fontId="11" fillId="0" borderId="33" xfId="21" applyFont="1" applyBorder="1" applyAlignment="1">
      <alignment horizontal="left" wrapText="1"/>
    </xf>
    <xf numFmtId="0" fontId="11" fillId="0" borderId="12" xfId="21" applyFont="1" applyBorder="1" applyAlignment="1">
      <alignment wrapText="1"/>
    </xf>
    <xf numFmtId="0" fontId="11" fillId="0" borderId="0" xfId="21" applyFont="1" applyAlignment="1">
      <alignment vertical="center"/>
    </xf>
    <xf numFmtId="0" fontId="11" fillId="0" borderId="12" xfId="21" applyFont="1" applyBorder="1" applyAlignment="1">
      <alignment vertical="center" wrapText="1"/>
    </xf>
    <xf numFmtId="0" fontId="11" fillId="0" borderId="6" xfId="21" applyFont="1" applyBorder="1" applyAlignment="1">
      <alignment horizontal="left" vertical="center" wrapText="1"/>
    </xf>
    <xf numFmtId="0" fontId="43" fillId="0" borderId="13" xfId="16" applyFont="1" applyFill="1" applyBorder="1" applyAlignment="1">
      <alignment horizontal="center" vertical="top"/>
    </xf>
    <xf numFmtId="0" fontId="11" fillId="0" borderId="34" xfId="16" quotePrefix="1" applyFont="1" applyFill="1" applyBorder="1" applyAlignment="1">
      <alignment horizontal="center" vertical="top"/>
    </xf>
    <xf numFmtId="0" fontId="11" fillId="0" borderId="44" xfId="16" quotePrefix="1" applyFont="1" applyFill="1" applyBorder="1" applyAlignment="1">
      <alignment horizontal="center" vertical="top"/>
    </xf>
    <xf numFmtId="0" fontId="11" fillId="0" borderId="11" xfId="21" applyFont="1" applyBorder="1" applyAlignment="1">
      <alignment horizontal="left" vertical="center" wrapText="1"/>
    </xf>
    <xf numFmtId="0" fontId="43" fillId="0" borderId="5" xfId="21" applyFont="1" applyBorder="1"/>
    <xf numFmtId="0" fontId="43" fillId="0" borderId="13" xfId="16" applyFont="1" applyFill="1" applyBorder="1" applyAlignment="1">
      <alignment horizontal="center"/>
    </xf>
    <xf numFmtId="0" fontId="43" fillId="2" borderId="44" xfId="21" applyFont="1" applyFill="1" applyBorder="1"/>
    <xf numFmtId="0" fontId="11" fillId="0" borderId="5" xfId="16" applyFont="1" applyFill="1" applyBorder="1" applyAlignment="1">
      <alignment horizontal="center" vertical="top"/>
    </xf>
    <xf numFmtId="0" fontId="43" fillId="0" borderId="13" xfId="11" applyFont="1" applyBorder="1"/>
    <xf numFmtId="0" fontId="43" fillId="2" borderId="16" xfId="11" applyFont="1" applyFill="1" applyBorder="1"/>
    <xf numFmtId="0" fontId="11" fillId="0" borderId="16" xfId="21" applyFont="1" applyBorder="1" applyAlignment="1">
      <alignment vertical="top" wrapText="1"/>
    </xf>
    <xf numFmtId="0" fontId="43" fillId="0" borderId="13" xfId="16" applyFont="1" applyFill="1" applyBorder="1" applyAlignment="1">
      <alignment horizontal="center" vertical="center" wrapText="1"/>
    </xf>
    <xf numFmtId="0" fontId="11" fillId="0" borderId="43" xfId="21" applyFont="1" applyBorder="1" applyAlignment="1">
      <alignment vertical="center" wrapText="1"/>
    </xf>
    <xf numFmtId="4" fontId="11" fillId="0" borderId="3" xfId="21" applyNumberFormat="1" applyFont="1" applyBorder="1"/>
    <xf numFmtId="0" fontId="43" fillId="0" borderId="5" xfId="21" applyFont="1" applyBorder="1" applyAlignment="1">
      <alignment vertical="center"/>
    </xf>
    <xf numFmtId="0" fontId="43" fillId="0" borderId="13" xfId="16" applyFont="1" applyFill="1" applyBorder="1" applyAlignment="1">
      <alignment horizontal="center" vertical="center"/>
    </xf>
    <xf numFmtId="0" fontId="43" fillId="2" borderId="15" xfId="21" applyFont="1" applyFill="1" applyBorder="1" applyAlignment="1">
      <alignment horizontal="left" vertical="top" wrapText="1"/>
    </xf>
    <xf numFmtId="0" fontId="11" fillId="0" borderId="47" xfId="21" applyFont="1" applyBorder="1" applyAlignment="1">
      <alignment vertical="top" wrapText="1"/>
    </xf>
    <xf numFmtId="4" fontId="11" fillId="2" borderId="13" xfId="21" applyNumberFormat="1" applyFont="1" applyFill="1" applyBorder="1"/>
    <xf numFmtId="0" fontId="44" fillId="0" borderId="15" xfId="21" applyFont="1" applyBorder="1" applyAlignment="1">
      <alignment horizontal="center" vertical="center"/>
    </xf>
    <xf numFmtId="0" fontId="44" fillId="0" borderId="16" xfId="21" applyFont="1" applyBorder="1" applyAlignment="1">
      <alignment horizontal="center" vertical="center"/>
    </xf>
    <xf numFmtId="4" fontId="44" fillId="0" borderId="13" xfId="21" applyNumberFormat="1" applyFont="1" applyBorder="1" applyAlignment="1">
      <alignment vertical="center"/>
    </xf>
    <xf numFmtId="0" fontId="47" fillId="0" borderId="0" xfId="17" applyFont="1"/>
    <xf numFmtId="0" fontId="46" fillId="0" borderId="0" xfId="17" applyFont="1" applyAlignment="1">
      <alignment horizontal="centerContinuous" vertical="center"/>
    </xf>
    <xf numFmtId="0" fontId="49" fillId="0" borderId="0" xfId="17" applyFont="1"/>
    <xf numFmtId="0" fontId="19" fillId="0" borderId="0" xfId="17" applyFont="1" applyAlignment="1">
      <alignment horizontal="center" vertical="center"/>
    </xf>
    <xf numFmtId="0" fontId="15" fillId="4" borderId="1" xfId="17" applyFont="1" applyFill="1" applyBorder="1" applyAlignment="1">
      <alignment horizontal="center" vertical="center"/>
    </xf>
    <xf numFmtId="0" fontId="15" fillId="4" borderId="2" xfId="17" applyFont="1" applyFill="1" applyBorder="1" applyAlignment="1">
      <alignment horizontal="center" vertical="center"/>
    </xf>
    <xf numFmtId="0" fontId="15" fillId="4" borderId="2" xfId="17" applyFont="1" applyFill="1" applyBorder="1" applyAlignment="1">
      <alignment horizontal="center" vertical="center" wrapText="1"/>
    </xf>
    <xf numFmtId="0" fontId="15" fillId="4" borderId="3" xfId="17" applyFont="1" applyFill="1" applyBorder="1" applyAlignment="1">
      <alignment horizontal="center" vertical="center"/>
    </xf>
    <xf numFmtId="0" fontId="15" fillId="4" borderId="5" xfId="17" applyFont="1" applyFill="1" applyBorder="1" applyAlignment="1">
      <alignment horizontal="center" vertical="center"/>
    </xf>
    <xf numFmtId="0" fontId="11" fillId="4" borderId="13" xfId="17" applyFont="1" applyFill="1" applyBorder="1" applyAlignment="1">
      <alignment horizontal="center" vertical="center"/>
    </xf>
    <xf numFmtId="0" fontId="15" fillId="0" borderId="5" xfId="17" applyFont="1" applyBorder="1" applyAlignment="1">
      <alignment vertical="center"/>
    </xf>
    <xf numFmtId="0" fontId="15" fillId="0" borderId="5" xfId="17" applyFont="1" applyBorder="1" applyAlignment="1">
      <alignment horizontal="center" vertical="center"/>
    </xf>
    <xf numFmtId="3" fontId="16" fillId="0" borderId="14" xfId="17" applyNumberFormat="1" applyFont="1" applyBorder="1" applyAlignment="1">
      <alignment vertical="center"/>
    </xf>
    <xf numFmtId="0" fontId="11" fillId="0" borderId="3" xfId="17" applyFont="1" applyBorder="1" applyAlignment="1">
      <alignment horizontal="center" vertical="center"/>
    </xf>
    <xf numFmtId="0" fontId="16" fillId="0" borderId="3" xfId="17" applyFont="1" applyBorder="1" applyAlignment="1">
      <alignment horizontal="center" vertical="center"/>
    </xf>
    <xf numFmtId="0" fontId="11" fillId="0" borderId="1" xfId="17" applyFont="1" applyBorder="1" applyAlignment="1">
      <alignment horizontal="left" vertical="center" indent="2"/>
    </xf>
    <xf numFmtId="4" fontId="16" fillId="0" borderId="1" xfId="17" applyNumberFormat="1" applyFont="1" applyBorder="1" applyAlignment="1">
      <alignment vertical="center"/>
    </xf>
    <xf numFmtId="0" fontId="11" fillId="0" borderId="3" xfId="17" applyFont="1" applyBorder="1" applyAlignment="1">
      <alignment horizontal="left" vertical="center" indent="2"/>
    </xf>
    <xf numFmtId="4" fontId="16" fillId="0" borderId="3" xfId="17" applyNumberFormat="1" applyFont="1" applyBorder="1" applyAlignment="1">
      <alignment vertical="center"/>
    </xf>
    <xf numFmtId="0" fontId="11" fillId="0" borderId="5" xfId="17" applyFont="1" applyBorder="1" applyAlignment="1">
      <alignment horizontal="center" vertical="center"/>
    </xf>
    <xf numFmtId="0" fontId="16" fillId="0" borderId="5" xfId="17" applyFont="1" applyBorder="1" applyAlignment="1">
      <alignment horizontal="center" vertical="top"/>
    </xf>
    <xf numFmtId="0" fontId="11" fillId="0" borderId="5" xfId="17" applyFont="1" applyBorder="1" applyAlignment="1">
      <alignment horizontal="left" vertical="center" indent="2"/>
    </xf>
    <xf numFmtId="4" fontId="16" fillId="0" borderId="5" xfId="17" applyNumberFormat="1" applyFont="1" applyBorder="1" applyAlignment="1">
      <alignment vertical="top"/>
    </xf>
    <xf numFmtId="0" fontId="11" fillId="0" borderId="6" xfId="17" applyFont="1" applyBorder="1" applyAlignment="1">
      <alignment horizontal="center" vertical="center"/>
    </xf>
    <xf numFmtId="0" fontId="15" fillId="0" borderId="13" xfId="17" applyFont="1" applyBorder="1" applyAlignment="1">
      <alignment horizontal="center" vertical="center"/>
    </xf>
    <xf numFmtId="0" fontId="11" fillId="0" borderId="6" xfId="17" applyFont="1" applyBorder="1" applyAlignment="1">
      <alignment horizontal="left" vertical="center" indent="2"/>
    </xf>
    <xf numFmtId="4" fontId="16" fillId="0" borderId="6" xfId="17" applyNumberFormat="1" applyFont="1" applyBorder="1" applyAlignment="1">
      <alignment vertical="top"/>
    </xf>
    <xf numFmtId="0" fontId="11" fillId="0" borderId="6" xfId="17" applyFont="1" applyBorder="1" applyAlignment="1">
      <alignment horizontal="center" vertical="top"/>
    </xf>
    <xf numFmtId="0" fontId="16" fillId="0" borderId="3" xfId="17" applyFont="1" applyBorder="1" applyAlignment="1">
      <alignment horizontal="center" vertical="top"/>
    </xf>
    <xf numFmtId="0" fontId="11" fillId="0" borderId="3" xfId="17" applyFont="1" applyBorder="1" applyAlignment="1">
      <alignment horizontal="left" vertical="center" wrapText="1" indent="2"/>
    </xf>
    <xf numFmtId="4" fontId="16" fillId="0" borderId="6" xfId="17" applyNumberFormat="1" applyFont="1" applyBorder="1"/>
    <xf numFmtId="4" fontId="16" fillId="0" borderId="5" xfId="17" applyNumberFormat="1" applyFont="1" applyBorder="1"/>
    <xf numFmtId="0" fontId="11" fillId="0" borderId="15" xfId="17" applyFont="1" applyBorder="1" applyAlignment="1">
      <alignment horizontal="center" vertical="center"/>
    </xf>
    <xf numFmtId="0" fontId="16" fillId="0" borderId="16" xfId="17" applyFont="1" applyBorder="1" applyAlignment="1">
      <alignment horizontal="center" vertical="top"/>
    </xf>
    <xf numFmtId="0" fontId="16" fillId="0" borderId="0" xfId="17" applyFont="1" applyAlignment="1">
      <alignment horizontal="center" vertical="center"/>
    </xf>
    <xf numFmtId="0" fontId="11" fillId="0" borderId="0" xfId="17" applyFont="1" applyAlignment="1">
      <alignment horizontal="left" vertical="center" indent="2"/>
    </xf>
    <xf numFmtId="4" fontId="16" fillId="0" borderId="0" xfId="17" applyNumberFormat="1" applyFont="1" applyAlignment="1">
      <alignment vertical="center"/>
    </xf>
    <xf numFmtId="3" fontId="16" fillId="0" borderId="13" xfId="17" applyNumberFormat="1" applyFont="1" applyBorder="1" applyAlignment="1">
      <alignment vertical="center"/>
    </xf>
    <xf numFmtId="0" fontId="11" fillId="0" borderId="1" xfId="17" applyFont="1" applyBorder="1" applyAlignment="1">
      <alignment horizontal="center" vertical="center"/>
    </xf>
    <xf numFmtId="0" fontId="16" fillId="0" borderId="1" xfId="17" applyFont="1" applyBorder="1" applyAlignment="1">
      <alignment horizontal="center" vertical="center"/>
    </xf>
    <xf numFmtId="4" fontId="16" fillId="0" borderId="3" xfId="17" applyNumberFormat="1" applyFont="1" applyBorder="1" applyAlignment="1">
      <alignment vertical="top"/>
    </xf>
    <xf numFmtId="4" fontId="16" fillId="0" borderId="3" xfId="17" applyNumberFormat="1" applyFont="1" applyBorder="1" applyAlignment="1">
      <alignment horizontal="right" vertical="center"/>
    </xf>
    <xf numFmtId="0" fontId="11" fillId="0" borderId="3" xfId="17" applyFont="1" applyBorder="1" applyAlignment="1">
      <alignment horizontal="center" vertical="top"/>
    </xf>
    <xf numFmtId="0" fontId="11" fillId="0" borderId="3" xfId="17" applyFont="1" applyBorder="1" applyAlignment="1">
      <alignment horizontal="left" vertical="top" wrapText="1" indent="2"/>
    </xf>
    <xf numFmtId="4" fontId="16" fillId="0" borderId="3" xfId="17" applyNumberFormat="1" applyFont="1" applyBorder="1"/>
    <xf numFmtId="0" fontId="16" fillId="0" borderId="13" xfId="17" applyFont="1" applyBorder="1" applyAlignment="1">
      <alignment horizontal="center" vertical="center"/>
    </xf>
    <xf numFmtId="0" fontId="11" fillId="0" borderId="13" xfId="17" applyFont="1" applyBorder="1" applyAlignment="1">
      <alignment horizontal="left" vertical="center" indent="2"/>
    </xf>
    <xf numFmtId="4" fontId="16" fillId="0" borderId="13" xfId="17" applyNumberFormat="1" applyFont="1" applyBorder="1" applyAlignment="1">
      <alignment vertical="center"/>
    </xf>
    <xf numFmtId="0" fontId="16" fillId="0" borderId="5" xfId="17" applyFont="1" applyBorder="1" applyAlignment="1">
      <alignment horizontal="center" vertical="center"/>
    </xf>
    <xf numFmtId="4" fontId="16" fillId="0" borderId="5" xfId="17" applyNumberFormat="1" applyFont="1" applyBorder="1" applyAlignment="1">
      <alignment vertical="center"/>
    </xf>
    <xf numFmtId="4" fontId="16" fillId="0" borderId="5" xfId="17" applyNumberFormat="1" applyFont="1" applyBorder="1" applyAlignment="1">
      <alignment horizontal="right" vertical="center"/>
    </xf>
    <xf numFmtId="0" fontId="16" fillId="0" borderId="6" xfId="17" applyFont="1" applyBorder="1" applyAlignment="1">
      <alignment vertical="top"/>
    </xf>
    <xf numFmtId="0" fontId="16" fillId="0" borderId="15" xfId="17" applyFont="1" applyBorder="1"/>
    <xf numFmtId="0" fontId="16" fillId="0" borderId="13" xfId="17" applyFont="1" applyBorder="1"/>
    <xf numFmtId="0" fontId="18" fillId="0" borderId="0" xfId="17" applyFont="1"/>
    <xf numFmtId="0" fontId="11" fillId="0" borderId="12" xfId="17" applyFont="1" applyBorder="1"/>
    <xf numFmtId="0" fontId="11" fillId="0" borderId="12" xfId="17" applyFont="1" applyBorder="1" applyAlignment="1">
      <alignment vertical="center" wrapText="1"/>
    </xf>
    <xf numFmtId="4" fontId="11" fillId="0" borderId="11" xfId="17" applyNumberFormat="1" applyFont="1" applyBorder="1" applyAlignment="1">
      <alignment horizontal="right"/>
    </xf>
    <xf numFmtId="0" fontId="11" fillId="0" borderId="12" xfId="17" applyFont="1" applyBorder="1" applyAlignment="1">
      <alignment vertical="center"/>
    </xf>
    <xf numFmtId="0" fontId="11" fillId="0" borderId="11" xfId="2" applyFont="1" applyBorder="1" applyAlignment="1">
      <alignment horizontal="left"/>
    </xf>
    <xf numFmtId="0" fontId="11" fillId="0" borderId="12" xfId="17" applyFont="1" applyBorder="1" applyAlignment="1">
      <alignment vertical="top" wrapText="1"/>
    </xf>
    <xf numFmtId="0" fontId="11" fillId="0" borderId="11" xfId="2" applyFont="1" applyBorder="1"/>
    <xf numFmtId="4" fontId="11" fillId="0" borderId="11" xfId="18" applyNumberFormat="1" applyFont="1" applyBorder="1" applyAlignment="1">
      <alignment vertical="center"/>
    </xf>
    <xf numFmtId="4" fontId="11" fillId="0" borderId="11" xfId="18" applyNumberFormat="1" applyFont="1" applyBorder="1" applyAlignment="1">
      <alignment horizontal="right" vertical="center"/>
    </xf>
    <xf numFmtId="3" fontId="11" fillId="0" borderId="11" xfId="17" applyNumberFormat="1" applyFont="1" applyBorder="1"/>
    <xf numFmtId="4" fontId="11" fillId="0" borderId="32" xfId="17" applyNumberFormat="1" applyFont="1" applyBorder="1"/>
    <xf numFmtId="0" fontId="11" fillId="0" borderId="11" xfId="2" applyFont="1" applyBorder="1" applyAlignment="1">
      <alignment wrapText="1"/>
    </xf>
    <xf numFmtId="4" fontId="11" fillId="0" borderId="11" xfId="18" applyNumberFormat="1" applyFont="1" applyBorder="1"/>
    <xf numFmtId="4" fontId="11" fillId="0" borderId="11" xfId="18" applyNumberFormat="1" applyFont="1" applyBorder="1" applyAlignment="1">
      <alignment horizontal="right"/>
    </xf>
    <xf numFmtId="3" fontId="11" fillId="0" borderId="12" xfId="17" applyNumberFormat="1" applyFont="1" applyBorder="1" applyAlignment="1">
      <alignment wrapText="1"/>
    </xf>
    <xf numFmtId="0" fontId="11" fillId="0" borderId="12" xfId="2" applyFont="1" applyBorder="1"/>
    <xf numFmtId="0" fontId="11" fillId="0" borderId="12" xfId="17" applyFont="1" applyBorder="1" applyAlignment="1">
      <alignment wrapText="1"/>
    </xf>
    <xf numFmtId="0" fontId="11" fillId="0" borderId="11" xfId="17" applyFont="1" applyBorder="1" applyAlignment="1">
      <alignment wrapText="1"/>
    </xf>
    <xf numFmtId="3" fontId="11" fillId="0" borderId="12" xfId="17" applyNumberFormat="1" applyFont="1" applyBorder="1"/>
    <xf numFmtId="0" fontId="11" fillId="0" borderId="11" xfId="17" applyFont="1" applyBorder="1" applyAlignment="1">
      <alignment vertical="center"/>
    </xf>
    <xf numFmtId="4" fontId="11" fillId="0" borderId="11" xfId="2" applyNumberFormat="1" applyFont="1" applyBorder="1" applyAlignment="1">
      <alignment horizontal="right"/>
    </xf>
    <xf numFmtId="0" fontId="11" fillId="0" borderId="33" xfId="17" applyFont="1" applyBorder="1"/>
    <xf numFmtId="4" fontId="11" fillId="0" borderId="32" xfId="17" applyNumberFormat="1" applyFont="1" applyBorder="1" applyAlignment="1">
      <alignment horizontal="right"/>
    </xf>
    <xf numFmtId="0" fontId="11" fillId="0" borderId="11" xfId="17" applyFont="1" applyBorder="1"/>
    <xf numFmtId="0" fontId="11" fillId="0" borderId="11" xfId="2" applyFont="1" applyBorder="1" applyAlignment="1">
      <alignment horizontal="left" vertical="center" wrapText="1"/>
    </xf>
    <xf numFmtId="4" fontId="11" fillId="0" borderId="11" xfId="17" applyNumberFormat="1" applyFont="1" applyBorder="1" applyAlignment="1">
      <alignment vertical="center"/>
    </xf>
    <xf numFmtId="0" fontId="11" fillId="0" borderId="12" xfId="20" applyFont="1" applyBorder="1" applyAlignment="1">
      <alignment vertical="center" wrapText="1"/>
    </xf>
    <xf numFmtId="0" fontId="20" fillId="0" borderId="13" xfId="17" applyFont="1" applyBorder="1" applyAlignment="1">
      <alignment horizontal="center" vertical="center" wrapText="1"/>
    </xf>
    <xf numFmtId="0" fontId="26" fillId="0" borderId="13" xfId="17" applyFont="1" applyBorder="1" applyAlignment="1">
      <alignment horizontal="center" vertical="center" wrapText="1"/>
    </xf>
    <xf numFmtId="4" fontId="41" fillId="0" borderId="13" xfId="17" applyNumberFormat="1" applyFont="1" applyBorder="1" applyAlignment="1">
      <alignment horizontal="right" vertical="center" wrapText="1"/>
    </xf>
    <xf numFmtId="3" fontId="50" fillId="0" borderId="13" xfId="17" applyNumberFormat="1" applyFont="1" applyBorder="1" applyAlignment="1">
      <alignment horizontal="center" vertical="center" wrapText="1"/>
    </xf>
    <xf numFmtId="3" fontId="15" fillId="0" borderId="0" xfId="17" applyNumberFormat="1" applyFont="1"/>
    <xf numFmtId="3" fontId="28" fillId="0" borderId="13" xfId="17" applyNumberFormat="1" applyFont="1" applyBorder="1" applyAlignment="1">
      <alignment horizontal="center" vertical="center" wrapText="1"/>
    </xf>
    <xf numFmtId="0" fontId="51" fillId="0" borderId="1" xfId="17" applyFont="1" applyBorder="1" applyAlignment="1">
      <alignment vertical="center" wrapText="1"/>
    </xf>
    <xf numFmtId="0" fontId="28" fillId="0" borderId="1" xfId="17" applyFont="1" applyBorder="1" applyAlignment="1">
      <alignment horizontal="center" vertical="center" wrapText="1"/>
    </xf>
    <xf numFmtId="3" fontId="28" fillId="0" borderId="3" xfId="17" applyNumberFormat="1" applyFont="1" applyBorder="1" applyAlignment="1">
      <alignment horizontal="center" vertical="center" wrapText="1"/>
    </xf>
    <xf numFmtId="3" fontId="28" fillId="0" borderId="5" xfId="17" applyNumberFormat="1" applyFont="1" applyBorder="1" applyAlignment="1">
      <alignment horizontal="center" vertical="center" wrapText="1"/>
    </xf>
    <xf numFmtId="0" fontId="34" fillId="0" borderId="19" xfId="14" applyFont="1" applyBorder="1" applyAlignment="1">
      <alignment vertical="center"/>
    </xf>
    <xf numFmtId="4" fontId="34" fillId="0" borderId="19" xfId="14" applyNumberFormat="1" applyFont="1" applyBorder="1" applyAlignment="1">
      <alignment horizontal="center" vertical="center"/>
    </xf>
    <xf numFmtId="4" fontId="34" fillId="0" borderId="19" xfId="14" applyNumberFormat="1" applyFont="1" applyBorder="1" applyAlignment="1">
      <alignment vertical="center"/>
    </xf>
    <xf numFmtId="0" fontId="34" fillId="0" borderId="20" xfId="14" applyFont="1" applyBorder="1" applyAlignment="1">
      <alignment vertical="center"/>
    </xf>
    <xf numFmtId="4" fontId="34" fillId="0" borderId="20" xfId="14" applyNumberFormat="1" applyFont="1" applyBorder="1" applyAlignment="1">
      <alignment horizontal="center" vertical="center"/>
    </xf>
    <xf numFmtId="4" fontId="34" fillId="0" borderId="20" xfId="14" applyNumberFormat="1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0" fontId="34" fillId="0" borderId="29" xfId="14" applyFont="1" applyBorder="1"/>
    <xf numFmtId="0" fontId="34" fillId="0" borderId="20" xfId="14" applyFont="1" applyBorder="1" applyAlignment="1">
      <alignment wrapText="1"/>
    </xf>
    <xf numFmtId="0" fontId="40" fillId="0" borderId="0" xfId="14" applyFont="1"/>
    <xf numFmtId="0" fontId="44" fillId="0" borderId="15" xfId="21" applyFont="1" applyBorder="1" applyAlignment="1">
      <alignment horizontal="left" vertical="center"/>
    </xf>
    <xf numFmtId="0" fontId="44" fillId="0" borderId="16" xfId="21" applyFont="1" applyBorder="1" applyAlignment="1">
      <alignment horizontal="left" vertical="center"/>
    </xf>
    <xf numFmtId="0" fontId="44" fillId="0" borderId="17" xfId="21" applyFont="1" applyBorder="1" applyAlignment="1">
      <alignment horizontal="left" vertical="center"/>
    </xf>
    <xf numFmtId="0" fontId="43" fillId="0" borderId="15" xfId="21" applyFont="1" applyBorder="1" applyAlignment="1">
      <alignment horizontal="center" vertical="center"/>
    </xf>
    <xf numFmtId="0" fontId="43" fillId="0" borderId="16" xfId="21" applyFont="1" applyBorder="1" applyAlignment="1">
      <alignment horizontal="center" vertical="center"/>
    </xf>
    <xf numFmtId="0" fontId="43" fillId="0" borderId="15" xfId="21" applyFont="1" applyBorder="1" applyAlignment="1">
      <alignment horizontal="center"/>
    </xf>
    <xf numFmtId="0" fontId="43" fillId="0" borderId="16" xfId="21" applyFont="1" applyBorder="1" applyAlignment="1">
      <alignment horizontal="center"/>
    </xf>
    <xf numFmtId="0" fontId="1" fillId="0" borderId="0" xfId="17" applyFont="1" applyAlignment="1">
      <alignment vertical="center"/>
    </xf>
    <xf numFmtId="0" fontId="36" fillId="0" borderId="0" xfId="17" applyFont="1" applyAlignment="1">
      <alignment vertical="center"/>
    </xf>
    <xf numFmtId="0" fontId="1" fillId="0" borderId="0" xfId="17" applyFont="1"/>
    <xf numFmtId="0" fontId="15" fillId="0" borderId="14" xfId="17" applyFont="1" applyBorder="1" applyAlignment="1">
      <alignment vertical="center" wrapText="1"/>
    </xf>
    <xf numFmtId="0" fontId="52" fillId="0" borderId="15" xfId="17" applyFont="1" applyBorder="1" applyAlignment="1">
      <alignment horizontal="center"/>
    </xf>
    <xf numFmtId="4" fontId="52" fillId="0" borderId="15" xfId="17" applyNumberFormat="1" applyFont="1" applyBorder="1"/>
    <xf numFmtId="4" fontId="52" fillId="0" borderId="13" xfId="17" applyNumberFormat="1" applyFont="1" applyBorder="1"/>
    <xf numFmtId="0" fontId="15" fillId="0" borderId="13" xfId="17" applyFont="1" applyBorder="1" applyAlignment="1">
      <alignment vertical="center" wrapText="1"/>
    </xf>
    <xf numFmtId="4" fontId="52" fillId="0" borderId="5" xfId="17" applyNumberFormat="1" applyFont="1" applyBorder="1" applyAlignment="1">
      <alignment vertical="center"/>
    </xf>
    <xf numFmtId="0" fontId="46" fillId="0" borderId="0" xfId="17" applyFont="1" applyAlignment="1">
      <alignment horizontal="center"/>
    </xf>
    <xf numFmtId="0" fontId="48" fillId="0" borderId="0" xfId="17" applyFont="1" applyAlignment="1">
      <alignment horizontal="center" vertical="center"/>
    </xf>
    <xf numFmtId="0" fontId="15" fillId="4" borderId="1" xfId="17" applyFont="1" applyFill="1" applyBorder="1" applyAlignment="1">
      <alignment horizontal="center" vertical="center"/>
    </xf>
    <xf numFmtId="0" fontId="15" fillId="4" borderId="3" xfId="17" applyFont="1" applyFill="1" applyBorder="1" applyAlignment="1">
      <alignment horizontal="center" vertical="center"/>
    </xf>
    <xf numFmtId="0" fontId="15" fillId="4" borderId="5" xfId="17" applyFont="1" applyFill="1" applyBorder="1" applyAlignment="1">
      <alignment horizontal="center" vertical="center"/>
    </xf>
    <xf numFmtId="0" fontId="15" fillId="4" borderId="1" xfId="17" applyFont="1" applyFill="1" applyBorder="1" applyAlignment="1">
      <alignment horizontal="center" vertical="center" wrapText="1"/>
    </xf>
    <xf numFmtId="0" fontId="15" fillId="4" borderId="3" xfId="17" applyFont="1" applyFill="1" applyBorder="1" applyAlignment="1">
      <alignment horizontal="center" vertical="center" wrapText="1"/>
    </xf>
    <xf numFmtId="0" fontId="15" fillId="4" borderId="5" xfId="17" applyFont="1" applyFill="1" applyBorder="1" applyAlignment="1">
      <alignment horizontal="center" vertical="center" wrapText="1"/>
    </xf>
  </cellXfs>
  <cellStyles count="22">
    <cellStyle name="Dziesiętny" xfId="12" builtinId="3"/>
    <cellStyle name="Dziesiętny 2" xfId="3" xr:uid="{BFCEA198-B5A6-4EF1-8723-5E8521CAD3DC}"/>
    <cellStyle name="Dziesiętny 3" xfId="19" xr:uid="{2928B31E-533D-4765-BC9B-FF88E7EB26BE}"/>
    <cellStyle name="Excel Built-in Normal" xfId="4" xr:uid="{0D973522-5471-440E-B74C-241DCBFE695A}"/>
    <cellStyle name="Normalny" xfId="0" builtinId="0"/>
    <cellStyle name="Normalny 10" xfId="17" xr:uid="{3C576EBA-E413-4FFD-8EE5-ED8E31A7F579}"/>
    <cellStyle name="Normalny 11" xfId="21" xr:uid="{20D76F13-BCBD-4175-B16C-E2BC7F7BB1FE}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3 3" xfId="15" xr:uid="{58AE18FA-6FAF-4C9A-8FB1-BBC56F0E9B9B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6 2" xfId="18" xr:uid="{11641FB3-AE48-441B-AC42-DBF4AC9E2D4D}"/>
    <cellStyle name="Normalny 7" xfId="8" xr:uid="{62CD0728-EA2B-4DD2-AD34-21575365BC2A}"/>
    <cellStyle name="Normalny 7 2" xfId="20" xr:uid="{0A47CE99-AB1E-49A0-B02E-0C1B9859B65E}"/>
    <cellStyle name="Normalny 8" xfId="10" xr:uid="{FCA48B7E-ED27-4C4B-BAF8-DFA7E6989938}"/>
    <cellStyle name="Normalny 9" xfId="13" xr:uid="{7A152C27-A195-4CCC-B2C5-EE3463EDC3F0}"/>
    <cellStyle name="Normalny_zal_Szczecin" xfId="14" xr:uid="{CD20A0CD-FB7E-4500-840B-B4E0CE4A7382}"/>
    <cellStyle name="Zły" xfId="16" builtinId="27"/>
  </cellStyles>
  <dxfs count="0"/>
  <tableStyles count="0" defaultTableStyle="TableStyleMedium2" defaultPivotStyle="PivotStyleLight16"/>
  <colors>
    <mruColors>
      <color rgb="FFFF0000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D1AF-5A5A-404A-9407-DD3CC5BFA658}">
  <sheetPr>
    <tabColor rgb="FF92D050"/>
  </sheetPr>
  <dimension ref="A1:H620"/>
  <sheetViews>
    <sheetView tabSelected="1" zoomScale="150" zoomScaleNormal="150" workbookViewId="0"/>
  </sheetViews>
  <sheetFormatPr defaultColWidth="9.140625" defaultRowHeight="16.5" x14ac:dyDescent="0.3"/>
  <cols>
    <col min="1" max="1" width="3.5703125" style="11" customWidth="1"/>
    <col min="2" max="2" width="6" style="11" customWidth="1"/>
    <col min="3" max="3" width="4.85546875" style="11" customWidth="1"/>
    <col min="4" max="4" width="39.140625" style="11" customWidth="1"/>
    <col min="5" max="5" width="13" style="11" customWidth="1"/>
    <col min="6" max="6" width="10.5703125" style="11" customWidth="1"/>
    <col min="7" max="7" width="10.85546875" style="11" customWidth="1"/>
    <col min="8" max="8" width="12.7109375" style="11" customWidth="1"/>
    <col min="9" max="16384" width="9.140625" style="11"/>
  </cols>
  <sheetData>
    <row r="1" spans="1:8" ht="13.5" customHeight="1" x14ac:dyDescent="0.3">
      <c r="A1" s="7"/>
      <c r="B1" s="7"/>
      <c r="C1" s="8"/>
      <c r="D1" s="9"/>
      <c r="E1" s="9"/>
      <c r="F1" s="9" t="s">
        <v>0</v>
      </c>
      <c r="G1" s="9"/>
      <c r="H1" s="7"/>
    </row>
    <row r="2" spans="1:8" ht="12.75" customHeight="1" x14ac:dyDescent="0.3">
      <c r="A2" s="7"/>
      <c r="B2" s="7"/>
      <c r="C2" s="8"/>
      <c r="D2" s="9"/>
      <c r="E2" s="9"/>
      <c r="F2" s="9" t="s">
        <v>223</v>
      </c>
      <c r="G2" s="9"/>
      <c r="H2" s="7"/>
    </row>
    <row r="3" spans="1:8" ht="12.75" customHeight="1" x14ac:dyDescent="0.3">
      <c r="A3" s="7"/>
      <c r="B3" s="7"/>
      <c r="C3" s="8"/>
      <c r="D3" s="9"/>
      <c r="E3" s="9"/>
      <c r="F3" s="7" t="s">
        <v>1</v>
      </c>
      <c r="G3" s="7"/>
      <c r="H3" s="7"/>
    </row>
    <row r="4" spans="1:8" ht="12.75" customHeight="1" x14ac:dyDescent="0.3">
      <c r="A4" s="7"/>
      <c r="B4" s="7"/>
      <c r="C4" s="8"/>
      <c r="D4" s="9"/>
      <c r="E4" s="9"/>
      <c r="F4" s="9" t="s">
        <v>224</v>
      </c>
      <c r="G4" s="9"/>
      <c r="H4" s="7"/>
    </row>
    <row r="5" spans="1:8" ht="24.75" customHeight="1" x14ac:dyDescent="0.3">
      <c r="A5" s="12" t="s">
        <v>15</v>
      </c>
      <c r="B5" s="13"/>
      <c r="C5" s="14"/>
      <c r="D5" s="14"/>
      <c r="E5" s="13"/>
      <c r="F5" s="13"/>
      <c r="G5" s="12"/>
      <c r="H5" s="13"/>
    </row>
    <row r="6" spans="1:8" ht="11.25" customHeight="1" x14ac:dyDescent="0.3">
      <c r="A6" s="7"/>
      <c r="B6" s="7"/>
      <c r="C6" s="8"/>
      <c r="D6" s="8"/>
      <c r="E6" s="15"/>
      <c r="F6" s="7"/>
      <c r="G6" s="16"/>
      <c r="H6" s="17" t="s">
        <v>2</v>
      </c>
    </row>
    <row r="7" spans="1:8" s="24" customFormat="1" ht="12.75" x14ac:dyDescent="0.25">
      <c r="A7" s="18"/>
      <c r="B7" s="18"/>
      <c r="C7" s="19"/>
      <c r="D7" s="20"/>
      <c r="E7" s="21" t="s">
        <v>3</v>
      </c>
      <c r="F7" s="22"/>
      <c r="G7" s="23"/>
      <c r="H7" s="21" t="s">
        <v>3</v>
      </c>
    </row>
    <row r="8" spans="1:8" s="24" customFormat="1" ht="12.75" x14ac:dyDescent="0.25">
      <c r="A8" s="25" t="s">
        <v>4</v>
      </c>
      <c r="B8" s="25" t="s">
        <v>5</v>
      </c>
      <c r="C8" s="26" t="s">
        <v>6</v>
      </c>
      <c r="D8" s="27" t="s">
        <v>7</v>
      </c>
      <c r="E8" s="25" t="s">
        <v>8</v>
      </c>
      <c r="F8" s="28" t="s">
        <v>9</v>
      </c>
      <c r="G8" s="25" t="s">
        <v>10</v>
      </c>
      <c r="H8" s="25" t="s">
        <v>11</v>
      </c>
    </row>
    <row r="9" spans="1:8" s="24" customFormat="1" ht="2.25" customHeight="1" x14ac:dyDescent="0.25">
      <c r="A9" s="29"/>
      <c r="B9" s="29"/>
      <c r="C9" s="30"/>
      <c r="D9" s="31"/>
      <c r="E9" s="29"/>
      <c r="F9" s="32"/>
      <c r="G9" s="32"/>
      <c r="H9" s="29"/>
    </row>
    <row r="10" spans="1:8" s="24" customFormat="1" ht="17.25" customHeight="1" thickBot="1" x14ac:dyDescent="0.3">
      <c r="A10" s="33"/>
      <c r="B10" s="33"/>
      <c r="C10" s="34"/>
      <c r="D10" s="35" t="s">
        <v>20</v>
      </c>
      <c r="E10" s="36">
        <v>1320992488.6900001</v>
      </c>
      <c r="F10" s="36">
        <f>SUM(F11,F24,F29,F43)</f>
        <v>6495221.5600000005</v>
      </c>
      <c r="G10" s="36">
        <f>SUM(G11,G24,G29,G43)</f>
        <v>85223.28</v>
      </c>
      <c r="H10" s="36">
        <f t="shared" ref="H10:H11" si="0">SUM(E10+F10-G10)</f>
        <v>1327402486.97</v>
      </c>
    </row>
    <row r="11" spans="1:8" s="24" customFormat="1" ht="15" customHeight="1" thickBot="1" x14ac:dyDescent="0.3">
      <c r="A11" s="33"/>
      <c r="B11" s="33"/>
      <c r="C11" s="34"/>
      <c r="D11" s="37" t="s">
        <v>21</v>
      </c>
      <c r="E11" s="38">
        <v>1143523262.72</v>
      </c>
      <c r="F11" s="38">
        <f>SUM(F12,F16,F20)</f>
        <v>2329551.56</v>
      </c>
      <c r="G11" s="38">
        <f>SUM(G12,G16,G20)</f>
        <v>0</v>
      </c>
      <c r="H11" s="38">
        <f t="shared" si="0"/>
        <v>1145852814.28</v>
      </c>
    </row>
    <row r="12" spans="1:8" s="24" customFormat="1" ht="13.5" customHeight="1" thickTop="1" thickBot="1" x14ac:dyDescent="0.3">
      <c r="A12" s="39">
        <v>752</v>
      </c>
      <c r="B12" s="40"/>
      <c r="C12" s="41"/>
      <c r="D12" s="42" t="s">
        <v>48</v>
      </c>
      <c r="E12" s="38">
        <v>0</v>
      </c>
      <c r="F12" s="43">
        <f t="shared" ref="F12:G14" si="1">SUM(F13)</f>
        <v>2118550</v>
      </c>
      <c r="G12" s="43">
        <f t="shared" si="1"/>
        <v>0</v>
      </c>
      <c r="H12" s="38">
        <f>SUM(E12+F12-G12)</f>
        <v>2118550</v>
      </c>
    </row>
    <row r="13" spans="1:8" s="24" customFormat="1" ht="24" customHeight="1" thickTop="1" x14ac:dyDescent="0.25">
      <c r="A13" s="39"/>
      <c r="B13" s="44">
        <v>75281</v>
      </c>
      <c r="C13" s="34"/>
      <c r="D13" s="45" t="s">
        <v>49</v>
      </c>
      <c r="E13" s="46">
        <v>0</v>
      </c>
      <c r="F13" s="47">
        <f t="shared" si="1"/>
        <v>2118550</v>
      </c>
      <c r="G13" s="47">
        <f t="shared" si="1"/>
        <v>0</v>
      </c>
      <c r="H13" s="46">
        <f>SUM(E13+F13-G13)</f>
        <v>2118550</v>
      </c>
    </row>
    <row r="14" spans="1:8" s="24" customFormat="1" ht="12" customHeight="1" x14ac:dyDescent="0.25">
      <c r="A14" s="39"/>
      <c r="B14" s="48"/>
      <c r="C14" s="54"/>
      <c r="D14" s="460" t="s">
        <v>50</v>
      </c>
      <c r="E14" s="125">
        <v>0</v>
      </c>
      <c r="F14" s="125">
        <f t="shared" si="1"/>
        <v>2118550</v>
      </c>
      <c r="G14" s="125">
        <f t="shared" si="1"/>
        <v>0</v>
      </c>
      <c r="H14" s="125">
        <f>SUM(E14+F14-G14)</f>
        <v>2118550</v>
      </c>
    </row>
    <row r="15" spans="1:8" s="24" customFormat="1" ht="36" customHeight="1" x14ac:dyDescent="0.25">
      <c r="A15" s="49"/>
      <c r="B15" s="48"/>
      <c r="C15" s="50" t="s">
        <v>51</v>
      </c>
      <c r="D15" s="51" t="s">
        <v>52</v>
      </c>
      <c r="E15" s="52">
        <v>0</v>
      </c>
      <c r="F15" s="52">
        <v>2118550</v>
      </c>
      <c r="G15" s="52"/>
      <c r="H15" s="53">
        <f t="shared" ref="H15:H16" si="2">SUM(E15+F15-G15)</f>
        <v>2118550</v>
      </c>
    </row>
    <row r="16" spans="1:8" s="24" customFormat="1" ht="12" customHeight="1" thickBot="1" x14ac:dyDescent="0.3">
      <c r="A16" s="41" t="s">
        <v>53</v>
      </c>
      <c r="B16" s="40"/>
      <c r="C16" s="41"/>
      <c r="D16" s="42" t="s">
        <v>54</v>
      </c>
      <c r="E16" s="38">
        <v>26068851.560000002</v>
      </c>
      <c r="F16" s="43">
        <f>SUM(F17,)</f>
        <v>86001.56</v>
      </c>
      <c r="G16" s="43">
        <f>SUM(G17,)</f>
        <v>0</v>
      </c>
      <c r="H16" s="38">
        <f t="shared" si="2"/>
        <v>26154853.120000001</v>
      </c>
    </row>
    <row r="17" spans="1:8" s="24" customFormat="1" ht="12" customHeight="1" thickTop="1" x14ac:dyDescent="0.25">
      <c r="A17" s="49"/>
      <c r="B17" s="54">
        <v>85295</v>
      </c>
      <c r="C17" s="55"/>
      <c r="D17" s="56" t="s">
        <v>17</v>
      </c>
      <c r="E17" s="46">
        <v>1582875.96</v>
      </c>
      <c r="F17" s="47">
        <f>SUM(F18)</f>
        <v>86001.56</v>
      </c>
      <c r="G17" s="47">
        <f>SUM(G18)</f>
        <v>0</v>
      </c>
      <c r="H17" s="46">
        <f>SUM(E17+F17-G17)</f>
        <v>1668877.52</v>
      </c>
    </row>
    <row r="18" spans="1:8" s="24" customFormat="1" ht="12" customHeight="1" x14ac:dyDescent="0.25">
      <c r="A18" s="49"/>
      <c r="B18" s="40"/>
      <c r="C18" s="34"/>
      <c r="D18" s="461" t="s">
        <v>55</v>
      </c>
      <c r="E18" s="125">
        <v>0</v>
      </c>
      <c r="F18" s="462">
        <f>SUM(F19:F19)</f>
        <v>86001.56</v>
      </c>
      <c r="G18" s="462">
        <f>SUM(G19:G19)</f>
        <v>0</v>
      </c>
      <c r="H18" s="125">
        <f>SUM(E18+F18-G18)</f>
        <v>86001.56</v>
      </c>
    </row>
    <row r="19" spans="1:8" s="24" customFormat="1" ht="50.25" customHeight="1" x14ac:dyDescent="0.25">
      <c r="A19" s="49"/>
      <c r="B19" s="40"/>
      <c r="C19" s="50" t="s">
        <v>22</v>
      </c>
      <c r="D19" s="58" t="s">
        <v>23</v>
      </c>
      <c r="E19" s="53">
        <v>0</v>
      </c>
      <c r="F19" s="52">
        <v>86001.56</v>
      </c>
      <c r="G19" s="52"/>
      <c r="H19" s="53">
        <f t="shared" ref="H19" si="3">SUM(E19+F19-G19)</f>
        <v>86001.56</v>
      </c>
    </row>
    <row r="20" spans="1:8" s="24" customFormat="1" ht="12" customHeight="1" thickBot="1" x14ac:dyDescent="0.3">
      <c r="A20" s="39">
        <v>854</v>
      </c>
      <c r="B20" s="40"/>
      <c r="C20" s="41"/>
      <c r="D20" s="42" t="s">
        <v>56</v>
      </c>
      <c r="E20" s="43">
        <v>0</v>
      </c>
      <c r="F20" s="43">
        <f t="shared" ref="F20:G22" si="4">SUM(F21)</f>
        <v>125000</v>
      </c>
      <c r="G20" s="43">
        <f t="shared" si="4"/>
        <v>0</v>
      </c>
      <c r="H20" s="43">
        <f>SUM(E20+F20-G20)</f>
        <v>125000</v>
      </c>
    </row>
    <row r="21" spans="1:8" s="24" customFormat="1" ht="12" customHeight="1" thickTop="1" x14ac:dyDescent="0.25">
      <c r="A21" s="39"/>
      <c r="B21" s="48">
        <v>85415</v>
      </c>
      <c r="C21" s="34"/>
      <c r="D21" s="56" t="s">
        <v>57</v>
      </c>
      <c r="E21" s="46">
        <v>0</v>
      </c>
      <c r="F21" s="47">
        <f t="shared" si="4"/>
        <v>125000</v>
      </c>
      <c r="G21" s="47">
        <f t="shared" si="4"/>
        <v>0</v>
      </c>
      <c r="H21" s="46">
        <f>SUM(E21+F21-G21)</f>
        <v>125000</v>
      </c>
    </row>
    <row r="22" spans="1:8" s="24" customFormat="1" ht="12" customHeight="1" x14ac:dyDescent="0.25">
      <c r="A22" s="49"/>
      <c r="B22" s="40"/>
      <c r="C22" s="34"/>
      <c r="D22" s="463" t="s">
        <v>58</v>
      </c>
      <c r="E22" s="125">
        <v>0</v>
      </c>
      <c r="F22" s="462">
        <f t="shared" si="4"/>
        <v>125000</v>
      </c>
      <c r="G22" s="462">
        <f t="shared" si="4"/>
        <v>0</v>
      </c>
      <c r="H22" s="125">
        <f>SUM(E22+F22-G22)</f>
        <v>125000</v>
      </c>
    </row>
    <row r="23" spans="1:8" s="24" customFormat="1" ht="27" customHeight="1" x14ac:dyDescent="0.25">
      <c r="A23" s="49"/>
      <c r="B23" s="40"/>
      <c r="C23" s="50" t="s">
        <v>59</v>
      </c>
      <c r="D23" s="58" t="s">
        <v>60</v>
      </c>
      <c r="E23" s="53">
        <v>0</v>
      </c>
      <c r="F23" s="53">
        <v>125000</v>
      </c>
      <c r="G23" s="52"/>
      <c r="H23" s="53">
        <f t="shared" ref="H23:H33" si="5">SUM(E23+F23-G23)</f>
        <v>125000</v>
      </c>
    </row>
    <row r="24" spans="1:8" s="24" customFormat="1" ht="16.5" customHeight="1" thickBot="1" x14ac:dyDescent="0.3">
      <c r="A24" s="49"/>
      <c r="B24" s="33"/>
      <c r="C24" s="34"/>
      <c r="D24" s="37" t="s">
        <v>24</v>
      </c>
      <c r="E24" s="38">
        <v>96827891.489999995</v>
      </c>
      <c r="F24" s="38">
        <f>SUM(F25)</f>
        <v>99232</v>
      </c>
      <c r="G24" s="38">
        <f>SUM(G25)</f>
        <v>0</v>
      </c>
      <c r="H24" s="38">
        <f t="shared" si="5"/>
        <v>96927123.489999995</v>
      </c>
    </row>
    <row r="25" spans="1:8" s="24" customFormat="1" ht="15" customHeight="1" thickTop="1" thickBot="1" x14ac:dyDescent="0.3">
      <c r="A25" s="39">
        <v>801</v>
      </c>
      <c r="B25" s="39"/>
      <c r="C25" s="41"/>
      <c r="D25" s="42" t="s">
        <v>19</v>
      </c>
      <c r="E25" s="1">
        <v>9686515.4499999993</v>
      </c>
      <c r="F25" s="43">
        <f>SUM(F26)</f>
        <v>99232</v>
      </c>
      <c r="G25" s="43">
        <f>SUM(G26)</f>
        <v>0</v>
      </c>
      <c r="H25" s="38">
        <f t="shared" si="5"/>
        <v>9785747.4499999993</v>
      </c>
    </row>
    <row r="26" spans="1:8" s="24" customFormat="1" ht="12" customHeight="1" thickTop="1" x14ac:dyDescent="0.25">
      <c r="A26" s="39"/>
      <c r="B26" s="54">
        <v>80120</v>
      </c>
      <c r="C26" s="55"/>
      <c r="D26" s="59" t="s">
        <v>61</v>
      </c>
      <c r="E26" s="47">
        <v>15808.43</v>
      </c>
      <c r="F26" s="47">
        <f>SUM(F27,)</f>
        <v>99232</v>
      </c>
      <c r="G26" s="47">
        <f>SUM(G27,)</f>
        <v>0</v>
      </c>
      <c r="H26" s="46">
        <f t="shared" si="5"/>
        <v>115040.43</v>
      </c>
    </row>
    <row r="27" spans="1:8" s="24" customFormat="1" ht="12" customHeight="1" x14ac:dyDescent="0.25">
      <c r="A27" s="39"/>
      <c r="B27" s="48"/>
      <c r="C27" s="54"/>
      <c r="D27" s="460" t="s">
        <v>50</v>
      </c>
      <c r="E27" s="125">
        <v>0</v>
      </c>
      <c r="F27" s="125">
        <f>SUM(F28:F28)</f>
        <v>99232</v>
      </c>
      <c r="G27" s="125">
        <f>SUM(G28:G28)</f>
        <v>0</v>
      </c>
      <c r="H27" s="125">
        <f t="shared" si="5"/>
        <v>99232</v>
      </c>
    </row>
    <row r="28" spans="1:8" s="24" customFormat="1" ht="23.25" customHeight="1" x14ac:dyDescent="0.25">
      <c r="A28" s="49"/>
      <c r="B28" s="48"/>
      <c r="C28" s="50" t="s">
        <v>62</v>
      </c>
      <c r="D28" s="60" t="s">
        <v>63</v>
      </c>
      <c r="E28" s="52">
        <v>0</v>
      </c>
      <c r="F28" s="53">
        <v>99232</v>
      </c>
      <c r="G28" s="52"/>
      <c r="H28" s="53">
        <f t="shared" si="5"/>
        <v>99232</v>
      </c>
    </row>
    <row r="29" spans="1:8" s="24" customFormat="1" ht="15.75" customHeight="1" thickBot="1" x14ac:dyDescent="0.3">
      <c r="A29" s="33"/>
      <c r="B29" s="33"/>
      <c r="C29" s="34"/>
      <c r="D29" s="37" t="s">
        <v>64</v>
      </c>
      <c r="E29" s="38">
        <v>53296602.509999998</v>
      </c>
      <c r="F29" s="43">
        <f>SUM(F30,F34,)</f>
        <v>4066438</v>
      </c>
      <c r="G29" s="43">
        <f>SUM(G30,)</f>
        <v>0</v>
      </c>
      <c r="H29" s="38">
        <f t="shared" si="5"/>
        <v>57363040.509999998</v>
      </c>
    </row>
    <row r="30" spans="1:8" s="24" customFormat="1" ht="15" customHeight="1" thickTop="1" thickBot="1" x14ac:dyDescent="0.3">
      <c r="A30" s="39">
        <v>752</v>
      </c>
      <c r="B30" s="40"/>
      <c r="C30" s="41"/>
      <c r="D30" s="42" t="s">
        <v>48</v>
      </c>
      <c r="E30" s="43">
        <v>0</v>
      </c>
      <c r="F30" s="43">
        <f t="shared" ref="F30:G31" si="6">SUM(F31)</f>
        <v>4000000</v>
      </c>
      <c r="G30" s="43">
        <f t="shared" si="6"/>
        <v>0</v>
      </c>
      <c r="H30" s="43">
        <f t="shared" si="5"/>
        <v>4000000</v>
      </c>
    </row>
    <row r="31" spans="1:8" s="24" customFormat="1" ht="23.25" customHeight="1" thickTop="1" x14ac:dyDescent="0.25">
      <c r="A31" s="39"/>
      <c r="B31" s="44">
        <v>75281</v>
      </c>
      <c r="C31" s="34"/>
      <c r="D31" s="45" t="s">
        <v>49</v>
      </c>
      <c r="E31" s="46">
        <v>0</v>
      </c>
      <c r="F31" s="47">
        <f t="shared" si="6"/>
        <v>4000000</v>
      </c>
      <c r="G31" s="47">
        <f t="shared" si="6"/>
        <v>0</v>
      </c>
      <c r="H31" s="46">
        <f t="shared" si="5"/>
        <v>4000000</v>
      </c>
    </row>
    <row r="32" spans="1:8" s="24" customFormat="1" ht="12" customHeight="1" x14ac:dyDescent="0.25">
      <c r="A32" s="40"/>
      <c r="B32" s="48"/>
      <c r="C32" s="34"/>
      <c r="D32" s="463" t="s">
        <v>58</v>
      </c>
      <c r="E32" s="125">
        <v>0</v>
      </c>
      <c r="F32" s="462">
        <f>SUM(F33)</f>
        <v>4000000</v>
      </c>
      <c r="G32" s="462">
        <f>SUM(G33)</f>
        <v>0</v>
      </c>
      <c r="H32" s="125">
        <f t="shared" si="5"/>
        <v>4000000</v>
      </c>
    </row>
    <row r="33" spans="1:8" s="24" customFormat="1" ht="36" customHeight="1" x14ac:dyDescent="0.25">
      <c r="A33" s="40"/>
      <c r="B33" s="40"/>
      <c r="C33" s="50" t="s">
        <v>65</v>
      </c>
      <c r="D33" s="61" t="s">
        <v>66</v>
      </c>
      <c r="E33" s="53">
        <v>0</v>
      </c>
      <c r="F33" s="53">
        <v>4000000</v>
      </c>
      <c r="G33" s="53"/>
      <c r="H33" s="52">
        <f t="shared" si="5"/>
        <v>4000000</v>
      </c>
    </row>
    <row r="34" spans="1:8" s="24" customFormat="1" ht="12" customHeight="1" thickBot="1" x14ac:dyDescent="0.3">
      <c r="A34" s="40">
        <v>855</v>
      </c>
      <c r="B34" s="40"/>
      <c r="C34" s="41"/>
      <c r="D34" s="42" t="s">
        <v>67</v>
      </c>
      <c r="E34" s="43">
        <v>44158354</v>
      </c>
      <c r="F34" s="43">
        <f>SUM(F35,F40,)</f>
        <v>66438</v>
      </c>
      <c r="G34" s="43">
        <f>SUM(G35,G40,)</f>
        <v>0</v>
      </c>
      <c r="H34" s="43">
        <f>SUM(E34+F34-G34)</f>
        <v>44224792</v>
      </c>
    </row>
    <row r="35" spans="1:8" s="24" customFormat="1" ht="36.75" customHeight="1" thickTop="1" x14ac:dyDescent="0.25">
      <c r="A35" s="40"/>
      <c r="B35" s="44">
        <v>85502</v>
      </c>
      <c r="C35" s="34"/>
      <c r="D35" s="45" t="s">
        <v>68</v>
      </c>
      <c r="E35" s="46">
        <v>43543854</v>
      </c>
      <c r="F35" s="47">
        <f t="shared" ref="F35:G35" si="7">SUM(F36)</f>
        <v>64000</v>
      </c>
      <c r="G35" s="47">
        <f t="shared" si="7"/>
        <v>0</v>
      </c>
      <c r="H35" s="46">
        <f>SUM(E35+F35-G35)</f>
        <v>43607854</v>
      </c>
    </row>
    <row r="36" spans="1:8" s="24" customFormat="1" ht="12" customHeight="1" x14ac:dyDescent="0.25">
      <c r="A36" s="40"/>
      <c r="B36" s="48"/>
      <c r="C36" s="34"/>
      <c r="D36" s="463" t="s">
        <v>58</v>
      </c>
      <c r="E36" s="125">
        <v>43543854</v>
      </c>
      <c r="F36" s="462">
        <f>SUM(F37:F37)</f>
        <v>64000</v>
      </c>
      <c r="G36" s="462">
        <f>SUM(G37:G37)</f>
        <v>0</v>
      </c>
      <c r="H36" s="125">
        <f>SUM(E36+F36-G36)</f>
        <v>43607854</v>
      </c>
    </row>
    <row r="37" spans="1:8" s="24" customFormat="1" ht="36.75" customHeight="1" x14ac:dyDescent="0.25">
      <c r="A37" s="40"/>
      <c r="B37" s="40"/>
      <c r="C37" s="50" t="s">
        <v>69</v>
      </c>
      <c r="D37" s="62" t="s">
        <v>70</v>
      </c>
      <c r="E37" s="52">
        <v>43543854</v>
      </c>
      <c r="F37" s="52">
        <v>64000</v>
      </c>
      <c r="G37" s="52"/>
      <c r="H37" s="52">
        <f>SUM(E37+F37-G37)</f>
        <v>43607854</v>
      </c>
    </row>
    <row r="38" spans="1:8" s="24" customFormat="1" ht="12" customHeight="1" x14ac:dyDescent="0.25">
      <c r="A38" s="40"/>
      <c r="B38" s="48">
        <v>85513</v>
      </c>
      <c r="C38" s="34"/>
      <c r="D38" s="48" t="s">
        <v>71</v>
      </c>
      <c r="E38" s="52"/>
      <c r="F38" s="52"/>
      <c r="G38" s="52"/>
      <c r="H38" s="52"/>
    </row>
    <row r="39" spans="1:8" s="24" customFormat="1" ht="12" customHeight="1" x14ac:dyDescent="0.25">
      <c r="A39" s="40"/>
      <c r="B39" s="33"/>
      <c r="C39" s="34"/>
      <c r="D39" s="64" t="s">
        <v>72</v>
      </c>
      <c r="E39" s="52"/>
      <c r="F39" s="52"/>
      <c r="G39" s="52"/>
      <c r="H39" s="52"/>
    </row>
    <row r="40" spans="1:8" s="24" customFormat="1" ht="12" customHeight="1" x14ac:dyDescent="0.25">
      <c r="A40" s="40"/>
      <c r="B40" s="48"/>
      <c r="C40" s="34"/>
      <c r="D40" s="56" t="s">
        <v>73</v>
      </c>
      <c r="E40" s="46">
        <v>612600</v>
      </c>
      <c r="F40" s="47">
        <f t="shared" ref="F40:G41" si="8">SUM(F41)</f>
        <v>2438</v>
      </c>
      <c r="G40" s="47">
        <f t="shared" si="8"/>
        <v>0</v>
      </c>
      <c r="H40" s="46">
        <f t="shared" ref="H40:H41" si="9">SUM(E40+F40-G40)</f>
        <v>615038</v>
      </c>
    </row>
    <row r="41" spans="1:8" s="24" customFormat="1" ht="12" customHeight="1" x14ac:dyDescent="0.25">
      <c r="A41" s="40"/>
      <c r="B41" s="48"/>
      <c r="C41" s="34"/>
      <c r="D41" s="463" t="s">
        <v>58</v>
      </c>
      <c r="E41" s="125">
        <v>612600</v>
      </c>
      <c r="F41" s="462">
        <f t="shared" si="8"/>
        <v>2438</v>
      </c>
      <c r="G41" s="462">
        <f t="shared" si="8"/>
        <v>0</v>
      </c>
      <c r="H41" s="125">
        <f t="shared" si="9"/>
        <v>615038</v>
      </c>
    </row>
    <row r="42" spans="1:8" s="24" customFormat="1" ht="37.5" customHeight="1" x14ac:dyDescent="0.25">
      <c r="A42" s="65"/>
      <c r="B42" s="65"/>
      <c r="C42" s="66" t="s">
        <v>69</v>
      </c>
      <c r="D42" s="67" t="s">
        <v>70</v>
      </c>
      <c r="E42" s="47">
        <v>612600</v>
      </c>
      <c r="F42" s="46">
        <v>2438</v>
      </c>
      <c r="G42" s="46"/>
      <c r="H42" s="47">
        <f>SUM(E42+F42-G42)</f>
        <v>615038</v>
      </c>
    </row>
    <row r="43" spans="1:8" s="24" customFormat="1" ht="18" customHeight="1" thickBot="1" x14ac:dyDescent="0.3">
      <c r="A43" s="33"/>
      <c r="B43" s="33"/>
      <c r="C43" s="34"/>
      <c r="D43" s="37" t="s">
        <v>74</v>
      </c>
      <c r="E43" s="38">
        <v>27344731.970000003</v>
      </c>
      <c r="F43" s="38">
        <f>SUM(F44,)</f>
        <v>0</v>
      </c>
      <c r="G43" s="38">
        <f>SUM(G44,)</f>
        <v>85223.28</v>
      </c>
      <c r="H43" s="38">
        <f t="shared" ref="H43:H47" si="10">SUM(E43+F43-G43)</f>
        <v>27259508.690000001</v>
      </c>
    </row>
    <row r="44" spans="1:8" s="24" customFormat="1" ht="15.75" customHeight="1" thickTop="1" thickBot="1" x14ac:dyDescent="0.3">
      <c r="A44" s="40">
        <v>754</v>
      </c>
      <c r="B44" s="68"/>
      <c r="C44" s="69"/>
      <c r="D44" s="42" t="s">
        <v>75</v>
      </c>
      <c r="E44" s="38">
        <v>23247567.350000001</v>
      </c>
      <c r="F44" s="38">
        <f>SUM(F45)</f>
        <v>0</v>
      </c>
      <c r="G44" s="38">
        <f t="shared" ref="F44:G46" si="11">SUM(G45)</f>
        <v>85223.28</v>
      </c>
      <c r="H44" s="38">
        <f>SUM(E44+F44-G44)</f>
        <v>23162344.07</v>
      </c>
    </row>
    <row r="45" spans="1:8" s="24" customFormat="1" ht="12" customHeight="1" thickTop="1" x14ac:dyDescent="0.25">
      <c r="A45" s="40"/>
      <c r="B45" s="48">
        <v>75411</v>
      </c>
      <c r="C45" s="34"/>
      <c r="D45" s="70" t="s">
        <v>76</v>
      </c>
      <c r="E45" s="46">
        <v>23247567.350000001</v>
      </c>
      <c r="F45" s="46">
        <f t="shared" si="11"/>
        <v>0</v>
      </c>
      <c r="G45" s="46">
        <f t="shared" si="11"/>
        <v>85223.28</v>
      </c>
      <c r="H45" s="46">
        <f>SUM(E45+F45-G45)</f>
        <v>23162344.07</v>
      </c>
    </row>
    <row r="46" spans="1:8" s="24" customFormat="1" ht="12" customHeight="1" x14ac:dyDescent="0.25">
      <c r="A46" s="39"/>
      <c r="B46" s="48"/>
      <c r="C46" s="34"/>
      <c r="D46" s="463" t="s">
        <v>58</v>
      </c>
      <c r="E46" s="125">
        <v>23247567.350000001</v>
      </c>
      <c r="F46" s="462">
        <f t="shared" si="11"/>
        <v>0</v>
      </c>
      <c r="G46" s="462">
        <f t="shared" si="11"/>
        <v>85223.28</v>
      </c>
      <c r="H46" s="125">
        <f>SUM(E46+F46-G46)</f>
        <v>23162344.07</v>
      </c>
    </row>
    <row r="47" spans="1:8" s="24" customFormat="1" ht="37.5" customHeight="1" x14ac:dyDescent="0.25">
      <c r="A47" s="39"/>
      <c r="B47" s="40"/>
      <c r="C47" s="44">
        <v>2110</v>
      </c>
      <c r="D47" s="71" t="s">
        <v>77</v>
      </c>
      <c r="E47" s="52">
        <v>23247567.350000001</v>
      </c>
      <c r="F47" s="53"/>
      <c r="G47" s="53">
        <v>85223.28</v>
      </c>
      <c r="H47" s="52">
        <f t="shared" si="10"/>
        <v>23162344.07</v>
      </c>
    </row>
    <row r="48" spans="1:8" s="24" customFormat="1" ht="18" customHeight="1" thickBot="1" x14ac:dyDescent="0.3">
      <c r="A48" s="48"/>
      <c r="B48" s="48"/>
      <c r="C48" s="34"/>
      <c r="D48" s="35" t="s">
        <v>12</v>
      </c>
      <c r="E48" s="36">
        <v>1510538044.0899997</v>
      </c>
      <c r="F48" s="36">
        <f>SUM(F49,F300,F381,F397)</f>
        <v>8934484.6600000001</v>
      </c>
      <c r="G48" s="36">
        <f>SUM(G49,G300,G381,G397)</f>
        <v>2524486.38</v>
      </c>
      <c r="H48" s="36">
        <f t="shared" ref="H48:H49" si="12">SUM(E48+F48-G48)</f>
        <v>1516948042.3699996</v>
      </c>
    </row>
    <row r="49" spans="1:8" s="24" customFormat="1" ht="16.5" customHeight="1" thickBot="1" x14ac:dyDescent="0.3">
      <c r="A49" s="48"/>
      <c r="B49" s="48"/>
      <c r="C49" s="34"/>
      <c r="D49" s="37" t="s">
        <v>16</v>
      </c>
      <c r="E49" s="38">
        <v>1046169208.5299999</v>
      </c>
      <c r="F49" s="38">
        <f>SUM(F50,F57,F68,F76,F83,F87,F190,F200,F248,F262,F266,F280,F295,)</f>
        <v>3569944.02</v>
      </c>
      <c r="G49" s="38">
        <f>SUM(G50,G57,G68,G76,G83,G87,G190,G200,G248,G262,G266,G280,G295,)</f>
        <v>1820392.46</v>
      </c>
      <c r="H49" s="38">
        <f t="shared" si="12"/>
        <v>1047918760.0899998</v>
      </c>
    </row>
    <row r="50" spans="1:8" s="24" customFormat="1" ht="16.5" customHeight="1" thickTop="1" thickBot="1" x14ac:dyDescent="0.3">
      <c r="A50" s="39">
        <v>600</v>
      </c>
      <c r="B50" s="40"/>
      <c r="C50" s="41"/>
      <c r="D50" s="42" t="s">
        <v>78</v>
      </c>
      <c r="E50" s="38">
        <v>191764016.03000003</v>
      </c>
      <c r="F50" s="38">
        <f>SUM(F51,F54,)</f>
        <v>130000</v>
      </c>
      <c r="G50" s="38">
        <f>SUM(G51,G54,)</f>
        <v>130000</v>
      </c>
      <c r="H50" s="38">
        <f>SUM(E50+F50-G50)</f>
        <v>191764016.03000003</v>
      </c>
    </row>
    <row r="51" spans="1:8" s="24" customFormat="1" ht="12" customHeight="1" thickTop="1" x14ac:dyDescent="0.25">
      <c r="A51" s="39"/>
      <c r="B51" s="48">
        <v>60019</v>
      </c>
      <c r="C51" s="34"/>
      <c r="D51" s="2" t="s">
        <v>79</v>
      </c>
      <c r="E51" s="46">
        <v>565137.15</v>
      </c>
      <c r="F51" s="46">
        <f>SUM(F52,)</f>
        <v>0</v>
      </c>
      <c r="G51" s="46">
        <f>SUM(G52,)</f>
        <v>130000</v>
      </c>
      <c r="H51" s="46">
        <f t="shared" ref="H51" si="13">SUM(E51+F51-G51)</f>
        <v>435137.15</v>
      </c>
    </row>
    <row r="52" spans="1:8" s="24" customFormat="1" ht="12" customHeight="1" x14ac:dyDescent="0.25">
      <c r="A52" s="39"/>
      <c r="B52" s="40"/>
      <c r="C52" s="34"/>
      <c r="D52" s="464" t="s">
        <v>80</v>
      </c>
      <c r="E52" s="125">
        <v>565137.15</v>
      </c>
      <c r="F52" s="462">
        <f>SUM(F53:F53)</f>
        <v>0</v>
      </c>
      <c r="G52" s="462">
        <f>SUM(G53:G53)</f>
        <v>130000</v>
      </c>
      <c r="H52" s="125">
        <f>SUM(E52+F52-G52)</f>
        <v>435137.15</v>
      </c>
    </row>
    <row r="53" spans="1:8" s="24" customFormat="1" ht="12" customHeight="1" x14ac:dyDescent="0.25">
      <c r="A53" s="39"/>
      <c r="B53" s="40"/>
      <c r="C53" s="48">
        <v>4300</v>
      </c>
      <c r="D53" s="72" t="s">
        <v>81</v>
      </c>
      <c r="E53" s="53">
        <v>556537.15</v>
      </c>
      <c r="F53" s="52"/>
      <c r="G53" s="52">
        <v>130000</v>
      </c>
      <c r="H53" s="53">
        <f t="shared" ref="H53:H54" si="14">SUM(E53+F53-G53)</f>
        <v>426537.15</v>
      </c>
    </row>
    <row r="54" spans="1:8" s="24" customFormat="1" ht="12" customHeight="1" x14ac:dyDescent="0.25">
      <c r="A54" s="39"/>
      <c r="B54" s="48">
        <v>60021</v>
      </c>
      <c r="C54" s="34"/>
      <c r="D54" s="56" t="s">
        <v>82</v>
      </c>
      <c r="E54" s="46">
        <v>312406</v>
      </c>
      <c r="F54" s="46">
        <f>SUM(F55)</f>
        <v>130000</v>
      </c>
      <c r="G54" s="46">
        <f>SUM(G55)</f>
        <v>0</v>
      </c>
      <c r="H54" s="46">
        <f t="shared" si="14"/>
        <v>442406</v>
      </c>
    </row>
    <row r="55" spans="1:8" s="24" customFormat="1" ht="12" customHeight="1" x14ac:dyDescent="0.25">
      <c r="A55" s="39"/>
      <c r="B55" s="48"/>
      <c r="C55" s="34"/>
      <c r="D55" s="464" t="s">
        <v>80</v>
      </c>
      <c r="E55" s="125">
        <v>312406</v>
      </c>
      <c r="F55" s="462">
        <f>SUM(F56:F56)</f>
        <v>130000</v>
      </c>
      <c r="G55" s="462">
        <f>SUM(G56:G56)</f>
        <v>0</v>
      </c>
      <c r="H55" s="125">
        <f>SUM(E55+F55-G55)</f>
        <v>442406</v>
      </c>
    </row>
    <row r="56" spans="1:8" s="24" customFormat="1" ht="12" customHeight="1" x14ac:dyDescent="0.25">
      <c r="A56" s="39"/>
      <c r="B56" s="48"/>
      <c r="C56" s="48">
        <v>4300</v>
      </c>
      <c r="D56" s="72" t="s">
        <v>81</v>
      </c>
      <c r="E56" s="53">
        <v>171000</v>
      </c>
      <c r="F56" s="52">
        <v>130000</v>
      </c>
      <c r="G56" s="52"/>
      <c r="H56" s="53">
        <f t="shared" ref="H56" si="15">SUM(E56+F56-G56)</f>
        <v>301000</v>
      </c>
    </row>
    <row r="57" spans="1:8" s="24" customFormat="1" ht="12" customHeight="1" thickBot="1" x14ac:dyDescent="0.3">
      <c r="A57" s="39">
        <v>750</v>
      </c>
      <c r="B57" s="40"/>
      <c r="C57" s="41"/>
      <c r="D57" s="42" t="s">
        <v>83</v>
      </c>
      <c r="E57" s="38">
        <v>92787286.670000017</v>
      </c>
      <c r="F57" s="43">
        <f>SUM(F58,F64,)</f>
        <v>27291.21</v>
      </c>
      <c r="G57" s="43">
        <f>SUM(G58,G64,)</f>
        <v>27291.21</v>
      </c>
      <c r="H57" s="38">
        <f>SUM(E57+F57-G57)</f>
        <v>92787286.670000017</v>
      </c>
    </row>
    <row r="58" spans="1:8" s="24" customFormat="1" ht="12" customHeight="1" thickTop="1" x14ac:dyDescent="0.25">
      <c r="A58" s="39"/>
      <c r="B58" s="73">
        <v>75023</v>
      </c>
      <c r="C58" s="73"/>
      <c r="D58" s="74" t="s">
        <v>84</v>
      </c>
      <c r="E58" s="75">
        <v>46516569.580000006</v>
      </c>
      <c r="F58" s="75">
        <f>SUM(F59,)</f>
        <v>25291.21</v>
      </c>
      <c r="G58" s="75">
        <f>SUM(G59,)</f>
        <v>25291.21</v>
      </c>
      <c r="H58" s="76">
        <f t="shared" ref="H58:H62" si="16">SUM(E58+F58-G58)</f>
        <v>46516569.580000006</v>
      </c>
    </row>
    <row r="59" spans="1:8" s="24" customFormat="1" ht="24.75" customHeight="1" x14ac:dyDescent="0.25">
      <c r="A59" s="39"/>
      <c r="B59" s="73"/>
      <c r="C59" s="34"/>
      <c r="D59" s="465" t="s">
        <v>85</v>
      </c>
      <c r="E59" s="125">
        <v>660141</v>
      </c>
      <c r="F59" s="462">
        <f>SUM(F60:F63)</f>
        <v>25291.21</v>
      </c>
      <c r="G59" s="462">
        <f>SUM(G60:G63)</f>
        <v>25291.21</v>
      </c>
      <c r="H59" s="125">
        <f t="shared" si="16"/>
        <v>660141</v>
      </c>
    </row>
    <row r="60" spans="1:8" s="24" customFormat="1" ht="12" customHeight="1" x14ac:dyDescent="0.25">
      <c r="A60" s="39"/>
      <c r="B60" s="73"/>
      <c r="C60" s="54">
        <v>4307</v>
      </c>
      <c r="D60" s="72" t="s">
        <v>81</v>
      </c>
      <c r="E60" s="53">
        <v>109019.30000000002</v>
      </c>
      <c r="F60" s="52"/>
      <c r="G60" s="52">
        <v>21684.26</v>
      </c>
      <c r="H60" s="52">
        <f t="shared" si="16"/>
        <v>87335.040000000023</v>
      </c>
    </row>
    <row r="61" spans="1:8" s="24" customFormat="1" ht="12" customHeight="1" x14ac:dyDescent="0.25">
      <c r="A61" s="39"/>
      <c r="B61" s="73"/>
      <c r="C61" s="54">
        <v>4309</v>
      </c>
      <c r="D61" s="72" t="s">
        <v>81</v>
      </c>
      <c r="E61" s="53">
        <v>64340.409999999996</v>
      </c>
      <c r="F61" s="52"/>
      <c r="G61" s="52">
        <v>3606.95</v>
      </c>
      <c r="H61" s="52">
        <f t="shared" si="16"/>
        <v>60733.46</v>
      </c>
    </row>
    <row r="62" spans="1:8" s="24" customFormat="1" ht="12" customHeight="1" x14ac:dyDescent="0.25">
      <c r="A62" s="39"/>
      <c r="B62" s="73"/>
      <c r="C62" s="73">
        <v>4707</v>
      </c>
      <c r="D62" s="77" t="s">
        <v>86</v>
      </c>
      <c r="E62" s="53">
        <v>32531.200000000001</v>
      </c>
      <c r="F62" s="52">
        <v>21684.26</v>
      </c>
      <c r="G62" s="53"/>
      <c r="H62" s="53">
        <f t="shared" si="16"/>
        <v>54215.46</v>
      </c>
    </row>
    <row r="63" spans="1:8" s="24" customFormat="1" ht="12" customHeight="1" x14ac:dyDescent="0.25">
      <c r="A63" s="39"/>
      <c r="B63" s="73"/>
      <c r="C63" s="73">
        <v>4709</v>
      </c>
      <c r="D63" s="77" t="s">
        <v>86</v>
      </c>
      <c r="E63" s="53">
        <v>19199.09</v>
      </c>
      <c r="F63" s="52">
        <v>3606.95</v>
      </c>
      <c r="G63" s="52"/>
      <c r="H63" s="53">
        <f t="shared" ref="H63" si="17">SUM(E63+F63-G63)</f>
        <v>22806.04</v>
      </c>
    </row>
    <row r="64" spans="1:8" s="24" customFormat="1" ht="12" customHeight="1" x14ac:dyDescent="0.25">
      <c r="A64" s="48"/>
      <c r="B64" s="34" t="s">
        <v>87</v>
      </c>
      <c r="C64" s="54"/>
      <c r="D64" s="56" t="s">
        <v>17</v>
      </c>
      <c r="E64" s="46">
        <v>38298721.219999999</v>
      </c>
      <c r="F64" s="47">
        <f>SUM(F65)</f>
        <v>2000</v>
      </c>
      <c r="G64" s="47">
        <f>SUM(G65)</f>
        <v>2000</v>
      </c>
      <c r="H64" s="46">
        <f>SUM(E64+F64-G64)</f>
        <v>38298721.219999999</v>
      </c>
    </row>
    <row r="65" spans="1:8" s="24" customFormat="1" ht="12" customHeight="1" x14ac:dyDescent="0.25">
      <c r="A65" s="48"/>
      <c r="B65" s="34"/>
      <c r="C65" s="78"/>
      <c r="D65" s="466" t="s">
        <v>88</v>
      </c>
      <c r="E65" s="467">
        <v>95203.3</v>
      </c>
      <c r="F65" s="468">
        <f>SUM(F66:F67)</f>
        <v>2000</v>
      </c>
      <c r="G65" s="468">
        <f>SUM(G66:G67)</f>
        <v>2000</v>
      </c>
      <c r="H65" s="467">
        <f t="shared" ref="H65:H67" si="18">SUM(E65+F65-G65)</f>
        <v>95203.3</v>
      </c>
    </row>
    <row r="66" spans="1:8" s="24" customFormat="1" ht="12" customHeight="1" x14ac:dyDescent="0.25">
      <c r="A66" s="48"/>
      <c r="B66" s="34"/>
      <c r="C66" s="79">
        <v>4300</v>
      </c>
      <c r="D66" s="80" t="s">
        <v>81</v>
      </c>
      <c r="E66" s="81">
        <v>50000</v>
      </c>
      <c r="F66" s="82">
        <v>2000</v>
      </c>
      <c r="G66" s="82"/>
      <c r="H66" s="83">
        <f t="shared" si="18"/>
        <v>52000</v>
      </c>
    </row>
    <row r="67" spans="1:8" s="24" customFormat="1" ht="12" customHeight="1" x14ac:dyDescent="0.25">
      <c r="A67" s="48"/>
      <c r="B67" s="34"/>
      <c r="C67" s="84">
        <v>4390</v>
      </c>
      <c r="D67" s="85" t="s">
        <v>89</v>
      </c>
      <c r="E67" s="81">
        <v>27355</v>
      </c>
      <c r="F67" s="82"/>
      <c r="G67" s="82">
        <v>2000</v>
      </c>
      <c r="H67" s="83">
        <f t="shared" si="18"/>
        <v>25355</v>
      </c>
    </row>
    <row r="68" spans="1:8" s="24" customFormat="1" ht="12" customHeight="1" thickBot="1" x14ac:dyDescent="0.3">
      <c r="A68" s="39">
        <v>752</v>
      </c>
      <c r="B68" s="40"/>
      <c r="C68" s="41"/>
      <c r="D68" s="42" t="s">
        <v>48</v>
      </c>
      <c r="E68" s="38">
        <v>0</v>
      </c>
      <c r="F68" s="43">
        <f>SUM(F69)</f>
        <v>2118550</v>
      </c>
      <c r="G68" s="43">
        <f>SUM(G69)</f>
        <v>0</v>
      </c>
      <c r="H68" s="38">
        <f>SUM(E68+F68-G68)</f>
        <v>2118550</v>
      </c>
    </row>
    <row r="69" spans="1:8" s="24" customFormat="1" ht="23.25" customHeight="1" thickTop="1" x14ac:dyDescent="0.25">
      <c r="A69" s="39"/>
      <c r="B69" s="44">
        <v>75281</v>
      </c>
      <c r="C69" s="34"/>
      <c r="D69" s="45" t="s">
        <v>49</v>
      </c>
      <c r="E69" s="46">
        <v>0</v>
      </c>
      <c r="F69" s="47">
        <f>SUM(F70,F72,F74)</f>
        <v>2118550</v>
      </c>
      <c r="G69" s="47">
        <f>SUM(G70,G72,G74)</f>
        <v>0</v>
      </c>
      <c r="H69" s="46">
        <f>SUM(E69+F69-G69)</f>
        <v>2118550</v>
      </c>
    </row>
    <row r="70" spans="1:8" s="24" customFormat="1" ht="12" customHeight="1" x14ac:dyDescent="0.25">
      <c r="A70" s="39"/>
      <c r="B70" s="48"/>
      <c r="C70" s="54"/>
      <c r="D70" s="460" t="s">
        <v>90</v>
      </c>
      <c r="E70" s="125">
        <v>0</v>
      </c>
      <c r="F70" s="125">
        <f>SUM(F71)</f>
        <v>818550</v>
      </c>
      <c r="G70" s="125">
        <f>SUM(G71)</f>
        <v>0</v>
      </c>
      <c r="H70" s="125">
        <f>SUM(E70+F70-G70)</f>
        <v>818550</v>
      </c>
    </row>
    <row r="71" spans="1:8" s="24" customFormat="1" ht="12" customHeight="1" x14ac:dyDescent="0.25">
      <c r="A71" s="49"/>
      <c r="B71" s="48"/>
      <c r="C71" s="54">
        <v>6050</v>
      </c>
      <c r="D71" s="72" t="s">
        <v>91</v>
      </c>
      <c r="E71" s="52">
        <v>0</v>
      </c>
      <c r="F71" s="52">
        <v>818550</v>
      </c>
      <c r="G71" s="52"/>
      <c r="H71" s="53">
        <f t="shared" ref="H71" si="19">SUM(E71+F71-G71)</f>
        <v>818550</v>
      </c>
    </row>
    <row r="72" spans="1:8" s="24" customFormat="1" ht="12" customHeight="1" x14ac:dyDescent="0.25">
      <c r="A72" s="39"/>
      <c r="B72" s="48"/>
      <c r="C72" s="54"/>
      <c r="D72" s="460" t="s">
        <v>92</v>
      </c>
      <c r="E72" s="125">
        <v>0</v>
      </c>
      <c r="F72" s="125">
        <f>SUM(F73)</f>
        <v>1178230</v>
      </c>
      <c r="G72" s="125">
        <f>SUM(G73)</f>
        <v>0</v>
      </c>
      <c r="H72" s="125">
        <f>SUM(E72+F72-G72)</f>
        <v>1178230</v>
      </c>
    </row>
    <row r="73" spans="1:8" s="24" customFormat="1" ht="12" customHeight="1" x14ac:dyDescent="0.25">
      <c r="A73" s="39"/>
      <c r="B73" s="48"/>
      <c r="C73" s="54">
        <v>6050</v>
      </c>
      <c r="D73" s="72" t="s">
        <v>91</v>
      </c>
      <c r="E73" s="52">
        <v>0</v>
      </c>
      <c r="F73" s="52">
        <v>1178230</v>
      </c>
      <c r="G73" s="52"/>
      <c r="H73" s="53">
        <f t="shared" ref="H73" si="20">SUM(E73+F73-G73)</f>
        <v>1178230</v>
      </c>
    </row>
    <row r="74" spans="1:8" s="24" customFormat="1" ht="12" customHeight="1" x14ac:dyDescent="0.25">
      <c r="A74" s="39"/>
      <c r="B74" s="48"/>
      <c r="C74" s="54"/>
      <c r="D74" s="469" t="s">
        <v>93</v>
      </c>
      <c r="E74" s="125">
        <v>0</v>
      </c>
      <c r="F74" s="125">
        <f>SUM(F75)</f>
        <v>121770</v>
      </c>
      <c r="G74" s="125">
        <f>SUM(G75)</f>
        <v>0</v>
      </c>
      <c r="H74" s="125">
        <f>SUM(E74+F74-G74)</f>
        <v>121770</v>
      </c>
    </row>
    <row r="75" spans="1:8" s="24" customFormat="1" ht="12" customHeight="1" x14ac:dyDescent="0.25">
      <c r="A75" s="39"/>
      <c r="B75" s="48"/>
      <c r="C75" s="54">
        <v>6050</v>
      </c>
      <c r="D75" s="72" t="s">
        <v>91</v>
      </c>
      <c r="E75" s="52">
        <v>0</v>
      </c>
      <c r="F75" s="52">
        <v>121770</v>
      </c>
      <c r="G75" s="52"/>
      <c r="H75" s="53">
        <f t="shared" ref="H75:H76" si="21">SUM(E75+F75-G75)</f>
        <v>121770</v>
      </c>
    </row>
    <row r="76" spans="1:8" s="24" customFormat="1" ht="12" customHeight="1" thickBot="1" x14ac:dyDescent="0.3">
      <c r="A76" s="86">
        <v>757</v>
      </c>
      <c r="B76" s="87"/>
      <c r="C76" s="86"/>
      <c r="D76" s="88" t="s">
        <v>94</v>
      </c>
      <c r="E76" s="38">
        <v>34641419.719999999</v>
      </c>
      <c r="F76" s="43">
        <f>SUM(F79)</f>
        <v>20100</v>
      </c>
      <c r="G76" s="43">
        <f>SUM(G79)</f>
        <v>20100</v>
      </c>
      <c r="H76" s="38">
        <f t="shared" si="21"/>
        <v>34641419.719999999</v>
      </c>
    </row>
    <row r="77" spans="1:8" s="24" customFormat="1" ht="12" customHeight="1" thickTop="1" x14ac:dyDescent="0.25">
      <c r="A77" s="89"/>
      <c r="B77" s="79">
        <v>75702</v>
      </c>
      <c r="C77" s="79"/>
      <c r="D77" s="80" t="s">
        <v>95</v>
      </c>
      <c r="E77" s="90"/>
      <c r="F77" s="91"/>
      <c r="G77" s="91"/>
      <c r="H77" s="90"/>
    </row>
    <row r="78" spans="1:8" s="24" customFormat="1" ht="12" customHeight="1" x14ac:dyDescent="0.25">
      <c r="A78" s="89"/>
      <c r="B78" s="87"/>
      <c r="C78" s="79"/>
      <c r="D78" s="80" t="s">
        <v>96</v>
      </c>
      <c r="E78" s="90"/>
      <c r="F78" s="91"/>
      <c r="G78" s="91"/>
      <c r="H78" s="90"/>
    </row>
    <row r="79" spans="1:8" s="24" customFormat="1" ht="12" customHeight="1" x14ac:dyDescent="0.25">
      <c r="A79" s="39"/>
      <c r="B79" s="87"/>
      <c r="C79" s="79"/>
      <c r="D79" s="2" t="s">
        <v>97</v>
      </c>
      <c r="E79" s="46">
        <v>34641419.719999999</v>
      </c>
      <c r="F79" s="47">
        <f>SUM(F80)</f>
        <v>20100</v>
      </c>
      <c r="G79" s="47">
        <f>SUM(G80)</f>
        <v>20100</v>
      </c>
      <c r="H79" s="46">
        <f t="shared" ref="H79" si="22">SUM(E79+F79-G79)</f>
        <v>34641419.719999999</v>
      </c>
    </row>
    <row r="80" spans="1:8" s="24" customFormat="1" ht="12" customHeight="1" x14ac:dyDescent="0.25">
      <c r="A80" s="39"/>
      <c r="B80" s="54"/>
      <c r="C80" s="34"/>
      <c r="D80" s="466" t="s">
        <v>98</v>
      </c>
      <c r="E80" s="125">
        <v>505000</v>
      </c>
      <c r="F80" s="125">
        <f>SUM(F81:F82)</f>
        <v>20100</v>
      </c>
      <c r="G80" s="125">
        <f>SUM(G81:G82)</f>
        <v>20100</v>
      </c>
      <c r="H80" s="125">
        <f>SUM(E80+F80-G80)</f>
        <v>505000</v>
      </c>
    </row>
    <row r="81" spans="1:8" s="24" customFormat="1" ht="12" customHeight="1" x14ac:dyDescent="0.25">
      <c r="A81" s="39"/>
      <c r="B81" s="54"/>
      <c r="C81" s="84">
        <v>4580</v>
      </c>
      <c r="D81" s="92" t="s">
        <v>99</v>
      </c>
      <c r="E81" s="53">
        <v>5000</v>
      </c>
      <c r="F81" s="53">
        <f>18500+1600</f>
        <v>20100</v>
      </c>
      <c r="G81" s="53"/>
      <c r="H81" s="53">
        <f t="shared" ref="H81:H82" si="23">SUM(E81+F81-G81)</f>
        <v>25100</v>
      </c>
    </row>
    <row r="82" spans="1:8" s="24" customFormat="1" ht="12" customHeight="1" x14ac:dyDescent="0.25">
      <c r="A82" s="39"/>
      <c r="B82" s="54"/>
      <c r="C82" s="93">
        <v>8010</v>
      </c>
      <c r="D82" s="77" t="s">
        <v>100</v>
      </c>
      <c r="E82" s="94">
        <v>500000</v>
      </c>
      <c r="F82" s="53"/>
      <c r="G82" s="53">
        <f>18500+1600</f>
        <v>20100</v>
      </c>
      <c r="H82" s="53">
        <f t="shared" si="23"/>
        <v>479900</v>
      </c>
    </row>
    <row r="83" spans="1:8" s="24" customFormat="1" ht="12" customHeight="1" thickBot="1" x14ac:dyDescent="0.3">
      <c r="A83" s="40">
        <v>758</v>
      </c>
      <c r="B83" s="40"/>
      <c r="C83" s="41"/>
      <c r="D83" s="42" t="s">
        <v>101</v>
      </c>
      <c r="E83" s="38">
        <v>42967588.439999998</v>
      </c>
      <c r="F83" s="43">
        <f>SUM(F84)</f>
        <v>0</v>
      </c>
      <c r="G83" s="43">
        <f>SUM(G84)</f>
        <v>33172</v>
      </c>
      <c r="H83" s="38">
        <f>SUM(E83+F83-G83)</f>
        <v>42934416.439999998</v>
      </c>
    </row>
    <row r="84" spans="1:8" s="24" customFormat="1" ht="12" customHeight="1" thickTop="1" x14ac:dyDescent="0.25">
      <c r="A84" s="33"/>
      <c r="B84" s="48">
        <v>75818</v>
      </c>
      <c r="C84" s="34"/>
      <c r="D84" s="70" t="s">
        <v>102</v>
      </c>
      <c r="E84" s="46">
        <v>42967588.439999998</v>
      </c>
      <c r="F84" s="47">
        <f>SUM(F85,)</f>
        <v>0</v>
      </c>
      <c r="G84" s="47">
        <f>SUM(G85,)</f>
        <v>33172</v>
      </c>
      <c r="H84" s="46">
        <f>SUM(E84+F84-G84)</f>
        <v>42934416.439999998</v>
      </c>
    </row>
    <row r="85" spans="1:8" s="24" customFormat="1" ht="12" customHeight="1" x14ac:dyDescent="0.25">
      <c r="A85" s="33"/>
      <c r="B85" s="48"/>
      <c r="C85" s="34" t="s">
        <v>103</v>
      </c>
      <c r="D85" s="64" t="s">
        <v>104</v>
      </c>
      <c r="E85" s="95">
        <v>42967588.439999998</v>
      </c>
      <c r="F85" s="95">
        <f>SUM(F86:F86)</f>
        <v>0</v>
      </c>
      <c r="G85" s="95">
        <f>SUM(G86:G86)</f>
        <v>33172</v>
      </c>
      <c r="H85" s="95">
        <f>SUM(E85+F85-G85)</f>
        <v>42934416.439999998</v>
      </c>
    </row>
    <row r="86" spans="1:8" s="24" customFormat="1" ht="12" customHeight="1" x14ac:dyDescent="0.25">
      <c r="A86" s="33"/>
      <c r="B86" s="48"/>
      <c r="C86" s="34"/>
      <c r="D86" s="72" t="s">
        <v>105</v>
      </c>
      <c r="E86" s="53">
        <v>4037900</v>
      </c>
      <c r="F86" s="53"/>
      <c r="G86" s="53">
        <v>33172</v>
      </c>
      <c r="H86" s="53">
        <f t="shared" ref="H86" si="24">SUM(E86+F86-G86)</f>
        <v>4004728</v>
      </c>
    </row>
    <row r="87" spans="1:8" s="24" customFormat="1" ht="12" customHeight="1" thickBot="1" x14ac:dyDescent="0.3">
      <c r="A87" s="40">
        <v>801</v>
      </c>
      <c r="B87" s="40"/>
      <c r="C87" s="41"/>
      <c r="D87" s="42" t="s">
        <v>19</v>
      </c>
      <c r="E87" s="1">
        <v>240242820.13</v>
      </c>
      <c r="F87" s="43">
        <f>SUM(F88,F107,F110,F125,F128,F132,F140,F150,F156,)</f>
        <v>877500.28</v>
      </c>
      <c r="G87" s="43">
        <f>SUM(G88,G107,G110,G125,G128,G132,G140,G150,G156,)</f>
        <v>1257500.28</v>
      </c>
      <c r="H87" s="38">
        <f>SUM(E87+F87-G87)</f>
        <v>239862820.13</v>
      </c>
    </row>
    <row r="88" spans="1:8" s="24" customFormat="1" ht="12" customHeight="1" thickTop="1" x14ac:dyDescent="0.25">
      <c r="A88" s="40"/>
      <c r="B88" s="48">
        <v>80101</v>
      </c>
      <c r="C88" s="34"/>
      <c r="D88" s="56" t="s">
        <v>106</v>
      </c>
      <c r="E88" s="46">
        <v>125609529.23999999</v>
      </c>
      <c r="F88" s="47">
        <f>SUM(F89,F91,)</f>
        <v>158655.96000000002</v>
      </c>
      <c r="G88" s="47">
        <f>SUM(G89,G91,)</f>
        <v>762696.39</v>
      </c>
      <c r="H88" s="46">
        <f>SUM(E88+F88-G88)</f>
        <v>125005488.80999999</v>
      </c>
    </row>
    <row r="89" spans="1:8" s="24" customFormat="1" ht="12" customHeight="1" x14ac:dyDescent="0.25">
      <c r="A89" s="40"/>
      <c r="B89" s="48"/>
      <c r="C89" s="34"/>
      <c r="D89" s="461" t="s">
        <v>107</v>
      </c>
      <c r="E89" s="125">
        <v>13332584.359999999</v>
      </c>
      <c r="F89" s="125">
        <f>SUM(F90:F90)</f>
        <v>0</v>
      </c>
      <c r="G89" s="125">
        <f>SUM(G90:G90)</f>
        <v>550000</v>
      </c>
      <c r="H89" s="125">
        <f t="shared" ref="H89:H90" si="25">SUM(E89+F89-G89)</f>
        <v>12782584.359999999</v>
      </c>
    </row>
    <row r="90" spans="1:8" s="24" customFormat="1" ht="34.5" customHeight="1" x14ac:dyDescent="0.25">
      <c r="A90" s="40"/>
      <c r="B90" s="48"/>
      <c r="C90" s="50" t="s">
        <v>108</v>
      </c>
      <c r="D90" s="71" t="s">
        <v>109</v>
      </c>
      <c r="E90" s="52">
        <v>9720952.1600000001</v>
      </c>
      <c r="F90" s="52"/>
      <c r="G90" s="52">
        <v>550000</v>
      </c>
      <c r="H90" s="52">
        <f t="shared" si="25"/>
        <v>9170952.1600000001</v>
      </c>
    </row>
    <row r="91" spans="1:8" s="24" customFormat="1" ht="12" customHeight="1" x14ac:dyDescent="0.25">
      <c r="A91" s="40"/>
      <c r="B91" s="48"/>
      <c r="C91" s="34"/>
      <c r="D91" s="460" t="s">
        <v>110</v>
      </c>
      <c r="E91" s="125">
        <v>106346944.88</v>
      </c>
      <c r="F91" s="125">
        <f>SUM(F92:F106)</f>
        <v>158655.96000000002</v>
      </c>
      <c r="G91" s="125">
        <f>SUM(G92:G106)</f>
        <v>212696.39</v>
      </c>
      <c r="H91" s="125">
        <f>SUM(E91+F91-G91)</f>
        <v>106292904.44999999</v>
      </c>
    </row>
    <row r="92" spans="1:8" s="24" customFormat="1" ht="12" customHeight="1" x14ac:dyDescent="0.25">
      <c r="A92" s="40"/>
      <c r="B92" s="48"/>
      <c r="C92" s="84">
        <v>3020</v>
      </c>
      <c r="D92" s="92" t="s">
        <v>111</v>
      </c>
      <c r="E92" s="53">
        <v>215659</v>
      </c>
      <c r="F92" s="53"/>
      <c r="G92" s="53">
        <v>2000</v>
      </c>
      <c r="H92" s="53">
        <f t="shared" ref="H92:H106" si="26">SUM(E92+F92-G92)</f>
        <v>213659</v>
      </c>
    </row>
    <row r="93" spans="1:8" s="24" customFormat="1" ht="12" customHeight="1" x14ac:dyDescent="0.25">
      <c r="A93" s="40"/>
      <c r="B93" s="48"/>
      <c r="C93" s="54">
        <v>4040</v>
      </c>
      <c r="D93" s="72" t="s">
        <v>112</v>
      </c>
      <c r="E93" s="53">
        <v>1250561</v>
      </c>
      <c r="F93" s="53"/>
      <c r="G93" s="53">
        <f>60267.48+2000</f>
        <v>62267.48</v>
      </c>
      <c r="H93" s="53">
        <f t="shared" si="26"/>
        <v>1188293.52</v>
      </c>
    </row>
    <row r="94" spans="1:8" s="24" customFormat="1" ht="12" customHeight="1" x14ac:dyDescent="0.25">
      <c r="A94" s="40"/>
      <c r="B94" s="48"/>
      <c r="C94" s="84">
        <v>4170</v>
      </c>
      <c r="D94" s="92" t="s">
        <v>113</v>
      </c>
      <c r="E94" s="53">
        <v>74691</v>
      </c>
      <c r="F94" s="53">
        <v>500</v>
      </c>
      <c r="G94" s="53"/>
      <c r="H94" s="53">
        <f t="shared" si="26"/>
        <v>75191</v>
      </c>
    </row>
    <row r="95" spans="1:8" s="24" customFormat="1" ht="12" customHeight="1" x14ac:dyDescent="0.25">
      <c r="A95" s="65"/>
      <c r="B95" s="59"/>
      <c r="C95" s="96" t="s">
        <v>114</v>
      </c>
      <c r="D95" s="97" t="s">
        <v>115</v>
      </c>
      <c r="E95" s="47">
        <v>622868</v>
      </c>
      <c r="F95" s="47">
        <v>89155.96</v>
      </c>
      <c r="G95" s="47"/>
      <c r="H95" s="46">
        <f t="shared" si="26"/>
        <v>712023.96</v>
      </c>
    </row>
    <row r="96" spans="1:8" s="24" customFormat="1" ht="12" customHeight="1" x14ac:dyDescent="0.25">
      <c r="A96" s="40"/>
      <c r="B96" s="48"/>
      <c r="C96" s="84">
        <v>4240</v>
      </c>
      <c r="D96" s="92" t="s">
        <v>116</v>
      </c>
      <c r="E96" s="52">
        <v>253920.5</v>
      </c>
      <c r="F96" s="52">
        <v>21000</v>
      </c>
      <c r="G96" s="52"/>
      <c r="H96" s="53">
        <f t="shared" si="26"/>
        <v>274920.5</v>
      </c>
    </row>
    <row r="97" spans="1:8" s="24" customFormat="1" ht="12" customHeight="1" x14ac:dyDescent="0.25">
      <c r="A97" s="40"/>
      <c r="B97" s="48"/>
      <c r="C97" s="84">
        <v>4260</v>
      </c>
      <c r="D97" s="92" t="s">
        <v>117</v>
      </c>
      <c r="E97" s="52">
        <v>7233944</v>
      </c>
      <c r="F97" s="52"/>
      <c r="G97" s="52">
        <v>35000</v>
      </c>
      <c r="H97" s="53">
        <f t="shared" si="26"/>
        <v>7198944</v>
      </c>
    </row>
    <row r="98" spans="1:8" s="24" customFormat="1" ht="12" customHeight="1" x14ac:dyDescent="0.25">
      <c r="A98" s="40"/>
      <c r="B98" s="48"/>
      <c r="C98" s="84">
        <v>4270</v>
      </c>
      <c r="D98" s="92" t="s">
        <v>118</v>
      </c>
      <c r="E98" s="52">
        <v>405565</v>
      </c>
      <c r="F98" s="52">
        <v>11000</v>
      </c>
      <c r="G98" s="52"/>
      <c r="H98" s="53">
        <f t="shared" si="26"/>
        <v>416565</v>
      </c>
    </row>
    <row r="99" spans="1:8" s="24" customFormat="1" ht="12" customHeight="1" x14ac:dyDescent="0.25">
      <c r="A99" s="40"/>
      <c r="B99" s="48"/>
      <c r="C99" s="84">
        <v>4280</v>
      </c>
      <c r="D99" s="92" t="s">
        <v>119</v>
      </c>
      <c r="E99" s="52">
        <v>121820</v>
      </c>
      <c r="F99" s="52"/>
      <c r="G99" s="52">
        <v>6000</v>
      </c>
      <c r="H99" s="53">
        <f t="shared" si="26"/>
        <v>115820</v>
      </c>
    </row>
    <row r="100" spans="1:8" s="24" customFormat="1" ht="12" customHeight="1" x14ac:dyDescent="0.25">
      <c r="A100" s="40"/>
      <c r="B100" s="48"/>
      <c r="C100" s="84">
        <v>4300</v>
      </c>
      <c r="D100" s="92" t="s">
        <v>81</v>
      </c>
      <c r="E100" s="52">
        <v>1106773.2</v>
      </c>
      <c r="F100" s="52">
        <v>30000</v>
      </c>
      <c r="G100" s="52"/>
      <c r="H100" s="53">
        <f t="shared" si="26"/>
        <v>1136773.2</v>
      </c>
    </row>
    <row r="101" spans="1:8" s="24" customFormat="1" ht="12" customHeight="1" x14ac:dyDescent="0.25">
      <c r="A101" s="40"/>
      <c r="B101" s="48"/>
      <c r="C101" s="84">
        <v>4360</v>
      </c>
      <c r="D101" s="92" t="s">
        <v>120</v>
      </c>
      <c r="E101" s="52">
        <v>59104</v>
      </c>
      <c r="F101" s="52">
        <v>500</v>
      </c>
      <c r="G101" s="52"/>
      <c r="H101" s="53">
        <f t="shared" si="26"/>
        <v>59604</v>
      </c>
    </row>
    <row r="102" spans="1:8" s="24" customFormat="1" ht="12" customHeight="1" x14ac:dyDescent="0.25">
      <c r="A102" s="40"/>
      <c r="B102" s="48"/>
      <c r="C102" s="84">
        <v>4390</v>
      </c>
      <c r="D102" s="85" t="s">
        <v>89</v>
      </c>
      <c r="E102" s="52">
        <v>26620</v>
      </c>
      <c r="F102" s="52"/>
      <c r="G102" s="52">
        <v>900</v>
      </c>
      <c r="H102" s="53">
        <f t="shared" si="26"/>
        <v>25720</v>
      </c>
    </row>
    <row r="103" spans="1:8" s="24" customFormat="1" ht="12" customHeight="1" x14ac:dyDescent="0.25">
      <c r="A103" s="40"/>
      <c r="B103" s="48"/>
      <c r="C103" s="84">
        <v>4410</v>
      </c>
      <c r="D103" s="92" t="s">
        <v>121</v>
      </c>
      <c r="E103" s="52">
        <v>25472</v>
      </c>
      <c r="F103" s="52">
        <v>2500</v>
      </c>
      <c r="G103" s="52"/>
      <c r="H103" s="53">
        <f t="shared" si="26"/>
        <v>27972</v>
      </c>
    </row>
    <row r="104" spans="1:8" s="24" customFormat="1" ht="12" customHeight="1" x14ac:dyDescent="0.25">
      <c r="A104" s="40"/>
      <c r="B104" s="48"/>
      <c r="C104" s="44">
        <v>4700</v>
      </c>
      <c r="D104" s="85" t="s">
        <v>122</v>
      </c>
      <c r="E104" s="52">
        <v>100386</v>
      </c>
      <c r="F104" s="52">
        <v>2000</v>
      </c>
      <c r="G104" s="52"/>
      <c r="H104" s="53">
        <f t="shared" si="26"/>
        <v>102386</v>
      </c>
    </row>
    <row r="105" spans="1:8" s="24" customFormat="1" ht="12" customHeight="1" x14ac:dyDescent="0.25">
      <c r="A105" s="40"/>
      <c r="B105" s="48"/>
      <c r="C105" s="84">
        <v>4710</v>
      </c>
      <c r="D105" s="92" t="s">
        <v>123</v>
      </c>
      <c r="E105" s="52">
        <v>287302</v>
      </c>
      <c r="F105" s="52">
        <v>2000</v>
      </c>
      <c r="G105" s="52"/>
      <c r="H105" s="53">
        <f t="shared" si="26"/>
        <v>289302</v>
      </c>
    </row>
    <row r="106" spans="1:8" s="24" customFormat="1" ht="12" customHeight="1" x14ac:dyDescent="0.25">
      <c r="A106" s="40"/>
      <c r="B106" s="48"/>
      <c r="C106" s="54">
        <v>4800</v>
      </c>
      <c r="D106" s="24" t="s">
        <v>124</v>
      </c>
      <c r="E106" s="52">
        <v>4791075</v>
      </c>
      <c r="F106" s="52"/>
      <c r="G106" s="52">
        <v>106528.91</v>
      </c>
      <c r="H106" s="53">
        <f t="shared" si="26"/>
        <v>4684546.09</v>
      </c>
    </row>
    <row r="107" spans="1:8" s="24" customFormat="1" ht="12" customHeight="1" x14ac:dyDescent="0.25">
      <c r="A107" s="40"/>
      <c r="B107" s="48">
        <v>80103</v>
      </c>
      <c r="C107" s="34"/>
      <c r="D107" s="56" t="s">
        <v>125</v>
      </c>
      <c r="E107" s="47">
        <v>587681.19999999995</v>
      </c>
      <c r="F107" s="47">
        <f>SUM(F108)</f>
        <v>0</v>
      </c>
      <c r="G107" s="47">
        <f>SUM(G108)</f>
        <v>967.81</v>
      </c>
      <c r="H107" s="46">
        <f>SUM(E107+F107-G107)</f>
        <v>586713.3899999999</v>
      </c>
    </row>
    <row r="108" spans="1:8" s="24" customFormat="1" ht="12" customHeight="1" x14ac:dyDescent="0.25">
      <c r="A108" s="40"/>
      <c r="B108" s="48"/>
      <c r="C108" s="34"/>
      <c r="D108" s="460" t="s">
        <v>110</v>
      </c>
      <c r="E108" s="125">
        <v>389302</v>
      </c>
      <c r="F108" s="125">
        <f>SUM(F109:F109)</f>
        <v>0</v>
      </c>
      <c r="G108" s="125">
        <f>SUM(G109:G109)</f>
        <v>967.81</v>
      </c>
      <c r="H108" s="125">
        <f>SUM(E108+F108-G108)</f>
        <v>388334.19</v>
      </c>
    </row>
    <row r="109" spans="1:8" s="24" customFormat="1" ht="12" customHeight="1" x14ac:dyDescent="0.25">
      <c r="A109" s="40"/>
      <c r="B109" s="48"/>
      <c r="C109" s="54">
        <v>4800</v>
      </c>
      <c r="D109" s="24" t="s">
        <v>124</v>
      </c>
      <c r="E109" s="53">
        <v>49039</v>
      </c>
      <c r="F109" s="53"/>
      <c r="G109" s="53">
        <v>967.81</v>
      </c>
      <c r="H109" s="53">
        <f t="shared" ref="H109" si="27">SUM(E109+F109-G109)</f>
        <v>48071.19</v>
      </c>
    </row>
    <row r="110" spans="1:8" s="24" customFormat="1" ht="12" customHeight="1" x14ac:dyDescent="0.25">
      <c r="A110" s="48"/>
      <c r="B110" s="48">
        <v>80104</v>
      </c>
      <c r="C110" s="34"/>
      <c r="D110" s="56" t="s">
        <v>126</v>
      </c>
      <c r="E110" s="47">
        <v>59641438.730000004</v>
      </c>
      <c r="F110" s="47">
        <f>SUM(F111,)</f>
        <v>68552</v>
      </c>
      <c r="G110" s="47">
        <f>SUM(G111,)</f>
        <v>220477</v>
      </c>
      <c r="H110" s="46">
        <f>SUM(E110+F110-G110)</f>
        <v>59489513.730000004</v>
      </c>
    </row>
    <row r="111" spans="1:8" s="24" customFormat="1" ht="12" customHeight="1" x14ac:dyDescent="0.25">
      <c r="A111" s="48"/>
      <c r="B111" s="48"/>
      <c r="C111" s="34"/>
      <c r="D111" s="460" t="s">
        <v>110</v>
      </c>
      <c r="E111" s="125">
        <v>45704165.730000004</v>
      </c>
      <c r="F111" s="125">
        <f>SUM(F112:F124)</f>
        <v>68552</v>
      </c>
      <c r="G111" s="125">
        <f>SUM(G112:G124)</f>
        <v>220477</v>
      </c>
      <c r="H111" s="125">
        <f>SUM(E111+F111-G111)</f>
        <v>45552240.730000004</v>
      </c>
    </row>
    <row r="112" spans="1:8" s="24" customFormat="1" ht="12" customHeight="1" x14ac:dyDescent="0.25">
      <c r="A112" s="48"/>
      <c r="B112" s="48"/>
      <c r="C112" s="84">
        <v>4010</v>
      </c>
      <c r="D112" s="92" t="s">
        <v>25</v>
      </c>
      <c r="E112" s="53">
        <v>12433424.74</v>
      </c>
      <c r="F112" s="53"/>
      <c r="G112" s="53">
        <v>50000</v>
      </c>
      <c r="H112" s="53">
        <f t="shared" ref="H112:H136" si="28">SUM(E112+F112-G112)</f>
        <v>12383424.74</v>
      </c>
    </row>
    <row r="113" spans="1:8" s="24" customFormat="1" ht="12" customHeight="1" x14ac:dyDescent="0.25">
      <c r="A113" s="48"/>
      <c r="B113" s="48"/>
      <c r="C113" s="54">
        <v>4040</v>
      </c>
      <c r="D113" s="72" t="s">
        <v>112</v>
      </c>
      <c r="E113" s="53">
        <v>1099493</v>
      </c>
      <c r="F113" s="53"/>
      <c r="G113" s="53">
        <v>6241</v>
      </c>
      <c r="H113" s="53">
        <f t="shared" si="28"/>
        <v>1093252</v>
      </c>
    </row>
    <row r="114" spans="1:8" s="24" customFormat="1" ht="12" customHeight="1" x14ac:dyDescent="0.25">
      <c r="A114" s="48"/>
      <c r="B114" s="48"/>
      <c r="C114" s="84">
        <v>4110</v>
      </c>
      <c r="D114" s="92" t="s">
        <v>127</v>
      </c>
      <c r="E114" s="53">
        <v>5761695</v>
      </c>
      <c r="F114" s="53"/>
      <c r="G114" s="53">
        <v>7000</v>
      </c>
      <c r="H114" s="53">
        <f t="shared" si="28"/>
        <v>5754695</v>
      </c>
    </row>
    <row r="115" spans="1:8" s="24" customFormat="1" ht="12" customHeight="1" x14ac:dyDescent="0.25">
      <c r="A115" s="48"/>
      <c r="B115" s="48"/>
      <c r="C115" s="98" t="s">
        <v>114</v>
      </c>
      <c r="D115" s="92" t="s">
        <v>115</v>
      </c>
      <c r="E115" s="53">
        <v>511394.65</v>
      </c>
      <c r="F115" s="53">
        <v>14560</v>
      </c>
      <c r="G115" s="53"/>
      <c r="H115" s="53">
        <f>SUM(E115+F115-G115)</f>
        <v>525954.65</v>
      </c>
    </row>
    <row r="116" spans="1:8" s="24" customFormat="1" ht="12" customHeight="1" x14ac:dyDescent="0.25">
      <c r="A116" s="48"/>
      <c r="B116" s="48"/>
      <c r="C116" s="84">
        <v>4240</v>
      </c>
      <c r="D116" s="92" t="s">
        <v>116</v>
      </c>
      <c r="E116" s="53">
        <v>110604.5</v>
      </c>
      <c r="F116" s="53">
        <v>7292</v>
      </c>
      <c r="G116" s="53"/>
      <c r="H116" s="53">
        <f t="shared" si="28"/>
        <v>117896.5</v>
      </c>
    </row>
    <row r="117" spans="1:8" s="24" customFormat="1" ht="12" customHeight="1" x14ac:dyDescent="0.25">
      <c r="A117" s="48"/>
      <c r="B117" s="48"/>
      <c r="C117" s="84">
        <v>4260</v>
      </c>
      <c r="D117" s="92" t="s">
        <v>117</v>
      </c>
      <c r="E117" s="53">
        <v>2532777</v>
      </c>
      <c r="F117" s="53"/>
      <c r="G117" s="53">
        <v>26406</v>
      </c>
      <c r="H117" s="53">
        <f t="shared" si="28"/>
        <v>2506371</v>
      </c>
    </row>
    <row r="118" spans="1:8" s="24" customFormat="1" ht="12" customHeight="1" x14ac:dyDescent="0.25">
      <c r="A118" s="48"/>
      <c r="B118" s="48"/>
      <c r="C118" s="84">
        <v>4270</v>
      </c>
      <c r="D118" s="92" t="s">
        <v>118</v>
      </c>
      <c r="E118" s="53">
        <v>304260</v>
      </c>
      <c r="F118" s="53">
        <v>37000</v>
      </c>
      <c r="G118" s="53"/>
      <c r="H118" s="53">
        <f t="shared" si="28"/>
        <v>341260</v>
      </c>
    </row>
    <row r="119" spans="1:8" s="24" customFormat="1" ht="12" customHeight="1" x14ac:dyDescent="0.25">
      <c r="A119" s="48"/>
      <c r="B119" s="48"/>
      <c r="C119" s="84">
        <v>4300</v>
      </c>
      <c r="D119" s="92" t="s">
        <v>81</v>
      </c>
      <c r="E119" s="53">
        <v>837144</v>
      </c>
      <c r="F119" s="53"/>
      <c r="G119" s="53">
        <v>6700</v>
      </c>
      <c r="H119" s="53">
        <f t="shared" si="28"/>
        <v>830444</v>
      </c>
    </row>
    <row r="120" spans="1:8" s="24" customFormat="1" ht="12" customHeight="1" x14ac:dyDescent="0.25">
      <c r="A120" s="48"/>
      <c r="B120" s="48"/>
      <c r="C120" s="84">
        <v>4430</v>
      </c>
      <c r="D120" s="92" t="s">
        <v>128</v>
      </c>
      <c r="E120" s="53">
        <v>17709</v>
      </c>
      <c r="F120" s="53">
        <v>200</v>
      </c>
      <c r="G120" s="53"/>
      <c r="H120" s="53">
        <f t="shared" si="28"/>
        <v>17909</v>
      </c>
    </row>
    <row r="121" spans="1:8" s="24" customFormat="1" ht="12" customHeight="1" x14ac:dyDescent="0.25">
      <c r="A121" s="48"/>
      <c r="B121" s="48"/>
      <c r="C121" s="44">
        <v>4700</v>
      </c>
      <c r="D121" s="85" t="s">
        <v>122</v>
      </c>
      <c r="E121" s="53">
        <v>61210</v>
      </c>
      <c r="F121" s="53">
        <v>9500</v>
      </c>
      <c r="G121" s="53"/>
      <c r="H121" s="53">
        <f t="shared" si="28"/>
        <v>70710</v>
      </c>
    </row>
    <row r="122" spans="1:8" s="24" customFormat="1" ht="12" customHeight="1" x14ac:dyDescent="0.25">
      <c r="A122" s="48"/>
      <c r="B122" s="48"/>
      <c r="C122" s="84">
        <v>4710</v>
      </c>
      <c r="D122" s="92" t="s">
        <v>123</v>
      </c>
      <c r="E122" s="53">
        <v>188658</v>
      </c>
      <c r="F122" s="53"/>
      <c r="G122" s="53">
        <v>1000</v>
      </c>
      <c r="H122" s="53">
        <f t="shared" si="28"/>
        <v>187658</v>
      </c>
    </row>
    <row r="123" spans="1:8" s="24" customFormat="1" ht="12" customHeight="1" x14ac:dyDescent="0.25">
      <c r="A123" s="48"/>
      <c r="B123" s="48"/>
      <c r="C123" s="54">
        <v>4790</v>
      </c>
      <c r="D123" s="72" t="s">
        <v>129</v>
      </c>
      <c r="E123" s="53">
        <v>17507510.68</v>
      </c>
      <c r="F123" s="53"/>
      <c r="G123" s="53">
        <v>95500</v>
      </c>
      <c r="H123" s="53">
        <f t="shared" si="28"/>
        <v>17412010.68</v>
      </c>
    </row>
    <row r="124" spans="1:8" s="24" customFormat="1" ht="12" customHeight="1" x14ac:dyDescent="0.25">
      <c r="A124" s="48"/>
      <c r="B124" s="48"/>
      <c r="C124" s="84">
        <v>4800</v>
      </c>
      <c r="D124" s="99" t="s">
        <v>124</v>
      </c>
      <c r="E124" s="52">
        <v>1489134</v>
      </c>
      <c r="F124" s="52"/>
      <c r="G124" s="52">
        <v>27630</v>
      </c>
      <c r="H124" s="53">
        <f t="shared" si="28"/>
        <v>1461504</v>
      </c>
    </row>
    <row r="125" spans="1:8" s="24" customFormat="1" ht="12" customHeight="1" x14ac:dyDescent="0.25">
      <c r="A125" s="48"/>
      <c r="B125" s="48">
        <v>80107</v>
      </c>
      <c r="C125" s="34"/>
      <c r="D125" s="59" t="s">
        <v>130</v>
      </c>
      <c r="E125" s="46">
        <v>7531631</v>
      </c>
      <c r="F125" s="47">
        <f>SUM(F126,)</f>
        <v>0</v>
      </c>
      <c r="G125" s="47">
        <f>SUM(G126,)</f>
        <v>12239.94</v>
      </c>
      <c r="H125" s="46">
        <f t="shared" si="28"/>
        <v>7519391.0599999996</v>
      </c>
    </row>
    <row r="126" spans="1:8" s="24" customFormat="1" ht="12" customHeight="1" x14ac:dyDescent="0.25">
      <c r="A126" s="48"/>
      <c r="B126" s="40"/>
      <c r="C126" s="34"/>
      <c r="D126" s="460" t="s">
        <v>110</v>
      </c>
      <c r="E126" s="125">
        <v>7531631</v>
      </c>
      <c r="F126" s="462">
        <f>SUM(F127:F127)</f>
        <v>0</v>
      </c>
      <c r="G126" s="462">
        <f>SUM(G127:G127)</f>
        <v>12239.94</v>
      </c>
      <c r="H126" s="125">
        <f t="shared" si="28"/>
        <v>7519391.0599999996</v>
      </c>
    </row>
    <row r="127" spans="1:8" s="24" customFormat="1" ht="12" customHeight="1" x14ac:dyDescent="0.25">
      <c r="A127" s="48"/>
      <c r="B127" s="40"/>
      <c r="C127" s="84">
        <v>4800</v>
      </c>
      <c r="D127" s="99" t="s">
        <v>124</v>
      </c>
      <c r="E127" s="52">
        <v>464909</v>
      </c>
      <c r="F127" s="52"/>
      <c r="G127" s="52">
        <v>12239.94</v>
      </c>
      <c r="H127" s="52">
        <f t="shared" si="28"/>
        <v>452669.06</v>
      </c>
    </row>
    <row r="128" spans="1:8" s="24" customFormat="1" ht="12" customHeight="1" x14ac:dyDescent="0.25">
      <c r="A128" s="48"/>
      <c r="B128" s="48">
        <v>80113</v>
      </c>
      <c r="C128" s="34"/>
      <c r="D128" s="2" t="s">
        <v>131</v>
      </c>
      <c r="E128" s="46">
        <v>796567</v>
      </c>
      <c r="F128" s="47">
        <f>SUM(F129,)</f>
        <v>2000</v>
      </c>
      <c r="G128" s="47">
        <f>SUM(G129,)</f>
        <v>2000</v>
      </c>
      <c r="H128" s="46">
        <f t="shared" si="28"/>
        <v>796567</v>
      </c>
    </row>
    <row r="129" spans="1:8" s="24" customFormat="1" ht="12" customHeight="1" x14ac:dyDescent="0.25">
      <c r="A129" s="48"/>
      <c r="B129" s="40"/>
      <c r="C129" s="34"/>
      <c r="D129" s="460" t="s">
        <v>110</v>
      </c>
      <c r="E129" s="125">
        <v>326567</v>
      </c>
      <c r="F129" s="462">
        <f>SUM(F130:F131)</f>
        <v>2000</v>
      </c>
      <c r="G129" s="462">
        <f>SUM(G130:G131)</f>
        <v>2000</v>
      </c>
      <c r="H129" s="125">
        <f t="shared" si="28"/>
        <v>326567</v>
      </c>
    </row>
    <row r="130" spans="1:8" s="24" customFormat="1" ht="12" customHeight="1" x14ac:dyDescent="0.25">
      <c r="A130" s="48"/>
      <c r="B130" s="40"/>
      <c r="C130" s="54">
        <v>4040</v>
      </c>
      <c r="D130" s="72" t="s">
        <v>112</v>
      </c>
      <c r="E130" s="52">
        <v>10210</v>
      </c>
      <c r="F130" s="52"/>
      <c r="G130" s="52">
        <v>2000</v>
      </c>
      <c r="H130" s="52">
        <f t="shared" si="28"/>
        <v>8210</v>
      </c>
    </row>
    <row r="131" spans="1:8" s="24" customFormat="1" ht="12" customHeight="1" x14ac:dyDescent="0.25">
      <c r="A131" s="48"/>
      <c r="B131" s="40"/>
      <c r="C131" s="84">
        <v>4300</v>
      </c>
      <c r="D131" s="92" t="s">
        <v>81</v>
      </c>
      <c r="E131" s="52">
        <v>11016</v>
      </c>
      <c r="F131" s="52">
        <v>2000</v>
      </c>
      <c r="G131" s="52"/>
      <c r="H131" s="52">
        <f t="shared" si="28"/>
        <v>13016</v>
      </c>
    </row>
    <row r="132" spans="1:8" s="24" customFormat="1" ht="12" customHeight="1" x14ac:dyDescent="0.25">
      <c r="A132" s="48"/>
      <c r="B132" s="48">
        <v>80148</v>
      </c>
      <c r="C132" s="34"/>
      <c r="D132" s="2" t="s">
        <v>132</v>
      </c>
      <c r="E132" s="46">
        <v>5371333</v>
      </c>
      <c r="F132" s="47">
        <f>SUM(F133,)</f>
        <v>28500</v>
      </c>
      <c r="G132" s="47">
        <f>SUM(G133,)</f>
        <v>10374.34</v>
      </c>
      <c r="H132" s="46">
        <f t="shared" si="28"/>
        <v>5389458.6600000001</v>
      </c>
    </row>
    <row r="133" spans="1:8" s="24" customFormat="1" ht="12" customHeight="1" x14ac:dyDescent="0.25">
      <c r="A133" s="48"/>
      <c r="B133" s="40"/>
      <c r="C133" s="34"/>
      <c r="D133" s="460" t="s">
        <v>110</v>
      </c>
      <c r="E133" s="125">
        <v>5371333</v>
      </c>
      <c r="F133" s="462">
        <f>SUM(F134:F136)</f>
        <v>28500</v>
      </c>
      <c r="G133" s="462">
        <f>SUM(G134:G136)</f>
        <v>10374.34</v>
      </c>
      <c r="H133" s="125">
        <f t="shared" si="28"/>
        <v>5389458.6600000001</v>
      </c>
    </row>
    <row r="134" spans="1:8" s="24" customFormat="1" ht="12" customHeight="1" x14ac:dyDescent="0.25">
      <c r="A134" s="48"/>
      <c r="B134" s="40"/>
      <c r="C134" s="54">
        <v>4040</v>
      </c>
      <c r="D134" s="72" t="s">
        <v>112</v>
      </c>
      <c r="E134" s="52">
        <v>339839</v>
      </c>
      <c r="F134" s="52"/>
      <c r="G134" s="52">
        <v>10374.34</v>
      </c>
      <c r="H134" s="52">
        <f t="shared" si="28"/>
        <v>329464.65999999997</v>
      </c>
    </row>
    <row r="135" spans="1:8" s="24" customFormat="1" ht="12" customHeight="1" x14ac:dyDescent="0.25">
      <c r="A135" s="48"/>
      <c r="B135" s="40"/>
      <c r="C135" s="98" t="s">
        <v>114</v>
      </c>
      <c r="D135" s="92" t="s">
        <v>115</v>
      </c>
      <c r="E135" s="52">
        <v>155605</v>
      </c>
      <c r="F135" s="52">
        <v>27000</v>
      </c>
      <c r="G135" s="52"/>
      <c r="H135" s="52">
        <f t="shared" si="28"/>
        <v>182605</v>
      </c>
    </row>
    <row r="136" spans="1:8" s="24" customFormat="1" ht="12" customHeight="1" x14ac:dyDescent="0.25">
      <c r="A136" s="48"/>
      <c r="B136" s="40"/>
      <c r="C136" s="84">
        <v>4300</v>
      </c>
      <c r="D136" s="92" t="s">
        <v>81</v>
      </c>
      <c r="E136" s="52">
        <v>51303</v>
      </c>
      <c r="F136" s="52">
        <v>1500</v>
      </c>
      <c r="G136" s="52"/>
      <c r="H136" s="52">
        <f t="shared" si="28"/>
        <v>52803</v>
      </c>
    </row>
    <row r="137" spans="1:8" s="24" customFormat="1" ht="12" customHeight="1" x14ac:dyDescent="0.25">
      <c r="A137" s="48"/>
      <c r="B137" s="48">
        <v>80149</v>
      </c>
      <c r="C137" s="34"/>
      <c r="D137" s="72" t="s">
        <v>133</v>
      </c>
      <c r="E137" s="52"/>
      <c r="F137" s="52"/>
      <c r="G137" s="52"/>
      <c r="H137" s="52"/>
    </row>
    <row r="138" spans="1:8" s="24" customFormat="1" ht="12" customHeight="1" x14ac:dyDescent="0.25">
      <c r="A138" s="48"/>
      <c r="B138" s="48"/>
      <c r="C138" s="34"/>
      <c r="D138" s="72" t="s">
        <v>134</v>
      </c>
      <c r="E138" s="52"/>
      <c r="F138" s="52"/>
      <c r="G138" s="52"/>
      <c r="H138" s="52"/>
    </row>
    <row r="139" spans="1:8" s="24" customFormat="1" ht="12" customHeight="1" x14ac:dyDescent="0.25">
      <c r="A139" s="48"/>
      <c r="B139" s="48"/>
      <c r="C139" s="34"/>
      <c r="D139" s="72" t="s">
        <v>135</v>
      </c>
      <c r="E139" s="52"/>
      <c r="F139" s="52"/>
      <c r="G139" s="52"/>
      <c r="H139" s="52"/>
    </row>
    <row r="140" spans="1:8" s="24" customFormat="1" ht="12" customHeight="1" x14ac:dyDescent="0.25">
      <c r="A140" s="48"/>
      <c r="B140" s="48"/>
      <c r="C140" s="34"/>
      <c r="D140" s="56" t="s">
        <v>136</v>
      </c>
      <c r="E140" s="46">
        <v>8955796.1600000001</v>
      </c>
      <c r="F140" s="47">
        <f>SUM(F141)</f>
        <v>161500</v>
      </c>
      <c r="G140" s="47">
        <f>SUM(G141)</f>
        <v>10376.18</v>
      </c>
      <c r="H140" s="46">
        <f>SUM(E140+F140-G140)</f>
        <v>9106919.9800000004</v>
      </c>
    </row>
    <row r="141" spans="1:8" s="24" customFormat="1" ht="12" customHeight="1" x14ac:dyDescent="0.25">
      <c r="A141" s="48"/>
      <c r="B141" s="40"/>
      <c r="C141" s="34"/>
      <c r="D141" s="460" t="s">
        <v>110</v>
      </c>
      <c r="E141" s="125">
        <v>4231510.6400000006</v>
      </c>
      <c r="F141" s="125">
        <f>SUM(F142:F147)</f>
        <v>161500</v>
      </c>
      <c r="G141" s="125">
        <f>SUM(G142:G147)</f>
        <v>10376.18</v>
      </c>
      <c r="H141" s="125">
        <f t="shared" ref="H141:H199" si="29">SUM(E141+F141-G141)</f>
        <v>4382634.4600000009</v>
      </c>
    </row>
    <row r="142" spans="1:8" s="24" customFormat="1" ht="12" customHeight="1" x14ac:dyDescent="0.25">
      <c r="A142" s="48"/>
      <c r="B142" s="40"/>
      <c r="C142" s="84">
        <v>4110</v>
      </c>
      <c r="D142" s="92" t="s">
        <v>127</v>
      </c>
      <c r="E142" s="53">
        <v>598884</v>
      </c>
      <c r="F142" s="52">
        <v>35000</v>
      </c>
      <c r="G142" s="52"/>
      <c r="H142" s="52">
        <f t="shared" si="29"/>
        <v>633884</v>
      </c>
    </row>
    <row r="143" spans="1:8" s="24" customFormat="1" ht="12" customHeight="1" x14ac:dyDescent="0.25">
      <c r="A143" s="48"/>
      <c r="B143" s="40"/>
      <c r="C143" s="84">
        <v>4120</v>
      </c>
      <c r="D143" s="92" t="s">
        <v>137</v>
      </c>
      <c r="E143" s="53">
        <v>84574</v>
      </c>
      <c r="F143" s="52">
        <v>3500</v>
      </c>
      <c r="G143" s="52"/>
      <c r="H143" s="52">
        <f t="shared" si="29"/>
        <v>88074</v>
      </c>
    </row>
    <row r="144" spans="1:8" s="24" customFormat="1" ht="12" customHeight="1" x14ac:dyDescent="0.25">
      <c r="A144" s="48"/>
      <c r="B144" s="40"/>
      <c r="C144" s="98" t="s">
        <v>114</v>
      </c>
      <c r="D144" s="92" t="s">
        <v>115</v>
      </c>
      <c r="E144" s="53">
        <v>0</v>
      </c>
      <c r="F144" s="52">
        <v>4000</v>
      </c>
      <c r="G144" s="52"/>
      <c r="H144" s="52">
        <f t="shared" si="29"/>
        <v>4000</v>
      </c>
    </row>
    <row r="145" spans="1:8" s="24" customFormat="1" ht="12" customHeight="1" x14ac:dyDescent="0.25">
      <c r="A145" s="48"/>
      <c r="B145" s="40"/>
      <c r="C145" s="84">
        <v>4240</v>
      </c>
      <c r="D145" s="92" t="s">
        <v>116</v>
      </c>
      <c r="E145" s="53">
        <v>46140.9</v>
      </c>
      <c r="F145" s="52">
        <v>4000</v>
      </c>
      <c r="G145" s="52"/>
      <c r="H145" s="52">
        <f t="shared" si="29"/>
        <v>50140.9</v>
      </c>
    </row>
    <row r="146" spans="1:8" s="24" customFormat="1" ht="12" customHeight="1" x14ac:dyDescent="0.25">
      <c r="A146" s="48"/>
      <c r="B146" s="40"/>
      <c r="C146" s="54">
        <v>4790</v>
      </c>
      <c r="D146" s="72" t="s">
        <v>129</v>
      </c>
      <c r="E146" s="53">
        <v>2819185.74</v>
      </c>
      <c r="F146" s="52">
        <v>115000</v>
      </c>
      <c r="G146" s="52"/>
      <c r="H146" s="52">
        <f t="shared" si="29"/>
        <v>2934185.74</v>
      </c>
    </row>
    <row r="147" spans="1:8" s="24" customFormat="1" ht="12" customHeight="1" x14ac:dyDescent="0.25">
      <c r="A147" s="48"/>
      <c r="B147" s="40"/>
      <c r="C147" s="54">
        <v>4800</v>
      </c>
      <c r="D147" s="24" t="s">
        <v>124</v>
      </c>
      <c r="E147" s="53">
        <v>302171</v>
      </c>
      <c r="F147" s="52"/>
      <c r="G147" s="52">
        <v>10376.18</v>
      </c>
      <c r="H147" s="52">
        <f t="shared" si="29"/>
        <v>291794.82</v>
      </c>
    </row>
    <row r="148" spans="1:8" s="24" customFormat="1" ht="12" customHeight="1" x14ac:dyDescent="0.25">
      <c r="A148" s="48"/>
      <c r="B148" s="48">
        <v>80150</v>
      </c>
      <c r="C148" s="34"/>
      <c r="D148" s="72" t="s">
        <v>133</v>
      </c>
      <c r="E148" s="52"/>
      <c r="F148" s="52"/>
      <c r="G148" s="52"/>
      <c r="H148" s="52"/>
    </row>
    <row r="149" spans="1:8" s="24" customFormat="1" ht="12" customHeight="1" x14ac:dyDescent="0.25">
      <c r="A149" s="48"/>
      <c r="B149" s="48"/>
      <c r="C149" s="34"/>
      <c r="D149" s="72" t="s">
        <v>138</v>
      </c>
      <c r="E149" s="52"/>
      <c r="F149" s="52"/>
      <c r="G149" s="52"/>
      <c r="H149" s="52"/>
    </row>
    <row r="150" spans="1:8" s="24" customFormat="1" ht="12" customHeight="1" x14ac:dyDescent="0.25">
      <c r="A150" s="48"/>
      <c r="B150" s="48"/>
      <c r="C150" s="34"/>
      <c r="D150" s="56" t="s">
        <v>139</v>
      </c>
      <c r="E150" s="46">
        <v>18637350.670000002</v>
      </c>
      <c r="F150" s="47">
        <f>SUM(F151,F153)</f>
        <v>235000</v>
      </c>
      <c r="G150" s="47">
        <f>SUM(G151,G153)</f>
        <v>15076.3</v>
      </c>
      <c r="H150" s="46">
        <f>SUM(E150+F150-G150)</f>
        <v>18857274.370000001</v>
      </c>
    </row>
    <row r="151" spans="1:8" s="24" customFormat="1" ht="12" customHeight="1" x14ac:dyDescent="0.25">
      <c r="A151" s="48"/>
      <c r="B151" s="48"/>
      <c r="C151" s="34"/>
      <c r="D151" s="461" t="s">
        <v>107</v>
      </c>
      <c r="E151" s="125">
        <v>983068.01</v>
      </c>
      <c r="F151" s="125">
        <f>SUM(F152:F152)</f>
        <v>170000</v>
      </c>
      <c r="G151" s="125">
        <f>SUM(G152:G152)</f>
        <v>0</v>
      </c>
      <c r="H151" s="125">
        <f t="shared" ref="H151:H155" si="30">SUM(E151+F151-G151)</f>
        <v>1153068.01</v>
      </c>
    </row>
    <row r="152" spans="1:8" s="24" customFormat="1" ht="35.25" customHeight="1" x14ac:dyDescent="0.25">
      <c r="A152" s="48"/>
      <c r="B152" s="48"/>
      <c r="C152" s="50" t="s">
        <v>108</v>
      </c>
      <c r="D152" s="71" t="s">
        <v>109</v>
      </c>
      <c r="E152" s="52">
        <v>548526.98</v>
      </c>
      <c r="F152" s="52">
        <v>170000</v>
      </c>
      <c r="G152" s="52"/>
      <c r="H152" s="52">
        <f t="shared" si="30"/>
        <v>718526.98</v>
      </c>
    </row>
    <row r="153" spans="1:8" s="24" customFormat="1" ht="12" customHeight="1" x14ac:dyDescent="0.25">
      <c r="A153" s="48"/>
      <c r="B153" s="48"/>
      <c r="C153" s="34"/>
      <c r="D153" s="460" t="s">
        <v>110</v>
      </c>
      <c r="E153" s="125">
        <v>17654282.66</v>
      </c>
      <c r="F153" s="125">
        <f>SUM(F154:F155)</f>
        <v>65000</v>
      </c>
      <c r="G153" s="125">
        <f>SUM(G154:G155)</f>
        <v>15076.3</v>
      </c>
      <c r="H153" s="125">
        <f t="shared" si="30"/>
        <v>17704206.359999999</v>
      </c>
    </row>
    <row r="154" spans="1:8" s="24" customFormat="1" ht="12" customHeight="1" x14ac:dyDescent="0.25">
      <c r="A154" s="59"/>
      <c r="B154" s="59"/>
      <c r="C154" s="100">
        <v>4790</v>
      </c>
      <c r="D154" s="56" t="s">
        <v>129</v>
      </c>
      <c r="E154" s="46">
        <v>12354549.76</v>
      </c>
      <c r="F154" s="47">
        <v>65000</v>
      </c>
      <c r="G154" s="47"/>
      <c r="H154" s="47">
        <f t="shared" si="30"/>
        <v>12419549.76</v>
      </c>
    </row>
    <row r="155" spans="1:8" s="24" customFormat="1" ht="12" customHeight="1" x14ac:dyDescent="0.25">
      <c r="A155" s="48"/>
      <c r="B155" s="48"/>
      <c r="C155" s="54">
        <v>4800</v>
      </c>
      <c r="D155" s="24" t="s">
        <v>124</v>
      </c>
      <c r="E155" s="53">
        <v>1169705</v>
      </c>
      <c r="F155" s="52"/>
      <c r="G155" s="52">
        <v>15076.3</v>
      </c>
      <c r="H155" s="52">
        <f t="shared" si="30"/>
        <v>1154628.7</v>
      </c>
    </row>
    <row r="156" spans="1:8" s="24" customFormat="1" ht="12" customHeight="1" x14ac:dyDescent="0.25">
      <c r="A156" s="48"/>
      <c r="B156" s="48">
        <v>80195</v>
      </c>
      <c r="C156" s="34"/>
      <c r="D156" s="2" t="s">
        <v>17</v>
      </c>
      <c r="E156" s="47">
        <v>10421801.699999999</v>
      </c>
      <c r="F156" s="47">
        <f>SUM(F157,F170,F181)</f>
        <v>223292.32</v>
      </c>
      <c r="G156" s="47">
        <f>SUM(G157,G170,G181)</f>
        <v>223292.32</v>
      </c>
      <c r="H156" s="46">
        <f>SUM(E156+F156-G156)</f>
        <v>10421801.699999999</v>
      </c>
    </row>
    <row r="157" spans="1:8" s="24" customFormat="1" ht="36.75" customHeight="1" x14ac:dyDescent="0.25">
      <c r="A157" s="48"/>
      <c r="B157" s="48"/>
      <c r="C157" s="34"/>
      <c r="D157" s="461" t="s">
        <v>140</v>
      </c>
      <c r="E157" s="125">
        <v>3220668.57</v>
      </c>
      <c r="F157" s="125">
        <f>SUM(F158:F169)</f>
        <v>28897.840000000004</v>
      </c>
      <c r="G157" s="125">
        <f>SUM(G158:G169)</f>
        <v>223292.32</v>
      </c>
      <c r="H157" s="125">
        <f>SUM(E157+F157-G157)</f>
        <v>3026274.09</v>
      </c>
    </row>
    <row r="158" spans="1:8" s="24" customFormat="1" ht="12" customHeight="1" x14ac:dyDescent="0.25">
      <c r="A158" s="48"/>
      <c r="B158" s="48"/>
      <c r="C158" s="54">
        <v>4017</v>
      </c>
      <c r="D158" s="72" t="s">
        <v>25</v>
      </c>
      <c r="E158" s="53">
        <v>14734.2</v>
      </c>
      <c r="F158" s="53">
        <v>14734.2</v>
      </c>
      <c r="G158" s="53"/>
      <c r="H158" s="53">
        <f t="shared" ref="H158:H169" si="31">SUM(E158+F158-G158)</f>
        <v>29468.400000000001</v>
      </c>
    </row>
    <row r="159" spans="1:8" s="24" customFormat="1" ht="12" customHeight="1" x14ac:dyDescent="0.25">
      <c r="A159" s="48"/>
      <c r="B159" s="48"/>
      <c r="C159" s="54">
        <v>4019</v>
      </c>
      <c r="D159" s="72" t="s">
        <v>25</v>
      </c>
      <c r="E159" s="53">
        <v>865.8</v>
      </c>
      <c r="F159" s="53">
        <v>865.8</v>
      </c>
      <c r="G159" s="53"/>
      <c r="H159" s="53">
        <f t="shared" si="31"/>
        <v>1731.6</v>
      </c>
    </row>
    <row r="160" spans="1:8" s="24" customFormat="1" ht="12" customHeight="1" x14ac:dyDescent="0.25">
      <c r="A160" s="48"/>
      <c r="B160" s="48"/>
      <c r="C160" s="79">
        <v>4117</v>
      </c>
      <c r="D160" s="101" t="s">
        <v>141</v>
      </c>
      <c r="E160" s="53">
        <v>2532.81</v>
      </c>
      <c r="F160" s="53">
        <v>2532.81</v>
      </c>
      <c r="G160" s="53"/>
      <c r="H160" s="53">
        <f t="shared" si="31"/>
        <v>5065.62</v>
      </c>
    </row>
    <row r="161" spans="1:8" s="24" customFormat="1" ht="12" customHeight="1" x14ac:dyDescent="0.25">
      <c r="A161" s="48"/>
      <c r="B161" s="48"/>
      <c r="C161" s="79">
        <v>4119</v>
      </c>
      <c r="D161" s="101" t="s">
        <v>141</v>
      </c>
      <c r="E161" s="53">
        <v>148.83000000000001</v>
      </c>
      <c r="F161" s="53">
        <v>148.83000000000001</v>
      </c>
      <c r="G161" s="53"/>
      <c r="H161" s="53">
        <f t="shared" si="31"/>
        <v>297.66000000000003</v>
      </c>
    </row>
    <row r="162" spans="1:8" s="24" customFormat="1" ht="12" customHeight="1" x14ac:dyDescent="0.25">
      <c r="A162" s="48"/>
      <c r="B162" s="48"/>
      <c r="C162" s="79">
        <v>4127</v>
      </c>
      <c r="D162" s="72" t="s">
        <v>137</v>
      </c>
      <c r="E162" s="53">
        <v>360.99</v>
      </c>
      <c r="F162" s="53">
        <v>360.99</v>
      </c>
      <c r="G162" s="53"/>
      <c r="H162" s="53">
        <f t="shared" si="31"/>
        <v>721.98</v>
      </c>
    </row>
    <row r="163" spans="1:8" s="24" customFormat="1" ht="12" customHeight="1" x14ac:dyDescent="0.25">
      <c r="A163" s="48"/>
      <c r="B163" s="48"/>
      <c r="C163" s="79">
        <v>4129</v>
      </c>
      <c r="D163" s="72" t="s">
        <v>137</v>
      </c>
      <c r="E163" s="53">
        <v>21.21</v>
      </c>
      <c r="F163" s="53">
        <v>21.21</v>
      </c>
      <c r="G163" s="53"/>
      <c r="H163" s="53">
        <f t="shared" si="31"/>
        <v>42.42</v>
      </c>
    </row>
    <row r="164" spans="1:8" s="24" customFormat="1" ht="12" customHeight="1" x14ac:dyDescent="0.25">
      <c r="A164" s="48"/>
      <c r="B164" s="48"/>
      <c r="C164" s="84">
        <v>4177</v>
      </c>
      <c r="D164" s="92" t="s">
        <v>113</v>
      </c>
      <c r="E164" s="53">
        <v>35702.100000000006</v>
      </c>
      <c r="F164" s="53">
        <v>9445</v>
      </c>
      <c r="G164" s="53"/>
      <c r="H164" s="53">
        <f t="shared" si="31"/>
        <v>45147.100000000006</v>
      </c>
    </row>
    <row r="165" spans="1:8" s="24" customFormat="1" ht="12" customHeight="1" x14ac:dyDescent="0.25">
      <c r="A165" s="48"/>
      <c r="B165" s="48"/>
      <c r="C165" s="84">
        <v>4179</v>
      </c>
      <c r="D165" s="92" t="s">
        <v>113</v>
      </c>
      <c r="E165" s="53">
        <v>2097.8999999999996</v>
      </c>
      <c r="F165" s="53">
        <v>555</v>
      </c>
      <c r="G165" s="53"/>
      <c r="H165" s="53">
        <f t="shared" si="31"/>
        <v>2652.8999999999996</v>
      </c>
    </row>
    <row r="166" spans="1:8" s="24" customFormat="1" ht="12" customHeight="1" x14ac:dyDescent="0.25">
      <c r="A166" s="48"/>
      <c r="B166" s="48"/>
      <c r="C166" s="84">
        <v>4247</v>
      </c>
      <c r="D166" s="92" t="s">
        <v>116</v>
      </c>
      <c r="E166" s="53">
        <v>2843654.07</v>
      </c>
      <c r="F166" s="53"/>
      <c r="G166" s="53">
        <v>210899.6</v>
      </c>
      <c r="H166" s="53">
        <f t="shared" si="31"/>
        <v>2632754.4699999997</v>
      </c>
    </row>
    <row r="167" spans="1:8" s="24" customFormat="1" ht="12" customHeight="1" x14ac:dyDescent="0.25">
      <c r="A167" s="48"/>
      <c r="B167" s="48"/>
      <c r="C167" s="84">
        <v>4249</v>
      </c>
      <c r="D167" s="92" t="s">
        <v>116</v>
      </c>
      <c r="E167" s="53">
        <v>167096.66</v>
      </c>
      <c r="F167" s="53"/>
      <c r="G167" s="53">
        <v>12392.72</v>
      </c>
      <c r="H167" s="53">
        <f t="shared" si="31"/>
        <v>154703.94</v>
      </c>
    </row>
    <row r="168" spans="1:8" s="24" customFormat="1" ht="12" customHeight="1" x14ac:dyDescent="0.25">
      <c r="A168" s="48"/>
      <c r="B168" s="48"/>
      <c r="C168" s="54">
        <v>4717</v>
      </c>
      <c r="D168" s="72" t="s">
        <v>123</v>
      </c>
      <c r="E168" s="53">
        <v>221.01</v>
      </c>
      <c r="F168" s="53">
        <v>221.01</v>
      </c>
      <c r="G168" s="53"/>
      <c r="H168" s="53">
        <f t="shared" si="31"/>
        <v>442.02</v>
      </c>
    </row>
    <row r="169" spans="1:8" s="24" customFormat="1" ht="12" customHeight="1" x14ac:dyDescent="0.25">
      <c r="A169" s="48"/>
      <c r="B169" s="48"/>
      <c r="C169" s="54">
        <v>4719</v>
      </c>
      <c r="D169" s="72" t="s">
        <v>123</v>
      </c>
      <c r="E169" s="53">
        <v>12.99</v>
      </c>
      <c r="F169" s="53">
        <v>12.99</v>
      </c>
      <c r="G169" s="53"/>
      <c r="H169" s="53">
        <f t="shared" si="31"/>
        <v>25.98</v>
      </c>
    </row>
    <row r="170" spans="1:8" s="24" customFormat="1" ht="24" customHeight="1" x14ac:dyDescent="0.25">
      <c r="A170" s="48"/>
      <c r="B170" s="48"/>
      <c r="C170" s="34"/>
      <c r="D170" s="465" t="s">
        <v>142</v>
      </c>
      <c r="E170" s="125">
        <v>571153.02</v>
      </c>
      <c r="F170" s="125">
        <f>SUM(F171:F180)</f>
        <v>179994.48</v>
      </c>
      <c r="G170" s="125">
        <f>SUM(G171:G180)</f>
        <v>0</v>
      </c>
      <c r="H170" s="125">
        <f>SUM(E170+F170-G170)</f>
        <v>751147.5</v>
      </c>
    </row>
    <row r="171" spans="1:8" s="24" customFormat="1" ht="12" customHeight="1" x14ac:dyDescent="0.25">
      <c r="A171" s="48"/>
      <c r="B171" s="48"/>
      <c r="C171" s="54">
        <v>4017</v>
      </c>
      <c r="D171" s="72" t="s">
        <v>25</v>
      </c>
      <c r="E171" s="53">
        <v>47225</v>
      </c>
      <c r="F171" s="53">
        <v>10389.5</v>
      </c>
      <c r="G171" s="53"/>
      <c r="H171" s="53">
        <f t="shared" ref="H171:H180" si="32">SUM(E171+F171-G171)</f>
        <v>57614.5</v>
      </c>
    </row>
    <row r="172" spans="1:8" s="24" customFormat="1" ht="12" customHeight="1" x14ac:dyDescent="0.25">
      <c r="A172" s="48"/>
      <c r="B172" s="48"/>
      <c r="C172" s="54">
        <v>4019</v>
      </c>
      <c r="D172" s="72" t="s">
        <v>25</v>
      </c>
      <c r="E172" s="53">
        <v>2775</v>
      </c>
      <c r="F172" s="53">
        <v>610.5</v>
      </c>
      <c r="G172" s="53"/>
      <c r="H172" s="53">
        <f t="shared" si="32"/>
        <v>3385.5</v>
      </c>
    </row>
    <row r="173" spans="1:8" s="24" customFormat="1" ht="12" customHeight="1" x14ac:dyDescent="0.25">
      <c r="A173" s="48"/>
      <c r="B173" s="48"/>
      <c r="C173" s="79">
        <v>4117</v>
      </c>
      <c r="D173" s="101" t="s">
        <v>141</v>
      </c>
      <c r="E173" s="53">
        <v>70008.19</v>
      </c>
      <c r="F173" s="53">
        <v>24124</v>
      </c>
      <c r="G173" s="53"/>
      <c r="H173" s="53">
        <f t="shared" si="32"/>
        <v>94132.19</v>
      </c>
    </row>
    <row r="174" spans="1:8" s="24" customFormat="1" ht="12" customHeight="1" x14ac:dyDescent="0.25">
      <c r="A174" s="48"/>
      <c r="B174" s="48"/>
      <c r="C174" s="79">
        <v>4119</v>
      </c>
      <c r="D174" s="101" t="s">
        <v>141</v>
      </c>
      <c r="E174" s="53">
        <v>4124.0599999999995</v>
      </c>
      <c r="F174" s="53">
        <v>1417.56</v>
      </c>
      <c r="G174" s="53"/>
      <c r="H174" s="53">
        <f t="shared" si="32"/>
        <v>5541.619999999999</v>
      </c>
    </row>
    <row r="175" spans="1:8" s="24" customFormat="1" ht="12" customHeight="1" x14ac:dyDescent="0.25">
      <c r="A175" s="48"/>
      <c r="B175" s="48"/>
      <c r="C175" s="79">
        <v>4127</v>
      </c>
      <c r="D175" s="72" t="s">
        <v>137</v>
      </c>
      <c r="E175" s="53">
        <v>9962.0600000000013</v>
      </c>
      <c r="F175" s="53">
        <v>3438.27</v>
      </c>
      <c r="G175" s="53"/>
      <c r="H175" s="53">
        <f t="shared" si="32"/>
        <v>13400.330000000002</v>
      </c>
    </row>
    <row r="176" spans="1:8" s="24" customFormat="1" ht="12" customHeight="1" x14ac:dyDescent="0.25">
      <c r="A176" s="48"/>
      <c r="B176" s="48"/>
      <c r="C176" s="79">
        <v>4129</v>
      </c>
      <c r="D176" s="72" t="s">
        <v>137</v>
      </c>
      <c r="E176" s="53">
        <v>588.80999999999995</v>
      </c>
      <c r="F176" s="53">
        <v>202.03</v>
      </c>
      <c r="G176" s="53"/>
      <c r="H176" s="53">
        <f t="shared" si="32"/>
        <v>790.83999999999992</v>
      </c>
    </row>
    <row r="177" spans="1:8" s="24" customFormat="1" ht="12" customHeight="1" x14ac:dyDescent="0.25">
      <c r="A177" s="48"/>
      <c r="B177" s="48"/>
      <c r="C177" s="54">
        <v>4717</v>
      </c>
      <c r="D177" s="72" t="s">
        <v>123</v>
      </c>
      <c r="E177" s="53">
        <v>5726.97</v>
      </c>
      <c r="F177" s="53">
        <v>2105.08</v>
      </c>
      <c r="G177" s="53"/>
      <c r="H177" s="53">
        <f t="shared" si="32"/>
        <v>7832.05</v>
      </c>
    </row>
    <row r="178" spans="1:8" s="24" customFormat="1" ht="12" customHeight="1" x14ac:dyDescent="0.25">
      <c r="A178" s="48"/>
      <c r="B178" s="48"/>
      <c r="C178" s="54">
        <v>4719</v>
      </c>
      <c r="D178" s="72" t="s">
        <v>123</v>
      </c>
      <c r="E178" s="53">
        <v>338.69</v>
      </c>
      <c r="F178" s="53">
        <v>123.69</v>
      </c>
      <c r="G178" s="53"/>
      <c r="H178" s="53">
        <f t="shared" si="32"/>
        <v>462.38</v>
      </c>
    </row>
    <row r="179" spans="1:8" s="24" customFormat="1" ht="12" customHeight="1" x14ac:dyDescent="0.25">
      <c r="A179" s="48"/>
      <c r="B179" s="48"/>
      <c r="C179" s="79">
        <v>4797</v>
      </c>
      <c r="D179" s="80" t="s">
        <v>143</v>
      </c>
      <c r="E179" s="53">
        <v>329797.90000000002</v>
      </c>
      <c r="F179" s="53">
        <v>129947.94</v>
      </c>
      <c r="G179" s="53"/>
      <c r="H179" s="53">
        <f t="shared" si="32"/>
        <v>459745.84</v>
      </c>
    </row>
    <row r="180" spans="1:8" s="24" customFormat="1" ht="12" customHeight="1" x14ac:dyDescent="0.25">
      <c r="A180" s="48"/>
      <c r="B180" s="48"/>
      <c r="C180" s="79">
        <v>4799</v>
      </c>
      <c r="D180" s="80" t="s">
        <v>143</v>
      </c>
      <c r="E180" s="53">
        <v>19379.34</v>
      </c>
      <c r="F180" s="53">
        <v>7635.91</v>
      </c>
      <c r="G180" s="53"/>
      <c r="H180" s="53">
        <f t="shared" si="32"/>
        <v>27015.25</v>
      </c>
    </row>
    <row r="181" spans="1:8" s="24" customFormat="1" ht="35.25" customHeight="1" x14ac:dyDescent="0.25">
      <c r="A181" s="48"/>
      <c r="B181" s="48"/>
      <c r="C181" s="34"/>
      <c r="D181" s="461" t="s">
        <v>144</v>
      </c>
      <c r="E181" s="125">
        <v>0</v>
      </c>
      <c r="F181" s="125">
        <f>SUM(F182:F189)</f>
        <v>14400</v>
      </c>
      <c r="G181" s="125">
        <f>SUM(G182:G189)</f>
        <v>0</v>
      </c>
      <c r="H181" s="125">
        <f>SUM(E181+F181-G181)</f>
        <v>14400</v>
      </c>
    </row>
    <row r="182" spans="1:8" s="24" customFormat="1" ht="12" customHeight="1" x14ac:dyDescent="0.25">
      <c r="A182" s="48"/>
      <c r="B182" s="48"/>
      <c r="C182" s="79">
        <v>4117</v>
      </c>
      <c r="D182" s="101" t="s">
        <v>141</v>
      </c>
      <c r="E182" s="53">
        <v>0</v>
      </c>
      <c r="F182" s="53">
        <v>1930.05</v>
      </c>
      <c r="G182" s="53"/>
      <c r="H182" s="53">
        <f t="shared" ref="H182:H189" si="33">SUM(E182+F182-G182)</f>
        <v>1930.05</v>
      </c>
    </row>
    <row r="183" spans="1:8" s="24" customFormat="1" ht="12" customHeight="1" x14ac:dyDescent="0.25">
      <c r="A183" s="48"/>
      <c r="B183" s="48"/>
      <c r="C183" s="79">
        <v>4119</v>
      </c>
      <c r="D183" s="101" t="s">
        <v>141</v>
      </c>
      <c r="E183" s="53">
        <v>0</v>
      </c>
      <c r="F183" s="53">
        <v>113.41</v>
      </c>
      <c r="G183" s="53"/>
      <c r="H183" s="53">
        <f t="shared" si="33"/>
        <v>113.41</v>
      </c>
    </row>
    <row r="184" spans="1:8" s="24" customFormat="1" ht="12" customHeight="1" x14ac:dyDescent="0.25">
      <c r="A184" s="48"/>
      <c r="B184" s="48"/>
      <c r="C184" s="79">
        <v>4127</v>
      </c>
      <c r="D184" s="72" t="s">
        <v>137</v>
      </c>
      <c r="E184" s="53">
        <v>0</v>
      </c>
      <c r="F184" s="53">
        <v>275.07</v>
      </c>
      <c r="G184" s="53"/>
      <c r="H184" s="53">
        <f t="shared" si="33"/>
        <v>275.07</v>
      </c>
    </row>
    <row r="185" spans="1:8" s="24" customFormat="1" ht="12" customHeight="1" x14ac:dyDescent="0.25">
      <c r="A185" s="48"/>
      <c r="B185" s="48"/>
      <c r="C185" s="79">
        <v>4129</v>
      </c>
      <c r="D185" s="72" t="s">
        <v>137</v>
      </c>
      <c r="E185" s="53">
        <v>0</v>
      </c>
      <c r="F185" s="53">
        <v>16.16</v>
      </c>
      <c r="G185" s="53"/>
      <c r="H185" s="53">
        <f t="shared" si="33"/>
        <v>16.16</v>
      </c>
    </row>
    <row r="186" spans="1:8" s="24" customFormat="1" ht="12" customHeight="1" x14ac:dyDescent="0.25">
      <c r="A186" s="48"/>
      <c r="B186" s="48"/>
      <c r="C186" s="34" t="s">
        <v>145</v>
      </c>
      <c r="D186" s="72" t="s">
        <v>113</v>
      </c>
      <c r="E186" s="53">
        <v>0</v>
      </c>
      <c r="F186" s="53">
        <v>11227.27</v>
      </c>
      <c r="G186" s="53"/>
      <c r="H186" s="53">
        <f t="shared" si="33"/>
        <v>11227.27</v>
      </c>
    </row>
    <row r="187" spans="1:8" s="24" customFormat="1" ht="12" customHeight="1" x14ac:dyDescent="0.25">
      <c r="A187" s="48"/>
      <c r="B187" s="48"/>
      <c r="C187" s="34" t="s">
        <v>146</v>
      </c>
      <c r="D187" s="72" t="s">
        <v>113</v>
      </c>
      <c r="E187" s="53">
        <v>0</v>
      </c>
      <c r="F187" s="53">
        <v>659.73</v>
      </c>
      <c r="G187" s="53"/>
      <c r="H187" s="53">
        <f t="shared" si="33"/>
        <v>659.73</v>
      </c>
    </row>
    <row r="188" spans="1:8" s="24" customFormat="1" ht="12" customHeight="1" x14ac:dyDescent="0.25">
      <c r="A188" s="48"/>
      <c r="B188" s="48"/>
      <c r="C188" s="54">
        <v>4717</v>
      </c>
      <c r="D188" s="72" t="s">
        <v>123</v>
      </c>
      <c r="E188" s="53">
        <v>0</v>
      </c>
      <c r="F188" s="53">
        <v>168.41</v>
      </c>
      <c r="G188" s="53"/>
      <c r="H188" s="53">
        <f t="shared" si="33"/>
        <v>168.41</v>
      </c>
    </row>
    <row r="189" spans="1:8" s="24" customFormat="1" ht="12" customHeight="1" x14ac:dyDescent="0.25">
      <c r="A189" s="48"/>
      <c r="B189" s="48"/>
      <c r="C189" s="54">
        <v>4719</v>
      </c>
      <c r="D189" s="72" t="s">
        <v>123</v>
      </c>
      <c r="E189" s="53">
        <v>0</v>
      </c>
      <c r="F189" s="53">
        <v>9.9</v>
      </c>
      <c r="G189" s="53"/>
      <c r="H189" s="53">
        <f t="shared" si="33"/>
        <v>9.9</v>
      </c>
    </row>
    <row r="190" spans="1:8" s="24" customFormat="1" ht="12" customHeight="1" thickBot="1" x14ac:dyDescent="0.3">
      <c r="A190" s="41" t="s">
        <v>147</v>
      </c>
      <c r="B190" s="40"/>
      <c r="C190" s="41"/>
      <c r="D190" s="42" t="s">
        <v>148</v>
      </c>
      <c r="E190" s="38">
        <v>12239997.83</v>
      </c>
      <c r="F190" s="43">
        <f>SUM(F191,)</f>
        <v>2851</v>
      </c>
      <c r="G190" s="43">
        <f>SUM(G191,)</f>
        <v>2851</v>
      </c>
      <c r="H190" s="38">
        <f t="shared" si="29"/>
        <v>12239997.83</v>
      </c>
    </row>
    <row r="191" spans="1:8" s="24" customFormat="1" ht="12" customHeight="1" thickTop="1" x14ac:dyDescent="0.25">
      <c r="A191" s="41"/>
      <c r="B191" s="54">
        <v>85154</v>
      </c>
      <c r="C191" s="55"/>
      <c r="D191" s="59" t="s">
        <v>149</v>
      </c>
      <c r="E191" s="46">
        <v>6685952.8300000001</v>
      </c>
      <c r="F191" s="47">
        <f>SUM(F192,F194,F197)</f>
        <v>2851</v>
      </c>
      <c r="G191" s="47">
        <f>SUM(G192,G194,G197)</f>
        <v>2851</v>
      </c>
      <c r="H191" s="46">
        <f t="shared" si="29"/>
        <v>6685952.8300000001</v>
      </c>
    </row>
    <row r="192" spans="1:8" s="24" customFormat="1" ht="12" customHeight="1" x14ac:dyDescent="0.25">
      <c r="A192" s="41"/>
      <c r="B192" s="54"/>
      <c r="C192" s="34"/>
      <c r="D192" s="460" t="s">
        <v>90</v>
      </c>
      <c r="E192" s="470">
        <v>1746478.95</v>
      </c>
      <c r="F192" s="462">
        <f>SUM(F193:F193)</f>
        <v>0</v>
      </c>
      <c r="G192" s="462">
        <f>SUM(G193:G193)</f>
        <v>787</v>
      </c>
      <c r="H192" s="125">
        <f t="shared" si="29"/>
        <v>1745691.95</v>
      </c>
    </row>
    <row r="193" spans="1:8" s="24" customFormat="1" ht="12" customHeight="1" x14ac:dyDescent="0.25">
      <c r="A193" s="41"/>
      <c r="B193" s="54"/>
      <c r="C193" s="79">
        <v>4300</v>
      </c>
      <c r="D193" s="80" t="s">
        <v>81</v>
      </c>
      <c r="E193" s="102">
        <v>387628.95</v>
      </c>
      <c r="F193" s="52"/>
      <c r="G193" s="52">
        <v>787</v>
      </c>
      <c r="H193" s="52">
        <f t="shared" si="29"/>
        <v>386841.95</v>
      </c>
    </row>
    <row r="194" spans="1:8" s="24" customFormat="1" ht="12" customHeight="1" x14ac:dyDescent="0.25">
      <c r="A194" s="41"/>
      <c r="B194" s="54"/>
      <c r="C194" s="103"/>
      <c r="D194" s="471" t="s">
        <v>150</v>
      </c>
      <c r="E194" s="472">
        <v>1571231.88</v>
      </c>
      <c r="F194" s="473">
        <f>SUM(F195:F196)</f>
        <v>2064</v>
      </c>
      <c r="G194" s="473">
        <f>SUM(G195:G196)</f>
        <v>2064</v>
      </c>
      <c r="H194" s="472">
        <f t="shared" si="29"/>
        <v>1571231.88</v>
      </c>
    </row>
    <row r="195" spans="1:8" s="24" customFormat="1" ht="12" customHeight="1" x14ac:dyDescent="0.25">
      <c r="A195" s="41"/>
      <c r="B195" s="54"/>
      <c r="C195" s="79">
        <v>4300</v>
      </c>
      <c r="D195" s="80" t="s">
        <v>81</v>
      </c>
      <c r="E195" s="104">
        <v>298006</v>
      </c>
      <c r="F195" s="83">
        <v>2064</v>
      </c>
      <c r="G195" s="83"/>
      <c r="H195" s="104">
        <f t="shared" si="29"/>
        <v>300070</v>
      </c>
    </row>
    <row r="196" spans="1:8" s="24" customFormat="1" ht="12" customHeight="1" x14ac:dyDescent="0.25">
      <c r="A196" s="41"/>
      <c r="B196" s="54"/>
      <c r="C196" s="54">
        <v>4440</v>
      </c>
      <c r="D196" s="72" t="s">
        <v>151</v>
      </c>
      <c r="E196" s="104">
        <v>23149</v>
      </c>
      <c r="F196" s="83"/>
      <c r="G196" s="83">
        <v>2064</v>
      </c>
      <c r="H196" s="104">
        <f t="shared" si="29"/>
        <v>21085</v>
      </c>
    </row>
    <row r="197" spans="1:8" s="24" customFormat="1" ht="12" customHeight="1" x14ac:dyDescent="0.25">
      <c r="A197" s="41"/>
      <c r="B197" s="54"/>
      <c r="C197" s="34"/>
      <c r="D197" s="460" t="s">
        <v>152</v>
      </c>
      <c r="E197" s="125">
        <v>11800</v>
      </c>
      <c r="F197" s="462">
        <f>SUM(F198:F199)</f>
        <v>787</v>
      </c>
      <c r="G197" s="462">
        <f>SUM(G198:G199)</f>
        <v>0</v>
      </c>
      <c r="H197" s="125">
        <f t="shared" si="29"/>
        <v>12587</v>
      </c>
    </row>
    <row r="198" spans="1:8" s="24" customFormat="1" ht="12" customHeight="1" x14ac:dyDescent="0.25">
      <c r="A198" s="41"/>
      <c r="B198" s="39"/>
      <c r="C198" s="105" t="s">
        <v>153</v>
      </c>
      <c r="D198" s="106" t="s">
        <v>127</v>
      </c>
      <c r="E198" s="53">
        <v>0</v>
      </c>
      <c r="F198" s="52">
        <v>689</v>
      </c>
      <c r="G198" s="52"/>
      <c r="H198" s="52">
        <f t="shared" si="29"/>
        <v>689</v>
      </c>
    </row>
    <row r="199" spans="1:8" s="24" customFormat="1" ht="12" customHeight="1" x14ac:dyDescent="0.25">
      <c r="A199" s="41"/>
      <c r="B199" s="39"/>
      <c r="C199" s="78">
        <v>4120</v>
      </c>
      <c r="D199" s="106" t="s">
        <v>137</v>
      </c>
      <c r="E199" s="53">
        <v>0</v>
      </c>
      <c r="F199" s="52">
        <v>98</v>
      </c>
      <c r="G199" s="52"/>
      <c r="H199" s="52">
        <f t="shared" si="29"/>
        <v>98</v>
      </c>
    </row>
    <row r="200" spans="1:8" s="24" customFormat="1" ht="12" customHeight="1" thickBot="1" x14ac:dyDescent="0.3">
      <c r="A200" s="41" t="s">
        <v>53</v>
      </c>
      <c r="B200" s="40"/>
      <c r="C200" s="41"/>
      <c r="D200" s="42" t="s">
        <v>54</v>
      </c>
      <c r="E200" s="1">
        <v>89378291.560000002</v>
      </c>
      <c r="F200" s="43">
        <f>SUM(F201,F208,F213,F218)</f>
        <v>168861.19</v>
      </c>
      <c r="G200" s="43">
        <f>SUM(G201,G208,G213,G218)</f>
        <v>49687.63</v>
      </c>
      <c r="H200" s="38">
        <f>SUM(E200+F200-G200)</f>
        <v>89497465.120000005</v>
      </c>
    </row>
    <row r="201" spans="1:8" s="24" customFormat="1" ht="12" customHeight="1" thickTop="1" x14ac:dyDescent="0.25">
      <c r="A201" s="41"/>
      <c r="B201" s="48">
        <v>85202</v>
      </c>
      <c r="C201" s="34"/>
      <c r="D201" s="70" t="s">
        <v>154</v>
      </c>
      <c r="E201" s="107">
        <v>26507058.59</v>
      </c>
      <c r="F201" s="108">
        <f>SUM(F202,)</f>
        <v>75942</v>
      </c>
      <c r="G201" s="108">
        <f>SUM(G202,)</f>
        <v>0</v>
      </c>
      <c r="H201" s="107">
        <f t="shared" ref="H201:H217" si="34">SUM(E201+F201-G201)</f>
        <v>26583000.59</v>
      </c>
    </row>
    <row r="202" spans="1:8" s="24" customFormat="1" ht="12" customHeight="1" x14ac:dyDescent="0.25">
      <c r="A202" s="41"/>
      <c r="B202" s="54"/>
      <c r="C202" s="34"/>
      <c r="D202" s="460" t="s">
        <v>155</v>
      </c>
      <c r="E202" s="472">
        <v>6363302.9900000002</v>
      </c>
      <c r="F202" s="473">
        <f>SUM(F203:F207)</f>
        <v>75942</v>
      </c>
      <c r="G202" s="473">
        <f>SUM(G203:G207)</f>
        <v>0</v>
      </c>
      <c r="H202" s="472">
        <f t="shared" si="34"/>
        <v>6439244.9900000002</v>
      </c>
    </row>
    <row r="203" spans="1:8" s="24" customFormat="1" ht="12" customHeight="1" x14ac:dyDescent="0.25">
      <c r="A203" s="41"/>
      <c r="B203" s="109"/>
      <c r="C203" s="84">
        <v>3020</v>
      </c>
      <c r="D203" s="92" t="s">
        <v>111</v>
      </c>
      <c r="E203" s="104">
        <v>19920</v>
      </c>
      <c r="F203" s="83">
        <v>29112</v>
      </c>
      <c r="G203" s="83"/>
      <c r="H203" s="104">
        <f t="shared" si="34"/>
        <v>49032</v>
      </c>
    </row>
    <row r="204" spans="1:8" s="24" customFormat="1" ht="12" customHeight="1" x14ac:dyDescent="0.25">
      <c r="A204" s="41"/>
      <c r="B204" s="109"/>
      <c r="C204" s="78">
        <v>4170</v>
      </c>
      <c r="D204" s="106" t="s">
        <v>113</v>
      </c>
      <c r="E204" s="104">
        <v>89400</v>
      </c>
      <c r="F204" s="83">
        <v>25000</v>
      </c>
      <c r="G204" s="83"/>
      <c r="H204" s="104">
        <f t="shared" si="34"/>
        <v>114400</v>
      </c>
    </row>
    <row r="205" spans="1:8" s="24" customFormat="1" ht="12" customHeight="1" x14ac:dyDescent="0.25">
      <c r="A205" s="41"/>
      <c r="B205" s="109"/>
      <c r="C205" s="54">
        <v>4440</v>
      </c>
      <c r="D205" s="72" t="s">
        <v>151</v>
      </c>
      <c r="E205" s="104">
        <v>154871</v>
      </c>
      <c r="F205" s="83">
        <v>17770</v>
      </c>
      <c r="G205" s="83"/>
      <c r="H205" s="104">
        <f t="shared" si="34"/>
        <v>172641</v>
      </c>
    </row>
    <row r="206" spans="1:8" s="24" customFormat="1" ht="12" customHeight="1" x14ac:dyDescent="0.25">
      <c r="A206" s="41"/>
      <c r="B206" s="109"/>
      <c r="C206" s="84">
        <v>4580</v>
      </c>
      <c r="D206" s="92" t="s">
        <v>99</v>
      </c>
      <c r="E206" s="104">
        <v>0</v>
      </c>
      <c r="F206" s="83">
        <v>2060</v>
      </c>
      <c r="G206" s="83"/>
      <c r="H206" s="104">
        <f t="shared" si="34"/>
        <v>2060</v>
      </c>
    </row>
    <row r="207" spans="1:8" s="24" customFormat="1" ht="12.75" customHeight="1" x14ac:dyDescent="0.25">
      <c r="A207" s="110"/>
      <c r="B207" s="111"/>
      <c r="C207" s="112">
        <v>4610</v>
      </c>
      <c r="D207" s="113" t="s">
        <v>156</v>
      </c>
      <c r="E207" s="108">
        <v>0</v>
      </c>
      <c r="F207" s="107">
        <v>2000</v>
      </c>
      <c r="G207" s="107"/>
      <c r="H207" s="108">
        <f t="shared" si="34"/>
        <v>2000</v>
      </c>
    </row>
    <row r="208" spans="1:8" s="24" customFormat="1" ht="12" customHeight="1" x14ac:dyDescent="0.25">
      <c r="A208" s="40"/>
      <c r="B208" s="54">
        <v>85203</v>
      </c>
      <c r="C208" s="25"/>
      <c r="D208" s="59" t="s">
        <v>157</v>
      </c>
      <c r="E208" s="46">
        <v>1750691</v>
      </c>
      <c r="F208" s="47">
        <f>SUM(F209)</f>
        <v>0</v>
      </c>
      <c r="G208" s="47">
        <f>SUM(G209)</f>
        <v>25000</v>
      </c>
      <c r="H208" s="46">
        <f t="shared" si="34"/>
        <v>1725691</v>
      </c>
    </row>
    <row r="209" spans="1:8" s="24" customFormat="1" ht="24" customHeight="1" x14ac:dyDescent="0.25">
      <c r="A209" s="40"/>
      <c r="B209" s="39"/>
      <c r="C209" s="79"/>
      <c r="D209" s="461" t="s">
        <v>158</v>
      </c>
      <c r="E209" s="125">
        <v>1412858.8</v>
      </c>
      <c r="F209" s="462">
        <f>SUM(F210:F211)</f>
        <v>0</v>
      </c>
      <c r="G209" s="462">
        <f>SUM(G210:G211)</f>
        <v>25000</v>
      </c>
      <c r="H209" s="125">
        <f t="shared" si="34"/>
        <v>1387858.8</v>
      </c>
    </row>
    <row r="210" spans="1:8" s="24" customFormat="1" ht="12" customHeight="1" x14ac:dyDescent="0.25">
      <c r="A210" s="40"/>
      <c r="B210" s="39"/>
      <c r="C210" s="78">
        <v>4170</v>
      </c>
      <c r="D210" s="106" t="s">
        <v>113</v>
      </c>
      <c r="E210" s="53">
        <v>48900</v>
      </c>
      <c r="F210" s="52"/>
      <c r="G210" s="52">
        <v>10000</v>
      </c>
      <c r="H210" s="53">
        <f t="shared" si="34"/>
        <v>38900</v>
      </c>
    </row>
    <row r="211" spans="1:8" s="24" customFormat="1" ht="11.25" customHeight="1" x14ac:dyDescent="0.25">
      <c r="A211" s="40"/>
      <c r="B211" s="39"/>
      <c r="C211" s="84">
        <v>4440</v>
      </c>
      <c r="D211" s="92" t="s">
        <v>151</v>
      </c>
      <c r="E211" s="53">
        <v>42212.7</v>
      </c>
      <c r="F211" s="53"/>
      <c r="G211" s="52">
        <v>15000</v>
      </c>
      <c r="H211" s="53">
        <f t="shared" si="34"/>
        <v>27212.699999999997</v>
      </c>
    </row>
    <row r="212" spans="1:8" s="24" customFormat="1" ht="11.25" customHeight="1" x14ac:dyDescent="0.25">
      <c r="A212" s="40"/>
      <c r="B212" s="54">
        <v>85220</v>
      </c>
      <c r="C212" s="55"/>
      <c r="D212" s="48" t="s">
        <v>159</v>
      </c>
      <c r="E212" s="53"/>
      <c r="F212" s="53"/>
      <c r="G212" s="52"/>
      <c r="H212" s="53"/>
    </row>
    <row r="213" spans="1:8" s="24" customFormat="1" ht="12" customHeight="1" x14ac:dyDescent="0.25">
      <c r="A213" s="40"/>
      <c r="B213" s="114"/>
      <c r="C213" s="55"/>
      <c r="D213" s="59" t="s">
        <v>160</v>
      </c>
      <c r="E213" s="46">
        <v>1073566.46</v>
      </c>
      <c r="F213" s="47">
        <f>SUM(F215)</f>
        <v>257</v>
      </c>
      <c r="G213" s="47">
        <f>SUM(G215)</f>
        <v>257</v>
      </c>
      <c r="H213" s="46">
        <f t="shared" si="34"/>
        <v>1073566.46</v>
      </c>
    </row>
    <row r="214" spans="1:8" s="24" customFormat="1" ht="12" customHeight="1" x14ac:dyDescent="0.25">
      <c r="A214" s="40"/>
      <c r="B214" s="114"/>
      <c r="C214" s="55"/>
      <c r="D214" s="72" t="s">
        <v>161</v>
      </c>
      <c r="E214" s="53"/>
      <c r="F214" s="52"/>
      <c r="G214" s="52"/>
      <c r="H214" s="53"/>
    </row>
    <row r="215" spans="1:8" s="24" customFormat="1" ht="12" customHeight="1" x14ac:dyDescent="0.25">
      <c r="A215" s="40"/>
      <c r="B215" s="54"/>
      <c r="C215" s="34"/>
      <c r="D215" s="461" t="s">
        <v>162</v>
      </c>
      <c r="E215" s="125">
        <v>43180</v>
      </c>
      <c r="F215" s="462">
        <f>SUM(F216:F217)</f>
        <v>257</v>
      </c>
      <c r="G215" s="462">
        <f>SUM(G216:G217)</f>
        <v>257</v>
      </c>
      <c r="H215" s="125">
        <f t="shared" si="34"/>
        <v>43180</v>
      </c>
    </row>
    <row r="216" spans="1:8" s="24" customFormat="1" ht="12" customHeight="1" x14ac:dyDescent="0.25">
      <c r="A216" s="40"/>
      <c r="B216" s="54"/>
      <c r="C216" s="84">
        <v>4260</v>
      </c>
      <c r="D216" s="92" t="s">
        <v>117</v>
      </c>
      <c r="E216" s="53">
        <v>15000</v>
      </c>
      <c r="F216" s="52"/>
      <c r="G216" s="52">
        <v>257</v>
      </c>
      <c r="H216" s="52">
        <f t="shared" si="34"/>
        <v>14743</v>
      </c>
    </row>
    <row r="217" spans="1:8" s="24" customFormat="1" ht="12" customHeight="1" x14ac:dyDescent="0.25">
      <c r="A217" s="40"/>
      <c r="B217" s="54"/>
      <c r="C217" s="84">
        <v>4430</v>
      </c>
      <c r="D217" s="92" t="s">
        <v>128</v>
      </c>
      <c r="E217" s="53">
        <v>0</v>
      </c>
      <c r="F217" s="52">
        <v>257</v>
      </c>
      <c r="G217" s="52"/>
      <c r="H217" s="52">
        <f t="shared" si="34"/>
        <v>257</v>
      </c>
    </row>
    <row r="218" spans="1:8" s="24" customFormat="1" ht="12" customHeight="1" x14ac:dyDescent="0.25">
      <c r="A218" s="40"/>
      <c r="B218" s="48">
        <v>85295</v>
      </c>
      <c r="C218" s="34"/>
      <c r="D218" s="56" t="s">
        <v>17</v>
      </c>
      <c r="E218" s="46">
        <v>7360085.0499999998</v>
      </c>
      <c r="F218" s="46">
        <f>SUM(F219,F221,F228,F232,F235)</f>
        <v>92662.19</v>
      </c>
      <c r="G218" s="46">
        <f>SUM(G219,G221,G228,G232,G235)</f>
        <v>24430.629999999997</v>
      </c>
      <c r="H218" s="46">
        <f>SUM(E218+F218-G218)</f>
        <v>7428316.6100000003</v>
      </c>
    </row>
    <row r="219" spans="1:8" s="24" customFormat="1" ht="12" customHeight="1" x14ac:dyDescent="0.25">
      <c r="A219" s="40"/>
      <c r="B219" s="48"/>
      <c r="C219" s="34"/>
      <c r="D219" s="460" t="s">
        <v>163</v>
      </c>
      <c r="E219" s="125">
        <v>2055054.42</v>
      </c>
      <c r="F219" s="462">
        <f>SUM(F220:F220)</f>
        <v>0</v>
      </c>
      <c r="G219" s="462">
        <f>SUM(G220:G220)</f>
        <v>4526.3999999999996</v>
      </c>
      <c r="H219" s="125">
        <f t="shared" ref="H219:H225" si="35">SUM(E219+F219-G219)</f>
        <v>2050528.02</v>
      </c>
    </row>
    <row r="220" spans="1:8" s="24" customFormat="1" ht="12" customHeight="1" x14ac:dyDescent="0.25">
      <c r="A220" s="40"/>
      <c r="B220" s="48"/>
      <c r="C220" s="54">
        <v>4040</v>
      </c>
      <c r="D220" s="72" t="s">
        <v>112</v>
      </c>
      <c r="E220" s="53">
        <v>101934</v>
      </c>
      <c r="F220" s="52"/>
      <c r="G220" s="52">
        <v>4526.3999999999996</v>
      </c>
      <c r="H220" s="52">
        <f t="shared" si="35"/>
        <v>97407.6</v>
      </c>
    </row>
    <row r="221" spans="1:8" s="24" customFormat="1" ht="12" customHeight="1" x14ac:dyDescent="0.25">
      <c r="A221" s="40"/>
      <c r="B221" s="40"/>
      <c r="C221" s="34"/>
      <c r="D221" s="474" t="s">
        <v>164</v>
      </c>
      <c r="E221" s="125">
        <v>1196308.0499999998</v>
      </c>
      <c r="F221" s="462">
        <f>SUM(F222:F225)</f>
        <v>754.23</v>
      </c>
      <c r="G221" s="462">
        <f>SUM(G222:G225)</f>
        <v>754.23</v>
      </c>
      <c r="H221" s="125">
        <f t="shared" si="35"/>
        <v>1196308.0499999998</v>
      </c>
    </row>
    <row r="222" spans="1:8" s="24" customFormat="1" ht="12" customHeight="1" x14ac:dyDescent="0.25">
      <c r="A222" s="40"/>
      <c r="B222" s="40"/>
      <c r="C222" s="79">
        <v>4017</v>
      </c>
      <c r="D222" s="101" t="s">
        <v>25</v>
      </c>
      <c r="E222" s="53">
        <v>214200.97</v>
      </c>
      <c r="F222" s="52"/>
      <c r="G222" s="52">
        <v>675.49</v>
      </c>
      <c r="H222" s="52">
        <f t="shared" si="35"/>
        <v>213525.48</v>
      </c>
    </row>
    <row r="223" spans="1:8" s="24" customFormat="1" ht="12" customHeight="1" x14ac:dyDescent="0.25">
      <c r="A223" s="40"/>
      <c r="B223" s="40"/>
      <c r="C223" s="79">
        <v>4019</v>
      </c>
      <c r="D223" s="101" t="s">
        <v>25</v>
      </c>
      <c r="E223" s="53">
        <v>24968.37</v>
      </c>
      <c r="F223" s="52"/>
      <c r="G223" s="52">
        <v>78.739999999999995</v>
      </c>
      <c r="H223" s="52">
        <f t="shared" si="35"/>
        <v>24889.629999999997</v>
      </c>
    </row>
    <row r="224" spans="1:8" s="24" customFormat="1" ht="12" customHeight="1" x14ac:dyDescent="0.25">
      <c r="A224" s="40"/>
      <c r="B224" s="40"/>
      <c r="C224" s="54">
        <v>4447</v>
      </c>
      <c r="D224" s="72" t="s">
        <v>151</v>
      </c>
      <c r="E224" s="53">
        <v>985.16</v>
      </c>
      <c r="F224" s="52">
        <v>675.49</v>
      </c>
      <c r="G224" s="52"/>
      <c r="H224" s="52">
        <f t="shared" si="35"/>
        <v>1660.65</v>
      </c>
    </row>
    <row r="225" spans="1:8" s="24" customFormat="1" ht="12" customHeight="1" x14ac:dyDescent="0.25">
      <c r="A225" s="40"/>
      <c r="B225" s="40"/>
      <c r="C225" s="54">
        <v>4449</v>
      </c>
      <c r="D225" s="72" t="s">
        <v>151</v>
      </c>
      <c r="E225" s="53">
        <v>114.84</v>
      </c>
      <c r="F225" s="52">
        <v>78.739999999999995</v>
      </c>
      <c r="G225" s="52"/>
      <c r="H225" s="52">
        <f t="shared" si="35"/>
        <v>193.57999999999998</v>
      </c>
    </row>
    <row r="226" spans="1:8" s="24" customFormat="1" ht="12" customHeight="1" x14ac:dyDescent="0.25">
      <c r="A226" s="40"/>
      <c r="B226" s="40"/>
      <c r="C226" s="34"/>
      <c r="D226" s="101" t="s">
        <v>165</v>
      </c>
      <c r="E226" s="53"/>
      <c r="F226" s="53"/>
      <c r="G226" s="53"/>
      <c r="H226" s="53"/>
    </row>
    <row r="227" spans="1:8" s="24" customFormat="1" ht="12" customHeight="1" x14ac:dyDescent="0.25">
      <c r="A227" s="40"/>
      <c r="B227" s="40"/>
      <c r="C227" s="34"/>
      <c r="D227" s="101" t="s">
        <v>166</v>
      </c>
      <c r="E227" s="53"/>
      <c r="F227" s="53"/>
      <c r="G227" s="53"/>
      <c r="H227" s="53"/>
    </row>
    <row r="228" spans="1:8" s="24" customFormat="1" ht="12" customHeight="1" x14ac:dyDescent="0.25">
      <c r="A228" s="40"/>
      <c r="B228" s="40"/>
      <c r="C228" s="54"/>
      <c r="D228" s="475" t="s">
        <v>167</v>
      </c>
      <c r="E228" s="125">
        <v>531075.19999999995</v>
      </c>
      <c r="F228" s="125">
        <f>SUM(F229:F231)</f>
        <v>1380</v>
      </c>
      <c r="G228" s="125">
        <f>SUM(G229:G231)</f>
        <v>1380</v>
      </c>
      <c r="H228" s="125">
        <f>SUM(E228+F228-G228)</f>
        <v>531075.19999999995</v>
      </c>
    </row>
    <row r="229" spans="1:8" s="24" customFormat="1" ht="12" customHeight="1" x14ac:dyDescent="0.25">
      <c r="A229" s="40"/>
      <c r="B229" s="40"/>
      <c r="C229" s="98" t="s">
        <v>114</v>
      </c>
      <c r="D229" s="92" t="s">
        <v>115</v>
      </c>
      <c r="E229" s="52">
        <v>34901</v>
      </c>
      <c r="F229" s="52"/>
      <c r="G229" s="52">
        <v>1000</v>
      </c>
      <c r="H229" s="52">
        <f t="shared" ref="H229:H252" si="36">SUM(E229+F229-G229)</f>
        <v>33901</v>
      </c>
    </row>
    <row r="230" spans="1:8" s="24" customFormat="1" ht="12" customHeight="1" x14ac:dyDescent="0.25">
      <c r="A230" s="40"/>
      <c r="B230" s="40"/>
      <c r="C230" s="84">
        <v>4270</v>
      </c>
      <c r="D230" s="92" t="s">
        <v>118</v>
      </c>
      <c r="E230" s="52">
        <v>1000</v>
      </c>
      <c r="F230" s="52">
        <v>1380</v>
      </c>
      <c r="G230" s="52"/>
      <c r="H230" s="52">
        <f t="shared" si="36"/>
        <v>2380</v>
      </c>
    </row>
    <row r="231" spans="1:8" s="24" customFormat="1" ht="12" customHeight="1" x14ac:dyDescent="0.25">
      <c r="A231" s="40"/>
      <c r="B231" s="40"/>
      <c r="C231" s="84">
        <v>4360</v>
      </c>
      <c r="D231" s="92" t="s">
        <v>120</v>
      </c>
      <c r="E231" s="53">
        <v>1200</v>
      </c>
      <c r="F231" s="52"/>
      <c r="G231" s="52">
        <v>380</v>
      </c>
      <c r="H231" s="52">
        <f t="shared" si="36"/>
        <v>820</v>
      </c>
    </row>
    <row r="232" spans="1:8" s="24" customFormat="1" ht="24" customHeight="1" x14ac:dyDescent="0.25">
      <c r="A232" s="40"/>
      <c r="B232" s="40"/>
      <c r="C232" s="34"/>
      <c r="D232" s="476" t="s">
        <v>168</v>
      </c>
      <c r="E232" s="125">
        <v>853650.38</v>
      </c>
      <c r="F232" s="462">
        <f>SUM(F233:F234)</f>
        <v>0</v>
      </c>
      <c r="G232" s="462">
        <f>SUM(G233:G234)</f>
        <v>17770</v>
      </c>
      <c r="H232" s="125">
        <f t="shared" si="36"/>
        <v>835880.38</v>
      </c>
    </row>
    <row r="233" spans="1:8" s="24" customFormat="1" ht="12" customHeight="1" x14ac:dyDescent="0.25">
      <c r="A233" s="40"/>
      <c r="B233" s="40"/>
      <c r="C233" s="78">
        <v>4170</v>
      </c>
      <c r="D233" s="106" t="s">
        <v>113</v>
      </c>
      <c r="E233" s="53">
        <v>33500</v>
      </c>
      <c r="F233" s="52"/>
      <c r="G233" s="52">
        <v>15000</v>
      </c>
      <c r="H233" s="52">
        <f t="shared" si="36"/>
        <v>18500</v>
      </c>
    </row>
    <row r="234" spans="1:8" s="24" customFormat="1" ht="12" customHeight="1" x14ac:dyDescent="0.25">
      <c r="A234" s="40"/>
      <c r="B234" s="40"/>
      <c r="C234" s="84">
        <v>4440</v>
      </c>
      <c r="D234" s="92" t="s">
        <v>151</v>
      </c>
      <c r="E234" s="53">
        <v>35404.199999999997</v>
      </c>
      <c r="F234" s="52"/>
      <c r="G234" s="52">
        <v>2770</v>
      </c>
      <c r="H234" s="52">
        <f t="shared" si="36"/>
        <v>32634.199999999997</v>
      </c>
    </row>
    <row r="235" spans="1:8" s="24" customFormat="1" ht="24" customHeight="1" x14ac:dyDescent="0.25">
      <c r="A235" s="40"/>
      <c r="B235" s="40"/>
      <c r="C235" s="34"/>
      <c r="D235" s="474" t="s">
        <v>169</v>
      </c>
      <c r="E235" s="125">
        <v>0</v>
      </c>
      <c r="F235" s="462">
        <f>SUM(F236:F247)</f>
        <v>90527.96</v>
      </c>
      <c r="G235" s="462">
        <f>SUM(G236:G247)</f>
        <v>0</v>
      </c>
      <c r="H235" s="125">
        <f t="shared" si="36"/>
        <v>90527.96</v>
      </c>
    </row>
    <row r="236" spans="1:8" s="24" customFormat="1" ht="12" customHeight="1" x14ac:dyDescent="0.25">
      <c r="A236" s="40"/>
      <c r="B236" s="40"/>
      <c r="C236" s="54">
        <v>4017</v>
      </c>
      <c r="D236" s="72" t="s">
        <v>25</v>
      </c>
      <c r="E236" s="53">
        <v>0</v>
      </c>
      <c r="F236" s="52">
        <v>33258.18</v>
      </c>
      <c r="G236" s="52"/>
      <c r="H236" s="52">
        <f t="shared" si="36"/>
        <v>33258.18</v>
      </c>
    </row>
    <row r="237" spans="1:8" s="24" customFormat="1" ht="12" customHeight="1" x14ac:dyDescent="0.25">
      <c r="A237" s="40"/>
      <c r="B237" s="40"/>
      <c r="C237" s="54">
        <v>4019</v>
      </c>
      <c r="D237" s="72" t="s">
        <v>25</v>
      </c>
      <c r="E237" s="53">
        <v>0</v>
      </c>
      <c r="F237" s="52">
        <v>3774.83</v>
      </c>
      <c r="G237" s="52"/>
      <c r="H237" s="52">
        <f t="shared" si="36"/>
        <v>3774.83</v>
      </c>
    </row>
    <row r="238" spans="1:8" s="24" customFormat="1" ht="12" customHeight="1" x14ac:dyDescent="0.25">
      <c r="A238" s="40"/>
      <c r="B238" s="40"/>
      <c r="C238" s="54">
        <v>4117</v>
      </c>
      <c r="D238" s="72" t="s">
        <v>127</v>
      </c>
      <c r="E238" s="53">
        <v>0</v>
      </c>
      <c r="F238" s="52">
        <v>5806.87</v>
      </c>
      <c r="G238" s="52"/>
      <c r="H238" s="52">
        <f t="shared" si="36"/>
        <v>5806.87</v>
      </c>
    </row>
    <row r="239" spans="1:8" s="24" customFormat="1" ht="12" customHeight="1" x14ac:dyDescent="0.25">
      <c r="A239" s="40"/>
      <c r="B239" s="40"/>
      <c r="C239" s="54">
        <v>4119</v>
      </c>
      <c r="D239" s="72" t="s">
        <v>127</v>
      </c>
      <c r="E239" s="53">
        <v>0</v>
      </c>
      <c r="F239" s="52">
        <v>659.09</v>
      </c>
      <c r="G239" s="52"/>
      <c r="H239" s="52">
        <f t="shared" si="36"/>
        <v>659.09</v>
      </c>
    </row>
    <row r="240" spans="1:8" s="24" customFormat="1" ht="12" customHeight="1" x14ac:dyDescent="0.25">
      <c r="A240" s="40"/>
      <c r="B240" s="40"/>
      <c r="C240" s="54">
        <v>4127</v>
      </c>
      <c r="D240" s="72" t="s">
        <v>137</v>
      </c>
      <c r="E240" s="53">
        <v>0</v>
      </c>
      <c r="F240" s="52">
        <v>814.85</v>
      </c>
      <c r="G240" s="52"/>
      <c r="H240" s="52">
        <f t="shared" si="36"/>
        <v>814.85</v>
      </c>
    </row>
    <row r="241" spans="1:8" s="24" customFormat="1" ht="12" customHeight="1" x14ac:dyDescent="0.25">
      <c r="A241" s="40"/>
      <c r="B241" s="40"/>
      <c r="C241" s="54">
        <v>4129</v>
      </c>
      <c r="D241" s="72" t="s">
        <v>137</v>
      </c>
      <c r="E241" s="53">
        <v>0</v>
      </c>
      <c r="F241" s="52">
        <v>92.48</v>
      </c>
      <c r="G241" s="52"/>
      <c r="H241" s="52">
        <f t="shared" si="36"/>
        <v>92.48</v>
      </c>
    </row>
    <row r="242" spans="1:8" s="24" customFormat="1" ht="12" customHeight="1" x14ac:dyDescent="0.25">
      <c r="A242" s="40"/>
      <c r="B242" s="40"/>
      <c r="C242" s="54">
        <v>4177</v>
      </c>
      <c r="D242" s="72" t="s">
        <v>113</v>
      </c>
      <c r="E242" s="53">
        <v>0</v>
      </c>
      <c r="F242" s="52">
        <v>2500</v>
      </c>
      <c r="G242" s="52"/>
      <c r="H242" s="52">
        <f t="shared" si="36"/>
        <v>2500</v>
      </c>
    </row>
    <row r="243" spans="1:8" s="24" customFormat="1" ht="12" customHeight="1" x14ac:dyDescent="0.25">
      <c r="A243" s="40"/>
      <c r="B243" s="40"/>
      <c r="C243" s="54">
        <v>4217</v>
      </c>
      <c r="D243" s="72" t="s">
        <v>115</v>
      </c>
      <c r="E243" s="53">
        <v>0</v>
      </c>
      <c r="F243" s="52">
        <v>12450</v>
      </c>
      <c r="G243" s="52"/>
      <c r="H243" s="52">
        <f t="shared" si="36"/>
        <v>12450</v>
      </c>
    </row>
    <row r="244" spans="1:8" s="24" customFormat="1" ht="12" customHeight="1" x14ac:dyDescent="0.25">
      <c r="A244" s="40"/>
      <c r="B244" s="40"/>
      <c r="C244" s="44">
        <v>4227</v>
      </c>
      <c r="D244" s="115" t="s">
        <v>170</v>
      </c>
      <c r="E244" s="53">
        <v>0</v>
      </c>
      <c r="F244" s="52">
        <v>12560</v>
      </c>
      <c r="G244" s="52"/>
      <c r="H244" s="52">
        <f t="shared" si="36"/>
        <v>12560</v>
      </c>
    </row>
    <row r="245" spans="1:8" s="24" customFormat="1" ht="12" customHeight="1" x14ac:dyDescent="0.25">
      <c r="A245" s="40"/>
      <c r="B245" s="40"/>
      <c r="C245" s="54">
        <v>4307</v>
      </c>
      <c r="D245" s="72" t="s">
        <v>81</v>
      </c>
      <c r="E245" s="53">
        <v>0</v>
      </c>
      <c r="F245" s="52">
        <v>18300</v>
      </c>
      <c r="G245" s="52"/>
      <c r="H245" s="52">
        <f t="shared" si="36"/>
        <v>18300</v>
      </c>
    </row>
    <row r="246" spans="1:8" s="24" customFormat="1" ht="12" customHeight="1" x14ac:dyDescent="0.25">
      <c r="A246" s="40"/>
      <c r="B246" s="40"/>
      <c r="C246" s="54">
        <v>4437</v>
      </c>
      <c r="D246" s="72" t="s">
        <v>128</v>
      </c>
      <c r="E246" s="53">
        <v>0</v>
      </c>
      <c r="F246" s="52">
        <v>50</v>
      </c>
      <c r="G246" s="52"/>
      <c r="H246" s="52">
        <f t="shared" si="36"/>
        <v>50</v>
      </c>
    </row>
    <row r="247" spans="1:8" s="24" customFormat="1" ht="12" customHeight="1" x14ac:dyDescent="0.25">
      <c r="A247" s="40"/>
      <c r="B247" s="40"/>
      <c r="C247" s="44">
        <v>4717</v>
      </c>
      <c r="D247" s="115" t="s">
        <v>123</v>
      </c>
      <c r="E247" s="53">
        <v>0</v>
      </c>
      <c r="F247" s="52">
        <v>261.66000000000003</v>
      </c>
      <c r="G247" s="52"/>
      <c r="H247" s="52">
        <f t="shared" si="36"/>
        <v>261.66000000000003</v>
      </c>
    </row>
    <row r="248" spans="1:8" s="24" customFormat="1" ht="12" customHeight="1" thickBot="1" x14ac:dyDescent="0.3">
      <c r="A248" s="39">
        <v>853</v>
      </c>
      <c r="B248" s="40"/>
      <c r="C248" s="41"/>
      <c r="D248" s="42" t="s">
        <v>171</v>
      </c>
      <c r="E248" s="38">
        <v>9193236.8999999985</v>
      </c>
      <c r="F248" s="43">
        <f>SUM(F249)</f>
        <v>4008</v>
      </c>
      <c r="G248" s="43">
        <f>SUM(G249)</f>
        <v>4008</v>
      </c>
      <c r="H248" s="38">
        <f t="shared" si="36"/>
        <v>9193236.8999999985</v>
      </c>
    </row>
    <row r="249" spans="1:8" s="24" customFormat="1" ht="12" customHeight="1" thickTop="1" x14ac:dyDescent="0.25">
      <c r="A249" s="41"/>
      <c r="B249" s="48">
        <v>85395</v>
      </c>
      <c r="C249" s="34"/>
      <c r="D249" s="56" t="s">
        <v>17</v>
      </c>
      <c r="E249" s="46">
        <v>9193236.8999999985</v>
      </c>
      <c r="F249" s="46">
        <f>SUM(F250,F253)</f>
        <v>4008</v>
      </c>
      <c r="G249" s="46">
        <f>SUM(G250,G253)</f>
        <v>4008</v>
      </c>
      <c r="H249" s="46">
        <f t="shared" si="36"/>
        <v>9193236.8999999985</v>
      </c>
    </row>
    <row r="250" spans="1:8" s="24" customFormat="1" ht="12" customHeight="1" x14ac:dyDescent="0.25">
      <c r="A250" s="41"/>
      <c r="B250" s="48"/>
      <c r="C250" s="34"/>
      <c r="D250" s="477" t="s">
        <v>172</v>
      </c>
      <c r="E250" s="125">
        <v>605666</v>
      </c>
      <c r="F250" s="462">
        <f>SUM(F251:F252)</f>
        <v>3500</v>
      </c>
      <c r="G250" s="462">
        <f>SUM(G251:G252)</f>
        <v>3500</v>
      </c>
      <c r="H250" s="125">
        <f t="shared" si="36"/>
        <v>605666</v>
      </c>
    </row>
    <row r="251" spans="1:8" s="24" customFormat="1" ht="12" customHeight="1" x14ac:dyDescent="0.25">
      <c r="A251" s="41"/>
      <c r="B251" s="48"/>
      <c r="C251" s="79">
        <v>4300</v>
      </c>
      <c r="D251" s="80" t="s">
        <v>81</v>
      </c>
      <c r="E251" s="94">
        <v>64500</v>
      </c>
      <c r="F251" s="52"/>
      <c r="G251" s="52">
        <v>3500</v>
      </c>
      <c r="H251" s="52">
        <f t="shared" si="36"/>
        <v>61000</v>
      </c>
    </row>
    <row r="252" spans="1:8" s="24" customFormat="1" ht="12" customHeight="1" x14ac:dyDescent="0.25">
      <c r="A252" s="41"/>
      <c r="B252" s="48"/>
      <c r="C252" s="84">
        <v>4710</v>
      </c>
      <c r="D252" s="92" t="s">
        <v>123</v>
      </c>
      <c r="E252" s="94">
        <v>0</v>
      </c>
      <c r="F252" s="52">
        <v>3500</v>
      </c>
      <c r="G252" s="52"/>
      <c r="H252" s="52">
        <f t="shared" si="36"/>
        <v>3500</v>
      </c>
    </row>
    <row r="253" spans="1:8" s="24" customFormat="1" ht="35.25" customHeight="1" x14ac:dyDescent="0.25">
      <c r="A253" s="41"/>
      <c r="B253" s="40"/>
      <c r="C253" s="34"/>
      <c r="D253" s="477" t="s">
        <v>173</v>
      </c>
      <c r="E253" s="462">
        <v>121500</v>
      </c>
      <c r="F253" s="462">
        <f>SUM(F254:F261)</f>
        <v>508</v>
      </c>
      <c r="G253" s="462">
        <f>SUM(G254:G261)</f>
        <v>508</v>
      </c>
      <c r="H253" s="125">
        <f>SUM(E253+F253-G253)</f>
        <v>121500</v>
      </c>
    </row>
    <row r="254" spans="1:8" s="24" customFormat="1" ht="12" customHeight="1" x14ac:dyDescent="0.25">
      <c r="A254" s="41"/>
      <c r="B254" s="40"/>
      <c r="C254" s="54">
        <v>4016</v>
      </c>
      <c r="D254" s="72" t="s">
        <v>25</v>
      </c>
      <c r="E254" s="53">
        <v>6417</v>
      </c>
      <c r="F254" s="53"/>
      <c r="G254" s="52">
        <v>63</v>
      </c>
      <c r="H254" s="53">
        <f t="shared" ref="H254:H261" si="37">SUM(E254+F254-G254)</f>
        <v>6354</v>
      </c>
    </row>
    <row r="255" spans="1:8" s="24" customFormat="1" ht="12" customHeight="1" x14ac:dyDescent="0.25">
      <c r="A255" s="41"/>
      <c r="B255" s="40"/>
      <c r="C255" s="54">
        <v>4017</v>
      </c>
      <c r="D255" s="72" t="s">
        <v>25</v>
      </c>
      <c r="E255" s="53">
        <v>36363</v>
      </c>
      <c r="F255" s="53"/>
      <c r="G255" s="52">
        <v>360</v>
      </c>
      <c r="H255" s="53">
        <f t="shared" si="37"/>
        <v>36003</v>
      </c>
    </row>
    <row r="256" spans="1:8" s="24" customFormat="1" ht="12" customHeight="1" x14ac:dyDescent="0.25">
      <c r="A256" s="40"/>
      <c r="B256" s="48"/>
      <c r="C256" s="79">
        <v>4116</v>
      </c>
      <c r="D256" s="101" t="s">
        <v>141</v>
      </c>
      <c r="E256" s="53">
        <v>1150.5</v>
      </c>
      <c r="F256" s="53"/>
      <c r="G256" s="52">
        <v>10.5</v>
      </c>
      <c r="H256" s="53">
        <f t="shared" si="37"/>
        <v>1140</v>
      </c>
    </row>
    <row r="257" spans="1:8" s="24" customFormat="1" ht="12" customHeight="1" x14ac:dyDescent="0.25">
      <c r="A257" s="40"/>
      <c r="B257" s="48"/>
      <c r="C257" s="79">
        <v>4117</v>
      </c>
      <c r="D257" s="101" t="s">
        <v>141</v>
      </c>
      <c r="E257" s="53">
        <v>6519.5</v>
      </c>
      <c r="F257" s="53"/>
      <c r="G257" s="52">
        <v>63.5</v>
      </c>
      <c r="H257" s="53">
        <f t="shared" si="37"/>
        <v>6456</v>
      </c>
    </row>
    <row r="258" spans="1:8" s="24" customFormat="1" ht="12" customHeight="1" x14ac:dyDescent="0.25">
      <c r="A258" s="40"/>
      <c r="B258" s="48"/>
      <c r="C258" s="79">
        <v>4126</v>
      </c>
      <c r="D258" s="72" t="s">
        <v>137</v>
      </c>
      <c r="E258" s="53">
        <v>157.5</v>
      </c>
      <c r="F258" s="53"/>
      <c r="G258" s="52">
        <v>1.5</v>
      </c>
      <c r="H258" s="53">
        <f t="shared" si="37"/>
        <v>156</v>
      </c>
    </row>
    <row r="259" spans="1:8" s="24" customFormat="1" ht="12" customHeight="1" x14ac:dyDescent="0.25">
      <c r="A259" s="40"/>
      <c r="B259" s="48"/>
      <c r="C259" s="79">
        <v>4127</v>
      </c>
      <c r="D259" s="72" t="s">
        <v>137</v>
      </c>
      <c r="E259" s="53">
        <v>892.5</v>
      </c>
      <c r="F259" s="53"/>
      <c r="G259" s="52">
        <v>9.5</v>
      </c>
      <c r="H259" s="53">
        <f t="shared" si="37"/>
        <v>883</v>
      </c>
    </row>
    <row r="260" spans="1:8" s="24" customFormat="1" ht="12" customHeight="1" x14ac:dyDescent="0.25">
      <c r="A260" s="40"/>
      <c r="B260" s="48"/>
      <c r="C260" s="44">
        <v>4716</v>
      </c>
      <c r="D260" s="115" t="s">
        <v>123</v>
      </c>
      <c r="E260" s="53">
        <v>0</v>
      </c>
      <c r="F260" s="53">
        <v>77</v>
      </c>
      <c r="G260" s="52"/>
      <c r="H260" s="53">
        <f t="shared" si="37"/>
        <v>77</v>
      </c>
    </row>
    <row r="261" spans="1:8" s="24" customFormat="1" ht="12" customHeight="1" x14ac:dyDescent="0.25">
      <c r="A261" s="65"/>
      <c r="B261" s="59"/>
      <c r="C261" s="116">
        <v>4717</v>
      </c>
      <c r="D261" s="117" t="s">
        <v>123</v>
      </c>
      <c r="E261" s="46">
        <v>0</v>
      </c>
      <c r="F261" s="46">
        <v>431</v>
      </c>
      <c r="G261" s="47"/>
      <c r="H261" s="46">
        <f t="shared" si="37"/>
        <v>431</v>
      </c>
    </row>
    <row r="262" spans="1:8" s="24" customFormat="1" ht="12" customHeight="1" thickBot="1" x14ac:dyDescent="0.3">
      <c r="A262" s="39">
        <v>854</v>
      </c>
      <c r="B262" s="40"/>
      <c r="C262" s="41"/>
      <c r="D262" s="42" t="s">
        <v>56</v>
      </c>
      <c r="E262" s="43">
        <v>1493007.5799999998</v>
      </c>
      <c r="F262" s="43">
        <f>SUM(F263,)</f>
        <v>125000</v>
      </c>
      <c r="G262" s="43">
        <f>SUM(G263,)</f>
        <v>0</v>
      </c>
      <c r="H262" s="43">
        <f>SUM(E262+F262-G262)</f>
        <v>1618007.5799999998</v>
      </c>
    </row>
    <row r="263" spans="1:8" s="24" customFormat="1" ht="12" customHeight="1" thickTop="1" x14ac:dyDescent="0.25">
      <c r="A263" s="40"/>
      <c r="B263" s="54">
        <v>85415</v>
      </c>
      <c r="C263" s="48"/>
      <c r="D263" s="56" t="s">
        <v>57</v>
      </c>
      <c r="E263" s="46">
        <v>130000</v>
      </c>
      <c r="F263" s="47">
        <f>SUM(F264)</f>
        <v>125000</v>
      </c>
      <c r="G263" s="47">
        <f>SUM(G264)</f>
        <v>0</v>
      </c>
      <c r="H263" s="46">
        <f t="shared" ref="H263:H265" si="38">SUM(E263+F263-G263)</f>
        <v>255000</v>
      </c>
    </row>
    <row r="264" spans="1:8" s="24" customFormat="1" ht="12" customHeight="1" x14ac:dyDescent="0.25">
      <c r="A264" s="40"/>
      <c r="B264" s="48"/>
      <c r="C264" s="34"/>
      <c r="D264" s="460" t="s">
        <v>90</v>
      </c>
      <c r="E264" s="125">
        <v>130000</v>
      </c>
      <c r="F264" s="125">
        <f>SUM(F265:F265)</f>
        <v>125000</v>
      </c>
      <c r="G264" s="125">
        <f>SUM(G265:G265)</f>
        <v>0</v>
      </c>
      <c r="H264" s="125">
        <f t="shared" si="38"/>
        <v>255000</v>
      </c>
    </row>
    <row r="265" spans="1:8" s="24" customFormat="1" ht="12" customHeight="1" x14ac:dyDescent="0.25">
      <c r="A265" s="40"/>
      <c r="B265" s="48"/>
      <c r="C265" s="54">
        <v>3240</v>
      </c>
      <c r="D265" s="72" t="s">
        <v>174</v>
      </c>
      <c r="E265" s="52">
        <v>120000</v>
      </c>
      <c r="F265" s="52">
        <v>125000</v>
      </c>
      <c r="G265" s="52"/>
      <c r="H265" s="52">
        <f t="shared" si="38"/>
        <v>245000</v>
      </c>
    </row>
    <row r="266" spans="1:8" s="24" customFormat="1" ht="13.5" thickBot="1" x14ac:dyDescent="0.3">
      <c r="A266" s="40">
        <v>855</v>
      </c>
      <c r="B266" s="40"/>
      <c r="C266" s="41"/>
      <c r="D266" s="42" t="s">
        <v>67</v>
      </c>
      <c r="E266" s="1">
        <v>16337148.65</v>
      </c>
      <c r="F266" s="43">
        <f>SUM(F267,F274,)</f>
        <v>3490.34</v>
      </c>
      <c r="G266" s="43">
        <f>SUM(G267,G274,)</f>
        <v>3490.34</v>
      </c>
      <c r="H266" s="38">
        <f>SUM(E266+F266-G266)</f>
        <v>16337148.65</v>
      </c>
    </row>
    <row r="267" spans="1:8" s="24" customFormat="1" ht="13.5" thickTop="1" x14ac:dyDescent="0.25">
      <c r="A267" s="40"/>
      <c r="B267" s="54">
        <v>85504</v>
      </c>
      <c r="C267" s="34"/>
      <c r="D267" s="118" t="s">
        <v>175</v>
      </c>
      <c r="E267" s="46">
        <v>2049988.76</v>
      </c>
      <c r="F267" s="46">
        <f>SUM(F268,F270,)</f>
        <v>3299</v>
      </c>
      <c r="G267" s="46">
        <f>SUM(G268,G270,)</f>
        <v>3299</v>
      </c>
      <c r="H267" s="46">
        <f t="shared" ref="H267:H299" si="39">SUM(E267+F267-G267)</f>
        <v>2049988.76</v>
      </c>
    </row>
    <row r="268" spans="1:8" s="24" customFormat="1" ht="12.75" x14ac:dyDescent="0.25">
      <c r="A268" s="40"/>
      <c r="B268" s="54"/>
      <c r="C268" s="34"/>
      <c r="D268" s="478" t="s">
        <v>176</v>
      </c>
      <c r="E268" s="125">
        <v>1083658.06</v>
      </c>
      <c r="F268" s="462">
        <f>SUM(F269:F269)</f>
        <v>2024</v>
      </c>
      <c r="G268" s="462">
        <f>SUM(G269:G269)</f>
        <v>0</v>
      </c>
      <c r="H268" s="125">
        <f t="shared" si="39"/>
        <v>1085682.06</v>
      </c>
    </row>
    <row r="269" spans="1:8" s="24" customFormat="1" ht="12.75" x14ac:dyDescent="0.25">
      <c r="A269" s="40"/>
      <c r="B269" s="54"/>
      <c r="C269" s="84">
        <v>4360</v>
      </c>
      <c r="D269" s="92" t="s">
        <v>120</v>
      </c>
      <c r="E269" s="53">
        <v>2400</v>
      </c>
      <c r="F269" s="52">
        <v>2024</v>
      </c>
      <c r="G269" s="52"/>
      <c r="H269" s="52">
        <f t="shared" si="39"/>
        <v>4424</v>
      </c>
    </row>
    <row r="270" spans="1:8" s="24" customFormat="1" ht="12.75" x14ac:dyDescent="0.25">
      <c r="A270" s="40"/>
      <c r="B270" s="39"/>
      <c r="C270" s="34"/>
      <c r="D270" s="478" t="s">
        <v>177</v>
      </c>
      <c r="E270" s="125">
        <v>965880.7</v>
      </c>
      <c r="F270" s="462">
        <f>SUM(F271:F273)</f>
        <v>1275</v>
      </c>
      <c r="G270" s="462">
        <f>SUM(G271:G273)</f>
        <v>3299</v>
      </c>
      <c r="H270" s="125">
        <f t="shared" si="39"/>
        <v>963856.7</v>
      </c>
    </row>
    <row r="271" spans="1:8" s="24" customFormat="1" ht="12.75" x14ac:dyDescent="0.25">
      <c r="A271" s="40"/>
      <c r="B271" s="39"/>
      <c r="C271" s="84">
        <v>4040</v>
      </c>
      <c r="D271" s="92" t="s">
        <v>112</v>
      </c>
      <c r="E271" s="53">
        <v>63715</v>
      </c>
      <c r="F271" s="52"/>
      <c r="G271" s="52">
        <v>2024</v>
      </c>
      <c r="H271" s="52">
        <f t="shared" si="39"/>
        <v>61691</v>
      </c>
    </row>
    <row r="272" spans="1:8" s="24" customFormat="1" ht="12.75" x14ac:dyDescent="0.25">
      <c r="A272" s="40"/>
      <c r="B272" s="39"/>
      <c r="C272" s="98" t="s">
        <v>114</v>
      </c>
      <c r="D272" s="92" t="s">
        <v>115</v>
      </c>
      <c r="E272" s="53">
        <v>7490.7</v>
      </c>
      <c r="F272" s="52">
        <v>1275</v>
      </c>
      <c r="G272" s="52"/>
      <c r="H272" s="52">
        <f t="shared" si="39"/>
        <v>8765.7000000000007</v>
      </c>
    </row>
    <row r="273" spans="1:8" s="24" customFormat="1" ht="12.75" x14ac:dyDescent="0.25">
      <c r="A273" s="40"/>
      <c r="B273" s="39"/>
      <c r="C273" s="54">
        <v>4440</v>
      </c>
      <c r="D273" s="72" t="s">
        <v>151</v>
      </c>
      <c r="E273" s="53">
        <v>27234</v>
      </c>
      <c r="F273" s="52"/>
      <c r="G273" s="52">
        <v>1275</v>
      </c>
      <c r="H273" s="52">
        <f t="shared" si="39"/>
        <v>25959</v>
      </c>
    </row>
    <row r="274" spans="1:8" s="24" customFormat="1" ht="12.75" x14ac:dyDescent="0.25">
      <c r="A274" s="40"/>
      <c r="B274" s="44">
        <v>85595</v>
      </c>
      <c r="C274" s="34"/>
      <c r="D274" s="56" t="s">
        <v>17</v>
      </c>
      <c r="E274" s="46">
        <v>495321.8899999999</v>
      </c>
      <c r="F274" s="47">
        <f>SUM(F275,)</f>
        <v>191.33999999999997</v>
      </c>
      <c r="G274" s="47">
        <f>SUM(G275,)</f>
        <v>191.33999999999997</v>
      </c>
      <c r="H274" s="46">
        <f>SUM(E274+F274-G274)</f>
        <v>495321.8899999999</v>
      </c>
    </row>
    <row r="275" spans="1:8" s="24" customFormat="1" ht="25.5" x14ac:dyDescent="0.25">
      <c r="A275" s="40"/>
      <c r="B275" s="44"/>
      <c r="C275" s="54"/>
      <c r="D275" s="476" t="s">
        <v>178</v>
      </c>
      <c r="E275" s="125">
        <v>429096.8899999999</v>
      </c>
      <c r="F275" s="462">
        <f>SUM(F276:F279)</f>
        <v>191.33999999999997</v>
      </c>
      <c r="G275" s="462">
        <f>SUM(G276:G279)</f>
        <v>191.33999999999997</v>
      </c>
      <c r="H275" s="125">
        <f t="shared" ref="H275:H279" si="40">SUM(E275+F275-G275)</f>
        <v>429096.8899999999</v>
      </c>
    </row>
    <row r="276" spans="1:8" s="24" customFormat="1" ht="12.75" x14ac:dyDescent="0.25">
      <c r="A276" s="40"/>
      <c r="B276" s="44"/>
      <c r="C276" s="54">
        <v>4017</v>
      </c>
      <c r="D276" s="72" t="s">
        <v>25</v>
      </c>
      <c r="E276" s="53">
        <v>96732.99</v>
      </c>
      <c r="F276" s="52"/>
      <c r="G276" s="52">
        <v>171.2</v>
      </c>
      <c r="H276" s="52">
        <f t="shared" si="40"/>
        <v>96561.790000000008</v>
      </c>
    </row>
    <row r="277" spans="1:8" s="24" customFormat="1" ht="12.75" x14ac:dyDescent="0.25">
      <c r="A277" s="40"/>
      <c r="B277" s="44"/>
      <c r="C277" s="54">
        <v>4019</v>
      </c>
      <c r="D277" s="72" t="s">
        <v>25</v>
      </c>
      <c r="E277" s="53">
        <v>11380.390000000001</v>
      </c>
      <c r="F277" s="52"/>
      <c r="G277" s="52">
        <v>20.14</v>
      </c>
      <c r="H277" s="52">
        <f t="shared" si="40"/>
        <v>11360.250000000002</v>
      </c>
    </row>
    <row r="278" spans="1:8" s="24" customFormat="1" ht="12.75" x14ac:dyDescent="0.25">
      <c r="A278" s="40"/>
      <c r="B278" s="44"/>
      <c r="C278" s="54">
        <v>4447</v>
      </c>
      <c r="D278" s="72" t="s">
        <v>151</v>
      </c>
      <c r="E278" s="53">
        <v>2462.2199999999998</v>
      </c>
      <c r="F278" s="52">
        <v>171.2</v>
      </c>
      <c r="G278" s="52"/>
      <c r="H278" s="52">
        <f t="shared" si="40"/>
        <v>2633.4199999999996</v>
      </c>
    </row>
    <row r="279" spans="1:8" s="24" customFormat="1" ht="12.75" x14ac:dyDescent="0.25">
      <c r="A279" s="40"/>
      <c r="B279" s="44"/>
      <c r="C279" s="54">
        <v>4449</v>
      </c>
      <c r="D279" s="72" t="s">
        <v>151</v>
      </c>
      <c r="E279" s="53">
        <v>289.67</v>
      </c>
      <c r="F279" s="52">
        <v>20.14</v>
      </c>
      <c r="G279" s="52"/>
      <c r="H279" s="52">
        <f t="shared" si="40"/>
        <v>309.81</v>
      </c>
    </row>
    <row r="280" spans="1:8" s="24" customFormat="1" ht="12" customHeight="1" thickBot="1" x14ac:dyDescent="0.3">
      <c r="A280" s="39">
        <v>900</v>
      </c>
      <c r="B280" s="40"/>
      <c r="C280" s="41"/>
      <c r="D280" s="42" t="s">
        <v>179</v>
      </c>
      <c r="E280" s="38">
        <v>96949256.150000006</v>
      </c>
      <c r="F280" s="43">
        <f>SUM(F281,F284,F287,)</f>
        <v>82292</v>
      </c>
      <c r="G280" s="43">
        <f>SUM(G281,G284,G287,)</f>
        <v>282292</v>
      </c>
      <c r="H280" s="38">
        <f t="shared" si="39"/>
        <v>96749256.150000006</v>
      </c>
    </row>
    <row r="281" spans="1:8" s="24" customFormat="1" ht="12" customHeight="1" thickTop="1" x14ac:dyDescent="0.25">
      <c r="A281" s="39"/>
      <c r="B281" s="54">
        <v>90002</v>
      </c>
      <c r="C281" s="114"/>
      <c r="D281" s="119" t="s">
        <v>180</v>
      </c>
      <c r="E281" s="46">
        <v>44411869</v>
      </c>
      <c r="F281" s="47">
        <f>SUM(F282)</f>
        <v>0</v>
      </c>
      <c r="G281" s="47">
        <f>SUM(G282)</f>
        <v>81542</v>
      </c>
      <c r="H281" s="46">
        <f t="shared" ref="H281:H282" si="41">SUM(E281+F281-G281)</f>
        <v>44330327</v>
      </c>
    </row>
    <row r="282" spans="1:8" s="24" customFormat="1" ht="12" customHeight="1" x14ac:dyDescent="0.25">
      <c r="A282" s="39"/>
      <c r="B282" s="33"/>
      <c r="C282" s="54"/>
      <c r="D282" s="479" t="s">
        <v>181</v>
      </c>
      <c r="E282" s="480">
        <v>43204767</v>
      </c>
      <c r="F282" s="462">
        <f>SUM(F283:F283)</f>
        <v>0</v>
      </c>
      <c r="G282" s="462">
        <f>SUM(G283:G283)</f>
        <v>81542</v>
      </c>
      <c r="H282" s="125">
        <f t="shared" si="41"/>
        <v>43123225</v>
      </c>
    </row>
    <row r="283" spans="1:8" s="24" customFormat="1" ht="22.5" customHeight="1" x14ac:dyDescent="0.25">
      <c r="A283" s="39"/>
      <c r="B283" s="33"/>
      <c r="C283" s="44">
        <v>4600</v>
      </c>
      <c r="D283" s="85" t="s">
        <v>182</v>
      </c>
      <c r="E283" s="94">
        <v>880467</v>
      </c>
      <c r="F283" s="52"/>
      <c r="G283" s="52">
        <v>81542</v>
      </c>
      <c r="H283" s="52">
        <f t="shared" ref="H283" si="42">SUM(E283+F283-G283)</f>
        <v>798925</v>
      </c>
    </row>
    <row r="284" spans="1:8" s="24" customFormat="1" ht="12" customHeight="1" x14ac:dyDescent="0.25">
      <c r="A284" s="39"/>
      <c r="B284" s="48">
        <v>90004</v>
      </c>
      <c r="C284" s="41"/>
      <c r="D284" s="56" t="s">
        <v>183</v>
      </c>
      <c r="E284" s="46">
        <v>3288388.1</v>
      </c>
      <c r="F284" s="47">
        <f>SUM(F285)</f>
        <v>0</v>
      </c>
      <c r="G284" s="47">
        <f>SUM(G285)</f>
        <v>200000</v>
      </c>
      <c r="H284" s="46">
        <f t="shared" si="39"/>
        <v>3088388.1</v>
      </c>
    </row>
    <row r="285" spans="1:8" s="24" customFormat="1" ht="12" customHeight="1" x14ac:dyDescent="0.25">
      <c r="A285" s="39"/>
      <c r="B285" s="40"/>
      <c r="C285" s="54"/>
      <c r="D285" s="464" t="s">
        <v>80</v>
      </c>
      <c r="E285" s="125">
        <v>2786724</v>
      </c>
      <c r="F285" s="462">
        <f>SUM(F286:F286)</f>
        <v>0</v>
      </c>
      <c r="G285" s="462">
        <f>SUM(G286:G286)</f>
        <v>200000</v>
      </c>
      <c r="H285" s="125">
        <f>SUM(E285+F285-G285)</f>
        <v>2586724</v>
      </c>
    </row>
    <row r="286" spans="1:8" s="24" customFormat="1" ht="12" customHeight="1" x14ac:dyDescent="0.25">
      <c r="A286" s="39"/>
      <c r="B286" s="40"/>
      <c r="C286" s="48">
        <v>4300</v>
      </c>
      <c r="D286" s="72" t="s">
        <v>81</v>
      </c>
      <c r="E286" s="120">
        <v>2297920</v>
      </c>
      <c r="F286" s="53"/>
      <c r="G286" s="53">
        <v>200000</v>
      </c>
      <c r="H286" s="52">
        <f t="shared" ref="H286:H287" si="43">SUM(E286+F286-G286)</f>
        <v>2097920</v>
      </c>
    </row>
    <row r="287" spans="1:8" s="24" customFormat="1" ht="12" customHeight="1" x14ac:dyDescent="0.25">
      <c r="A287" s="39"/>
      <c r="B287" s="54">
        <v>90013</v>
      </c>
      <c r="C287" s="41"/>
      <c r="D287" s="56" t="s">
        <v>184</v>
      </c>
      <c r="E287" s="46">
        <v>2579350</v>
      </c>
      <c r="F287" s="47">
        <f>SUM(F288)</f>
        <v>82292</v>
      </c>
      <c r="G287" s="47">
        <f>SUM(G288)</f>
        <v>750</v>
      </c>
      <c r="H287" s="46">
        <f t="shared" si="43"/>
        <v>2660892</v>
      </c>
    </row>
    <row r="288" spans="1:8" s="24" customFormat="1" ht="12" customHeight="1" x14ac:dyDescent="0.25">
      <c r="A288" s="39"/>
      <c r="B288" s="54"/>
      <c r="C288" s="54"/>
      <c r="D288" s="481" t="s">
        <v>185</v>
      </c>
      <c r="E288" s="125">
        <v>2579350</v>
      </c>
      <c r="F288" s="482">
        <f>SUM(F289:F294)</f>
        <v>82292</v>
      </c>
      <c r="G288" s="482">
        <f>SUM(G289:G294)</f>
        <v>750</v>
      </c>
      <c r="H288" s="125">
        <f>SUM(E288+F288-G288)</f>
        <v>2660892</v>
      </c>
    </row>
    <row r="289" spans="1:8" s="24" customFormat="1" ht="12" customHeight="1" x14ac:dyDescent="0.25">
      <c r="A289" s="39"/>
      <c r="B289" s="54"/>
      <c r="C289" s="54">
        <v>4010</v>
      </c>
      <c r="D289" s="48" t="s">
        <v>25</v>
      </c>
      <c r="E289" s="53">
        <v>1300232</v>
      </c>
      <c r="F289" s="52">
        <v>62250</v>
      </c>
      <c r="G289" s="52"/>
      <c r="H289" s="52">
        <f t="shared" ref="H289:H294" si="44">SUM(E289+F289-G289)</f>
        <v>1362482</v>
      </c>
    </row>
    <row r="290" spans="1:8" s="24" customFormat="1" ht="12" customHeight="1" x14ac:dyDescent="0.25">
      <c r="A290" s="39"/>
      <c r="B290" s="54"/>
      <c r="C290" s="54">
        <v>4110</v>
      </c>
      <c r="D290" s="48" t="s">
        <v>141</v>
      </c>
      <c r="E290" s="53">
        <v>254027</v>
      </c>
      <c r="F290" s="52">
        <v>10760</v>
      </c>
      <c r="G290" s="52"/>
      <c r="H290" s="52">
        <f t="shared" si="44"/>
        <v>264787</v>
      </c>
    </row>
    <row r="291" spans="1:8" s="24" customFormat="1" ht="12" customHeight="1" x14ac:dyDescent="0.25">
      <c r="A291" s="39"/>
      <c r="B291" s="54"/>
      <c r="C291" s="54">
        <v>4120</v>
      </c>
      <c r="D291" s="72" t="s">
        <v>137</v>
      </c>
      <c r="E291" s="53">
        <v>35059</v>
      </c>
      <c r="F291" s="52">
        <v>1532</v>
      </c>
      <c r="G291" s="52"/>
      <c r="H291" s="52">
        <f t="shared" si="44"/>
        <v>36591</v>
      </c>
    </row>
    <row r="292" spans="1:8" s="24" customFormat="1" ht="12" customHeight="1" x14ac:dyDescent="0.25">
      <c r="A292" s="39"/>
      <c r="B292" s="54"/>
      <c r="C292" s="84">
        <v>4260</v>
      </c>
      <c r="D292" s="92" t="s">
        <v>117</v>
      </c>
      <c r="E292" s="53">
        <v>141634</v>
      </c>
      <c r="F292" s="52"/>
      <c r="G292" s="52">
        <v>750</v>
      </c>
      <c r="H292" s="52">
        <f t="shared" si="44"/>
        <v>140884</v>
      </c>
    </row>
    <row r="293" spans="1:8" s="24" customFormat="1" ht="12" customHeight="1" x14ac:dyDescent="0.25">
      <c r="A293" s="39"/>
      <c r="B293" s="54"/>
      <c r="C293" s="48">
        <v>4300</v>
      </c>
      <c r="D293" s="72" t="s">
        <v>81</v>
      </c>
      <c r="E293" s="53">
        <v>151563</v>
      </c>
      <c r="F293" s="52">
        <v>7000</v>
      </c>
      <c r="G293" s="52"/>
      <c r="H293" s="52">
        <f t="shared" si="44"/>
        <v>158563</v>
      </c>
    </row>
    <row r="294" spans="1:8" s="24" customFormat="1" ht="12" customHeight="1" x14ac:dyDescent="0.25">
      <c r="A294" s="39"/>
      <c r="B294" s="54"/>
      <c r="C294" s="84">
        <v>4510</v>
      </c>
      <c r="D294" s="92" t="s">
        <v>186</v>
      </c>
      <c r="E294" s="53">
        <v>250</v>
      </c>
      <c r="F294" s="52">
        <v>750</v>
      </c>
      <c r="G294" s="52"/>
      <c r="H294" s="52">
        <f t="shared" si="44"/>
        <v>1000</v>
      </c>
    </row>
    <row r="295" spans="1:8" s="24" customFormat="1" ht="12" customHeight="1" thickBot="1" x14ac:dyDescent="0.3">
      <c r="A295" s="39">
        <v>926</v>
      </c>
      <c r="B295" s="40"/>
      <c r="C295" s="41"/>
      <c r="D295" s="42" t="s">
        <v>187</v>
      </c>
      <c r="E295" s="38">
        <v>38712453.5</v>
      </c>
      <c r="F295" s="38">
        <f>SUM(F296)</f>
        <v>10000</v>
      </c>
      <c r="G295" s="38">
        <f>SUM(G296)</f>
        <v>10000</v>
      </c>
      <c r="H295" s="38">
        <f t="shared" si="39"/>
        <v>38712453.5</v>
      </c>
    </row>
    <row r="296" spans="1:8" s="24" customFormat="1" ht="12" customHeight="1" thickTop="1" x14ac:dyDescent="0.25">
      <c r="A296" s="39"/>
      <c r="B296" s="54">
        <v>92604</v>
      </c>
      <c r="C296" s="55"/>
      <c r="D296" s="56" t="s">
        <v>188</v>
      </c>
      <c r="E296" s="46">
        <v>20732888.200000003</v>
      </c>
      <c r="F296" s="46">
        <f>SUM(F297)</f>
        <v>10000</v>
      </c>
      <c r="G296" s="46">
        <f>SUM(G297)</f>
        <v>10000</v>
      </c>
      <c r="H296" s="46">
        <f t="shared" si="39"/>
        <v>20732888.200000003</v>
      </c>
    </row>
    <row r="297" spans="1:8" s="24" customFormat="1" ht="12" customHeight="1" x14ac:dyDescent="0.25">
      <c r="A297" s="39"/>
      <c r="B297" s="39"/>
      <c r="C297" s="41"/>
      <c r="D297" s="483" t="s">
        <v>189</v>
      </c>
      <c r="E297" s="125">
        <v>20732888.200000003</v>
      </c>
      <c r="F297" s="125">
        <f>SUM(F298:F299)</f>
        <v>10000</v>
      </c>
      <c r="G297" s="125">
        <f>SUM(G298:G299)</f>
        <v>10000</v>
      </c>
      <c r="H297" s="125">
        <f t="shared" si="39"/>
        <v>20732888.200000003</v>
      </c>
    </row>
    <row r="298" spans="1:8" s="24" customFormat="1" ht="12" customHeight="1" x14ac:dyDescent="0.25">
      <c r="A298" s="39"/>
      <c r="B298" s="48"/>
      <c r="C298" s="84">
        <v>4040</v>
      </c>
      <c r="D298" s="92" t="s">
        <v>112</v>
      </c>
      <c r="E298" s="102">
        <v>622743</v>
      </c>
      <c r="F298" s="53"/>
      <c r="G298" s="53">
        <v>10000</v>
      </c>
      <c r="H298" s="53">
        <f t="shared" si="39"/>
        <v>612743</v>
      </c>
    </row>
    <row r="299" spans="1:8" s="24" customFormat="1" ht="11.25" customHeight="1" x14ac:dyDescent="0.25">
      <c r="A299" s="39"/>
      <c r="B299" s="78"/>
      <c r="C299" s="84">
        <v>4280</v>
      </c>
      <c r="D299" s="92" t="s">
        <v>119</v>
      </c>
      <c r="E299" s="102">
        <v>8297</v>
      </c>
      <c r="F299" s="53">
        <v>10000</v>
      </c>
      <c r="G299" s="53"/>
      <c r="H299" s="53">
        <f t="shared" si="39"/>
        <v>18297</v>
      </c>
    </row>
    <row r="300" spans="1:8" s="24" customFormat="1" ht="19.5" customHeight="1" thickBot="1" x14ac:dyDescent="0.3">
      <c r="A300" s="39"/>
      <c r="B300" s="48"/>
      <c r="C300" s="54"/>
      <c r="D300" s="37" t="s">
        <v>18</v>
      </c>
      <c r="E300" s="38">
        <v>383727534.43000007</v>
      </c>
      <c r="F300" s="38">
        <f>SUM(F301,F307,F377)</f>
        <v>1073850</v>
      </c>
      <c r="G300" s="38">
        <f>SUM(G301,G307,G377)</f>
        <v>394618</v>
      </c>
      <c r="H300" s="38">
        <f>SUM(E300+F300-G300)</f>
        <v>384406766.43000007</v>
      </c>
    </row>
    <row r="301" spans="1:8" s="24" customFormat="1" ht="18" customHeight="1" thickTop="1" thickBot="1" x14ac:dyDescent="0.3">
      <c r="A301" s="89">
        <v>710</v>
      </c>
      <c r="B301" s="73"/>
      <c r="C301" s="121"/>
      <c r="D301" s="88" t="s">
        <v>190</v>
      </c>
      <c r="E301" s="38">
        <v>131189.20000000001</v>
      </c>
      <c r="F301" s="43">
        <f>SUM(F302)</f>
        <v>4000</v>
      </c>
      <c r="G301" s="43">
        <f>SUM(G302)</f>
        <v>4000</v>
      </c>
      <c r="H301" s="38">
        <f>SUM(E301+F301-G301)</f>
        <v>131189.20000000001</v>
      </c>
    </row>
    <row r="302" spans="1:8" s="24" customFormat="1" ht="12" customHeight="1" thickTop="1" x14ac:dyDescent="0.25">
      <c r="A302" s="87"/>
      <c r="B302" s="73">
        <v>71095</v>
      </c>
      <c r="C302" s="73"/>
      <c r="D302" s="74" t="s">
        <v>17</v>
      </c>
      <c r="E302" s="76">
        <v>131189.20000000001</v>
      </c>
      <c r="F302" s="76">
        <f>SUM(F303,)</f>
        <v>4000</v>
      </c>
      <c r="G302" s="76">
        <f>SUM(G303,)</f>
        <v>4000</v>
      </c>
      <c r="H302" s="76">
        <f>SUM(E302+F302-G302)</f>
        <v>131189.20000000001</v>
      </c>
    </row>
    <row r="303" spans="1:8" s="24" customFormat="1" ht="12" customHeight="1" x14ac:dyDescent="0.25">
      <c r="A303" s="87"/>
      <c r="B303" s="73"/>
      <c r="C303" s="73"/>
      <c r="D303" s="484" t="s">
        <v>191</v>
      </c>
      <c r="E303" s="485">
        <v>131189.20000000001</v>
      </c>
      <c r="F303" s="485">
        <f>SUM(F304:F306)</f>
        <v>4000</v>
      </c>
      <c r="G303" s="485">
        <f>SUM(G304:G306)</f>
        <v>4000</v>
      </c>
      <c r="H303" s="485">
        <f>SUM(E303+F303-G303)</f>
        <v>131189.20000000001</v>
      </c>
    </row>
    <row r="304" spans="1:8" s="24" customFormat="1" ht="12" customHeight="1" x14ac:dyDescent="0.25">
      <c r="A304" s="87"/>
      <c r="B304" s="73"/>
      <c r="C304" s="73">
        <v>4210</v>
      </c>
      <c r="D304" s="122" t="s">
        <v>192</v>
      </c>
      <c r="E304" s="123">
        <v>6000</v>
      </c>
      <c r="F304" s="123"/>
      <c r="G304" s="123">
        <v>2000</v>
      </c>
      <c r="H304" s="124">
        <f>SUM(E304+F304-G304)</f>
        <v>4000</v>
      </c>
    </row>
    <row r="305" spans="1:8" s="24" customFormat="1" ht="12" customHeight="1" x14ac:dyDescent="0.25">
      <c r="A305" s="87"/>
      <c r="B305" s="73"/>
      <c r="C305" s="73">
        <v>4270</v>
      </c>
      <c r="D305" s="122" t="s">
        <v>118</v>
      </c>
      <c r="E305" s="123">
        <v>3000</v>
      </c>
      <c r="F305" s="123"/>
      <c r="G305" s="123">
        <v>2000</v>
      </c>
      <c r="H305" s="124">
        <f t="shared" ref="H305:H306" si="45">SUM(E305+F305-G305)</f>
        <v>1000</v>
      </c>
    </row>
    <row r="306" spans="1:8" s="24" customFormat="1" ht="12" customHeight="1" x14ac:dyDescent="0.25">
      <c r="A306" s="87"/>
      <c r="B306" s="73"/>
      <c r="C306" s="73">
        <v>4700</v>
      </c>
      <c r="D306" s="77" t="s">
        <v>86</v>
      </c>
      <c r="E306" s="123">
        <v>3100</v>
      </c>
      <c r="F306" s="123">
        <v>4000</v>
      </c>
      <c r="G306" s="123"/>
      <c r="H306" s="124">
        <f t="shared" si="45"/>
        <v>7100</v>
      </c>
    </row>
    <row r="307" spans="1:8" s="24" customFormat="1" ht="12" customHeight="1" thickBot="1" x14ac:dyDescent="0.3">
      <c r="A307" s="40">
        <v>801</v>
      </c>
      <c r="B307" s="40"/>
      <c r="C307" s="41"/>
      <c r="D307" s="42" t="s">
        <v>19</v>
      </c>
      <c r="E307" s="1">
        <v>211096151.80999994</v>
      </c>
      <c r="F307" s="43">
        <f>SUM(F308,F312,F316,F325,F328,F332,F339,F342,F347,F360,F368)</f>
        <v>869850</v>
      </c>
      <c r="G307" s="43">
        <f>SUM(G308,G312,G316,G325,G328,G332,G339,G342,G347,G360,G368)</f>
        <v>390618</v>
      </c>
      <c r="H307" s="38">
        <f>SUM(E307+F307-G307)</f>
        <v>211575383.80999994</v>
      </c>
    </row>
    <row r="308" spans="1:8" s="24" customFormat="1" ht="12" customHeight="1" thickTop="1" x14ac:dyDescent="0.25">
      <c r="A308" s="40"/>
      <c r="B308" s="48">
        <v>80102</v>
      </c>
      <c r="C308" s="34"/>
      <c r="D308" s="56" t="s">
        <v>193</v>
      </c>
      <c r="E308" s="46">
        <v>17540732.059999999</v>
      </c>
      <c r="F308" s="47">
        <f>SUM(F309,)</f>
        <v>7000</v>
      </c>
      <c r="G308" s="47">
        <f>SUM(G309,)</f>
        <v>7000</v>
      </c>
      <c r="H308" s="46">
        <f>SUM(E308+F308-G308)</f>
        <v>17540732.059999999</v>
      </c>
    </row>
    <row r="309" spans="1:8" s="24" customFormat="1" ht="12" customHeight="1" x14ac:dyDescent="0.25">
      <c r="A309" s="40"/>
      <c r="B309" s="48"/>
      <c r="C309" s="34"/>
      <c r="D309" s="460" t="s">
        <v>110</v>
      </c>
      <c r="E309" s="125">
        <v>17540732.059999999</v>
      </c>
      <c r="F309" s="125">
        <f>SUM(F310:F311)</f>
        <v>7000</v>
      </c>
      <c r="G309" s="125">
        <f>SUM(G310:G311)</f>
        <v>7000</v>
      </c>
      <c r="H309" s="125">
        <f>SUM(E309+F309-G309)</f>
        <v>17540732.059999999</v>
      </c>
    </row>
    <row r="310" spans="1:8" s="24" customFormat="1" ht="12" customHeight="1" x14ac:dyDescent="0.25">
      <c r="A310" s="40"/>
      <c r="B310" s="48"/>
      <c r="C310" s="84">
        <v>4040</v>
      </c>
      <c r="D310" s="92" t="s">
        <v>112</v>
      </c>
      <c r="E310" s="53">
        <v>237460</v>
      </c>
      <c r="F310" s="53"/>
      <c r="G310" s="53">
        <v>7000</v>
      </c>
      <c r="H310" s="53">
        <f t="shared" ref="H310:H312" si="46">SUM(E310+F310-G310)</f>
        <v>230460</v>
      </c>
    </row>
    <row r="311" spans="1:8" s="24" customFormat="1" ht="12" customHeight="1" x14ac:dyDescent="0.25">
      <c r="A311" s="40"/>
      <c r="B311" s="48"/>
      <c r="C311" s="84">
        <v>4170</v>
      </c>
      <c r="D311" s="92" t="s">
        <v>113</v>
      </c>
      <c r="E311" s="53">
        <v>2000</v>
      </c>
      <c r="F311" s="53">
        <v>7000</v>
      </c>
      <c r="G311" s="53"/>
      <c r="H311" s="53">
        <f t="shared" si="46"/>
        <v>9000</v>
      </c>
    </row>
    <row r="312" spans="1:8" s="24" customFormat="1" ht="12" customHeight="1" x14ac:dyDescent="0.25">
      <c r="A312" s="40"/>
      <c r="B312" s="48">
        <v>80113</v>
      </c>
      <c r="C312" s="34"/>
      <c r="D312" s="2" t="s">
        <v>131</v>
      </c>
      <c r="E312" s="46">
        <v>815230</v>
      </c>
      <c r="F312" s="47">
        <f>SUM(F313,)</f>
        <v>4690</v>
      </c>
      <c r="G312" s="47">
        <f>SUM(G313,)</f>
        <v>4690</v>
      </c>
      <c r="H312" s="46">
        <f t="shared" si="46"/>
        <v>815230</v>
      </c>
    </row>
    <row r="313" spans="1:8" s="24" customFormat="1" ht="12" customHeight="1" x14ac:dyDescent="0.25">
      <c r="A313" s="40"/>
      <c r="B313" s="40"/>
      <c r="C313" s="34"/>
      <c r="D313" s="460" t="s">
        <v>110</v>
      </c>
      <c r="E313" s="125">
        <v>815230</v>
      </c>
      <c r="F313" s="125">
        <f>SUM(F314:F315)</f>
        <v>4690</v>
      </c>
      <c r="G313" s="125">
        <f>SUM(G314:G315)</f>
        <v>4690</v>
      </c>
      <c r="H313" s="125">
        <f>SUM(E313+F313-G313)</f>
        <v>815230</v>
      </c>
    </row>
    <row r="314" spans="1:8" s="24" customFormat="1" ht="12" customHeight="1" x14ac:dyDescent="0.25">
      <c r="A314" s="40"/>
      <c r="B314" s="40"/>
      <c r="C314" s="84">
        <v>4040</v>
      </c>
      <c r="D314" s="92" t="s">
        <v>112</v>
      </c>
      <c r="E314" s="53">
        <v>42500</v>
      </c>
      <c r="F314" s="53"/>
      <c r="G314" s="53">
        <v>4690</v>
      </c>
      <c r="H314" s="53">
        <f t="shared" ref="H314:H315" si="47">SUM(E314+F314-G314)</f>
        <v>37810</v>
      </c>
    </row>
    <row r="315" spans="1:8" s="24" customFormat="1" ht="12" customHeight="1" x14ac:dyDescent="0.25">
      <c r="A315" s="40"/>
      <c r="B315" s="40"/>
      <c r="C315" s="84">
        <v>4270</v>
      </c>
      <c r="D315" s="92" t="s">
        <v>118</v>
      </c>
      <c r="E315" s="53">
        <v>25000</v>
      </c>
      <c r="F315" s="53">
        <v>4690</v>
      </c>
      <c r="G315" s="53"/>
      <c r="H315" s="53">
        <f t="shared" si="47"/>
        <v>29690</v>
      </c>
    </row>
    <row r="316" spans="1:8" s="24" customFormat="1" ht="12.75" x14ac:dyDescent="0.25">
      <c r="A316" s="48"/>
      <c r="B316" s="48">
        <v>80115</v>
      </c>
      <c r="C316" s="34"/>
      <c r="D316" s="56" t="s">
        <v>194</v>
      </c>
      <c r="E316" s="46">
        <v>65179778.719999999</v>
      </c>
      <c r="F316" s="47">
        <f>SUM(F317,)</f>
        <v>109500</v>
      </c>
      <c r="G316" s="47">
        <f>SUM(G317,)</f>
        <v>169070</v>
      </c>
      <c r="H316" s="46">
        <f>SUM(E316+F316-G316)</f>
        <v>65120208.719999999</v>
      </c>
    </row>
    <row r="317" spans="1:8" s="24" customFormat="1" ht="12.75" x14ac:dyDescent="0.25">
      <c r="A317" s="48"/>
      <c r="B317" s="48"/>
      <c r="C317" s="34"/>
      <c r="D317" s="460" t="s">
        <v>110</v>
      </c>
      <c r="E317" s="125">
        <v>60923449.280000001</v>
      </c>
      <c r="F317" s="125">
        <f>SUM(F318:F324)</f>
        <v>109500</v>
      </c>
      <c r="G317" s="125">
        <f>SUM(G318:G324)</f>
        <v>169070</v>
      </c>
      <c r="H317" s="125">
        <f>SUM(E317+F317-G317)</f>
        <v>60863879.280000001</v>
      </c>
    </row>
    <row r="318" spans="1:8" s="24" customFormat="1" ht="12.75" x14ac:dyDescent="0.25">
      <c r="A318" s="59"/>
      <c r="B318" s="59"/>
      <c r="C318" s="112">
        <v>4040</v>
      </c>
      <c r="D318" s="97" t="s">
        <v>112</v>
      </c>
      <c r="E318" s="46">
        <v>699284</v>
      </c>
      <c r="F318" s="46"/>
      <c r="G318" s="46">
        <v>17000</v>
      </c>
      <c r="H318" s="46">
        <f t="shared" ref="H318:H324" si="48">SUM(E318+F318-G318)</f>
        <v>682284</v>
      </c>
    </row>
    <row r="319" spans="1:8" s="24" customFormat="1" ht="12.75" x14ac:dyDescent="0.25">
      <c r="A319" s="48"/>
      <c r="B319" s="48"/>
      <c r="C319" s="98" t="s">
        <v>114</v>
      </c>
      <c r="D319" s="92" t="s">
        <v>115</v>
      </c>
      <c r="E319" s="53">
        <v>214333.3</v>
      </c>
      <c r="F319" s="53">
        <v>86000</v>
      </c>
      <c r="G319" s="53"/>
      <c r="H319" s="53">
        <f t="shared" si="48"/>
        <v>300333.3</v>
      </c>
    </row>
    <row r="320" spans="1:8" s="24" customFormat="1" ht="12.75" x14ac:dyDescent="0.25">
      <c r="A320" s="48"/>
      <c r="B320" s="48"/>
      <c r="C320" s="84">
        <v>4300</v>
      </c>
      <c r="D320" s="92" t="s">
        <v>81</v>
      </c>
      <c r="E320" s="53">
        <v>668950.80000000005</v>
      </c>
      <c r="F320" s="53">
        <v>22500</v>
      </c>
      <c r="G320" s="53"/>
      <c r="H320" s="53">
        <f t="shared" si="48"/>
        <v>691450.8</v>
      </c>
    </row>
    <row r="321" spans="1:8" s="24" customFormat="1" ht="12.75" x14ac:dyDescent="0.25">
      <c r="A321" s="48"/>
      <c r="B321" s="48"/>
      <c r="C321" s="84">
        <v>4360</v>
      </c>
      <c r="D321" s="92" t="s">
        <v>120</v>
      </c>
      <c r="E321" s="53">
        <v>28056</v>
      </c>
      <c r="F321" s="53"/>
      <c r="G321" s="53">
        <v>500</v>
      </c>
      <c r="H321" s="53">
        <f t="shared" si="48"/>
        <v>27556</v>
      </c>
    </row>
    <row r="322" spans="1:8" s="24" customFormat="1" ht="12.75" x14ac:dyDescent="0.25">
      <c r="A322" s="48"/>
      <c r="B322" s="48"/>
      <c r="C322" s="84">
        <v>4410</v>
      </c>
      <c r="D322" s="92" t="s">
        <v>121</v>
      </c>
      <c r="E322" s="53">
        <v>23518</v>
      </c>
      <c r="F322" s="53">
        <v>1000</v>
      </c>
      <c r="G322" s="53"/>
      <c r="H322" s="53">
        <f t="shared" si="48"/>
        <v>24518</v>
      </c>
    </row>
    <row r="323" spans="1:8" s="24" customFormat="1" ht="12.75" x14ac:dyDescent="0.25">
      <c r="A323" s="48"/>
      <c r="B323" s="48"/>
      <c r="C323" s="84">
        <v>4710</v>
      </c>
      <c r="D323" s="92" t="s">
        <v>123</v>
      </c>
      <c r="E323" s="53">
        <v>327050</v>
      </c>
      <c r="F323" s="53"/>
      <c r="G323" s="53">
        <v>57070</v>
      </c>
      <c r="H323" s="53">
        <f t="shared" si="48"/>
        <v>269980</v>
      </c>
    </row>
    <row r="324" spans="1:8" s="24" customFormat="1" ht="12.75" x14ac:dyDescent="0.25">
      <c r="A324" s="48"/>
      <c r="B324" s="48"/>
      <c r="C324" s="84">
        <v>4800</v>
      </c>
      <c r="D324" s="99" t="s">
        <v>124</v>
      </c>
      <c r="E324" s="53">
        <v>2874387</v>
      </c>
      <c r="F324" s="53"/>
      <c r="G324" s="53">
        <v>94500</v>
      </c>
      <c r="H324" s="53">
        <f t="shared" si="48"/>
        <v>2779887</v>
      </c>
    </row>
    <row r="325" spans="1:8" s="24" customFormat="1" ht="12.75" x14ac:dyDescent="0.25">
      <c r="A325" s="48"/>
      <c r="B325" s="48">
        <v>80116</v>
      </c>
      <c r="C325" s="34"/>
      <c r="D325" s="56" t="s">
        <v>195</v>
      </c>
      <c r="E325" s="46">
        <v>11014379.280000001</v>
      </c>
      <c r="F325" s="47">
        <f>SUM(F326)</f>
        <v>300000</v>
      </c>
      <c r="G325" s="47">
        <f>SUM(G326)</f>
        <v>0</v>
      </c>
      <c r="H325" s="46">
        <f>SUM(E325+F325-G325)</f>
        <v>11314379.280000001</v>
      </c>
    </row>
    <row r="326" spans="1:8" s="24" customFormat="1" ht="12.75" x14ac:dyDescent="0.25">
      <c r="A326" s="48"/>
      <c r="B326" s="48"/>
      <c r="C326" s="34"/>
      <c r="D326" s="461" t="s">
        <v>107</v>
      </c>
      <c r="E326" s="125">
        <v>9728519.3000000007</v>
      </c>
      <c r="F326" s="125">
        <f>SUM(F327:F327)</f>
        <v>300000</v>
      </c>
      <c r="G326" s="125">
        <f>SUM(G327:G327)</f>
        <v>0</v>
      </c>
      <c r="H326" s="125">
        <f t="shared" ref="H326:H327" si="49">SUM(E326+F326-G326)</f>
        <v>10028519.300000001</v>
      </c>
    </row>
    <row r="327" spans="1:8" s="24" customFormat="1" ht="38.25" x14ac:dyDescent="0.25">
      <c r="A327" s="48"/>
      <c r="B327" s="48"/>
      <c r="C327" s="50" t="s">
        <v>108</v>
      </c>
      <c r="D327" s="71" t="s">
        <v>109</v>
      </c>
      <c r="E327" s="52">
        <v>650000</v>
      </c>
      <c r="F327" s="52">
        <v>300000</v>
      </c>
      <c r="G327" s="52"/>
      <c r="H327" s="52">
        <f t="shared" si="49"/>
        <v>950000</v>
      </c>
    </row>
    <row r="328" spans="1:8" s="24" customFormat="1" ht="12.75" x14ac:dyDescent="0.25">
      <c r="A328" s="48"/>
      <c r="B328" s="48">
        <v>80117</v>
      </c>
      <c r="C328" s="34"/>
      <c r="D328" s="56" t="s">
        <v>196</v>
      </c>
      <c r="E328" s="46">
        <v>12249391.640000001</v>
      </c>
      <c r="F328" s="47">
        <f>SUM(F329)</f>
        <v>7500</v>
      </c>
      <c r="G328" s="47">
        <f>SUM(G329)</f>
        <v>7500</v>
      </c>
      <c r="H328" s="46">
        <f>SUM(E328+F328-G328)</f>
        <v>12249391.640000001</v>
      </c>
    </row>
    <row r="329" spans="1:8" s="24" customFormat="1" ht="12.75" x14ac:dyDescent="0.25">
      <c r="A329" s="48"/>
      <c r="B329" s="48"/>
      <c r="C329" s="34"/>
      <c r="D329" s="460" t="s">
        <v>110</v>
      </c>
      <c r="E329" s="125">
        <v>7587983.46</v>
      </c>
      <c r="F329" s="125">
        <f>SUM(F330:F331)</f>
        <v>7500</v>
      </c>
      <c r="G329" s="125">
        <f>SUM(G330:G331)</f>
        <v>7500</v>
      </c>
      <c r="H329" s="125">
        <f t="shared" ref="H329:H331" si="50">SUM(E329+F329-G329)</f>
        <v>7587983.46</v>
      </c>
    </row>
    <row r="330" spans="1:8" s="24" customFormat="1" ht="12.75" x14ac:dyDescent="0.25">
      <c r="A330" s="48"/>
      <c r="B330" s="48"/>
      <c r="C330" s="98" t="s">
        <v>114</v>
      </c>
      <c r="D330" s="92" t="s">
        <v>115</v>
      </c>
      <c r="E330" s="53">
        <v>38948.100000000006</v>
      </c>
      <c r="F330" s="53">
        <v>7500</v>
      </c>
      <c r="G330" s="53"/>
      <c r="H330" s="53">
        <f t="shared" si="50"/>
        <v>46448.100000000006</v>
      </c>
    </row>
    <row r="331" spans="1:8" s="24" customFormat="1" ht="12.75" x14ac:dyDescent="0.25">
      <c r="A331" s="48"/>
      <c r="B331" s="48"/>
      <c r="C331" s="84">
        <v>4800</v>
      </c>
      <c r="D331" s="99" t="s">
        <v>124</v>
      </c>
      <c r="E331" s="53">
        <v>395633</v>
      </c>
      <c r="F331" s="53"/>
      <c r="G331" s="53">
        <v>7500</v>
      </c>
      <c r="H331" s="53">
        <f t="shared" si="50"/>
        <v>388133</v>
      </c>
    </row>
    <row r="332" spans="1:8" s="24" customFormat="1" ht="12.75" x14ac:dyDescent="0.25">
      <c r="A332" s="48"/>
      <c r="B332" s="54">
        <v>80120</v>
      </c>
      <c r="C332" s="55"/>
      <c r="D332" s="59" t="s">
        <v>61</v>
      </c>
      <c r="E332" s="46">
        <v>44703595.079999991</v>
      </c>
      <c r="F332" s="47">
        <f>SUM(F333,F337)</f>
        <v>114630</v>
      </c>
      <c r="G332" s="47">
        <f>SUM(G333,G337)</f>
        <v>15398</v>
      </c>
      <c r="H332" s="46">
        <f>SUM(E332+F332-G332)</f>
        <v>44802827.079999991</v>
      </c>
    </row>
    <row r="333" spans="1:8" s="24" customFormat="1" ht="12" customHeight="1" x14ac:dyDescent="0.25">
      <c r="A333" s="48"/>
      <c r="B333" s="54"/>
      <c r="C333" s="34"/>
      <c r="D333" s="460" t="s">
        <v>110</v>
      </c>
      <c r="E333" s="125">
        <v>36317165.779999994</v>
      </c>
      <c r="F333" s="125">
        <f>SUM(F334:F336)</f>
        <v>15000</v>
      </c>
      <c r="G333" s="125">
        <f>SUM(G334:G336)</f>
        <v>15398</v>
      </c>
      <c r="H333" s="125">
        <f t="shared" ref="H333" si="51">SUM(E333+F333-G333)</f>
        <v>36316767.779999994</v>
      </c>
    </row>
    <row r="334" spans="1:8" s="24" customFormat="1" ht="12.75" x14ac:dyDescent="0.25">
      <c r="A334" s="48"/>
      <c r="B334" s="54"/>
      <c r="C334" s="84">
        <v>4040</v>
      </c>
      <c r="D334" s="92" t="s">
        <v>112</v>
      </c>
      <c r="E334" s="53">
        <v>375000</v>
      </c>
      <c r="F334" s="53"/>
      <c r="G334" s="53">
        <v>398</v>
      </c>
      <c r="H334" s="53">
        <f>SUM(E334+F334-G334)</f>
        <v>374602</v>
      </c>
    </row>
    <row r="335" spans="1:8" s="24" customFormat="1" ht="12.75" x14ac:dyDescent="0.25">
      <c r="A335" s="48"/>
      <c r="B335" s="54"/>
      <c r="C335" s="84">
        <v>4240</v>
      </c>
      <c r="D335" s="92" t="s">
        <v>116</v>
      </c>
      <c r="E335" s="53">
        <v>58653.56</v>
      </c>
      <c r="F335" s="53">
        <v>15000</v>
      </c>
      <c r="G335" s="53"/>
      <c r="H335" s="53">
        <f t="shared" ref="H335:H336" si="52">SUM(E335+F335-G335)</f>
        <v>73653.56</v>
      </c>
    </row>
    <row r="336" spans="1:8" s="24" customFormat="1" ht="12.75" x14ac:dyDescent="0.25">
      <c r="A336" s="48"/>
      <c r="B336" s="54"/>
      <c r="C336" s="54">
        <v>4800</v>
      </c>
      <c r="D336" s="24" t="s">
        <v>124</v>
      </c>
      <c r="E336" s="53">
        <v>1872100.12</v>
      </c>
      <c r="F336" s="53"/>
      <c r="G336" s="53">
        <v>15000</v>
      </c>
      <c r="H336" s="52">
        <f t="shared" si="52"/>
        <v>1857100.12</v>
      </c>
    </row>
    <row r="337" spans="1:8" s="24" customFormat="1" ht="12" customHeight="1" x14ac:dyDescent="0.25">
      <c r="A337" s="48"/>
      <c r="B337" s="48"/>
      <c r="C337" s="34"/>
      <c r="D337" s="461" t="s">
        <v>197</v>
      </c>
      <c r="E337" s="125">
        <v>24410</v>
      </c>
      <c r="F337" s="125">
        <f>SUM(F338:F338)</f>
        <v>99630</v>
      </c>
      <c r="G337" s="125">
        <f>SUM(G338:G338)</f>
        <v>0</v>
      </c>
      <c r="H337" s="125">
        <f>SUM(E337+F337-G337)</f>
        <v>124040</v>
      </c>
    </row>
    <row r="338" spans="1:8" s="24" customFormat="1" ht="12.75" x14ac:dyDescent="0.25">
      <c r="A338" s="48"/>
      <c r="B338" s="48"/>
      <c r="C338" s="50" t="s">
        <v>114</v>
      </c>
      <c r="D338" s="72" t="s">
        <v>115</v>
      </c>
      <c r="E338" s="53">
        <v>24410</v>
      </c>
      <c r="F338" s="53">
        <f>99232+398</f>
        <v>99630</v>
      </c>
      <c r="G338" s="53"/>
      <c r="H338" s="53">
        <f>SUM(E338+F338-G338)</f>
        <v>124040</v>
      </c>
    </row>
    <row r="339" spans="1:8" s="24" customFormat="1" ht="12.75" x14ac:dyDescent="0.25">
      <c r="A339" s="48"/>
      <c r="B339" s="54">
        <v>80122</v>
      </c>
      <c r="C339" s="55"/>
      <c r="D339" s="59" t="s">
        <v>198</v>
      </c>
      <c r="E339" s="46">
        <v>1298260</v>
      </c>
      <c r="F339" s="47">
        <f>SUM(F340)</f>
        <v>0</v>
      </c>
      <c r="G339" s="47">
        <f>SUM(G340)</f>
        <v>100000</v>
      </c>
      <c r="H339" s="46">
        <f>SUM(E339+F339-G339)</f>
        <v>1198260</v>
      </c>
    </row>
    <row r="340" spans="1:8" s="24" customFormat="1" ht="12.75" x14ac:dyDescent="0.25">
      <c r="A340" s="48"/>
      <c r="B340" s="54"/>
      <c r="C340" s="34"/>
      <c r="D340" s="461" t="s">
        <v>107</v>
      </c>
      <c r="E340" s="125">
        <v>1298260</v>
      </c>
      <c r="F340" s="125">
        <f>SUM(F341:F341)</f>
        <v>0</v>
      </c>
      <c r="G340" s="125">
        <f>SUM(G341:G341)</f>
        <v>100000</v>
      </c>
      <c r="H340" s="125">
        <f>SUM(E340+F340-G340)</f>
        <v>1198260</v>
      </c>
    </row>
    <row r="341" spans="1:8" s="24" customFormat="1" ht="12" customHeight="1" x14ac:dyDescent="0.25">
      <c r="A341" s="48"/>
      <c r="B341" s="54"/>
      <c r="C341" s="50" t="s">
        <v>199</v>
      </c>
      <c r="D341" s="85" t="s">
        <v>200</v>
      </c>
      <c r="E341" s="52">
        <v>395800</v>
      </c>
      <c r="F341" s="53"/>
      <c r="G341" s="53">
        <v>100000</v>
      </c>
      <c r="H341" s="53">
        <f t="shared" ref="H341" si="53">SUM(E341+F341-G341)</f>
        <v>295800</v>
      </c>
    </row>
    <row r="342" spans="1:8" s="24" customFormat="1" ht="12" customHeight="1" x14ac:dyDescent="0.25">
      <c r="A342" s="48"/>
      <c r="B342" s="54">
        <v>80132</v>
      </c>
      <c r="C342" s="34"/>
      <c r="D342" s="56" t="s">
        <v>201</v>
      </c>
      <c r="E342" s="46">
        <v>8571289.1999999993</v>
      </c>
      <c r="F342" s="47">
        <f>SUM(F343,)</f>
        <v>30</v>
      </c>
      <c r="G342" s="47">
        <f>SUM(G343,)</f>
        <v>30</v>
      </c>
      <c r="H342" s="46">
        <f>SUM(E342+F342-G342)</f>
        <v>8571289.1999999993</v>
      </c>
    </row>
    <row r="343" spans="1:8" s="24" customFormat="1" ht="12" customHeight="1" x14ac:dyDescent="0.25">
      <c r="A343" s="48"/>
      <c r="B343" s="40"/>
      <c r="C343" s="34"/>
      <c r="D343" s="460" t="s">
        <v>110</v>
      </c>
      <c r="E343" s="125">
        <v>8571289.1999999993</v>
      </c>
      <c r="F343" s="125">
        <f>SUM(F344:F345)</f>
        <v>30</v>
      </c>
      <c r="G343" s="125">
        <f>SUM(G344:G345)</f>
        <v>30</v>
      </c>
      <c r="H343" s="125">
        <f>SUM(E343+F343-G343)</f>
        <v>8571289.1999999993</v>
      </c>
    </row>
    <row r="344" spans="1:8" s="24" customFormat="1" ht="12" customHeight="1" x14ac:dyDescent="0.25">
      <c r="A344" s="48"/>
      <c r="B344" s="40"/>
      <c r="C344" s="98" t="s">
        <v>114</v>
      </c>
      <c r="D344" s="92" t="s">
        <v>115</v>
      </c>
      <c r="E344" s="53">
        <v>45693.040000000008</v>
      </c>
      <c r="F344" s="53"/>
      <c r="G344" s="53">
        <v>30</v>
      </c>
      <c r="H344" s="53">
        <f t="shared" ref="H344:H345" si="54">SUM(E344+F344-G344)</f>
        <v>45663.040000000008</v>
      </c>
    </row>
    <row r="345" spans="1:8" s="24" customFormat="1" ht="12" customHeight="1" x14ac:dyDescent="0.25">
      <c r="A345" s="48"/>
      <c r="B345" s="40"/>
      <c r="C345" s="84">
        <v>4430</v>
      </c>
      <c r="D345" s="92" t="s">
        <v>128</v>
      </c>
      <c r="E345" s="53">
        <v>330</v>
      </c>
      <c r="F345" s="53">
        <v>30</v>
      </c>
      <c r="G345" s="53"/>
      <c r="H345" s="53">
        <f t="shared" si="54"/>
        <v>360</v>
      </c>
    </row>
    <row r="346" spans="1:8" s="24" customFormat="1" ht="12.75" x14ac:dyDescent="0.25">
      <c r="A346" s="48"/>
      <c r="B346" s="48">
        <v>80140</v>
      </c>
      <c r="C346" s="34"/>
      <c r="D346" s="64" t="s">
        <v>202</v>
      </c>
      <c r="E346" s="52"/>
      <c r="F346" s="53"/>
      <c r="G346" s="53"/>
      <c r="H346" s="53"/>
    </row>
    <row r="347" spans="1:8" s="24" customFormat="1" ht="12.75" x14ac:dyDescent="0.25">
      <c r="A347" s="48"/>
      <c r="B347" s="48"/>
      <c r="C347" s="34"/>
      <c r="D347" s="56" t="s">
        <v>203</v>
      </c>
      <c r="E347" s="46">
        <v>5620454.3200000003</v>
      </c>
      <c r="F347" s="47">
        <f>SUM(F348,)</f>
        <v>38000</v>
      </c>
      <c r="G347" s="47">
        <f>SUM(G348,)</f>
        <v>38000</v>
      </c>
      <c r="H347" s="46">
        <f>SUM(E347+F347-G347)</f>
        <v>5620454.3200000003</v>
      </c>
    </row>
    <row r="348" spans="1:8" s="24" customFormat="1" ht="12" customHeight="1" x14ac:dyDescent="0.25">
      <c r="A348" s="48"/>
      <c r="B348" s="40"/>
      <c r="C348" s="34"/>
      <c r="D348" s="460" t="s">
        <v>110</v>
      </c>
      <c r="E348" s="125">
        <v>5620454.3200000003</v>
      </c>
      <c r="F348" s="125">
        <f>SUM(F349:F352)</f>
        <v>38000</v>
      </c>
      <c r="G348" s="125">
        <f>SUM(G349:G352)</f>
        <v>38000</v>
      </c>
      <c r="H348" s="125">
        <f>SUM(E348+F348-G348)</f>
        <v>5620454.3200000003</v>
      </c>
    </row>
    <row r="349" spans="1:8" s="24" customFormat="1" ht="12.75" x14ac:dyDescent="0.25">
      <c r="A349" s="48"/>
      <c r="B349" s="40"/>
      <c r="C349" s="84">
        <v>4040</v>
      </c>
      <c r="D349" s="92" t="s">
        <v>112</v>
      </c>
      <c r="E349" s="53">
        <v>70000</v>
      </c>
      <c r="F349" s="53"/>
      <c r="G349" s="53">
        <v>10000</v>
      </c>
      <c r="H349" s="53">
        <f t="shared" ref="H349:H352" si="55">SUM(E349+F349-G349)</f>
        <v>60000</v>
      </c>
    </row>
    <row r="350" spans="1:8" s="24" customFormat="1" ht="12.75" x14ac:dyDescent="0.25">
      <c r="A350" s="48"/>
      <c r="B350" s="40"/>
      <c r="C350" s="98" t="s">
        <v>114</v>
      </c>
      <c r="D350" s="92" t="s">
        <v>115</v>
      </c>
      <c r="E350" s="53">
        <v>31797.040000000001</v>
      </c>
      <c r="F350" s="53">
        <v>10000</v>
      </c>
      <c r="G350" s="53"/>
      <c r="H350" s="53">
        <f t="shared" si="55"/>
        <v>41797.040000000001</v>
      </c>
    </row>
    <row r="351" spans="1:8" s="24" customFormat="1" ht="12.75" x14ac:dyDescent="0.25">
      <c r="A351" s="48"/>
      <c r="B351" s="40"/>
      <c r="C351" s="84">
        <v>4240</v>
      </c>
      <c r="D351" s="92" t="s">
        <v>116</v>
      </c>
      <c r="E351" s="53">
        <v>35207.9</v>
      </c>
      <c r="F351" s="53">
        <v>28000</v>
      </c>
      <c r="G351" s="53"/>
      <c r="H351" s="53">
        <f t="shared" si="55"/>
        <v>63207.9</v>
      </c>
    </row>
    <row r="352" spans="1:8" s="24" customFormat="1" ht="12.75" x14ac:dyDescent="0.25">
      <c r="A352" s="48"/>
      <c r="B352" s="40"/>
      <c r="C352" s="54">
        <v>4800</v>
      </c>
      <c r="D352" s="24" t="s">
        <v>124</v>
      </c>
      <c r="E352" s="53">
        <v>219500</v>
      </c>
      <c r="F352" s="53"/>
      <c r="G352" s="53">
        <v>28000</v>
      </c>
      <c r="H352" s="52">
        <f t="shared" si="55"/>
        <v>191500</v>
      </c>
    </row>
    <row r="353" spans="1:8" s="24" customFormat="1" ht="12.75" x14ac:dyDescent="0.25">
      <c r="A353" s="48"/>
      <c r="B353" s="48">
        <v>80152</v>
      </c>
      <c r="C353" s="34"/>
      <c r="D353" s="72" t="s">
        <v>133</v>
      </c>
      <c r="E353" s="53"/>
      <c r="F353" s="53"/>
      <c r="G353" s="53"/>
      <c r="H353" s="52"/>
    </row>
    <row r="354" spans="1:8" s="24" customFormat="1" ht="12.75" x14ac:dyDescent="0.25">
      <c r="A354" s="48"/>
      <c r="B354" s="48"/>
      <c r="C354" s="34"/>
      <c r="D354" s="72" t="s">
        <v>138</v>
      </c>
      <c r="E354" s="53"/>
      <c r="F354" s="53"/>
      <c r="G354" s="53"/>
      <c r="H354" s="52"/>
    </row>
    <row r="355" spans="1:8" s="24" customFormat="1" ht="12.75" x14ac:dyDescent="0.25">
      <c r="A355" s="48"/>
      <c r="B355" s="48"/>
      <c r="C355" s="34"/>
      <c r="D355" s="72" t="s">
        <v>204</v>
      </c>
      <c r="E355" s="53"/>
      <c r="F355" s="53"/>
      <c r="G355" s="53"/>
      <c r="H355" s="52"/>
    </row>
    <row r="356" spans="1:8" s="24" customFormat="1" ht="12.75" x14ac:dyDescent="0.25">
      <c r="A356" s="48"/>
      <c r="B356" s="48"/>
      <c r="C356" s="34"/>
      <c r="D356" s="48" t="s">
        <v>205</v>
      </c>
      <c r="E356" s="53"/>
      <c r="F356" s="53"/>
      <c r="G356" s="53"/>
      <c r="H356" s="52"/>
    </row>
    <row r="357" spans="1:8" s="24" customFormat="1" ht="12.75" x14ac:dyDescent="0.25">
      <c r="A357" s="48"/>
      <c r="B357" s="48"/>
      <c r="C357" s="34"/>
      <c r="D357" s="48" t="s">
        <v>206</v>
      </c>
      <c r="E357" s="53"/>
      <c r="F357" s="53"/>
      <c r="G357" s="53"/>
      <c r="H357" s="52"/>
    </row>
    <row r="358" spans="1:8" s="24" customFormat="1" ht="12.75" x14ac:dyDescent="0.25">
      <c r="A358" s="48"/>
      <c r="B358" s="48"/>
      <c r="C358" s="34"/>
      <c r="D358" s="72" t="s">
        <v>207</v>
      </c>
      <c r="E358" s="53"/>
      <c r="F358" s="53"/>
      <c r="G358" s="53"/>
      <c r="H358" s="52"/>
    </row>
    <row r="359" spans="1:8" s="24" customFormat="1" ht="12.75" x14ac:dyDescent="0.25">
      <c r="A359" s="48"/>
      <c r="B359" s="48"/>
      <c r="C359" s="34"/>
      <c r="D359" s="48" t="s">
        <v>208</v>
      </c>
      <c r="E359" s="53"/>
      <c r="F359" s="53"/>
      <c r="G359" s="53"/>
      <c r="H359" s="52"/>
    </row>
    <row r="360" spans="1:8" s="24" customFormat="1" ht="12.75" x14ac:dyDescent="0.25">
      <c r="A360" s="48"/>
      <c r="B360" s="48"/>
      <c r="C360" s="34"/>
      <c r="D360" s="59" t="s">
        <v>209</v>
      </c>
      <c r="E360" s="46">
        <v>7891878.4499999993</v>
      </c>
      <c r="F360" s="47">
        <f>SUM(F361,F363)</f>
        <v>242700</v>
      </c>
      <c r="G360" s="47">
        <f>SUM(G361,G363)</f>
        <v>3130</v>
      </c>
      <c r="H360" s="46">
        <f>SUM(E360+F360-G360)</f>
        <v>8131448.4499999993</v>
      </c>
    </row>
    <row r="361" spans="1:8" s="24" customFormat="1" ht="12" customHeight="1" x14ac:dyDescent="0.25">
      <c r="A361" s="48"/>
      <c r="B361" s="48"/>
      <c r="C361" s="34"/>
      <c r="D361" s="461" t="s">
        <v>107</v>
      </c>
      <c r="E361" s="125">
        <v>1405840.69</v>
      </c>
      <c r="F361" s="125">
        <f>SUM(F362:F362)</f>
        <v>180000</v>
      </c>
      <c r="G361" s="125">
        <f>SUM(G362:G362)</f>
        <v>0</v>
      </c>
      <c r="H361" s="125">
        <f t="shared" ref="H361:H363" si="56">SUM(E361+F361-G361)</f>
        <v>1585840.69</v>
      </c>
    </row>
    <row r="362" spans="1:8" s="24" customFormat="1" ht="34.5" customHeight="1" x14ac:dyDescent="0.25">
      <c r="A362" s="48"/>
      <c r="B362" s="48"/>
      <c r="C362" s="50" t="s">
        <v>108</v>
      </c>
      <c r="D362" s="71" t="s">
        <v>109</v>
      </c>
      <c r="E362" s="52">
        <v>461079.87999999995</v>
      </c>
      <c r="F362" s="52">
        <v>180000</v>
      </c>
      <c r="G362" s="52"/>
      <c r="H362" s="52">
        <f t="shared" si="56"/>
        <v>641079.87999999989</v>
      </c>
    </row>
    <row r="363" spans="1:8" s="24" customFormat="1" ht="12.75" x14ac:dyDescent="0.25">
      <c r="A363" s="48"/>
      <c r="B363" s="39"/>
      <c r="C363" s="34"/>
      <c r="D363" s="460" t="s">
        <v>110</v>
      </c>
      <c r="E363" s="125">
        <v>6486037.7599999998</v>
      </c>
      <c r="F363" s="125">
        <f>SUM(F364:F367)</f>
        <v>62700</v>
      </c>
      <c r="G363" s="125">
        <f>SUM(G364:G367)</f>
        <v>3130</v>
      </c>
      <c r="H363" s="125">
        <f t="shared" si="56"/>
        <v>6545607.7599999998</v>
      </c>
    </row>
    <row r="364" spans="1:8" s="24" customFormat="1" ht="12.75" x14ac:dyDescent="0.25">
      <c r="A364" s="48"/>
      <c r="B364" s="48"/>
      <c r="C364" s="54">
        <v>4110</v>
      </c>
      <c r="D364" s="72" t="s">
        <v>127</v>
      </c>
      <c r="E364" s="53">
        <v>908816</v>
      </c>
      <c r="F364" s="53">
        <v>11900</v>
      </c>
      <c r="G364" s="53"/>
      <c r="H364" s="53">
        <f>SUM(E364+F364-G364)</f>
        <v>920716</v>
      </c>
    </row>
    <row r="365" spans="1:8" s="24" customFormat="1" ht="12.75" x14ac:dyDescent="0.25">
      <c r="A365" s="48"/>
      <c r="B365" s="48"/>
      <c r="C365" s="54">
        <v>4120</v>
      </c>
      <c r="D365" s="72" t="s">
        <v>137</v>
      </c>
      <c r="E365" s="53">
        <v>131980</v>
      </c>
      <c r="F365" s="53">
        <v>800</v>
      </c>
      <c r="G365" s="53"/>
      <c r="H365" s="53">
        <f>SUM(E365+F365-G365)</f>
        <v>132780</v>
      </c>
    </row>
    <row r="366" spans="1:8" s="24" customFormat="1" ht="12.75" x14ac:dyDescent="0.25">
      <c r="A366" s="48"/>
      <c r="B366" s="48"/>
      <c r="C366" s="84">
        <v>4790</v>
      </c>
      <c r="D366" s="99" t="s">
        <v>129</v>
      </c>
      <c r="E366" s="53">
        <v>4513289.26</v>
      </c>
      <c r="F366" s="53">
        <v>50000</v>
      </c>
      <c r="G366" s="53"/>
      <c r="H366" s="53">
        <f t="shared" ref="H366:H367" si="57">SUM(E366+F366-G366)</f>
        <v>4563289.26</v>
      </c>
    </row>
    <row r="367" spans="1:8" s="24" customFormat="1" ht="12.75" x14ac:dyDescent="0.25">
      <c r="A367" s="48"/>
      <c r="B367" s="48"/>
      <c r="C367" s="54">
        <v>4800</v>
      </c>
      <c r="D367" s="24" t="s">
        <v>124</v>
      </c>
      <c r="E367" s="53">
        <v>442162</v>
      </c>
      <c r="F367" s="53"/>
      <c r="G367" s="53">
        <v>3130</v>
      </c>
      <c r="H367" s="52">
        <f t="shared" si="57"/>
        <v>439032</v>
      </c>
    </row>
    <row r="368" spans="1:8" s="24" customFormat="1" ht="12.75" x14ac:dyDescent="0.25">
      <c r="A368" s="48"/>
      <c r="B368" s="48">
        <v>80195</v>
      </c>
      <c r="C368" s="34"/>
      <c r="D368" s="2" t="s">
        <v>17</v>
      </c>
      <c r="E368" s="47">
        <v>11723658.91</v>
      </c>
      <c r="F368" s="47">
        <f>SUM(F369,F374,)</f>
        <v>45800</v>
      </c>
      <c r="G368" s="47">
        <f>SUM(G369,G374,)</f>
        <v>45800</v>
      </c>
      <c r="H368" s="46">
        <f>SUM(E368+F368-G368)</f>
        <v>11723658.91</v>
      </c>
    </row>
    <row r="369" spans="1:8" s="24" customFormat="1" ht="36" customHeight="1" x14ac:dyDescent="0.25">
      <c r="A369" s="48"/>
      <c r="B369" s="54"/>
      <c r="C369" s="34"/>
      <c r="D369" s="486" t="s">
        <v>210</v>
      </c>
      <c r="E369" s="125">
        <v>642214.38</v>
      </c>
      <c r="F369" s="125">
        <f>SUM(F370:F373)</f>
        <v>30000</v>
      </c>
      <c r="G369" s="125">
        <f>SUM(G370:G373)</f>
        <v>30000</v>
      </c>
      <c r="H369" s="125">
        <f>SUM(E369+F369-G369)</f>
        <v>642214.38</v>
      </c>
    </row>
    <row r="370" spans="1:8" s="24" customFormat="1" ht="12.75" x14ac:dyDescent="0.25">
      <c r="A370" s="59"/>
      <c r="B370" s="100"/>
      <c r="C370" s="126">
        <v>4117</v>
      </c>
      <c r="D370" s="127" t="s">
        <v>141</v>
      </c>
      <c r="E370" s="46">
        <v>80674.26999999999</v>
      </c>
      <c r="F370" s="46"/>
      <c r="G370" s="46">
        <v>24756</v>
      </c>
      <c r="H370" s="46">
        <f t="shared" ref="H370:H396" si="58">SUM(E370+F370-G370)</f>
        <v>55918.26999999999</v>
      </c>
    </row>
    <row r="371" spans="1:8" s="24" customFormat="1" ht="12.75" x14ac:dyDescent="0.25">
      <c r="A371" s="48"/>
      <c r="B371" s="54"/>
      <c r="C371" s="79">
        <v>4119</v>
      </c>
      <c r="D371" s="101" t="s">
        <v>141</v>
      </c>
      <c r="E371" s="53">
        <v>17089.02</v>
      </c>
      <c r="F371" s="53"/>
      <c r="G371" s="53">
        <v>5244</v>
      </c>
      <c r="H371" s="53">
        <f t="shared" si="58"/>
        <v>11845.02</v>
      </c>
    </row>
    <row r="372" spans="1:8" s="24" customFormat="1" ht="12.75" x14ac:dyDescent="0.25">
      <c r="A372" s="48"/>
      <c r="B372" s="54"/>
      <c r="C372" s="48">
        <v>4307</v>
      </c>
      <c r="D372" s="72" t="s">
        <v>81</v>
      </c>
      <c r="E372" s="53">
        <v>94899.89</v>
      </c>
      <c r="F372" s="53">
        <v>24756</v>
      </c>
      <c r="G372" s="53"/>
      <c r="H372" s="53">
        <f t="shared" si="58"/>
        <v>119655.89</v>
      </c>
    </row>
    <row r="373" spans="1:8" s="24" customFormat="1" ht="12.75" x14ac:dyDescent="0.25">
      <c r="A373" s="48"/>
      <c r="B373" s="54"/>
      <c r="C373" s="48">
        <v>4309</v>
      </c>
      <c r="D373" s="72" t="s">
        <v>81</v>
      </c>
      <c r="E373" s="53">
        <v>20102.400000000001</v>
      </c>
      <c r="F373" s="53">
        <v>5244</v>
      </c>
      <c r="G373" s="53"/>
      <c r="H373" s="53">
        <f t="shared" si="58"/>
        <v>25346.400000000001</v>
      </c>
    </row>
    <row r="374" spans="1:8" s="24" customFormat="1" ht="36" customHeight="1" x14ac:dyDescent="0.25">
      <c r="A374" s="48"/>
      <c r="B374" s="54"/>
      <c r="C374" s="34"/>
      <c r="D374" s="476" t="s">
        <v>211</v>
      </c>
      <c r="E374" s="125">
        <v>288912.08</v>
      </c>
      <c r="F374" s="462">
        <f>SUM(F375:F376)</f>
        <v>15800</v>
      </c>
      <c r="G374" s="462">
        <f>SUM(G375:G376)</f>
        <v>15800</v>
      </c>
      <c r="H374" s="125">
        <f t="shared" si="58"/>
        <v>288912.08</v>
      </c>
    </row>
    <row r="375" spans="1:8" s="24" customFormat="1" ht="12.75" x14ac:dyDescent="0.25">
      <c r="A375" s="48"/>
      <c r="B375" s="54"/>
      <c r="C375" s="54">
        <v>4301</v>
      </c>
      <c r="D375" s="72" t="s">
        <v>81</v>
      </c>
      <c r="E375" s="53">
        <v>208921.95</v>
      </c>
      <c r="F375" s="53"/>
      <c r="G375" s="52">
        <v>15800</v>
      </c>
      <c r="H375" s="53">
        <f t="shared" si="58"/>
        <v>193121.95</v>
      </c>
    </row>
    <row r="376" spans="1:8" s="24" customFormat="1" ht="12.75" x14ac:dyDescent="0.25">
      <c r="A376" s="48"/>
      <c r="B376" s="54"/>
      <c r="C376" s="54">
        <v>4421</v>
      </c>
      <c r="D376" s="72" t="s">
        <v>212</v>
      </c>
      <c r="E376" s="53">
        <v>36817.26</v>
      </c>
      <c r="F376" s="53">
        <v>15800</v>
      </c>
      <c r="G376" s="52"/>
      <c r="H376" s="53">
        <f t="shared" si="58"/>
        <v>52617.26</v>
      </c>
    </row>
    <row r="377" spans="1:8" s="24" customFormat="1" ht="12" customHeight="1" thickBot="1" x14ac:dyDescent="0.3">
      <c r="A377" s="39">
        <v>900</v>
      </c>
      <c r="B377" s="40"/>
      <c r="C377" s="41"/>
      <c r="D377" s="42" t="s">
        <v>179</v>
      </c>
      <c r="E377" s="38">
        <v>924793</v>
      </c>
      <c r="F377" s="43">
        <f>SUM(F378)</f>
        <v>200000</v>
      </c>
      <c r="G377" s="43">
        <f>SUM(G378)</f>
        <v>0</v>
      </c>
      <c r="H377" s="38">
        <f t="shared" si="58"/>
        <v>1124793</v>
      </c>
    </row>
    <row r="378" spans="1:8" s="24" customFormat="1" ht="12" customHeight="1" thickTop="1" x14ac:dyDescent="0.25">
      <c r="A378" s="39"/>
      <c r="B378" s="54">
        <v>90001</v>
      </c>
      <c r="C378" s="114"/>
      <c r="D378" s="128" t="s">
        <v>213</v>
      </c>
      <c r="E378" s="46">
        <v>924793</v>
      </c>
      <c r="F378" s="47">
        <f>SUM(F379)</f>
        <v>200000</v>
      </c>
      <c r="G378" s="47">
        <f>SUM(G379)</f>
        <v>0</v>
      </c>
      <c r="H378" s="46">
        <f t="shared" si="58"/>
        <v>1124793</v>
      </c>
    </row>
    <row r="379" spans="1:8" s="24" customFormat="1" ht="12" customHeight="1" x14ac:dyDescent="0.25">
      <c r="A379" s="39"/>
      <c r="B379" s="33"/>
      <c r="C379" s="129"/>
      <c r="D379" s="464" t="s">
        <v>80</v>
      </c>
      <c r="E379" s="125">
        <v>924793</v>
      </c>
      <c r="F379" s="462">
        <f>SUM(F380:F380)</f>
        <v>200000</v>
      </c>
      <c r="G379" s="462">
        <f>SUM(G380:G380)</f>
        <v>0</v>
      </c>
      <c r="H379" s="125">
        <f>SUM(E379+F379-G379)</f>
        <v>1124793</v>
      </c>
    </row>
    <row r="380" spans="1:8" s="24" customFormat="1" ht="12" customHeight="1" x14ac:dyDescent="0.25">
      <c r="A380" s="39"/>
      <c r="B380" s="33"/>
      <c r="C380" s="54">
        <v>4430</v>
      </c>
      <c r="D380" s="72" t="s">
        <v>214</v>
      </c>
      <c r="E380" s="120">
        <v>624793</v>
      </c>
      <c r="F380" s="52">
        <v>200000</v>
      </c>
      <c r="G380" s="52"/>
      <c r="H380" s="52">
        <f t="shared" ref="H380" si="59">SUM(E380+F380-G380)</f>
        <v>824793</v>
      </c>
    </row>
    <row r="381" spans="1:8" s="24" customFormat="1" ht="20.25" customHeight="1" thickBot="1" x14ac:dyDescent="0.3">
      <c r="A381" s="33"/>
      <c r="B381" s="48"/>
      <c r="C381" s="54"/>
      <c r="D381" s="37" t="s">
        <v>215</v>
      </c>
      <c r="E381" s="38">
        <v>53296569.159999996</v>
      </c>
      <c r="F381" s="38">
        <f>SUM(F382,F386)</f>
        <v>4066438</v>
      </c>
      <c r="G381" s="38">
        <f>SUM(G382,)</f>
        <v>0</v>
      </c>
      <c r="H381" s="38">
        <f t="shared" si="58"/>
        <v>57363007.159999996</v>
      </c>
    </row>
    <row r="382" spans="1:8" s="24" customFormat="1" ht="16.5" customHeight="1" thickTop="1" thickBot="1" x14ac:dyDescent="0.3">
      <c r="A382" s="39">
        <v>752</v>
      </c>
      <c r="B382" s="40"/>
      <c r="C382" s="41"/>
      <c r="D382" s="42" t="s">
        <v>48</v>
      </c>
      <c r="E382" s="38">
        <v>0</v>
      </c>
      <c r="F382" s="38">
        <f>SUM(F383)</f>
        <v>4000000</v>
      </c>
      <c r="G382" s="38">
        <f>SUM(G383)</f>
        <v>0</v>
      </c>
      <c r="H382" s="38">
        <f t="shared" si="58"/>
        <v>4000000</v>
      </c>
    </row>
    <row r="383" spans="1:8" s="24" customFormat="1" ht="24.75" customHeight="1" thickTop="1" x14ac:dyDescent="0.25">
      <c r="A383" s="39"/>
      <c r="B383" s="44">
        <v>75281</v>
      </c>
      <c r="C383" s="34"/>
      <c r="D383" s="45" t="s">
        <v>49</v>
      </c>
      <c r="E383" s="46">
        <v>0</v>
      </c>
      <c r="F383" s="47">
        <f t="shared" ref="F383:G383" si="60">SUM(F384)</f>
        <v>4000000</v>
      </c>
      <c r="G383" s="47">
        <f t="shared" si="60"/>
        <v>0</v>
      </c>
      <c r="H383" s="46">
        <f t="shared" si="58"/>
        <v>4000000</v>
      </c>
    </row>
    <row r="384" spans="1:8" s="24" customFormat="1" ht="12" customHeight="1" x14ac:dyDescent="0.25">
      <c r="A384" s="41"/>
      <c r="B384" s="48"/>
      <c r="C384" s="54"/>
      <c r="D384" s="460" t="s">
        <v>92</v>
      </c>
      <c r="E384" s="470">
        <v>0</v>
      </c>
      <c r="F384" s="462">
        <f>SUM(F385:F385)</f>
        <v>4000000</v>
      </c>
      <c r="G384" s="462">
        <f>SUM(G385:G385)</f>
        <v>0</v>
      </c>
      <c r="H384" s="125">
        <f t="shared" si="58"/>
        <v>4000000</v>
      </c>
    </row>
    <row r="385" spans="1:8" s="24" customFormat="1" ht="12" customHeight="1" x14ac:dyDescent="0.25">
      <c r="A385" s="41"/>
      <c r="B385" s="48"/>
      <c r="C385" s="54">
        <v>6050</v>
      </c>
      <c r="D385" s="72" t="s">
        <v>91</v>
      </c>
      <c r="E385" s="53">
        <v>0</v>
      </c>
      <c r="F385" s="52">
        <v>4000000</v>
      </c>
      <c r="G385" s="52"/>
      <c r="H385" s="52">
        <f t="shared" si="58"/>
        <v>4000000</v>
      </c>
    </row>
    <row r="386" spans="1:8" s="24" customFormat="1" ht="12" customHeight="1" thickBot="1" x14ac:dyDescent="0.3">
      <c r="A386" s="40">
        <v>855</v>
      </c>
      <c r="B386" s="40"/>
      <c r="C386" s="41"/>
      <c r="D386" s="42" t="s">
        <v>67</v>
      </c>
      <c r="E386" s="38">
        <v>44158354</v>
      </c>
      <c r="F386" s="38">
        <f>SUM(F387,F394)</f>
        <v>66438</v>
      </c>
      <c r="G386" s="38">
        <f>SUM(G387,G394)</f>
        <v>0</v>
      </c>
      <c r="H386" s="38">
        <f t="shared" si="58"/>
        <v>44224792</v>
      </c>
    </row>
    <row r="387" spans="1:8" s="24" customFormat="1" ht="36.75" customHeight="1" thickTop="1" x14ac:dyDescent="0.25">
      <c r="A387" s="40"/>
      <c r="B387" s="44">
        <v>85502</v>
      </c>
      <c r="C387" s="34"/>
      <c r="D387" s="45" t="s">
        <v>68</v>
      </c>
      <c r="E387" s="46">
        <v>43543854</v>
      </c>
      <c r="F387" s="47">
        <f>SUM(F388)</f>
        <v>64000</v>
      </c>
      <c r="G387" s="47">
        <f>SUM(G388)</f>
        <v>0</v>
      </c>
      <c r="H387" s="46">
        <f t="shared" si="58"/>
        <v>43607854</v>
      </c>
    </row>
    <row r="388" spans="1:8" s="24" customFormat="1" ht="12" customHeight="1" x14ac:dyDescent="0.25">
      <c r="A388" s="48"/>
      <c r="B388" s="87"/>
      <c r="C388" s="86"/>
      <c r="D388" s="471" t="s">
        <v>163</v>
      </c>
      <c r="E388" s="470">
        <v>43543854</v>
      </c>
      <c r="F388" s="462">
        <f>SUM(F389:F391)</f>
        <v>64000</v>
      </c>
      <c r="G388" s="462">
        <f>SUM(G389:G391)</f>
        <v>0</v>
      </c>
      <c r="H388" s="125">
        <f t="shared" si="58"/>
        <v>43607854</v>
      </c>
    </row>
    <row r="389" spans="1:8" s="24" customFormat="1" ht="12" customHeight="1" x14ac:dyDescent="0.25">
      <c r="A389" s="48"/>
      <c r="B389" s="87"/>
      <c r="C389" s="54">
        <v>3110</v>
      </c>
      <c r="D389" s="72" t="s">
        <v>216</v>
      </c>
      <c r="E389" s="53">
        <v>38205718</v>
      </c>
      <c r="F389" s="53">
        <v>52140</v>
      </c>
      <c r="G389" s="53"/>
      <c r="H389" s="52">
        <f t="shared" si="58"/>
        <v>38257858</v>
      </c>
    </row>
    <row r="390" spans="1:8" s="24" customFormat="1" ht="12" customHeight="1" x14ac:dyDescent="0.25">
      <c r="A390" s="48"/>
      <c r="B390" s="48"/>
      <c r="C390" s="54">
        <v>4010</v>
      </c>
      <c r="D390" s="72" t="s">
        <v>25</v>
      </c>
      <c r="E390" s="53">
        <v>886783</v>
      </c>
      <c r="F390" s="53">
        <v>1860</v>
      </c>
      <c r="G390" s="53"/>
      <c r="H390" s="52">
        <f t="shared" si="58"/>
        <v>888643</v>
      </c>
    </row>
    <row r="391" spans="1:8" s="24" customFormat="1" ht="12" customHeight="1" x14ac:dyDescent="0.25">
      <c r="A391" s="48"/>
      <c r="B391" s="48"/>
      <c r="C391" s="54">
        <v>4110</v>
      </c>
      <c r="D391" s="72" t="s">
        <v>127</v>
      </c>
      <c r="E391" s="53">
        <v>4267669</v>
      </c>
      <c r="F391" s="53">
        <v>10000</v>
      </c>
      <c r="G391" s="53"/>
      <c r="H391" s="52">
        <f t="shared" si="58"/>
        <v>4277669</v>
      </c>
    </row>
    <row r="392" spans="1:8" s="24" customFormat="1" ht="12" customHeight="1" x14ac:dyDescent="0.25">
      <c r="A392" s="48"/>
      <c r="B392" s="48">
        <v>85513</v>
      </c>
      <c r="C392" s="34"/>
      <c r="D392" s="48" t="s">
        <v>71</v>
      </c>
      <c r="E392" s="53"/>
      <c r="F392" s="53"/>
      <c r="G392" s="53"/>
      <c r="H392" s="52"/>
    </row>
    <row r="393" spans="1:8" s="24" customFormat="1" ht="12" customHeight="1" x14ac:dyDescent="0.25">
      <c r="A393" s="48"/>
      <c r="B393" s="33"/>
      <c r="C393" s="34"/>
      <c r="D393" s="64" t="s">
        <v>72</v>
      </c>
      <c r="E393" s="53"/>
      <c r="F393" s="53"/>
      <c r="G393" s="53"/>
      <c r="H393" s="52"/>
    </row>
    <row r="394" spans="1:8" s="24" customFormat="1" ht="12" customHeight="1" x14ac:dyDescent="0.25">
      <c r="A394" s="41"/>
      <c r="B394" s="48"/>
      <c r="C394" s="34"/>
      <c r="D394" s="56" t="s">
        <v>73</v>
      </c>
      <c r="E394" s="46">
        <v>612600</v>
      </c>
      <c r="F394" s="47">
        <f>SUM(F395)</f>
        <v>2438</v>
      </c>
      <c r="G394" s="47">
        <f>SUM(G395)</f>
        <v>0</v>
      </c>
      <c r="H394" s="46">
        <f t="shared" si="58"/>
        <v>615038</v>
      </c>
    </row>
    <row r="395" spans="1:8" s="24" customFormat="1" ht="12" customHeight="1" x14ac:dyDescent="0.25">
      <c r="A395" s="41"/>
      <c r="B395" s="79"/>
      <c r="C395" s="86"/>
      <c r="D395" s="471" t="s">
        <v>163</v>
      </c>
      <c r="E395" s="470">
        <v>612600</v>
      </c>
      <c r="F395" s="462">
        <f>SUM(F396:F396)</f>
        <v>2438</v>
      </c>
      <c r="G395" s="462">
        <f>SUM(G396:G396)</f>
        <v>0</v>
      </c>
      <c r="H395" s="125">
        <f t="shared" si="58"/>
        <v>615038</v>
      </c>
    </row>
    <row r="396" spans="1:8" s="24" customFormat="1" ht="12" customHeight="1" x14ac:dyDescent="0.25">
      <c r="A396" s="41"/>
      <c r="B396" s="54"/>
      <c r="C396" s="84">
        <v>4130</v>
      </c>
      <c r="D396" s="92" t="s">
        <v>217</v>
      </c>
      <c r="E396" s="53">
        <v>612600</v>
      </c>
      <c r="F396" s="53">
        <v>2438</v>
      </c>
      <c r="G396" s="53"/>
      <c r="H396" s="52">
        <f t="shared" si="58"/>
        <v>615038</v>
      </c>
    </row>
    <row r="397" spans="1:8" s="24" customFormat="1" ht="16.899999999999999" customHeight="1" thickBot="1" x14ac:dyDescent="0.3">
      <c r="A397" s="130"/>
      <c r="B397" s="48"/>
      <c r="C397" s="54"/>
      <c r="D397" s="37" t="s">
        <v>218</v>
      </c>
      <c r="E397" s="38">
        <v>27344731.969999999</v>
      </c>
      <c r="F397" s="38">
        <f>SUM(F398,)</f>
        <v>224252.64</v>
      </c>
      <c r="G397" s="38">
        <f>SUM(G398,)</f>
        <v>309475.92000000004</v>
      </c>
      <c r="H397" s="38">
        <f>SUM(E397+F397-G397)</f>
        <v>27259508.689999998</v>
      </c>
    </row>
    <row r="398" spans="1:8" s="24" customFormat="1" ht="16.5" customHeight="1" thickTop="1" thickBot="1" x14ac:dyDescent="0.3">
      <c r="A398" s="40">
        <v>754</v>
      </c>
      <c r="B398" s="40"/>
      <c r="C398" s="41"/>
      <c r="D398" s="42" t="s">
        <v>75</v>
      </c>
      <c r="E398" s="38">
        <v>23247567.349999998</v>
      </c>
      <c r="F398" s="43">
        <f t="shared" ref="F398:G399" si="61">SUM(F399)</f>
        <v>224252.64</v>
      </c>
      <c r="G398" s="43">
        <f t="shared" si="61"/>
        <v>309475.92000000004</v>
      </c>
      <c r="H398" s="38">
        <f>SUM(E398+F398-G398)</f>
        <v>23162344.069999997</v>
      </c>
    </row>
    <row r="399" spans="1:8" s="24" customFormat="1" ht="12" customHeight="1" thickTop="1" x14ac:dyDescent="0.25">
      <c r="A399" s="33"/>
      <c r="B399" s="54">
        <v>75411</v>
      </c>
      <c r="C399" s="55"/>
      <c r="D399" s="131" t="s">
        <v>76</v>
      </c>
      <c r="E399" s="46">
        <v>23247567.349999998</v>
      </c>
      <c r="F399" s="47">
        <f t="shared" si="61"/>
        <v>224252.64</v>
      </c>
      <c r="G399" s="47">
        <f t="shared" si="61"/>
        <v>309475.92000000004</v>
      </c>
      <c r="H399" s="46">
        <f>SUM(E399+F399-G399)</f>
        <v>23162344.069999997</v>
      </c>
    </row>
    <row r="400" spans="1:8" s="24" customFormat="1" ht="12" customHeight="1" x14ac:dyDescent="0.25">
      <c r="A400" s="25"/>
      <c r="B400" s="55"/>
      <c r="C400" s="54"/>
      <c r="D400" s="479" t="s">
        <v>219</v>
      </c>
      <c r="E400" s="125">
        <v>23247567.349999998</v>
      </c>
      <c r="F400" s="125">
        <f>SUM(F401:F404)</f>
        <v>224252.64</v>
      </c>
      <c r="G400" s="125">
        <f>SUM(G401:G404)</f>
        <v>309475.92000000004</v>
      </c>
      <c r="H400" s="125">
        <f>SUM(E400+F400-G400)</f>
        <v>23162344.069999997</v>
      </c>
    </row>
    <row r="401" spans="1:8" s="24" customFormat="1" ht="12" customHeight="1" x14ac:dyDescent="0.25">
      <c r="A401" s="25"/>
      <c r="B401" s="55"/>
      <c r="C401" s="84">
        <v>4010</v>
      </c>
      <c r="D401" s="92" t="s">
        <v>25</v>
      </c>
      <c r="E401" s="53">
        <v>142040</v>
      </c>
      <c r="F401" s="53">
        <v>2100</v>
      </c>
      <c r="G401" s="53"/>
      <c r="H401" s="52">
        <f t="shared" ref="H401:H404" si="62">SUM(E401+F401-G401)</f>
        <v>144140</v>
      </c>
    </row>
    <row r="402" spans="1:8" s="24" customFormat="1" ht="12" customHeight="1" x14ac:dyDescent="0.25">
      <c r="A402" s="25"/>
      <c r="B402" s="55"/>
      <c r="C402" s="84">
        <v>4020</v>
      </c>
      <c r="D402" s="92" t="s">
        <v>220</v>
      </c>
      <c r="E402" s="53">
        <v>156368</v>
      </c>
      <c r="F402" s="53">
        <v>1400</v>
      </c>
      <c r="G402" s="53"/>
      <c r="H402" s="52">
        <f t="shared" si="62"/>
        <v>157768</v>
      </c>
    </row>
    <row r="403" spans="1:8" s="24" customFormat="1" ht="12" customHeight="1" x14ac:dyDescent="0.25">
      <c r="A403" s="25"/>
      <c r="B403" s="48"/>
      <c r="C403" s="84">
        <v>4050</v>
      </c>
      <c r="D403" s="132" t="s">
        <v>221</v>
      </c>
      <c r="E403" s="52">
        <v>15587956.790000001</v>
      </c>
      <c r="F403" s="52">
        <v>149650.01</v>
      </c>
      <c r="G403" s="52">
        <f>102.63+232945.7+74500</f>
        <v>307548.33</v>
      </c>
      <c r="H403" s="52">
        <f t="shared" si="62"/>
        <v>15430058.470000001</v>
      </c>
    </row>
    <row r="404" spans="1:8" s="24" customFormat="1" ht="24" customHeight="1" x14ac:dyDescent="0.25">
      <c r="A404" s="25"/>
      <c r="B404" s="48"/>
      <c r="C404" s="44">
        <v>4060</v>
      </c>
      <c r="D404" s="133" t="s">
        <v>222</v>
      </c>
      <c r="E404" s="52">
        <v>389803.56</v>
      </c>
      <c r="F404" s="52">
        <f>102.63+71000</f>
        <v>71102.63</v>
      </c>
      <c r="G404" s="52">
        <v>1927.59</v>
      </c>
      <c r="H404" s="52">
        <f t="shared" si="62"/>
        <v>458978.6</v>
      </c>
    </row>
    <row r="405" spans="1:8" s="24" customFormat="1" ht="3.75" customHeight="1" x14ac:dyDescent="0.25">
      <c r="A405" s="134"/>
      <c r="B405" s="134"/>
      <c r="C405" s="135"/>
      <c r="D405" s="136"/>
      <c r="E405" s="46"/>
      <c r="F405" s="46"/>
      <c r="G405" s="46"/>
      <c r="H405" s="46"/>
    </row>
    <row r="406" spans="1:8" s="24" customFormat="1" ht="12.95" customHeight="1" x14ac:dyDescent="0.25"/>
    <row r="407" spans="1:8" s="24" customFormat="1" ht="12.95" customHeight="1" x14ac:dyDescent="0.25"/>
    <row r="408" spans="1:8" s="24" customFormat="1" ht="12.95" customHeight="1" x14ac:dyDescent="0.25"/>
    <row r="409" spans="1:8" s="24" customFormat="1" ht="12.95" customHeight="1" x14ac:dyDescent="0.25"/>
    <row r="410" spans="1:8" s="24" customFormat="1" ht="12.95" customHeight="1" x14ac:dyDescent="0.25"/>
    <row r="411" spans="1:8" s="24" customFormat="1" ht="12.95" customHeight="1" x14ac:dyDescent="0.25"/>
    <row r="412" spans="1:8" s="24" customFormat="1" ht="12.95" customHeight="1" x14ac:dyDescent="0.25"/>
    <row r="413" spans="1:8" s="24" customFormat="1" ht="12.95" customHeight="1" x14ac:dyDescent="0.25"/>
    <row r="414" spans="1:8" s="24" customFormat="1" ht="12.95" customHeight="1" x14ac:dyDescent="0.25"/>
    <row r="415" spans="1:8" s="24" customFormat="1" ht="12.95" customHeight="1" x14ac:dyDescent="0.25"/>
    <row r="416" spans="1:8" s="24" customFormat="1" ht="12.95" customHeight="1" x14ac:dyDescent="0.25"/>
    <row r="417" s="24" customFormat="1" ht="12.95" customHeight="1" x14ac:dyDescent="0.25"/>
    <row r="418" s="24" customFormat="1" ht="12.95" customHeight="1" x14ac:dyDescent="0.25"/>
    <row r="419" s="24" customFormat="1" ht="12.95" customHeight="1" x14ac:dyDescent="0.25"/>
    <row r="420" s="24" customFormat="1" ht="12.95" customHeight="1" x14ac:dyDescent="0.25"/>
    <row r="421" s="24" customFormat="1" ht="12.95" customHeight="1" x14ac:dyDescent="0.25"/>
    <row r="422" s="24" customFormat="1" ht="12.95" customHeight="1" x14ac:dyDescent="0.25"/>
    <row r="423" s="24" customFormat="1" ht="12.95" customHeight="1" x14ac:dyDescent="0.25"/>
    <row r="424" s="24" customFormat="1" ht="12.95" customHeight="1" x14ac:dyDescent="0.25"/>
    <row r="425" s="24" customFormat="1" ht="12.95" customHeight="1" x14ac:dyDescent="0.25"/>
    <row r="426" s="24" customFormat="1" ht="12.95" customHeight="1" x14ac:dyDescent="0.25"/>
    <row r="427" s="24" customFormat="1" ht="12.95" customHeight="1" x14ac:dyDescent="0.25"/>
    <row r="428" s="24" customFormat="1" ht="12.95" customHeight="1" x14ac:dyDescent="0.25"/>
    <row r="429" s="24" customFormat="1" ht="12.95" customHeight="1" x14ac:dyDescent="0.25"/>
    <row r="430" s="24" customFormat="1" ht="12.95" customHeight="1" x14ac:dyDescent="0.25"/>
    <row r="431" s="24" customFormat="1" ht="12.95" customHeight="1" x14ac:dyDescent="0.25"/>
    <row r="432" s="24" customFormat="1" ht="12.95" customHeight="1" x14ac:dyDescent="0.25"/>
    <row r="433" s="24" customFormat="1" ht="12.95" customHeight="1" x14ac:dyDescent="0.25"/>
    <row r="434" s="24" customFormat="1" ht="12.95" customHeight="1" x14ac:dyDescent="0.25"/>
    <row r="435" s="24" customFormat="1" ht="12.95" customHeight="1" x14ac:dyDescent="0.25"/>
    <row r="436" s="24" customFormat="1" ht="12.95" customHeight="1" x14ac:dyDescent="0.25"/>
    <row r="437" s="24" customFormat="1" ht="12.95" customHeight="1" x14ac:dyDescent="0.25"/>
    <row r="438" s="24" customFormat="1" ht="12.95" customHeight="1" x14ac:dyDescent="0.25"/>
    <row r="439" s="24" customFormat="1" ht="12.95" customHeight="1" x14ac:dyDescent="0.25"/>
    <row r="440" s="24" customFormat="1" ht="12.95" customHeight="1" x14ac:dyDescent="0.25"/>
    <row r="441" s="24" customFormat="1" ht="12.95" customHeight="1" x14ac:dyDescent="0.25"/>
    <row r="442" s="24" customFormat="1" ht="12.95" customHeight="1" x14ac:dyDescent="0.25"/>
    <row r="443" s="24" customFormat="1" ht="12.95" customHeight="1" x14ac:dyDescent="0.25"/>
    <row r="444" s="24" customFormat="1" ht="12.95" customHeight="1" x14ac:dyDescent="0.25"/>
    <row r="445" s="24" customFormat="1" ht="12.95" customHeight="1" x14ac:dyDescent="0.25"/>
    <row r="446" s="24" customFormat="1" ht="12.95" customHeight="1" x14ac:dyDescent="0.25"/>
    <row r="447" s="24" customFormat="1" ht="12.95" customHeight="1" x14ac:dyDescent="0.25"/>
    <row r="448" s="24" customFormat="1" ht="12.95" customHeight="1" x14ac:dyDescent="0.25"/>
    <row r="449" s="24" customFormat="1" ht="12.95" customHeight="1" x14ac:dyDescent="0.25"/>
    <row r="450" s="24" customFormat="1" ht="12.95" customHeight="1" x14ac:dyDescent="0.25"/>
    <row r="451" s="24" customFormat="1" ht="12.95" customHeight="1" x14ac:dyDescent="0.25"/>
    <row r="452" s="24" customFormat="1" ht="12.95" customHeight="1" x14ac:dyDescent="0.25"/>
    <row r="453" s="24" customFormat="1" ht="12.95" customHeight="1" x14ac:dyDescent="0.25"/>
    <row r="454" s="24" customFormat="1" ht="12.95" customHeight="1" x14ac:dyDescent="0.25"/>
    <row r="455" s="24" customFormat="1" ht="12.95" customHeight="1" x14ac:dyDescent="0.25"/>
    <row r="456" s="24" customFormat="1" ht="12.95" customHeight="1" x14ac:dyDescent="0.25"/>
    <row r="457" s="24" customFormat="1" ht="12.95" customHeight="1" x14ac:dyDescent="0.25"/>
    <row r="458" s="24" customFormat="1" ht="12.95" customHeight="1" x14ac:dyDescent="0.25"/>
    <row r="459" s="24" customFormat="1" ht="12.95" customHeight="1" x14ac:dyDescent="0.25"/>
    <row r="460" s="24" customFormat="1" ht="12.95" customHeight="1" x14ac:dyDescent="0.25"/>
    <row r="461" s="24" customFormat="1" ht="12.95" customHeight="1" x14ac:dyDescent="0.25"/>
    <row r="462" s="24" customFormat="1" ht="12.95" customHeight="1" x14ac:dyDescent="0.25"/>
    <row r="463" s="24" customFormat="1" ht="12.95" customHeight="1" x14ac:dyDescent="0.25"/>
    <row r="464" s="24" customFormat="1" ht="12.95" customHeight="1" x14ac:dyDescent="0.25"/>
    <row r="465" s="24" customFormat="1" ht="12.95" customHeight="1" x14ac:dyDescent="0.25"/>
    <row r="466" s="24" customFormat="1" ht="12.95" customHeight="1" x14ac:dyDescent="0.25"/>
    <row r="467" s="24" customFormat="1" ht="12.95" customHeight="1" x14ac:dyDescent="0.25"/>
    <row r="468" s="24" customFormat="1" ht="12.95" customHeight="1" x14ac:dyDescent="0.25"/>
    <row r="469" s="24" customFormat="1" ht="12.95" customHeight="1" x14ac:dyDescent="0.25"/>
    <row r="470" s="24" customFormat="1" ht="12.95" customHeight="1" x14ac:dyDescent="0.25"/>
    <row r="471" s="24" customFormat="1" ht="12.95" customHeight="1" x14ac:dyDescent="0.25"/>
    <row r="472" s="24" customFormat="1" ht="12.95" customHeight="1" x14ac:dyDescent="0.25"/>
    <row r="473" s="11" customFormat="1" ht="12.95" customHeight="1" x14ac:dyDescent="0.3"/>
    <row r="474" s="11" customFormat="1" ht="12.95" customHeight="1" x14ac:dyDescent="0.3"/>
    <row r="475" s="11" customFormat="1" ht="12.95" customHeight="1" x14ac:dyDescent="0.3"/>
    <row r="476" s="11" customFormat="1" ht="12.95" customHeight="1" x14ac:dyDescent="0.3"/>
    <row r="477" s="11" customFormat="1" ht="12.95" customHeight="1" x14ac:dyDescent="0.3"/>
    <row r="478" s="11" customFormat="1" ht="12.95" customHeight="1" x14ac:dyDescent="0.3"/>
    <row r="479" s="11" customFormat="1" ht="12.95" customHeight="1" x14ac:dyDescent="0.3"/>
    <row r="480" s="11" customFormat="1" ht="12.95" customHeight="1" x14ac:dyDescent="0.3"/>
    <row r="481" s="11" customFormat="1" ht="12.95" customHeight="1" x14ac:dyDescent="0.3"/>
    <row r="482" s="11" customFormat="1" ht="12.95" customHeight="1" x14ac:dyDescent="0.3"/>
    <row r="483" s="11" customFormat="1" ht="12.95" customHeight="1" x14ac:dyDescent="0.3"/>
    <row r="484" s="11" customFormat="1" ht="12.95" customHeight="1" x14ac:dyDescent="0.3"/>
    <row r="485" s="11" customFormat="1" ht="12.75" customHeight="1" x14ac:dyDescent="0.3"/>
    <row r="486" s="11" customFormat="1" ht="12.75" customHeight="1" x14ac:dyDescent="0.3"/>
    <row r="487" s="11" customFormat="1" ht="12.75" customHeight="1" x14ac:dyDescent="0.3"/>
    <row r="488" s="11" customFormat="1" ht="12.75" customHeight="1" x14ac:dyDescent="0.3"/>
    <row r="489" s="11" customFormat="1" ht="12.75" customHeight="1" x14ac:dyDescent="0.3"/>
    <row r="490" s="11" customFormat="1" ht="12.75" customHeight="1" x14ac:dyDescent="0.3"/>
    <row r="491" s="11" customFormat="1" ht="12.75" customHeight="1" x14ac:dyDescent="0.3"/>
    <row r="492" s="11" customFormat="1" ht="12.75" customHeight="1" x14ac:dyDescent="0.3"/>
    <row r="493" s="11" customFormat="1" ht="12.75" customHeight="1" x14ac:dyDescent="0.3"/>
    <row r="494" s="11" customFormat="1" ht="12.75" customHeight="1" x14ac:dyDescent="0.3"/>
    <row r="495" s="11" customFormat="1" ht="12.75" customHeight="1" x14ac:dyDescent="0.3"/>
    <row r="496" s="11" customFormat="1" ht="12.75" customHeight="1" x14ac:dyDescent="0.3"/>
    <row r="497" s="11" customFormat="1" ht="12.75" customHeight="1" x14ac:dyDescent="0.3"/>
    <row r="498" s="11" customFormat="1" ht="12.75" customHeight="1" x14ac:dyDescent="0.3"/>
    <row r="499" s="11" customFormat="1" ht="12.75" customHeight="1" x14ac:dyDescent="0.3"/>
    <row r="500" s="11" customFormat="1" ht="12.75" customHeight="1" x14ac:dyDescent="0.3"/>
    <row r="501" s="11" customFormat="1" ht="12.75" customHeight="1" x14ac:dyDescent="0.3"/>
    <row r="502" s="11" customFormat="1" ht="12.75" customHeight="1" x14ac:dyDescent="0.3"/>
    <row r="503" s="11" customFormat="1" ht="12.75" customHeight="1" x14ac:dyDescent="0.3"/>
    <row r="504" s="11" customFormat="1" ht="12.75" customHeight="1" x14ac:dyDescent="0.3"/>
    <row r="505" s="11" customFormat="1" ht="12.75" customHeight="1" x14ac:dyDescent="0.3"/>
    <row r="506" s="11" customFormat="1" ht="12.75" customHeight="1" x14ac:dyDescent="0.3"/>
    <row r="507" s="11" customFormat="1" ht="12.75" customHeight="1" x14ac:dyDescent="0.3"/>
    <row r="508" s="11" customFormat="1" ht="12.75" customHeight="1" x14ac:dyDescent="0.3"/>
    <row r="509" s="11" customFormat="1" ht="12.75" customHeight="1" x14ac:dyDescent="0.3"/>
    <row r="510" s="11" customFormat="1" ht="12.75" customHeight="1" x14ac:dyDescent="0.3"/>
    <row r="511" s="11" customFormat="1" ht="12.75" customHeight="1" x14ac:dyDescent="0.3"/>
    <row r="512" s="11" customFormat="1" ht="12.75" customHeight="1" x14ac:dyDescent="0.3"/>
    <row r="513" s="11" customFormat="1" ht="12.75" customHeight="1" x14ac:dyDescent="0.3"/>
    <row r="514" s="11" customFormat="1" ht="12.75" customHeight="1" x14ac:dyDescent="0.3"/>
    <row r="515" s="11" customFormat="1" ht="12.75" customHeight="1" x14ac:dyDescent="0.3"/>
    <row r="516" s="11" customFormat="1" ht="12.75" customHeight="1" x14ac:dyDescent="0.3"/>
    <row r="517" s="11" customFormat="1" ht="12.75" customHeight="1" x14ac:dyDescent="0.3"/>
    <row r="518" s="11" customFormat="1" ht="12.75" customHeight="1" x14ac:dyDescent="0.3"/>
    <row r="519" s="11" customFormat="1" ht="12.75" customHeight="1" x14ac:dyDescent="0.3"/>
    <row r="520" s="11" customFormat="1" ht="12.75" customHeight="1" x14ac:dyDescent="0.3"/>
    <row r="521" s="11" customFormat="1" ht="12.75" customHeight="1" x14ac:dyDescent="0.3"/>
    <row r="522" s="11" customFormat="1" ht="12.75" customHeight="1" x14ac:dyDescent="0.3"/>
    <row r="523" s="11" customFormat="1" ht="12.75" customHeight="1" x14ac:dyDescent="0.3"/>
    <row r="524" s="11" customFormat="1" ht="12.75" customHeight="1" x14ac:dyDescent="0.3"/>
    <row r="525" s="11" customFormat="1" ht="12.75" customHeight="1" x14ac:dyDescent="0.3"/>
    <row r="526" s="11" customFormat="1" ht="12.75" customHeight="1" x14ac:dyDescent="0.3"/>
    <row r="527" s="11" customFormat="1" ht="12.75" customHeight="1" x14ac:dyDescent="0.3"/>
    <row r="528" s="11" customFormat="1" ht="12.75" customHeight="1" x14ac:dyDescent="0.3"/>
    <row r="529" s="11" customFormat="1" ht="12.75" customHeight="1" x14ac:dyDescent="0.3"/>
    <row r="530" s="11" customFormat="1" ht="12.75" customHeight="1" x14ac:dyDescent="0.3"/>
    <row r="531" s="11" customFormat="1" ht="12.75" customHeight="1" x14ac:dyDescent="0.3"/>
    <row r="532" s="11" customFormat="1" ht="12.75" customHeight="1" x14ac:dyDescent="0.3"/>
    <row r="533" s="11" customFormat="1" ht="12.75" customHeight="1" x14ac:dyDescent="0.3"/>
    <row r="534" s="11" customFormat="1" ht="12.75" customHeight="1" x14ac:dyDescent="0.3"/>
    <row r="535" s="11" customFormat="1" ht="12.75" customHeight="1" x14ac:dyDescent="0.3"/>
    <row r="536" s="11" customFormat="1" ht="12.75" customHeight="1" x14ac:dyDescent="0.3"/>
    <row r="537" s="11" customFormat="1" ht="12.75" customHeight="1" x14ac:dyDescent="0.3"/>
    <row r="538" s="11" customFormat="1" ht="12.75" customHeight="1" x14ac:dyDescent="0.3"/>
    <row r="539" s="11" customFormat="1" ht="12.75" customHeight="1" x14ac:dyDescent="0.3"/>
    <row r="540" s="11" customFormat="1" ht="12.75" customHeight="1" x14ac:dyDescent="0.3"/>
    <row r="541" s="11" customFormat="1" ht="12.75" customHeight="1" x14ac:dyDescent="0.3"/>
    <row r="542" s="11" customFormat="1" ht="12.75" customHeight="1" x14ac:dyDescent="0.3"/>
    <row r="543" s="11" customFormat="1" ht="12.75" customHeight="1" x14ac:dyDescent="0.3"/>
    <row r="544" s="11" customFormat="1" ht="12.75" customHeight="1" x14ac:dyDescent="0.3"/>
    <row r="545" s="11" customFormat="1" ht="12.75" customHeight="1" x14ac:dyDescent="0.3"/>
    <row r="546" s="11" customFormat="1" ht="12.75" customHeight="1" x14ac:dyDescent="0.3"/>
    <row r="547" s="11" customFormat="1" ht="12.75" customHeight="1" x14ac:dyDescent="0.3"/>
    <row r="548" s="11" customFormat="1" ht="12.75" customHeight="1" x14ac:dyDescent="0.3"/>
    <row r="549" s="11" customFormat="1" ht="12.75" customHeight="1" x14ac:dyDescent="0.3"/>
    <row r="550" s="11" customFormat="1" ht="12.75" customHeight="1" x14ac:dyDescent="0.3"/>
    <row r="551" s="11" customFormat="1" ht="12.75" customHeight="1" x14ac:dyDescent="0.3"/>
    <row r="552" s="11" customFormat="1" ht="12.75" customHeight="1" x14ac:dyDescent="0.3"/>
    <row r="553" s="11" customFormat="1" ht="12.75" customHeight="1" x14ac:dyDescent="0.3"/>
    <row r="554" s="11" customFormat="1" ht="12.75" customHeight="1" x14ac:dyDescent="0.3"/>
    <row r="555" s="11" customFormat="1" ht="12.75" customHeight="1" x14ac:dyDescent="0.3"/>
    <row r="556" s="11" customFormat="1" ht="12.75" customHeight="1" x14ac:dyDescent="0.3"/>
    <row r="557" s="11" customFormat="1" ht="12.75" customHeight="1" x14ac:dyDescent="0.3"/>
    <row r="558" s="11" customFormat="1" ht="12.75" customHeight="1" x14ac:dyDescent="0.3"/>
    <row r="559" s="11" customFormat="1" ht="12.75" customHeight="1" x14ac:dyDescent="0.3"/>
    <row r="560" s="11" customFormat="1" ht="12.75" customHeight="1" x14ac:dyDescent="0.3"/>
    <row r="561" s="11" customFormat="1" ht="12.75" customHeight="1" x14ac:dyDescent="0.3"/>
    <row r="562" s="11" customFormat="1" ht="12.75" customHeight="1" x14ac:dyDescent="0.3"/>
    <row r="563" s="11" customFormat="1" ht="12.75" customHeight="1" x14ac:dyDescent="0.3"/>
    <row r="564" s="11" customFormat="1" ht="12.75" customHeight="1" x14ac:dyDescent="0.3"/>
    <row r="565" s="11" customFormat="1" ht="12.75" customHeight="1" x14ac:dyDescent="0.3"/>
    <row r="566" s="11" customFormat="1" ht="12.75" customHeight="1" x14ac:dyDescent="0.3"/>
    <row r="567" s="11" customFormat="1" ht="12.75" customHeight="1" x14ac:dyDescent="0.3"/>
    <row r="568" s="11" customFormat="1" ht="12.75" customHeight="1" x14ac:dyDescent="0.3"/>
    <row r="569" s="11" customFormat="1" ht="12.75" customHeight="1" x14ac:dyDescent="0.3"/>
    <row r="570" s="11" customFormat="1" ht="12.75" customHeight="1" x14ac:dyDescent="0.3"/>
    <row r="571" s="11" customFormat="1" ht="12.75" customHeight="1" x14ac:dyDescent="0.3"/>
    <row r="572" s="11" customFormat="1" ht="12.75" customHeight="1" x14ac:dyDescent="0.3"/>
    <row r="573" s="11" customFormat="1" ht="12.75" customHeight="1" x14ac:dyDescent="0.3"/>
    <row r="574" s="11" customFormat="1" ht="12.75" customHeight="1" x14ac:dyDescent="0.3"/>
    <row r="575" s="11" customFormat="1" ht="12.75" customHeight="1" x14ac:dyDescent="0.3"/>
    <row r="576" s="11" customFormat="1" ht="12.75" customHeight="1" x14ac:dyDescent="0.3"/>
    <row r="577" s="11" customFormat="1" ht="12.75" customHeight="1" x14ac:dyDescent="0.3"/>
    <row r="578" s="11" customFormat="1" ht="12.75" customHeight="1" x14ac:dyDescent="0.3"/>
    <row r="579" s="11" customFormat="1" ht="12.75" customHeight="1" x14ac:dyDescent="0.3"/>
    <row r="580" s="11" customFormat="1" ht="12.75" customHeight="1" x14ac:dyDescent="0.3"/>
    <row r="581" s="11" customFormat="1" ht="12.75" customHeight="1" x14ac:dyDescent="0.3"/>
    <row r="582" s="11" customFormat="1" ht="12.75" customHeight="1" x14ac:dyDescent="0.3"/>
    <row r="583" s="11" customFormat="1" ht="12.75" customHeight="1" x14ac:dyDescent="0.3"/>
    <row r="584" s="11" customFormat="1" ht="12.75" customHeight="1" x14ac:dyDescent="0.3"/>
    <row r="585" s="11" customFormat="1" ht="12.75" customHeight="1" x14ac:dyDescent="0.3"/>
    <row r="586" s="11" customFormat="1" ht="12.75" customHeight="1" x14ac:dyDescent="0.3"/>
    <row r="587" s="11" customFormat="1" ht="12.75" customHeight="1" x14ac:dyDescent="0.3"/>
    <row r="588" s="11" customFormat="1" ht="12.75" customHeight="1" x14ac:dyDescent="0.3"/>
    <row r="589" s="11" customFormat="1" ht="12.75" customHeight="1" x14ac:dyDescent="0.3"/>
    <row r="590" s="11" customFormat="1" ht="12.75" customHeight="1" x14ac:dyDescent="0.3"/>
    <row r="591" s="11" customFormat="1" ht="12.75" customHeight="1" x14ac:dyDescent="0.3"/>
    <row r="592" s="11" customFormat="1" ht="12.75" customHeight="1" x14ac:dyDescent="0.3"/>
    <row r="593" s="11" customFormat="1" ht="12.75" customHeight="1" x14ac:dyDescent="0.3"/>
    <row r="594" s="11" customFormat="1" ht="12.75" customHeight="1" x14ac:dyDescent="0.3"/>
    <row r="595" s="11" customFormat="1" ht="12.75" customHeight="1" x14ac:dyDescent="0.3"/>
    <row r="596" s="11" customFormat="1" ht="12.75" customHeight="1" x14ac:dyDescent="0.3"/>
    <row r="597" s="11" customFormat="1" ht="12.75" customHeight="1" x14ac:dyDescent="0.3"/>
    <row r="598" s="11" customFormat="1" ht="12.75" customHeight="1" x14ac:dyDescent="0.3"/>
    <row r="599" s="11" customFormat="1" ht="12.75" customHeight="1" x14ac:dyDescent="0.3"/>
    <row r="600" s="11" customFormat="1" ht="12.75" customHeight="1" x14ac:dyDescent="0.3"/>
    <row r="601" s="11" customFormat="1" ht="12.75" customHeight="1" x14ac:dyDescent="0.3"/>
    <row r="602" s="11" customFormat="1" ht="12.75" customHeight="1" x14ac:dyDescent="0.3"/>
    <row r="603" s="11" customFormat="1" ht="12.75" customHeight="1" x14ac:dyDescent="0.3"/>
    <row r="604" s="11" customFormat="1" ht="12.75" customHeight="1" x14ac:dyDescent="0.3"/>
    <row r="605" s="11" customFormat="1" ht="12.75" customHeight="1" x14ac:dyDescent="0.3"/>
    <row r="606" s="11" customFormat="1" ht="12.75" customHeight="1" x14ac:dyDescent="0.3"/>
    <row r="607" s="11" customFormat="1" ht="12.75" customHeight="1" x14ac:dyDescent="0.3"/>
    <row r="608" s="11" customFormat="1" ht="12.75" customHeight="1" x14ac:dyDescent="0.3"/>
    <row r="609" s="11" customFormat="1" ht="12.75" customHeight="1" x14ac:dyDescent="0.3"/>
    <row r="610" s="11" customFormat="1" ht="12.75" customHeight="1" x14ac:dyDescent="0.3"/>
    <row r="611" s="11" customFormat="1" ht="12.75" customHeight="1" x14ac:dyDescent="0.3"/>
    <row r="612" s="11" customFormat="1" ht="12.75" customHeight="1" x14ac:dyDescent="0.3"/>
    <row r="613" s="11" customFormat="1" ht="12.75" customHeight="1" x14ac:dyDescent="0.3"/>
    <row r="614" s="11" customFormat="1" ht="12.75" customHeight="1" x14ac:dyDescent="0.3"/>
    <row r="615" s="11" customFormat="1" ht="12.75" customHeight="1" x14ac:dyDescent="0.3"/>
    <row r="616" s="11" customFormat="1" ht="12.75" customHeight="1" x14ac:dyDescent="0.3"/>
    <row r="617" s="11" customFormat="1" ht="12.75" customHeight="1" x14ac:dyDescent="0.3"/>
    <row r="618" s="11" customFormat="1" ht="12.75" customHeight="1" x14ac:dyDescent="0.3"/>
    <row r="619" s="11" customFormat="1" ht="12.75" customHeight="1" x14ac:dyDescent="0.3"/>
    <row r="620" s="11" customFormat="1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2" manualBreakCount="2">
    <brk id="207" max="7" man="1"/>
    <brk id="26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D9A5D-A8CB-49B1-AFEC-1D0AF3110B3C}">
  <sheetPr>
    <tabColor rgb="FFFFFF00"/>
    <pageSetUpPr fitToPage="1"/>
  </sheetPr>
  <dimension ref="A1:R26"/>
  <sheetViews>
    <sheetView zoomScaleNormal="100" workbookViewId="0">
      <pane ySplit="18" topLeftCell="A19" activePane="bottomLeft" state="frozen"/>
      <selection pane="bottomLeft"/>
    </sheetView>
  </sheetViews>
  <sheetFormatPr defaultRowHeight="12.75" x14ac:dyDescent="0.25"/>
  <cols>
    <col min="1" max="1" width="3.7109375" style="208" customWidth="1"/>
    <col min="2" max="2" width="5.85546875" style="208" customWidth="1"/>
    <col min="3" max="3" width="5.85546875" style="165" hidden="1" customWidth="1"/>
    <col min="4" max="4" width="55.85546875" style="7" customWidth="1"/>
    <col min="5" max="5" width="11.5703125" style="7" customWidth="1"/>
    <col min="6" max="6" width="11.7109375" style="7" customWidth="1"/>
    <col min="7" max="8" width="12" style="141" customWidth="1"/>
    <col min="9" max="9" width="12.140625" style="141" customWidth="1"/>
    <col min="10" max="11" width="12" style="141" customWidth="1"/>
    <col min="12" max="12" width="11.28515625" style="141" customWidth="1"/>
    <col min="13" max="13" width="14.7109375" style="16" customWidth="1"/>
    <col min="14" max="14" width="9.140625" style="7" customWidth="1"/>
    <col min="15" max="15" width="13" style="7" customWidth="1"/>
    <col min="16" max="16" width="10.42578125" style="7" hidden="1" customWidth="1"/>
    <col min="17" max="17" width="10.140625" style="7" customWidth="1"/>
    <col min="18" max="259" width="9.140625" style="7"/>
    <col min="260" max="260" width="4.140625" style="7" customWidth="1"/>
    <col min="261" max="261" width="5.5703125" style="7" customWidth="1"/>
    <col min="262" max="262" width="59.5703125" style="7" customWidth="1"/>
    <col min="263" max="264" width="11.28515625" style="7" customWidth="1"/>
    <col min="265" max="265" width="10.5703125" style="7" customWidth="1"/>
    <col min="266" max="266" width="10.42578125" style="7" customWidth="1"/>
    <col min="267" max="267" width="10.7109375" style="7" customWidth="1"/>
    <col min="268" max="268" width="9" style="7" customWidth="1"/>
    <col min="269" max="269" width="11.5703125" style="7" customWidth="1"/>
    <col min="270" max="270" width="9.140625" style="7"/>
    <col min="271" max="271" width="13" style="7" customWidth="1"/>
    <col min="272" max="515" width="9.140625" style="7"/>
    <col min="516" max="516" width="4.140625" style="7" customWidth="1"/>
    <col min="517" max="517" width="5.5703125" style="7" customWidth="1"/>
    <col min="518" max="518" width="59.5703125" style="7" customWidth="1"/>
    <col min="519" max="520" width="11.28515625" style="7" customWidth="1"/>
    <col min="521" max="521" width="10.5703125" style="7" customWidth="1"/>
    <col min="522" max="522" width="10.42578125" style="7" customWidth="1"/>
    <col min="523" max="523" width="10.7109375" style="7" customWidth="1"/>
    <col min="524" max="524" width="9" style="7" customWidth="1"/>
    <col min="525" max="525" width="11.5703125" style="7" customWidth="1"/>
    <col min="526" max="526" width="9.140625" style="7"/>
    <col min="527" max="527" width="13" style="7" customWidth="1"/>
    <col min="528" max="771" width="9.140625" style="7"/>
    <col min="772" max="772" width="4.140625" style="7" customWidth="1"/>
    <col min="773" max="773" width="5.5703125" style="7" customWidth="1"/>
    <col min="774" max="774" width="59.5703125" style="7" customWidth="1"/>
    <col min="775" max="776" width="11.28515625" style="7" customWidth="1"/>
    <col min="777" max="777" width="10.5703125" style="7" customWidth="1"/>
    <col min="778" max="778" width="10.42578125" style="7" customWidth="1"/>
    <col min="779" max="779" width="10.7109375" style="7" customWidth="1"/>
    <col min="780" max="780" width="9" style="7" customWidth="1"/>
    <col min="781" max="781" width="11.5703125" style="7" customWidth="1"/>
    <col min="782" max="782" width="9.140625" style="7"/>
    <col min="783" max="783" width="13" style="7" customWidth="1"/>
    <col min="784" max="1027" width="9.140625" style="7"/>
    <col min="1028" max="1028" width="4.140625" style="7" customWidth="1"/>
    <col min="1029" max="1029" width="5.5703125" style="7" customWidth="1"/>
    <col min="1030" max="1030" width="59.5703125" style="7" customWidth="1"/>
    <col min="1031" max="1032" width="11.28515625" style="7" customWidth="1"/>
    <col min="1033" max="1033" width="10.5703125" style="7" customWidth="1"/>
    <col min="1034" max="1034" width="10.42578125" style="7" customWidth="1"/>
    <col min="1035" max="1035" width="10.7109375" style="7" customWidth="1"/>
    <col min="1036" max="1036" width="9" style="7" customWidth="1"/>
    <col min="1037" max="1037" width="11.5703125" style="7" customWidth="1"/>
    <col min="1038" max="1038" width="9.140625" style="7"/>
    <col min="1039" max="1039" width="13" style="7" customWidth="1"/>
    <col min="1040" max="1283" width="9.140625" style="7"/>
    <col min="1284" max="1284" width="4.140625" style="7" customWidth="1"/>
    <col min="1285" max="1285" width="5.5703125" style="7" customWidth="1"/>
    <col min="1286" max="1286" width="59.5703125" style="7" customWidth="1"/>
    <col min="1287" max="1288" width="11.28515625" style="7" customWidth="1"/>
    <col min="1289" max="1289" width="10.5703125" style="7" customWidth="1"/>
    <col min="1290" max="1290" width="10.42578125" style="7" customWidth="1"/>
    <col min="1291" max="1291" width="10.7109375" style="7" customWidth="1"/>
    <col min="1292" max="1292" width="9" style="7" customWidth="1"/>
    <col min="1293" max="1293" width="11.5703125" style="7" customWidth="1"/>
    <col min="1294" max="1294" width="9.140625" style="7"/>
    <col min="1295" max="1295" width="13" style="7" customWidth="1"/>
    <col min="1296" max="1539" width="9.140625" style="7"/>
    <col min="1540" max="1540" width="4.140625" style="7" customWidth="1"/>
    <col min="1541" max="1541" width="5.5703125" style="7" customWidth="1"/>
    <col min="1542" max="1542" width="59.5703125" style="7" customWidth="1"/>
    <col min="1543" max="1544" width="11.28515625" style="7" customWidth="1"/>
    <col min="1545" max="1545" width="10.5703125" style="7" customWidth="1"/>
    <col min="1546" max="1546" width="10.42578125" style="7" customWidth="1"/>
    <col min="1547" max="1547" width="10.7109375" style="7" customWidth="1"/>
    <col min="1548" max="1548" width="9" style="7" customWidth="1"/>
    <col min="1549" max="1549" width="11.5703125" style="7" customWidth="1"/>
    <col min="1550" max="1550" width="9.140625" style="7"/>
    <col min="1551" max="1551" width="13" style="7" customWidth="1"/>
    <col min="1552" max="1795" width="9.140625" style="7"/>
    <col min="1796" max="1796" width="4.140625" style="7" customWidth="1"/>
    <col min="1797" max="1797" width="5.5703125" style="7" customWidth="1"/>
    <col min="1798" max="1798" width="59.5703125" style="7" customWidth="1"/>
    <col min="1799" max="1800" width="11.28515625" style="7" customWidth="1"/>
    <col min="1801" max="1801" width="10.5703125" style="7" customWidth="1"/>
    <col min="1802" max="1802" width="10.42578125" style="7" customWidth="1"/>
    <col min="1803" max="1803" width="10.7109375" style="7" customWidth="1"/>
    <col min="1804" max="1804" width="9" style="7" customWidth="1"/>
    <col min="1805" max="1805" width="11.5703125" style="7" customWidth="1"/>
    <col min="1806" max="1806" width="9.140625" style="7"/>
    <col min="1807" max="1807" width="13" style="7" customWidth="1"/>
    <col min="1808" max="2051" width="9.140625" style="7"/>
    <col min="2052" max="2052" width="4.140625" style="7" customWidth="1"/>
    <col min="2053" max="2053" width="5.5703125" style="7" customWidth="1"/>
    <col min="2054" max="2054" width="59.5703125" style="7" customWidth="1"/>
    <col min="2055" max="2056" width="11.28515625" style="7" customWidth="1"/>
    <col min="2057" max="2057" width="10.5703125" style="7" customWidth="1"/>
    <col min="2058" max="2058" width="10.42578125" style="7" customWidth="1"/>
    <col min="2059" max="2059" width="10.7109375" style="7" customWidth="1"/>
    <col min="2060" max="2060" width="9" style="7" customWidth="1"/>
    <col min="2061" max="2061" width="11.5703125" style="7" customWidth="1"/>
    <col min="2062" max="2062" width="9.140625" style="7"/>
    <col min="2063" max="2063" width="13" style="7" customWidth="1"/>
    <col min="2064" max="2307" width="9.140625" style="7"/>
    <col min="2308" max="2308" width="4.140625" style="7" customWidth="1"/>
    <col min="2309" max="2309" width="5.5703125" style="7" customWidth="1"/>
    <col min="2310" max="2310" width="59.5703125" style="7" customWidth="1"/>
    <col min="2311" max="2312" width="11.28515625" style="7" customWidth="1"/>
    <col min="2313" max="2313" width="10.5703125" style="7" customWidth="1"/>
    <col min="2314" max="2314" width="10.42578125" style="7" customWidth="1"/>
    <col min="2315" max="2315" width="10.7109375" style="7" customWidth="1"/>
    <col min="2316" max="2316" width="9" style="7" customWidth="1"/>
    <col min="2317" max="2317" width="11.5703125" style="7" customWidth="1"/>
    <col min="2318" max="2318" width="9.140625" style="7"/>
    <col min="2319" max="2319" width="13" style="7" customWidth="1"/>
    <col min="2320" max="2563" width="9.140625" style="7"/>
    <col min="2564" max="2564" width="4.140625" style="7" customWidth="1"/>
    <col min="2565" max="2565" width="5.5703125" style="7" customWidth="1"/>
    <col min="2566" max="2566" width="59.5703125" style="7" customWidth="1"/>
    <col min="2567" max="2568" width="11.28515625" style="7" customWidth="1"/>
    <col min="2569" max="2569" width="10.5703125" style="7" customWidth="1"/>
    <col min="2570" max="2570" width="10.42578125" style="7" customWidth="1"/>
    <col min="2571" max="2571" width="10.7109375" style="7" customWidth="1"/>
    <col min="2572" max="2572" width="9" style="7" customWidth="1"/>
    <col min="2573" max="2573" width="11.5703125" style="7" customWidth="1"/>
    <col min="2574" max="2574" width="9.140625" style="7"/>
    <col min="2575" max="2575" width="13" style="7" customWidth="1"/>
    <col min="2576" max="2819" width="9.140625" style="7"/>
    <col min="2820" max="2820" width="4.140625" style="7" customWidth="1"/>
    <col min="2821" max="2821" width="5.5703125" style="7" customWidth="1"/>
    <col min="2822" max="2822" width="59.5703125" style="7" customWidth="1"/>
    <col min="2823" max="2824" width="11.28515625" style="7" customWidth="1"/>
    <col min="2825" max="2825" width="10.5703125" style="7" customWidth="1"/>
    <col min="2826" max="2826" width="10.42578125" style="7" customWidth="1"/>
    <col min="2827" max="2827" width="10.7109375" style="7" customWidth="1"/>
    <col min="2828" max="2828" width="9" style="7" customWidth="1"/>
    <col min="2829" max="2829" width="11.5703125" style="7" customWidth="1"/>
    <col min="2830" max="2830" width="9.140625" style="7"/>
    <col min="2831" max="2831" width="13" style="7" customWidth="1"/>
    <col min="2832" max="3075" width="9.140625" style="7"/>
    <col min="3076" max="3076" width="4.140625" style="7" customWidth="1"/>
    <col min="3077" max="3077" width="5.5703125" style="7" customWidth="1"/>
    <col min="3078" max="3078" width="59.5703125" style="7" customWidth="1"/>
    <col min="3079" max="3080" width="11.28515625" style="7" customWidth="1"/>
    <col min="3081" max="3081" width="10.5703125" style="7" customWidth="1"/>
    <col min="3082" max="3082" width="10.42578125" style="7" customWidth="1"/>
    <col min="3083" max="3083" width="10.7109375" style="7" customWidth="1"/>
    <col min="3084" max="3084" width="9" style="7" customWidth="1"/>
    <col min="3085" max="3085" width="11.5703125" style="7" customWidth="1"/>
    <col min="3086" max="3086" width="9.140625" style="7"/>
    <col min="3087" max="3087" width="13" style="7" customWidth="1"/>
    <col min="3088" max="3331" width="9.140625" style="7"/>
    <col min="3332" max="3332" width="4.140625" style="7" customWidth="1"/>
    <col min="3333" max="3333" width="5.5703125" style="7" customWidth="1"/>
    <col min="3334" max="3334" width="59.5703125" style="7" customWidth="1"/>
    <col min="3335" max="3336" width="11.28515625" style="7" customWidth="1"/>
    <col min="3337" max="3337" width="10.5703125" style="7" customWidth="1"/>
    <col min="3338" max="3338" width="10.42578125" style="7" customWidth="1"/>
    <col min="3339" max="3339" width="10.7109375" style="7" customWidth="1"/>
    <col min="3340" max="3340" width="9" style="7" customWidth="1"/>
    <col min="3341" max="3341" width="11.5703125" style="7" customWidth="1"/>
    <col min="3342" max="3342" width="9.140625" style="7"/>
    <col min="3343" max="3343" width="13" style="7" customWidth="1"/>
    <col min="3344" max="3587" width="9.140625" style="7"/>
    <col min="3588" max="3588" width="4.140625" style="7" customWidth="1"/>
    <col min="3589" max="3589" width="5.5703125" style="7" customWidth="1"/>
    <col min="3590" max="3590" width="59.5703125" style="7" customWidth="1"/>
    <col min="3591" max="3592" width="11.28515625" style="7" customWidth="1"/>
    <col min="3593" max="3593" width="10.5703125" style="7" customWidth="1"/>
    <col min="3594" max="3594" width="10.42578125" style="7" customWidth="1"/>
    <col min="3595" max="3595" width="10.7109375" style="7" customWidth="1"/>
    <col min="3596" max="3596" width="9" style="7" customWidth="1"/>
    <col min="3597" max="3597" width="11.5703125" style="7" customWidth="1"/>
    <col min="3598" max="3598" width="9.140625" style="7"/>
    <col min="3599" max="3599" width="13" style="7" customWidth="1"/>
    <col min="3600" max="3843" width="9.140625" style="7"/>
    <col min="3844" max="3844" width="4.140625" style="7" customWidth="1"/>
    <col min="3845" max="3845" width="5.5703125" style="7" customWidth="1"/>
    <col min="3846" max="3846" width="59.5703125" style="7" customWidth="1"/>
    <col min="3847" max="3848" width="11.28515625" style="7" customWidth="1"/>
    <col min="3849" max="3849" width="10.5703125" style="7" customWidth="1"/>
    <col min="3850" max="3850" width="10.42578125" style="7" customWidth="1"/>
    <col min="3851" max="3851" width="10.7109375" style="7" customWidth="1"/>
    <col min="3852" max="3852" width="9" style="7" customWidth="1"/>
    <col min="3853" max="3853" width="11.5703125" style="7" customWidth="1"/>
    <col min="3854" max="3854" width="9.140625" style="7"/>
    <col min="3855" max="3855" width="13" style="7" customWidth="1"/>
    <col min="3856" max="4099" width="9.140625" style="7"/>
    <col min="4100" max="4100" width="4.140625" style="7" customWidth="1"/>
    <col min="4101" max="4101" width="5.5703125" style="7" customWidth="1"/>
    <col min="4102" max="4102" width="59.5703125" style="7" customWidth="1"/>
    <col min="4103" max="4104" width="11.28515625" style="7" customWidth="1"/>
    <col min="4105" max="4105" width="10.5703125" style="7" customWidth="1"/>
    <col min="4106" max="4106" width="10.42578125" style="7" customWidth="1"/>
    <col min="4107" max="4107" width="10.7109375" style="7" customWidth="1"/>
    <col min="4108" max="4108" width="9" style="7" customWidth="1"/>
    <col min="4109" max="4109" width="11.5703125" style="7" customWidth="1"/>
    <col min="4110" max="4110" width="9.140625" style="7"/>
    <col min="4111" max="4111" width="13" style="7" customWidth="1"/>
    <col min="4112" max="4355" width="9.140625" style="7"/>
    <col min="4356" max="4356" width="4.140625" style="7" customWidth="1"/>
    <col min="4357" max="4357" width="5.5703125" style="7" customWidth="1"/>
    <col min="4358" max="4358" width="59.5703125" style="7" customWidth="1"/>
    <col min="4359" max="4360" width="11.28515625" style="7" customWidth="1"/>
    <col min="4361" max="4361" width="10.5703125" style="7" customWidth="1"/>
    <col min="4362" max="4362" width="10.42578125" style="7" customWidth="1"/>
    <col min="4363" max="4363" width="10.7109375" style="7" customWidth="1"/>
    <col min="4364" max="4364" width="9" style="7" customWidth="1"/>
    <col min="4365" max="4365" width="11.5703125" style="7" customWidth="1"/>
    <col min="4366" max="4366" width="9.140625" style="7"/>
    <col min="4367" max="4367" width="13" style="7" customWidth="1"/>
    <col min="4368" max="4611" width="9.140625" style="7"/>
    <col min="4612" max="4612" width="4.140625" style="7" customWidth="1"/>
    <col min="4613" max="4613" width="5.5703125" style="7" customWidth="1"/>
    <col min="4614" max="4614" width="59.5703125" style="7" customWidth="1"/>
    <col min="4615" max="4616" width="11.28515625" style="7" customWidth="1"/>
    <col min="4617" max="4617" width="10.5703125" style="7" customWidth="1"/>
    <col min="4618" max="4618" width="10.42578125" style="7" customWidth="1"/>
    <col min="4619" max="4619" width="10.7109375" style="7" customWidth="1"/>
    <col min="4620" max="4620" width="9" style="7" customWidth="1"/>
    <col min="4621" max="4621" width="11.5703125" style="7" customWidth="1"/>
    <col min="4622" max="4622" width="9.140625" style="7"/>
    <col min="4623" max="4623" width="13" style="7" customWidth="1"/>
    <col min="4624" max="4867" width="9.140625" style="7"/>
    <col min="4868" max="4868" width="4.140625" style="7" customWidth="1"/>
    <col min="4869" max="4869" width="5.5703125" style="7" customWidth="1"/>
    <col min="4870" max="4870" width="59.5703125" style="7" customWidth="1"/>
    <col min="4871" max="4872" width="11.28515625" style="7" customWidth="1"/>
    <col min="4873" max="4873" width="10.5703125" style="7" customWidth="1"/>
    <col min="4874" max="4874" width="10.42578125" style="7" customWidth="1"/>
    <col min="4875" max="4875" width="10.7109375" style="7" customWidth="1"/>
    <col min="4876" max="4876" width="9" style="7" customWidth="1"/>
    <col min="4877" max="4877" width="11.5703125" style="7" customWidth="1"/>
    <col min="4878" max="4878" width="9.140625" style="7"/>
    <col min="4879" max="4879" width="13" style="7" customWidth="1"/>
    <col min="4880" max="5123" width="9.140625" style="7"/>
    <col min="5124" max="5124" width="4.140625" style="7" customWidth="1"/>
    <col min="5125" max="5125" width="5.5703125" style="7" customWidth="1"/>
    <col min="5126" max="5126" width="59.5703125" style="7" customWidth="1"/>
    <col min="5127" max="5128" width="11.28515625" style="7" customWidth="1"/>
    <col min="5129" max="5129" width="10.5703125" style="7" customWidth="1"/>
    <col min="5130" max="5130" width="10.42578125" style="7" customWidth="1"/>
    <col min="5131" max="5131" width="10.7109375" style="7" customWidth="1"/>
    <col min="5132" max="5132" width="9" style="7" customWidth="1"/>
    <col min="5133" max="5133" width="11.5703125" style="7" customWidth="1"/>
    <col min="5134" max="5134" width="9.140625" style="7"/>
    <col min="5135" max="5135" width="13" style="7" customWidth="1"/>
    <col min="5136" max="5379" width="9.140625" style="7"/>
    <col min="5380" max="5380" width="4.140625" style="7" customWidth="1"/>
    <col min="5381" max="5381" width="5.5703125" style="7" customWidth="1"/>
    <col min="5382" max="5382" width="59.5703125" style="7" customWidth="1"/>
    <col min="5383" max="5384" width="11.28515625" style="7" customWidth="1"/>
    <col min="5385" max="5385" width="10.5703125" style="7" customWidth="1"/>
    <col min="5386" max="5386" width="10.42578125" style="7" customWidth="1"/>
    <col min="5387" max="5387" width="10.7109375" style="7" customWidth="1"/>
    <col min="5388" max="5388" width="9" style="7" customWidth="1"/>
    <col min="5389" max="5389" width="11.5703125" style="7" customWidth="1"/>
    <col min="5390" max="5390" width="9.140625" style="7"/>
    <col min="5391" max="5391" width="13" style="7" customWidth="1"/>
    <col min="5392" max="5635" width="9.140625" style="7"/>
    <col min="5636" max="5636" width="4.140625" style="7" customWidth="1"/>
    <col min="5637" max="5637" width="5.5703125" style="7" customWidth="1"/>
    <col min="5638" max="5638" width="59.5703125" style="7" customWidth="1"/>
    <col min="5639" max="5640" width="11.28515625" style="7" customWidth="1"/>
    <col min="5641" max="5641" width="10.5703125" style="7" customWidth="1"/>
    <col min="5642" max="5642" width="10.42578125" style="7" customWidth="1"/>
    <col min="5643" max="5643" width="10.7109375" style="7" customWidth="1"/>
    <col min="5644" max="5644" width="9" style="7" customWidth="1"/>
    <col min="5645" max="5645" width="11.5703125" style="7" customWidth="1"/>
    <col min="5646" max="5646" width="9.140625" style="7"/>
    <col min="5647" max="5647" width="13" style="7" customWidth="1"/>
    <col min="5648" max="5891" width="9.140625" style="7"/>
    <col min="5892" max="5892" width="4.140625" style="7" customWidth="1"/>
    <col min="5893" max="5893" width="5.5703125" style="7" customWidth="1"/>
    <col min="5894" max="5894" width="59.5703125" style="7" customWidth="1"/>
    <col min="5895" max="5896" width="11.28515625" style="7" customWidth="1"/>
    <col min="5897" max="5897" width="10.5703125" style="7" customWidth="1"/>
    <col min="5898" max="5898" width="10.42578125" style="7" customWidth="1"/>
    <col min="5899" max="5899" width="10.7109375" style="7" customWidth="1"/>
    <col min="5900" max="5900" width="9" style="7" customWidth="1"/>
    <col min="5901" max="5901" width="11.5703125" style="7" customWidth="1"/>
    <col min="5902" max="5902" width="9.140625" style="7"/>
    <col min="5903" max="5903" width="13" style="7" customWidth="1"/>
    <col min="5904" max="6147" width="9.140625" style="7"/>
    <col min="6148" max="6148" width="4.140625" style="7" customWidth="1"/>
    <col min="6149" max="6149" width="5.5703125" style="7" customWidth="1"/>
    <col min="6150" max="6150" width="59.5703125" style="7" customWidth="1"/>
    <col min="6151" max="6152" width="11.28515625" style="7" customWidth="1"/>
    <col min="6153" max="6153" width="10.5703125" style="7" customWidth="1"/>
    <col min="6154" max="6154" width="10.42578125" style="7" customWidth="1"/>
    <col min="6155" max="6155" width="10.7109375" style="7" customWidth="1"/>
    <col min="6156" max="6156" width="9" style="7" customWidth="1"/>
    <col min="6157" max="6157" width="11.5703125" style="7" customWidth="1"/>
    <col min="6158" max="6158" width="9.140625" style="7"/>
    <col min="6159" max="6159" width="13" style="7" customWidth="1"/>
    <col min="6160" max="6403" width="9.140625" style="7"/>
    <col min="6404" max="6404" width="4.140625" style="7" customWidth="1"/>
    <col min="6405" max="6405" width="5.5703125" style="7" customWidth="1"/>
    <col min="6406" max="6406" width="59.5703125" style="7" customWidth="1"/>
    <col min="6407" max="6408" width="11.28515625" style="7" customWidth="1"/>
    <col min="6409" max="6409" width="10.5703125" style="7" customWidth="1"/>
    <col min="6410" max="6410" width="10.42578125" style="7" customWidth="1"/>
    <col min="6411" max="6411" width="10.7109375" style="7" customWidth="1"/>
    <col min="6412" max="6412" width="9" style="7" customWidth="1"/>
    <col min="6413" max="6413" width="11.5703125" style="7" customWidth="1"/>
    <col min="6414" max="6414" width="9.140625" style="7"/>
    <col min="6415" max="6415" width="13" style="7" customWidth="1"/>
    <col min="6416" max="6659" width="9.140625" style="7"/>
    <col min="6660" max="6660" width="4.140625" style="7" customWidth="1"/>
    <col min="6661" max="6661" width="5.5703125" style="7" customWidth="1"/>
    <col min="6662" max="6662" width="59.5703125" style="7" customWidth="1"/>
    <col min="6663" max="6664" width="11.28515625" style="7" customWidth="1"/>
    <col min="6665" max="6665" width="10.5703125" style="7" customWidth="1"/>
    <col min="6666" max="6666" width="10.42578125" style="7" customWidth="1"/>
    <col min="6667" max="6667" width="10.7109375" style="7" customWidth="1"/>
    <col min="6668" max="6668" width="9" style="7" customWidth="1"/>
    <col min="6669" max="6669" width="11.5703125" style="7" customWidth="1"/>
    <col min="6670" max="6670" width="9.140625" style="7"/>
    <col min="6671" max="6671" width="13" style="7" customWidth="1"/>
    <col min="6672" max="6915" width="9.140625" style="7"/>
    <col min="6916" max="6916" width="4.140625" style="7" customWidth="1"/>
    <col min="6917" max="6917" width="5.5703125" style="7" customWidth="1"/>
    <col min="6918" max="6918" width="59.5703125" style="7" customWidth="1"/>
    <col min="6919" max="6920" width="11.28515625" style="7" customWidth="1"/>
    <col min="6921" max="6921" width="10.5703125" style="7" customWidth="1"/>
    <col min="6922" max="6922" width="10.42578125" style="7" customWidth="1"/>
    <col min="6923" max="6923" width="10.7109375" style="7" customWidth="1"/>
    <col min="6924" max="6924" width="9" style="7" customWidth="1"/>
    <col min="6925" max="6925" width="11.5703125" style="7" customWidth="1"/>
    <col min="6926" max="6926" width="9.140625" style="7"/>
    <col min="6927" max="6927" width="13" style="7" customWidth="1"/>
    <col min="6928" max="7171" width="9.140625" style="7"/>
    <col min="7172" max="7172" width="4.140625" style="7" customWidth="1"/>
    <col min="7173" max="7173" width="5.5703125" style="7" customWidth="1"/>
    <col min="7174" max="7174" width="59.5703125" style="7" customWidth="1"/>
    <col min="7175" max="7176" width="11.28515625" style="7" customWidth="1"/>
    <col min="7177" max="7177" width="10.5703125" style="7" customWidth="1"/>
    <col min="7178" max="7178" width="10.42578125" style="7" customWidth="1"/>
    <col min="7179" max="7179" width="10.7109375" style="7" customWidth="1"/>
    <col min="7180" max="7180" width="9" style="7" customWidth="1"/>
    <col min="7181" max="7181" width="11.5703125" style="7" customWidth="1"/>
    <col min="7182" max="7182" width="9.140625" style="7"/>
    <col min="7183" max="7183" width="13" style="7" customWidth="1"/>
    <col min="7184" max="7427" width="9.140625" style="7"/>
    <col min="7428" max="7428" width="4.140625" style="7" customWidth="1"/>
    <col min="7429" max="7429" width="5.5703125" style="7" customWidth="1"/>
    <col min="7430" max="7430" width="59.5703125" style="7" customWidth="1"/>
    <col min="7431" max="7432" width="11.28515625" style="7" customWidth="1"/>
    <col min="7433" max="7433" width="10.5703125" style="7" customWidth="1"/>
    <col min="7434" max="7434" width="10.42578125" style="7" customWidth="1"/>
    <col min="7435" max="7435" width="10.7109375" style="7" customWidth="1"/>
    <col min="7436" max="7436" width="9" style="7" customWidth="1"/>
    <col min="7437" max="7437" width="11.5703125" style="7" customWidth="1"/>
    <col min="7438" max="7438" width="9.140625" style="7"/>
    <col min="7439" max="7439" width="13" style="7" customWidth="1"/>
    <col min="7440" max="7683" width="9.140625" style="7"/>
    <col min="7684" max="7684" width="4.140625" style="7" customWidth="1"/>
    <col min="7685" max="7685" width="5.5703125" style="7" customWidth="1"/>
    <col min="7686" max="7686" width="59.5703125" style="7" customWidth="1"/>
    <col min="7687" max="7688" width="11.28515625" style="7" customWidth="1"/>
    <col min="7689" max="7689" width="10.5703125" style="7" customWidth="1"/>
    <col min="7690" max="7690" width="10.42578125" style="7" customWidth="1"/>
    <col min="7691" max="7691" width="10.7109375" style="7" customWidth="1"/>
    <col min="7692" max="7692" width="9" style="7" customWidth="1"/>
    <col min="7693" max="7693" width="11.5703125" style="7" customWidth="1"/>
    <col min="7694" max="7694" width="9.140625" style="7"/>
    <col min="7695" max="7695" width="13" style="7" customWidth="1"/>
    <col min="7696" max="7939" width="9.140625" style="7"/>
    <col min="7940" max="7940" width="4.140625" style="7" customWidth="1"/>
    <col min="7941" max="7941" width="5.5703125" style="7" customWidth="1"/>
    <col min="7942" max="7942" width="59.5703125" style="7" customWidth="1"/>
    <col min="7943" max="7944" width="11.28515625" style="7" customWidth="1"/>
    <col min="7945" max="7945" width="10.5703125" style="7" customWidth="1"/>
    <col min="7946" max="7946" width="10.42578125" style="7" customWidth="1"/>
    <col min="7947" max="7947" width="10.7109375" style="7" customWidth="1"/>
    <col min="7948" max="7948" width="9" style="7" customWidth="1"/>
    <col min="7949" max="7949" width="11.5703125" style="7" customWidth="1"/>
    <col min="7950" max="7950" width="9.140625" style="7"/>
    <col min="7951" max="7951" width="13" style="7" customWidth="1"/>
    <col min="7952" max="8195" width="9.140625" style="7"/>
    <col min="8196" max="8196" width="4.140625" style="7" customWidth="1"/>
    <col min="8197" max="8197" width="5.5703125" style="7" customWidth="1"/>
    <col min="8198" max="8198" width="59.5703125" style="7" customWidth="1"/>
    <col min="8199" max="8200" width="11.28515625" style="7" customWidth="1"/>
    <col min="8201" max="8201" width="10.5703125" style="7" customWidth="1"/>
    <col min="8202" max="8202" width="10.42578125" style="7" customWidth="1"/>
    <col min="8203" max="8203" width="10.7109375" style="7" customWidth="1"/>
    <col min="8204" max="8204" width="9" style="7" customWidth="1"/>
    <col min="8205" max="8205" width="11.5703125" style="7" customWidth="1"/>
    <col min="8206" max="8206" width="9.140625" style="7"/>
    <col min="8207" max="8207" width="13" style="7" customWidth="1"/>
    <col min="8208" max="8451" width="9.140625" style="7"/>
    <col min="8452" max="8452" width="4.140625" style="7" customWidth="1"/>
    <col min="8453" max="8453" width="5.5703125" style="7" customWidth="1"/>
    <col min="8454" max="8454" width="59.5703125" style="7" customWidth="1"/>
    <col min="8455" max="8456" width="11.28515625" style="7" customWidth="1"/>
    <col min="8457" max="8457" width="10.5703125" style="7" customWidth="1"/>
    <col min="8458" max="8458" width="10.42578125" style="7" customWidth="1"/>
    <col min="8459" max="8459" width="10.7109375" style="7" customWidth="1"/>
    <col min="8460" max="8460" width="9" style="7" customWidth="1"/>
    <col min="8461" max="8461" width="11.5703125" style="7" customWidth="1"/>
    <col min="8462" max="8462" width="9.140625" style="7"/>
    <col min="8463" max="8463" width="13" style="7" customWidth="1"/>
    <col min="8464" max="8707" width="9.140625" style="7"/>
    <col min="8708" max="8708" width="4.140625" style="7" customWidth="1"/>
    <col min="8709" max="8709" width="5.5703125" style="7" customWidth="1"/>
    <col min="8710" max="8710" width="59.5703125" style="7" customWidth="1"/>
    <col min="8711" max="8712" width="11.28515625" style="7" customWidth="1"/>
    <col min="8713" max="8713" width="10.5703125" style="7" customWidth="1"/>
    <col min="8714" max="8714" width="10.42578125" style="7" customWidth="1"/>
    <col min="8715" max="8715" width="10.7109375" style="7" customWidth="1"/>
    <col min="8716" max="8716" width="9" style="7" customWidth="1"/>
    <col min="8717" max="8717" width="11.5703125" style="7" customWidth="1"/>
    <col min="8718" max="8718" width="9.140625" style="7"/>
    <col min="8719" max="8719" width="13" style="7" customWidth="1"/>
    <col min="8720" max="8963" width="9.140625" style="7"/>
    <col min="8964" max="8964" width="4.140625" style="7" customWidth="1"/>
    <col min="8965" max="8965" width="5.5703125" style="7" customWidth="1"/>
    <col min="8966" max="8966" width="59.5703125" style="7" customWidth="1"/>
    <col min="8967" max="8968" width="11.28515625" style="7" customWidth="1"/>
    <col min="8969" max="8969" width="10.5703125" style="7" customWidth="1"/>
    <col min="8970" max="8970" width="10.42578125" style="7" customWidth="1"/>
    <col min="8971" max="8971" width="10.7109375" style="7" customWidth="1"/>
    <col min="8972" max="8972" width="9" style="7" customWidth="1"/>
    <col min="8973" max="8973" width="11.5703125" style="7" customWidth="1"/>
    <col min="8974" max="8974" width="9.140625" style="7"/>
    <col min="8975" max="8975" width="13" style="7" customWidth="1"/>
    <col min="8976" max="9219" width="9.140625" style="7"/>
    <col min="9220" max="9220" width="4.140625" style="7" customWidth="1"/>
    <col min="9221" max="9221" width="5.5703125" style="7" customWidth="1"/>
    <col min="9222" max="9222" width="59.5703125" style="7" customWidth="1"/>
    <col min="9223" max="9224" width="11.28515625" style="7" customWidth="1"/>
    <col min="9225" max="9225" width="10.5703125" style="7" customWidth="1"/>
    <col min="9226" max="9226" width="10.42578125" style="7" customWidth="1"/>
    <col min="9227" max="9227" width="10.7109375" style="7" customWidth="1"/>
    <col min="9228" max="9228" width="9" style="7" customWidth="1"/>
    <col min="9229" max="9229" width="11.5703125" style="7" customWidth="1"/>
    <col min="9230" max="9230" width="9.140625" style="7"/>
    <col min="9231" max="9231" width="13" style="7" customWidth="1"/>
    <col min="9232" max="9475" width="9.140625" style="7"/>
    <col min="9476" max="9476" width="4.140625" style="7" customWidth="1"/>
    <col min="9477" max="9477" width="5.5703125" style="7" customWidth="1"/>
    <col min="9478" max="9478" width="59.5703125" style="7" customWidth="1"/>
    <col min="9479" max="9480" width="11.28515625" style="7" customWidth="1"/>
    <col min="9481" max="9481" width="10.5703125" style="7" customWidth="1"/>
    <col min="9482" max="9482" width="10.42578125" style="7" customWidth="1"/>
    <col min="9483" max="9483" width="10.7109375" style="7" customWidth="1"/>
    <col min="9484" max="9484" width="9" style="7" customWidth="1"/>
    <col min="9485" max="9485" width="11.5703125" style="7" customWidth="1"/>
    <col min="9486" max="9486" width="9.140625" style="7"/>
    <col min="9487" max="9487" width="13" style="7" customWidth="1"/>
    <col min="9488" max="9731" width="9.140625" style="7"/>
    <col min="9732" max="9732" width="4.140625" style="7" customWidth="1"/>
    <col min="9733" max="9733" width="5.5703125" style="7" customWidth="1"/>
    <col min="9734" max="9734" width="59.5703125" style="7" customWidth="1"/>
    <col min="9735" max="9736" width="11.28515625" style="7" customWidth="1"/>
    <col min="9737" max="9737" width="10.5703125" style="7" customWidth="1"/>
    <col min="9738" max="9738" width="10.42578125" style="7" customWidth="1"/>
    <col min="9739" max="9739" width="10.7109375" style="7" customWidth="1"/>
    <col min="9740" max="9740" width="9" style="7" customWidth="1"/>
    <col min="9741" max="9741" width="11.5703125" style="7" customWidth="1"/>
    <col min="9742" max="9742" width="9.140625" style="7"/>
    <col min="9743" max="9743" width="13" style="7" customWidth="1"/>
    <col min="9744" max="9987" width="9.140625" style="7"/>
    <col min="9988" max="9988" width="4.140625" style="7" customWidth="1"/>
    <col min="9989" max="9989" width="5.5703125" style="7" customWidth="1"/>
    <col min="9990" max="9990" width="59.5703125" style="7" customWidth="1"/>
    <col min="9991" max="9992" width="11.28515625" style="7" customWidth="1"/>
    <col min="9993" max="9993" width="10.5703125" style="7" customWidth="1"/>
    <col min="9994" max="9994" width="10.42578125" style="7" customWidth="1"/>
    <col min="9995" max="9995" width="10.7109375" style="7" customWidth="1"/>
    <col min="9996" max="9996" width="9" style="7" customWidth="1"/>
    <col min="9997" max="9997" width="11.5703125" style="7" customWidth="1"/>
    <col min="9998" max="9998" width="9.140625" style="7"/>
    <col min="9999" max="9999" width="13" style="7" customWidth="1"/>
    <col min="10000" max="10243" width="9.140625" style="7"/>
    <col min="10244" max="10244" width="4.140625" style="7" customWidth="1"/>
    <col min="10245" max="10245" width="5.5703125" style="7" customWidth="1"/>
    <col min="10246" max="10246" width="59.5703125" style="7" customWidth="1"/>
    <col min="10247" max="10248" width="11.28515625" style="7" customWidth="1"/>
    <col min="10249" max="10249" width="10.5703125" style="7" customWidth="1"/>
    <col min="10250" max="10250" width="10.42578125" style="7" customWidth="1"/>
    <col min="10251" max="10251" width="10.7109375" style="7" customWidth="1"/>
    <col min="10252" max="10252" width="9" style="7" customWidth="1"/>
    <col min="10253" max="10253" width="11.5703125" style="7" customWidth="1"/>
    <col min="10254" max="10254" width="9.140625" style="7"/>
    <col min="10255" max="10255" width="13" style="7" customWidth="1"/>
    <col min="10256" max="10499" width="9.140625" style="7"/>
    <col min="10500" max="10500" width="4.140625" style="7" customWidth="1"/>
    <col min="10501" max="10501" width="5.5703125" style="7" customWidth="1"/>
    <col min="10502" max="10502" width="59.5703125" style="7" customWidth="1"/>
    <col min="10503" max="10504" width="11.28515625" style="7" customWidth="1"/>
    <col min="10505" max="10505" width="10.5703125" style="7" customWidth="1"/>
    <col min="10506" max="10506" width="10.42578125" style="7" customWidth="1"/>
    <col min="10507" max="10507" width="10.7109375" style="7" customWidth="1"/>
    <col min="10508" max="10508" width="9" style="7" customWidth="1"/>
    <col min="10509" max="10509" width="11.5703125" style="7" customWidth="1"/>
    <col min="10510" max="10510" width="9.140625" style="7"/>
    <col min="10511" max="10511" width="13" style="7" customWidth="1"/>
    <col min="10512" max="10755" width="9.140625" style="7"/>
    <col min="10756" max="10756" width="4.140625" style="7" customWidth="1"/>
    <col min="10757" max="10757" width="5.5703125" style="7" customWidth="1"/>
    <col min="10758" max="10758" width="59.5703125" style="7" customWidth="1"/>
    <col min="10759" max="10760" width="11.28515625" style="7" customWidth="1"/>
    <col min="10761" max="10761" width="10.5703125" style="7" customWidth="1"/>
    <col min="10762" max="10762" width="10.42578125" style="7" customWidth="1"/>
    <col min="10763" max="10763" width="10.7109375" style="7" customWidth="1"/>
    <col min="10764" max="10764" width="9" style="7" customWidth="1"/>
    <col min="10765" max="10765" width="11.5703125" style="7" customWidth="1"/>
    <col min="10766" max="10766" width="9.140625" style="7"/>
    <col min="10767" max="10767" width="13" style="7" customWidth="1"/>
    <col min="10768" max="11011" width="9.140625" style="7"/>
    <col min="11012" max="11012" width="4.140625" style="7" customWidth="1"/>
    <col min="11013" max="11013" width="5.5703125" style="7" customWidth="1"/>
    <col min="11014" max="11014" width="59.5703125" style="7" customWidth="1"/>
    <col min="11015" max="11016" width="11.28515625" style="7" customWidth="1"/>
    <col min="11017" max="11017" width="10.5703125" style="7" customWidth="1"/>
    <col min="11018" max="11018" width="10.42578125" style="7" customWidth="1"/>
    <col min="11019" max="11019" width="10.7109375" style="7" customWidth="1"/>
    <col min="11020" max="11020" width="9" style="7" customWidth="1"/>
    <col min="11021" max="11021" width="11.5703125" style="7" customWidth="1"/>
    <col min="11022" max="11022" width="9.140625" style="7"/>
    <col min="11023" max="11023" width="13" style="7" customWidth="1"/>
    <col min="11024" max="11267" width="9.140625" style="7"/>
    <col min="11268" max="11268" width="4.140625" style="7" customWidth="1"/>
    <col min="11269" max="11269" width="5.5703125" style="7" customWidth="1"/>
    <col min="11270" max="11270" width="59.5703125" style="7" customWidth="1"/>
    <col min="11271" max="11272" width="11.28515625" style="7" customWidth="1"/>
    <col min="11273" max="11273" width="10.5703125" style="7" customWidth="1"/>
    <col min="11274" max="11274" width="10.42578125" style="7" customWidth="1"/>
    <col min="11275" max="11275" width="10.7109375" style="7" customWidth="1"/>
    <col min="11276" max="11276" width="9" style="7" customWidth="1"/>
    <col min="11277" max="11277" width="11.5703125" style="7" customWidth="1"/>
    <col min="11278" max="11278" width="9.140625" style="7"/>
    <col min="11279" max="11279" width="13" style="7" customWidth="1"/>
    <col min="11280" max="11523" width="9.140625" style="7"/>
    <col min="11524" max="11524" width="4.140625" style="7" customWidth="1"/>
    <col min="11525" max="11525" width="5.5703125" style="7" customWidth="1"/>
    <col min="11526" max="11526" width="59.5703125" style="7" customWidth="1"/>
    <col min="11527" max="11528" width="11.28515625" style="7" customWidth="1"/>
    <col min="11529" max="11529" width="10.5703125" style="7" customWidth="1"/>
    <col min="11530" max="11530" width="10.42578125" style="7" customWidth="1"/>
    <col min="11531" max="11531" width="10.7109375" style="7" customWidth="1"/>
    <col min="11532" max="11532" width="9" style="7" customWidth="1"/>
    <col min="11533" max="11533" width="11.5703125" style="7" customWidth="1"/>
    <col min="11534" max="11534" width="9.140625" style="7"/>
    <col min="11535" max="11535" width="13" style="7" customWidth="1"/>
    <col min="11536" max="11779" width="9.140625" style="7"/>
    <col min="11780" max="11780" width="4.140625" style="7" customWidth="1"/>
    <col min="11781" max="11781" width="5.5703125" style="7" customWidth="1"/>
    <col min="11782" max="11782" width="59.5703125" style="7" customWidth="1"/>
    <col min="11783" max="11784" width="11.28515625" style="7" customWidth="1"/>
    <col min="11785" max="11785" width="10.5703125" style="7" customWidth="1"/>
    <col min="11786" max="11786" width="10.42578125" style="7" customWidth="1"/>
    <col min="11787" max="11787" width="10.7109375" style="7" customWidth="1"/>
    <col min="11788" max="11788" width="9" style="7" customWidth="1"/>
    <col min="11789" max="11789" width="11.5703125" style="7" customWidth="1"/>
    <col min="11790" max="11790" width="9.140625" style="7"/>
    <col min="11791" max="11791" width="13" style="7" customWidth="1"/>
    <col min="11792" max="12035" width="9.140625" style="7"/>
    <col min="12036" max="12036" width="4.140625" style="7" customWidth="1"/>
    <col min="12037" max="12037" width="5.5703125" style="7" customWidth="1"/>
    <col min="12038" max="12038" width="59.5703125" style="7" customWidth="1"/>
    <col min="12039" max="12040" width="11.28515625" style="7" customWidth="1"/>
    <col min="12041" max="12041" width="10.5703125" style="7" customWidth="1"/>
    <col min="12042" max="12042" width="10.42578125" style="7" customWidth="1"/>
    <col min="12043" max="12043" width="10.7109375" style="7" customWidth="1"/>
    <col min="12044" max="12044" width="9" style="7" customWidth="1"/>
    <col min="12045" max="12045" width="11.5703125" style="7" customWidth="1"/>
    <col min="12046" max="12046" width="9.140625" style="7"/>
    <col min="12047" max="12047" width="13" style="7" customWidth="1"/>
    <col min="12048" max="12291" width="9.140625" style="7"/>
    <col min="12292" max="12292" width="4.140625" style="7" customWidth="1"/>
    <col min="12293" max="12293" width="5.5703125" style="7" customWidth="1"/>
    <col min="12294" max="12294" width="59.5703125" style="7" customWidth="1"/>
    <col min="12295" max="12296" width="11.28515625" style="7" customWidth="1"/>
    <col min="12297" max="12297" width="10.5703125" style="7" customWidth="1"/>
    <col min="12298" max="12298" width="10.42578125" style="7" customWidth="1"/>
    <col min="12299" max="12299" width="10.7109375" style="7" customWidth="1"/>
    <col min="12300" max="12300" width="9" style="7" customWidth="1"/>
    <col min="12301" max="12301" width="11.5703125" style="7" customWidth="1"/>
    <col min="12302" max="12302" width="9.140625" style="7"/>
    <col min="12303" max="12303" width="13" style="7" customWidth="1"/>
    <col min="12304" max="12547" width="9.140625" style="7"/>
    <col min="12548" max="12548" width="4.140625" style="7" customWidth="1"/>
    <col min="12549" max="12549" width="5.5703125" style="7" customWidth="1"/>
    <col min="12550" max="12550" width="59.5703125" style="7" customWidth="1"/>
    <col min="12551" max="12552" width="11.28515625" style="7" customWidth="1"/>
    <col min="12553" max="12553" width="10.5703125" style="7" customWidth="1"/>
    <col min="12554" max="12554" width="10.42578125" style="7" customWidth="1"/>
    <col min="12555" max="12555" width="10.7109375" style="7" customWidth="1"/>
    <col min="12556" max="12556" width="9" style="7" customWidth="1"/>
    <col min="12557" max="12557" width="11.5703125" style="7" customWidth="1"/>
    <col min="12558" max="12558" width="9.140625" style="7"/>
    <col min="12559" max="12559" width="13" style="7" customWidth="1"/>
    <col min="12560" max="12803" width="9.140625" style="7"/>
    <col min="12804" max="12804" width="4.140625" style="7" customWidth="1"/>
    <col min="12805" max="12805" width="5.5703125" style="7" customWidth="1"/>
    <col min="12806" max="12806" width="59.5703125" style="7" customWidth="1"/>
    <col min="12807" max="12808" width="11.28515625" style="7" customWidth="1"/>
    <col min="12809" max="12809" width="10.5703125" style="7" customWidth="1"/>
    <col min="12810" max="12810" width="10.42578125" style="7" customWidth="1"/>
    <col min="12811" max="12811" width="10.7109375" style="7" customWidth="1"/>
    <col min="12812" max="12812" width="9" style="7" customWidth="1"/>
    <col min="12813" max="12813" width="11.5703125" style="7" customWidth="1"/>
    <col min="12814" max="12814" width="9.140625" style="7"/>
    <col min="12815" max="12815" width="13" style="7" customWidth="1"/>
    <col min="12816" max="13059" width="9.140625" style="7"/>
    <col min="13060" max="13060" width="4.140625" style="7" customWidth="1"/>
    <col min="13061" max="13061" width="5.5703125" style="7" customWidth="1"/>
    <col min="13062" max="13062" width="59.5703125" style="7" customWidth="1"/>
    <col min="13063" max="13064" width="11.28515625" style="7" customWidth="1"/>
    <col min="13065" max="13065" width="10.5703125" style="7" customWidth="1"/>
    <col min="13066" max="13066" width="10.42578125" style="7" customWidth="1"/>
    <col min="13067" max="13067" width="10.7109375" style="7" customWidth="1"/>
    <col min="13068" max="13068" width="9" style="7" customWidth="1"/>
    <col min="13069" max="13069" width="11.5703125" style="7" customWidth="1"/>
    <col min="13070" max="13070" width="9.140625" style="7"/>
    <col min="13071" max="13071" width="13" style="7" customWidth="1"/>
    <col min="13072" max="13315" width="9.140625" style="7"/>
    <col min="13316" max="13316" width="4.140625" style="7" customWidth="1"/>
    <col min="13317" max="13317" width="5.5703125" style="7" customWidth="1"/>
    <col min="13318" max="13318" width="59.5703125" style="7" customWidth="1"/>
    <col min="13319" max="13320" width="11.28515625" style="7" customWidth="1"/>
    <col min="13321" max="13321" width="10.5703125" style="7" customWidth="1"/>
    <col min="13322" max="13322" width="10.42578125" style="7" customWidth="1"/>
    <col min="13323" max="13323" width="10.7109375" style="7" customWidth="1"/>
    <col min="13324" max="13324" width="9" style="7" customWidth="1"/>
    <col min="13325" max="13325" width="11.5703125" style="7" customWidth="1"/>
    <col min="13326" max="13326" width="9.140625" style="7"/>
    <col min="13327" max="13327" width="13" style="7" customWidth="1"/>
    <col min="13328" max="13571" width="9.140625" style="7"/>
    <col min="13572" max="13572" width="4.140625" style="7" customWidth="1"/>
    <col min="13573" max="13573" width="5.5703125" style="7" customWidth="1"/>
    <col min="13574" max="13574" width="59.5703125" style="7" customWidth="1"/>
    <col min="13575" max="13576" width="11.28515625" style="7" customWidth="1"/>
    <col min="13577" max="13577" width="10.5703125" style="7" customWidth="1"/>
    <col min="13578" max="13578" width="10.42578125" style="7" customWidth="1"/>
    <col min="13579" max="13579" width="10.7109375" style="7" customWidth="1"/>
    <col min="13580" max="13580" width="9" style="7" customWidth="1"/>
    <col min="13581" max="13581" width="11.5703125" style="7" customWidth="1"/>
    <col min="13582" max="13582" width="9.140625" style="7"/>
    <col min="13583" max="13583" width="13" style="7" customWidth="1"/>
    <col min="13584" max="13827" width="9.140625" style="7"/>
    <col min="13828" max="13828" width="4.140625" style="7" customWidth="1"/>
    <col min="13829" max="13829" width="5.5703125" style="7" customWidth="1"/>
    <col min="13830" max="13830" width="59.5703125" style="7" customWidth="1"/>
    <col min="13831" max="13832" width="11.28515625" style="7" customWidth="1"/>
    <col min="13833" max="13833" width="10.5703125" style="7" customWidth="1"/>
    <col min="13834" max="13834" width="10.42578125" style="7" customWidth="1"/>
    <col min="13835" max="13835" width="10.7109375" style="7" customWidth="1"/>
    <col min="13836" max="13836" width="9" style="7" customWidth="1"/>
    <col min="13837" max="13837" width="11.5703125" style="7" customWidth="1"/>
    <col min="13838" max="13838" width="9.140625" style="7"/>
    <col min="13839" max="13839" width="13" style="7" customWidth="1"/>
    <col min="13840" max="14083" width="9.140625" style="7"/>
    <col min="14084" max="14084" width="4.140625" style="7" customWidth="1"/>
    <col min="14085" max="14085" width="5.5703125" style="7" customWidth="1"/>
    <col min="14086" max="14086" width="59.5703125" style="7" customWidth="1"/>
    <col min="14087" max="14088" width="11.28515625" style="7" customWidth="1"/>
    <col min="14089" max="14089" width="10.5703125" style="7" customWidth="1"/>
    <col min="14090" max="14090" width="10.42578125" style="7" customWidth="1"/>
    <col min="14091" max="14091" width="10.7109375" style="7" customWidth="1"/>
    <col min="14092" max="14092" width="9" style="7" customWidth="1"/>
    <col min="14093" max="14093" width="11.5703125" style="7" customWidth="1"/>
    <col min="14094" max="14094" width="9.140625" style="7"/>
    <col min="14095" max="14095" width="13" style="7" customWidth="1"/>
    <col min="14096" max="14339" width="9.140625" style="7"/>
    <col min="14340" max="14340" width="4.140625" style="7" customWidth="1"/>
    <col min="14341" max="14341" width="5.5703125" style="7" customWidth="1"/>
    <col min="14342" max="14342" width="59.5703125" style="7" customWidth="1"/>
    <col min="14343" max="14344" width="11.28515625" style="7" customWidth="1"/>
    <col min="14345" max="14345" width="10.5703125" style="7" customWidth="1"/>
    <col min="14346" max="14346" width="10.42578125" style="7" customWidth="1"/>
    <col min="14347" max="14347" width="10.7109375" style="7" customWidth="1"/>
    <col min="14348" max="14348" width="9" style="7" customWidth="1"/>
    <col min="14349" max="14349" width="11.5703125" style="7" customWidth="1"/>
    <col min="14350" max="14350" width="9.140625" style="7"/>
    <col min="14351" max="14351" width="13" style="7" customWidth="1"/>
    <col min="14352" max="14595" width="9.140625" style="7"/>
    <col min="14596" max="14596" width="4.140625" style="7" customWidth="1"/>
    <col min="14597" max="14597" width="5.5703125" style="7" customWidth="1"/>
    <col min="14598" max="14598" width="59.5703125" style="7" customWidth="1"/>
    <col min="14599" max="14600" width="11.28515625" style="7" customWidth="1"/>
    <col min="14601" max="14601" width="10.5703125" style="7" customWidth="1"/>
    <col min="14602" max="14602" width="10.42578125" style="7" customWidth="1"/>
    <col min="14603" max="14603" width="10.7109375" style="7" customWidth="1"/>
    <col min="14604" max="14604" width="9" style="7" customWidth="1"/>
    <col min="14605" max="14605" width="11.5703125" style="7" customWidth="1"/>
    <col min="14606" max="14606" width="9.140625" style="7"/>
    <col min="14607" max="14607" width="13" style="7" customWidth="1"/>
    <col min="14608" max="14851" width="9.140625" style="7"/>
    <col min="14852" max="14852" width="4.140625" style="7" customWidth="1"/>
    <col min="14853" max="14853" width="5.5703125" style="7" customWidth="1"/>
    <col min="14854" max="14854" width="59.5703125" style="7" customWidth="1"/>
    <col min="14855" max="14856" width="11.28515625" style="7" customWidth="1"/>
    <col min="14857" max="14857" width="10.5703125" style="7" customWidth="1"/>
    <col min="14858" max="14858" width="10.42578125" style="7" customWidth="1"/>
    <col min="14859" max="14859" width="10.7109375" style="7" customWidth="1"/>
    <col min="14860" max="14860" width="9" style="7" customWidth="1"/>
    <col min="14861" max="14861" width="11.5703125" style="7" customWidth="1"/>
    <col min="14862" max="14862" width="9.140625" style="7"/>
    <col min="14863" max="14863" width="13" style="7" customWidth="1"/>
    <col min="14864" max="15107" width="9.140625" style="7"/>
    <col min="15108" max="15108" width="4.140625" style="7" customWidth="1"/>
    <col min="15109" max="15109" width="5.5703125" style="7" customWidth="1"/>
    <col min="15110" max="15110" width="59.5703125" style="7" customWidth="1"/>
    <col min="15111" max="15112" width="11.28515625" style="7" customWidth="1"/>
    <col min="15113" max="15113" width="10.5703125" style="7" customWidth="1"/>
    <col min="15114" max="15114" width="10.42578125" style="7" customWidth="1"/>
    <col min="15115" max="15115" width="10.7109375" style="7" customWidth="1"/>
    <col min="15116" max="15116" width="9" style="7" customWidth="1"/>
    <col min="15117" max="15117" width="11.5703125" style="7" customWidth="1"/>
    <col min="15118" max="15118" width="9.140625" style="7"/>
    <col min="15119" max="15119" width="13" style="7" customWidth="1"/>
    <col min="15120" max="15363" width="9.140625" style="7"/>
    <col min="15364" max="15364" width="4.140625" style="7" customWidth="1"/>
    <col min="15365" max="15365" width="5.5703125" style="7" customWidth="1"/>
    <col min="15366" max="15366" width="59.5703125" style="7" customWidth="1"/>
    <col min="15367" max="15368" width="11.28515625" style="7" customWidth="1"/>
    <col min="15369" max="15369" width="10.5703125" style="7" customWidth="1"/>
    <col min="15370" max="15370" width="10.42578125" style="7" customWidth="1"/>
    <col min="15371" max="15371" width="10.7109375" style="7" customWidth="1"/>
    <col min="15372" max="15372" width="9" style="7" customWidth="1"/>
    <col min="15373" max="15373" width="11.5703125" style="7" customWidth="1"/>
    <col min="15374" max="15374" width="9.140625" style="7"/>
    <col min="15375" max="15375" width="13" style="7" customWidth="1"/>
    <col min="15376" max="15619" width="9.140625" style="7"/>
    <col min="15620" max="15620" width="4.140625" style="7" customWidth="1"/>
    <col min="15621" max="15621" width="5.5703125" style="7" customWidth="1"/>
    <col min="15622" max="15622" width="59.5703125" style="7" customWidth="1"/>
    <col min="15623" max="15624" width="11.28515625" style="7" customWidth="1"/>
    <col min="15625" max="15625" width="10.5703125" style="7" customWidth="1"/>
    <col min="15626" max="15626" width="10.42578125" style="7" customWidth="1"/>
    <col min="15627" max="15627" width="10.7109375" style="7" customWidth="1"/>
    <col min="15628" max="15628" width="9" style="7" customWidth="1"/>
    <col min="15629" max="15629" width="11.5703125" style="7" customWidth="1"/>
    <col min="15630" max="15630" width="9.140625" style="7"/>
    <col min="15631" max="15631" width="13" style="7" customWidth="1"/>
    <col min="15632" max="15875" width="9.140625" style="7"/>
    <col min="15876" max="15876" width="4.140625" style="7" customWidth="1"/>
    <col min="15877" max="15877" width="5.5703125" style="7" customWidth="1"/>
    <col min="15878" max="15878" width="59.5703125" style="7" customWidth="1"/>
    <col min="15879" max="15880" width="11.28515625" style="7" customWidth="1"/>
    <col min="15881" max="15881" width="10.5703125" style="7" customWidth="1"/>
    <col min="15882" max="15882" width="10.42578125" style="7" customWidth="1"/>
    <col min="15883" max="15883" width="10.7109375" style="7" customWidth="1"/>
    <col min="15884" max="15884" width="9" style="7" customWidth="1"/>
    <col min="15885" max="15885" width="11.5703125" style="7" customWidth="1"/>
    <col min="15886" max="15886" width="9.140625" style="7"/>
    <col min="15887" max="15887" width="13" style="7" customWidth="1"/>
    <col min="15888" max="16131" width="9.140625" style="7"/>
    <col min="16132" max="16132" width="4.140625" style="7" customWidth="1"/>
    <col min="16133" max="16133" width="5.5703125" style="7" customWidth="1"/>
    <col min="16134" max="16134" width="59.5703125" style="7" customWidth="1"/>
    <col min="16135" max="16136" width="11.28515625" style="7" customWidth="1"/>
    <col min="16137" max="16137" width="10.5703125" style="7" customWidth="1"/>
    <col min="16138" max="16138" width="10.42578125" style="7" customWidth="1"/>
    <col min="16139" max="16139" width="10.7109375" style="7" customWidth="1"/>
    <col min="16140" max="16140" width="9" style="7" customWidth="1"/>
    <col min="16141" max="16141" width="11.5703125" style="7" customWidth="1"/>
    <col min="16142" max="16142" width="9.140625" style="7"/>
    <col min="16143" max="16143" width="13" style="7" customWidth="1"/>
    <col min="16144" max="16384" width="9.140625" style="7"/>
  </cols>
  <sheetData>
    <row r="1" spans="1:18" ht="12" customHeight="1" x14ac:dyDescent="0.25">
      <c r="A1" s="137"/>
      <c r="B1" s="137"/>
      <c r="C1" s="138"/>
      <c r="D1" s="139"/>
      <c r="E1" s="139"/>
      <c r="F1" s="139"/>
      <c r="G1" s="140"/>
      <c r="H1" s="140"/>
      <c r="I1" s="140"/>
      <c r="J1" s="140"/>
      <c r="K1" s="142" t="s">
        <v>13</v>
      </c>
      <c r="M1" s="143"/>
      <c r="N1" s="144"/>
      <c r="O1" s="10"/>
      <c r="P1" s="144"/>
    </row>
    <row r="2" spans="1:18" ht="12" customHeight="1" x14ac:dyDescent="0.25">
      <c r="A2" s="137"/>
      <c r="B2" s="137"/>
      <c r="C2" s="138"/>
      <c r="D2" s="139"/>
      <c r="E2" s="139"/>
      <c r="F2" s="139"/>
      <c r="G2" s="140"/>
      <c r="H2" s="140"/>
      <c r="I2" s="140"/>
      <c r="J2" s="140"/>
      <c r="K2" s="145" t="s">
        <v>223</v>
      </c>
      <c r="M2" s="143"/>
      <c r="N2" s="144"/>
      <c r="O2" s="10"/>
      <c r="P2" s="144"/>
    </row>
    <row r="3" spans="1:18" ht="12" customHeight="1" x14ac:dyDescent="0.25">
      <c r="A3" s="137"/>
      <c r="B3" s="137"/>
      <c r="C3" s="138"/>
      <c r="D3" s="139"/>
      <c r="E3" s="139"/>
      <c r="F3" s="139"/>
      <c r="G3" s="146"/>
      <c r="H3" s="140"/>
      <c r="I3" s="140"/>
      <c r="J3" s="140"/>
      <c r="K3" s="145" t="s">
        <v>1</v>
      </c>
      <c r="M3" s="143"/>
      <c r="N3" s="144"/>
      <c r="O3" s="10"/>
      <c r="P3" s="144"/>
    </row>
    <row r="4" spans="1:18" ht="12" customHeight="1" x14ac:dyDescent="0.25">
      <c r="A4" s="137"/>
      <c r="B4" s="137"/>
      <c r="C4" s="138"/>
      <c r="D4" s="139"/>
      <c r="E4" s="139"/>
      <c r="F4" s="139"/>
      <c r="G4" s="140"/>
      <c r="H4" s="140"/>
      <c r="I4" s="140"/>
      <c r="J4" s="140"/>
      <c r="K4" s="145" t="s">
        <v>224</v>
      </c>
      <c r="M4" s="143"/>
      <c r="N4" s="144"/>
      <c r="O4" s="10"/>
      <c r="P4" s="144"/>
    </row>
    <row r="5" spans="1:18" ht="12" customHeight="1" x14ac:dyDescent="0.25">
      <c r="A5" s="137"/>
      <c r="B5" s="137"/>
      <c r="C5" s="138"/>
      <c r="D5" s="139"/>
      <c r="E5" s="139"/>
      <c r="F5" s="139"/>
      <c r="G5" s="140"/>
      <c r="H5" s="140"/>
      <c r="I5" s="140"/>
      <c r="J5" s="140"/>
      <c r="K5" s="140"/>
      <c r="L5" s="147"/>
      <c r="M5" s="143"/>
      <c r="N5" s="144"/>
      <c r="O5" s="10"/>
      <c r="P5" s="144"/>
    </row>
    <row r="6" spans="1:18" ht="12" customHeight="1" x14ac:dyDescent="0.25">
      <c r="A6" s="137"/>
      <c r="B6" s="137"/>
      <c r="C6" s="138"/>
      <c r="D6" s="139"/>
      <c r="E6" s="139"/>
      <c r="F6" s="139"/>
      <c r="G6" s="140"/>
      <c r="H6" s="140"/>
      <c r="I6" s="140"/>
      <c r="J6" s="140"/>
      <c r="K6" s="140"/>
      <c r="L6" s="147"/>
      <c r="M6" s="143"/>
      <c r="N6" s="144"/>
      <c r="O6" s="10"/>
      <c r="P6" s="144"/>
    </row>
    <row r="7" spans="1:18" ht="14.25" customHeight="1" x14ac:dyDescent="0.25">
      <c r="A7" s="148" t="s">
        <v>225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9"/>
      <c r="N7" s="150"/>
      <c r="O7" s="57"/>
      <c r="P7" s="151"/>
      <c r="Q7" s="152"/>
      <c r="R7" s="15"/>
    </row>
    <row r="8" spans="1:18" ht="14.25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49"/>
      <c r="N8" s="150"/>
      <c r="O8" s="57"/>
      <c r="P8" s="151"/>
      <c r="Q8" s="152"/>
      <c r="R8" s="153"/>
    </row>
    <row r="9" spans="1:18" ht="11.25" customHeight="1" x14ac:dyDescent="0.25">
      <c r="A9" s="137"/>
      <c r="B9" s="137"/>
      <c r="C9" s="138"/>
      <c r="D9" s="154"/>
      <c r="E9" s="154"/>
      <c r="F9" s="154"/>
      <c r="G9" s="140"/>
      <c r="H9" s="140"/>
      <c r="I9" s="155"/>
      <c r="J9" s="155"/>
      <c r="K9" s="155"/>
      <c r="L9" s="140" t="s">
        <v>2</v>
      </c>
      <c r="M9" s="156"/>
      <c r="O9" s="10"/>
      <c r="P9" s="144"/>
      <c r="Q9" s="63"/>
    </row>
    <row r="10" spans="1:18" s="165" customFormat="1" ht="12" customHeight="1" x14ac:dyDescent="0.25">
      <c r="A10" s="157"/>
      <c r="B10" s="157"/>
      <c r="C10" s="158"/>
      <c r="D10" s="157"/>
      <c r="E10" s="157"/>
      <c r="F10" s="157"/>
      <c r="G10" s="159"/>
      <c r="H10" s="160" t="s">
        <v>30</v>
      </c>
      <c r="I10" s="161"/>
      <c r="J10" s="162"/>
      <c r="K10" s="163"/>
      <c r="L10" s="164" t="s">
        <v>226</v>
      </c>
      <c r="M10" s="159" t="s">
        <v>227</v>
      </c>
      <c r="O10" s="166"/>
      <c r="P10" s="167"/>
      <c r="Q10" s="168"/>
      <c r="R10" s="169"/>
    </row>
    <row r="11" spans="1:18" s="165" customFormat="1" ht="12.75" customHeight="1" x14ac:dyDescent="0.25">
      <c r="A11" s="170"/>
      <c r="B11" s="171"/>
      <c r="C11" s="172"/>
      <c r="D11" s="171"/>
      <c r="E11" s="171"/>
      <c r="F11" s="171"/>
      <c r="G11" s="173" t="s">
        <v>228</v>
      </c>
      <c r="H11" s="174" t="s">
        <v>229</v>
      </c>
      <c r="I11" s="175"/>
      <c r="J11" s="175" t="s">
        <v>230</v>
      </c>
      <c r="K11" s="176"/>
      <c r="L11" s="174" t="s">
        <v>231</v>
      </c>
      <c r="M11" s="177" t="s">
        <v>232</v>
      </c>
      <c r="O11" s="178"/>
      <c r="P11" s="179"/>
      <c r="Q11" s="168"/>
      <c r="R11" s="180"/>
    </row>
    <row r="12" spans="1:18" s="165" customFormat="1" x14ac:dyDescent="0.25">
      <c r="A12" s="170" t="s">
        <v>233</v>
      </c>
      <c r="B12" s="171" t="s">
        <v>5</v>
      </c>
      <c r="C12" s="171" t="s">
        <v>6</v>
      </c>
      <c r="D12" s="171" t="s">
        <v>234</v>
      </c>
      <c r="E12" s="181" t="s">
        <v>9</v>
      </c>
      <c r="F12" s="181" t="s">
        <v>10</v>
      </c>
      <c r="G12" s="173" t="s">
        <v>235</v>
      </c>
      <c r="H12" s="174" t="s">
        <v>236</v>
      </c>
      <c r="I12" s="177"/>
      <c r="J12" s="164" t="s">
        <v>237</v>
      </c>
      <c r="K12" s="173" t="s">
        <v>237</v>
      </c>
      <c r="L12" s="173" t="s">
        <v>238</v>
      </c>
      <c r="M12" s="177" t="s">
        <v>239</v>
      </c>
      <c r="O12" s="178"/>
      <c r="P12" s="182"/>
      <c r="Q12" s="168"/>
      <c r="R12" s="169"/>
    </row>
    <row r="13" spans="1:18" s="165" customFormat="1" x14ac:dyDescent="0.25">
      <c r="A13" s="170"/>
      <c r="B13" s="171"/>
      <c r="C13" s="172"/>
      <c r="D13" s="171"/>
      <c r="E13" s="171"/>
      <c r="F13" s="171"/>
      <c r="G13" s="173" t="s">
        <v>240</v>
      </c>
      <c r="H13" s="174">
        <v>2026</v>
      </c>
      <c r="I13" s="177" t="s">
        <v>237</v>
      </c>
      <c r="J13" s="173" t="s">
        <v>241</v>
      </c>
      <c r="K13" s="173" t="s">
        <v>242</v>
      </c>
      <c r="L13" s="174" t="s">
        <v>243</v>
      </c>
      <c r="M13" s="177" t="s">
        <v>244</v>
      </c>
      <c r="O13" s="178"/>
      <c r="P13" s="182"/>
      <c r="Q13" s="168"/>
      <c r="R13" s="169"/>
    </row>
    <row r="14" spans="1:18" s="165" customFormat="1" x14ac:dyDescent="0.25">
      <c r="A14" s="170"/>
      <c r="B14" s="171"/>
      <c r="C14" s="172"/>
      <c r="D14" s="171"/>
      <c r="E14" s="171"/>
      <c r="F14" s="171"/>
      <c r="G14" s="173"/>
      <c r="H14" s="174" t="s">
        <v>245</v>
      </c>
      <c r="I14" s="177" t="s">
        <v>246</v>
      </c>
      <c r="J14" s="173" t="s">
        <v>247</v>
      </c>
      <c r="K14" s="173" t="s">
        <v>248</v>
      </c>
      <c r="L14" s="174" t="s">
        <v>249</v>
      </c>
      <c r="M14" s="177" t="s">
        <v>250</v>
      </c>
      <c r="O14" s="178"/>
      <c r="P14" s="182"/>
      <c r="Q14" s="168"/>
      <c r="R14" s="180"/>
    </row>
    <row r="15" spans="1:18" s="165" customFormat="1" ht="9.75" customHeight="1" x14ac:dyDescent="0.25">
      <c r="A15" s="170"/>
      <c r="B15" s="171"/>
      <c r="C15" s="172"/>
      <c r="D15" s="171"/>
      <c r="E15" s="171"/>
      <c r="F15" s="171"/>
      <c r="G15" s="173"/>
      <c r="H15" s="174"/>
      <c r="I15" s="177"/>
      <c r="J15" s="173" t="s">
        <v>251</v>
      </c>
      <c r="K15" s="177" t="s">
        <v>252</v>
      </c>
      <c r="L15" s="174" t="s">
        <v>253</v>
      </c>
      <c r="M15" s="177" t="s">
        <v>254</v>
      </c>
      <c r="O15" s="178"/>
      <c r="P15" s="182"/>
      <c r="Q15" s="168"/>
      <c r="R15" s="180"/>
    </row>
    <row r="16" spans="1:18" s="165" customFormat="1" ht="9.75" customHeight="1" x14ac:dyDescent="0.25">
      <c r="A16" s="183"/>
      <c r="B16" s="184"/>
      <c r="C16" s="185"/>
      <c r="D16" s="184"/>
      <c r="E16" s="184"/>
      <c r="F16" s="184"/>
      <c r="G16" s="186"/>
      <c r="H16" s="174"/>
      <c r="I16" s="187"/>
      <c r="J16" s="186"/>
      <c r="K16" s="186"/>
      <c r="L16" s="174"/>
      <c r="M16" s="177" t="s">
        <v>255</v>
      </c>
      <c r="O16" s="178"/>
      <c r="P16" s="182"/>
      <c r="Q16" s="168"/>
      <c r="R16" s="180"/>
    </row>
    <row r="17" spans="1:18" ht="10.5" customHeight="1" x14ac:dyDescent="0.25">
      <c r="A17" s="188">
        <v>1</v>
      </c>
      <c r="B17" s="188">
        <v>2</v>
      </c>
      <c r="C17" s="188"/>
      <c r="D17" s="188">
        <v>3</v>
      </c>
      <c r="E17" s="188"/>
      <c r="F17" s="188"/>
      <c r="G17" s="189">
        <v>4</v>
      </c>
      <c r="H17" s="190">
        <v>5</v>
      </c>
      <c r="I17" s="189">
        <v>6</v>
      </c>
      <c r="J17" s="191">
        <v>7</v>
      </c>
      <c r="K17" s="192">
        <v>8</v>
      </c>
      <c r="L17" s="189">
        <v>9</v>
      </c>
      <c r="M17" s="189">
        <v>10</v>
      </c>
      <c r="O17" s="10"/>
      <c r="P17" s="144"/>
      <c r="Q17" s="168"/>
      <c r="R17" s="180"/>
    </row>
    <row r="18" spans="1:18" s="15" customFormat="1" ht="40.5" customHeight="1" x14ac:dyDescent="0.25">
      <c r="A18" s="487"/>
      <c r="B18" s="487"/>
      <c r="C18" s="488"/>
      <c r="D18" s="487" t="s">
        <v>256</v>
      </c>
      <c r="E18" s="489">
        <v>6118550</v>
      </c>
      <c r="F18" s="489">
        <v>0</v>
      </c>
      <c r="G18" s="489">
        <v>885821075.72000015</v>
      </c>
      <c r="H18" s="489">
        <v>431431906.16999996</v>
      </c>
      <c r="I18" s="489">
        <v>154309854.16999999</v>
      </c>
      <c r="J18" s="489">
        <v>131282956.07999998</v>
      </c>
      <c r="K18" s="489">
        <v>145839095.91999999</v>
      </c>
      <c r="L18" s="489">
        <v>0</v>
      </c>
      <c r="M18" s="490" t="s">
        <v>257</v>
      </c>
      <c r="O18" s="491"/>
      <c r="P18" s="152"/>
      <c r="Q18" s="193"/>
      <c r="R18" s="180"/>
    </row>
    <row r="19" spans="1:18" ht="40.5" customHeight="1" x14ac:dyDescent="0.25">
      <c r="A19" s="194">
        <v>752</v>
      </c>
      <c r="B19" s="194"/>
      <c r="C19" s="195"/>
      <c r="D19" s="196" t="s">
        <v>258</v>
      </c>
      <c r="E19" s="197">
        <v>6118550</v>
      </c>
      <c r="F19" s="197">
        <v>0</v>
      </c>
      <c r="G19" s="197">
        <v>6118550</v>
      </c>
      <c r="H19" s="197">
        <v>6118550</v>
      </c>
      <c r="I19" s="197">
        <v>0</v>
      </c>
      <c r="J19" s="197">
        <v>6118550</v>
      </c>
      <c r="K19" s="197">
        <v>0</v>
      </c>
      <c r="L19" s="197">
        <v>0</v>
      </c>
      <c r="M19" s="492"/>
      <c r="N19" s="180"/>
      <c r="P19" s="179"/>
    </row>
    <row r="20" spans="1:18" ht="40.5" customHeight="1" x14ac:dyDescent="0.25">
      <c r="A20" s="194"/>
      <c r="B20" s="194">
        <v>75281</v>
      </c>
      <c r="C20" s="195"/>
      <c r="D20" s="196" t="s">
        <v>49</v>
      </c>
      <c r="E20" s="197">
        <v>6118550</v>
      </c>
      <c r="F20" s="197">
        <v>0</v>
      </c>
      <c r="G20" s="197">
        <v>6118550</v>
      </c>
      <c r="H20" s="197">
        <v>6118550</v>
      </c>
      <c r="I20" s="197">
        <v>0</v>
      </c>
      <c r="J20" s="197">
        <v>6118550</v>
      </c>
      <c r="K20" s="197">
        <v>0</v>
      </c>
      <c r="L20" s="197">
        <v>0</v>
      </c>
      <c r="M20" s="492"/>
      <c r="N20" s="180"/>
      <c r="P20" s="179"/>
    </row>
    <row r="21" spans="1:18" ht="12.75" customHeight="1" x14ac:dyDescent="0.25">
      <c r="A21" s="157"/>
      <c r="B21" s="157"/>
      <c r="C21" s="198"/>
      <c r="D21" s="493" t="s">
        <v>259</v>
      </c>
      <c r="E21" s="199"/>
      <c r="F21" s="200"/>
      <c r="G21" s="201"/>
      <c r="H21" s="201"/>
      <c r="I21" s="201"/>
      <c r="J21" s="202"/>
      <c r="K21" s="202"/>
      <c r="L21" s="202"/>
      <c r="M21" s="494"/>
      <c r="N21" s="180"/>
      <c r="P21" s="179"/>
    </row>
    <row r="22" spans="1:18" ht="40.5" customHeight="1" x14ac:dyDescent="0.25">
      <c r="A22" s="183"/>
      <c r="B22" s="203" t="s">
        <v>260</v>
      </c>
      <c r="C22" s="204">
        <v>6050</v>
      </c>
      <c r="D22" s="205" t="s">
        <v>261</v>
      </c>
      <c r="E22" s="206">
        <v>4000000</v>
      </c>
      <c r="F22" s="206"/>
      <c r="G22" s="206">
        <v>4000000</v>
      </c>
      <c r="H22" s="206">
        <v>4000000</v>
      </c>
      <c r="I22" s="206"/>
      <c r="J22" s="206">
        <v>4000000</v>
      </c>
      <c r="K22" s="206"/>
      <c r="L22" s="206"/>
      <c r="M22" s="495" t="s">
        <v>262</v>
      </c>
      <c r="N22" s="180"/>
      <c r="P22" s="179"/>
    </row>
    <row r="23" spans="1:18" ht="12.75" customHeight="1" x14ac:dyDescent="0.25">
      <c r="A23" s="157"/>
      <c r="B23" s="157"/>
      <c r="C23" s="198"/>
      <c r="D23" s="493" t="s">
        <v>259</v>
      </c>
      <c r="E23" s="199"/>
      <c r="F23" s="200"/>
      <c r="G23" s="201"/>
      <c r="H23" s="201"/>
      <c r="I23" s="201"/>
      <c r="J23" s="202"/>
      <c r="K23" s="202"/>
      <c r="L23" s="202"/>
      <c r="M23" s="494"/>
      <c r="N23" s="180"/>
      <c r="P23" s="179"/>
    </row>
    <row r="24" spans="1:18" ht="48.75" x14ac:dyDescent="0.25">
      <c r="A24" s="183"/>
      <c r="B24" s="203" t="s">
        <v>260</v>
      </c>
      <c r="C24" s="204">
        <v>6050</v>
      </c>
      <c r="D24" s="207" t="s">
        <v>263</v>
      </c>
      <c r="E24" s="206">
        <v>1300000</v>
      </c>
      <c r="F24" s="206"/>
      <c r="G24" s="206">
        <v>1300000</v>
      </c>
      <c r="H24" s="206">
        <v>1300000</v>
      </c>
      <c r="I24" s="206"/>
      <c r="J24" s="206">
        <v>1300000</v>
      </c>
      <c r="K24" s="206"/>
      <c r="L24" s="206"/>
      <c r="M24" s="495" t="s">
        <v>264</v>
      </c>
      <c r="N24" s="180"/>
      <c r="P24" s="179"/>
    </row>
    <row r="25" spans="1:18" ht="12.75" customHeight="1" x14ac:dyDescent="0.25">
      <c r="A25" s="157"/>
      <c r="B25" s="157"/>
      <c r="C25" s="198"/>
      <c r="D25" s="493" t="s">
        <v>259</v>
      </c>
      <c r="E25" s="199"/>
      <c r="F25" s="200"/>
      <c r="G25" s="201"/>
      <c r="H25" s="201"/>
      <c r="I25" s="201"/>
      <c r="J25" s="202"/>
      <c r="K25" s="202"/>
      <c r="L25" s="202"/>
      <c r="M25" s="494"/>
      <c r="N25" s="180"/>
      <c r="P25" s="179"/>
    </row>
    <row r="26" spans="1:18" ht="40.5" customHeight="1" x14ac:dyDescent="0.25">
      <c r="A26" s="183"/>
      <c r="B26" s="203" t="s">
        <v>260</v>
      </c>
      <c r="C26" s="204">
        <v>6050</v>
      </c>
      <c r="D26" s="207" t="s">
        <v>265</v>
      </c>
      <c r="E26" s="206">
        <v>818550</v>
      </c>
      <c r="F26" s="206"/>
      <c r="G26" s="206">
        <v>818550</v>
      </c>
      <c r="H26" s="206">
        <v>818550</v>
      </c>
      <c r="I26" s="206"/>
      <c r="J26" s="206">
        <v>818550</v>
      </c>
      <c r="K26" s="206"/>
      <c r="L26" s="206"/>
      <c r="M26" s="496" t="s">
        <v>266</v>
      </c>
      <c r="N26" s="180"/>
      <c r="P26" s="179"/>
    </row>
  </sheetData>
  <pageMargins left="0.43307086614173229" right="0.43307086614173229" top="0.74803149606299213" bottom="0.74803149606299213" header="0.31496062992125984" footer="0.31496062992125984"/>
  <pageSetup paperSize="9" scale="78" firstPageNumber="39" fitToHeight="0" orientation="landscape" useFirstPageNumber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44F3-9B8B-4988-B29B-CE5B39E8538F}">
  <sheetPr>
    <tabColor rgb="FFFFCCFF"/>
    <pageSetUpPr fitToPage="1"/>
  </sheetPr>
  <dimension ref="A1:K41"/>
  <sheetViews>
    <sheetView zoomScale="120" zoomScaleNormal="120" workbookViewId="0">
      <pane ySplit="14" topLeftCell="A15" activePane="bottomLeft" state="frozen"/>
      <selection pane="bottomLeft"/>
    </sheetView>
  </sheetViews>
  <sheetFormatPr defaultColWidth="10.28515625" defaultRowHeight="11.25" x14ac:dyDescent="0.2"/>
  <cols>
    <col min="1" max="1" width="6.42578125" style="210" customWidth="1"/>
    <col min="2" max="2" width="58.5703125" style="210" customWidth="1"/>
    <col min="3" max="3" width="10.28515625" style="210"/>
    <col min="4" max="6" width="11.42578125" style="210" customWidth="1"/>
    <col min="7" max="7" width="11.5703125" style="210" customWidth="1"/>
    <col min="8" max="8" width="11.28515625" style="210" customWidth="1"/>
    <col min="9" max="9" width="11.5703125" style="210" customWidth="1"/>
    <col min="10" max="10" width="16.28515625" style="210" customWidth="1"/>
    <col min="11" max="255" width="10.28515625" style="210"/>
    <col min="256" max="256" width="6.42578125" style="210" customWidth="1"/>
    <col min="257" max="257" width="58.28515625" style="210" customWidth="1"/>
    <col min="258" max="258" width="10.28515625" style="210"/>
    <col min="259" max="259" width="11" style="210" customWidth="1"/>
    <col min="260" max="261" width="9.7109375" style="210" customWidth="1"/>
    <col min="262" max="262" width="10.7109375" style="210" customWidth="1"/>
    <col min="263" max="264" width="11.28515625" style="210" customWidth="1"/>
    <col min="265" max="265" width="17" style="210" customWidth="1"/>
    <col min="266" max="266" width="16.28515625" style="210" customWidth="1"/>
    <col min="267" max="511" width="10.28515625" style="210"/>
    <col min="512" max="512" width="6.42578125" style="210" customWidth="1"/>
    <col min="513" max="513" width="58.28515625" style="210" customWidth="1"/>
    <col min="514" max="514" width="10.28515625" style="210"/>
    <col min="515" max="515" width="11" style="210" customWidth="1"/>
    <col min="516" max="517" width="9.7109375" style="210" customWidth="1"/>
    <col min="518" max="518" width="10.7109375" style="210" customWidth="1"/>
    <col min="519" max="520" width="11.28515625" style="210" customWidth="1"/>
    <col min="521" max="521" width="17" style="210" customWidth="1"/>
    <col min="522" max="522" width="16.28515625" style="210" customWidth="1"/>
    <col min="523" max="767" width="10.28515625" style="210"/>
    <col min="768" max="768" width="6.42578125" style="210" customWidth="1"/>
    <col min="769" max="769" width="58.28515625" style="210" customWidth="1"/>
    <col min="770" max="770" width="10.28515625" style="210"/>
    <col min="771" max="771" width="11" style="210" customWidth="1"/>
    <col min="772" max="773" width="9.7109375" style="210" customWidth="1"/>
    <col min="774" max="774" width="10.7109375" style="210" customWidth="1"/>
    <col min="775" max="776" width="11.28515625" style="210" customWidth="1"/>
    <col min="777" max="777" width="17" style="210" customWidth="1"/>
    <col min="778" max="778" width="16.28515625" style="210" customWidth="1"/>
    <col min="779" max="1023" width="10.28515625" style="210"/>
    <col min="1024" max="1024" width="6.42578125" style="210" customWidth="1"/>
    <col min="1025" max="1025" width="58.28515625" style="210" customWidth="1"/>
    <col min="1026" max="1026" width="10.28515625" style="210"/>
    <col min="1027" max="1027" width="11" style="210" customWidth="1"/>
    <col min="1028" max="1029" width="9.7109375" style="210" customWidth="1"/>
    <col min="1030" max="1030" width="10.7109375" style="210" customWidth="1"/>
    <col min="1031" max="1032" width="11.28515625" style="210" customWidth="1"/>
    <col min="1033" max="1033" width="17" style="210" customWidth="1"/>
    <col min="1034" max="1034" width="16.28515625" style="210" customWidth="1"/>
    <col min="1035" max="1279" width="10.28515625" style="210"/>
    <col min="1280" max="1280" width="6.42578125" style="210" customWidth="1"/>
    <col min="1281" max="1281" width="58.28515625" style="210" customWidth="1"/>
    <col min="1282" max="1282" width="10.28515625" style="210"/>
    <col min="1283" max="1283" width="11" style="210" customWidth="1"/>
    <col min="1284" max="1285" width="9.7109375" style="210" customWidth="1"/>
    <col min="1286" max="1286" width="10.7109375" style="210" customWidth="1"/>
    <col min="1287" max="1288" width="11.28515625" style="210" customWidth="1"/>
    <col min="1289" max="1289" width="17" style="210" customWidth="1"/>
    <col min="1290" max="1290" width="16.28515625" style="210" customWidth="1"/>
    <col min="1291" max="1535" width="10.28515625" style="210"/>
    <col min="1536" max="1536" width="6.42578125" style="210" customWidth="1"/>
    <col min="1537" max="1537" width="58.28515625" style="210" customWidth="1"/>
    <col min="1538" max="1538" width="10.28515625" style="210"/>
    <col min="1539" max="1539" width="11" style="210" customWidth="1"/>
    <col min="1540" max="1541" width="9.7109375" style="210" customWidth="1"/>
    <col min="1542" max="1542" width="10.7109375" style="210" customWidth="1"/>
    <col min="1543" max="1544" width="11.28515625" style="210" customWidth="1"/>
    <col min="1545" max="1545" width="17" style="210" customWidth="1"/>
    <col min="1546" max="1546" width="16.28515625" style="210" customWidth="1"/>
    <col min="1547" max="1791" width="10.28515625" style="210"/>
    <col min="1792" max="1792" width="6.42578125" style="210" customWidth="1"/>
    <col min="1793" max="1793" width="58.28515625" style="210" customWidth="1"/>
    <col min="1794" max="1794" width="10.28515625" style="210"/>
    <col min="1795" max="1795" width="11" style="210" customWidth="1"/>
    <col min="1796" max="1797" width="9.7109375" style="210" customWidth="1"/>
    <col min="1798" max="1798" width="10.7109375" style="210" customWidth="1"/>
    <col min="1799" max="1800" width="11.28515625" style="210" customWidth="1"/>
    <col min="1801" max="1801" width="17" style="210" customWidth="1"/>
    <col min="1802" max="1802" width="16.28515625" style="210" customWidth="1"/>
    <col min="1803" max="2047" width="10.28515625" style="210"/>
    <col min="2048" max="2048" width="6.42578125" style="210" customWidth="1"/>
    <col min="2049" max="2049" width="58.28515625" style="210" customWidth="1"/>
    <col min="2050" max="2050" width="10.28515625" style="210"/>
    <col min="2051" max="2051" width="11" style="210" customWidth="1"/>
    <col min="2052" max="2053" width="9.7109375" style="210" customWidth="1"/>
    <col min="2054" max="2054" width="10.7109375" style="210" customWidth="1"/>
    <col min="2055" max="2056" width="11.28515625" style="210" customWidth="1"/>
    <col min="2057" max="2057" width="17" style="210" customWidth="1"/>
    <col min="2058" max="2058" width="16.28515625" style="210" customWidth="1"/>
    <col min="2059" max="2303" width="10.28515625" style="210"/>
    <col min="2304" max="2304" width="6.42578125" style="210" customWidth="1"/>
    <col min="2305" max="2305" width="58.28515625" style="210" customWidth="1"/>
    <col min="2306" max="2306" width="10.28515625" style="210"/>
    <col min="2307" max="2307" width="11" style="210" customWidth="1"/>
    <col min="2308" max="2309" width="9.7109375" style="210" customWidth="1"/>
    <col min="2310" max="2310" width="10.7109375" style="210" customWidth="1"/>
    <col min="2311" max="2312" width="11.28515625" style="210" customWidth="1"/>
    <col min="2313" max="2313" width="17" style="210" customWidth="1"/>
    <col min="2314" max="2314" width="16.28515625" style="210" customWidth="1"/>
    <col min="2315" max="2559" width="10.28515625" style="210"/>
    <col min="2560" max="2560" width="6.42578125" style="210" customWidth="1"/>
    <col min="2561" max="2561" width="58.28515625" style="210" customWidth="1"/>
    <col min="2562" max="2562" width="10.28515625" style="210"/>
    <col min="2563" max="2563" width="11" style="210" customWidth="1"/>
    <col min="2564" max="2565" width="9.7109375" style="210" customWidth="1"/>
    <col min="2566" max="2566" width="10.7109375" style="210" customWidth="1"/>
    <col min="2567" max="2568" width="11.28515625" style="210" customWidth="1"/>
    <col min="2569" max="2569" width="17" style="210" customWidth="1"/>
    <col min="2570" max="2570" width="16.28515625" style="210" customWidth="1"/>
    <col min="2571" max="2815" width="10.28515625" style="210"/>
    <col min="2816" max="2816" width="6.42578125" style="210" customWidth="1"/>
    <col min="2817" max="2817" width="58.28515625" style="210" customWidth="1"/>
    <col min="2818" max="2818" width="10.28515625" style="210"/>
    <col min="2819" max="2819" width="11" style="210" customWidth="1"/>
    <col min="2820" max="2821" width="9.7109375" style="210" customWidth="1"/>
    <col min="2822" max="2822" width="10.7109375" style="210" customWidth="1"/>
    <col min="2823" max="2824" width="11.28515625" style="210" customWidth="1"/>
    <col min="2825" max="2825" width="17" style="210" customWidth="1"/>
    <col min="2826" max="2826" width="16.28515625" style="210" customWidth="1"/>
    <col min="2827" max="3071" width="10.28515625" style="210"/>
    <col min="3072" max="3072" width="6.42578125" style="210" customWidth="1"/>
    <col min="3073" max="3073" width="58.28515625" style="210" customWidth="1"/>
    <col min="3074" max="3074" width="10.28515625" style="210"/>
    <col min="3075" max="3075" width="11" style="210" customWidth="1"/>
    <col min="3076" max="3077" width="9.7109375" style="210" customWidth="1"/>
    <col min="3078" max="3078" width="10.7109375" style="210" customWidth="1"/>
    <col min="3079" max="3080" width="11.28515625" style="210" customWidth="1"/>
    <col min="3081" max="3081" width="17" style="210" customWidth="1"/>
    <col min="3082" max="3082" width="16.28515625" style="210" customWidth="1"/>
    <col min="3083" max="3327" width="10.28515625" style="210"/>
    <col min="3328" max="3328" width="6.42578125" style="210" customWidth="1"/>
    <col min="3329" max="3329" width="58.28515625" style="210" customWidth="1"/>
    <col min="3330" max="3330" width="10.28515625" style="210"/>
    <col min="3331" max="3331" width="11" style="210" customWidth="1"/>
    <col min="3332" max="3333" width="9.7109375" style="210" customWidth="1"/>
    <col min="3334" max="3334" width="10.7109375" style="210" customWidth="1"/>
    <col min="3335" max="3336" width="11.28515625" style="210" customWidth="1"/>
    <col min="3337" max="3337" width="17" style="210" customWidth="1"/>
    <col min="3338" max="3338" width="16.28515625" style="210" customWidth="1"/>
    <col min="3339" max="3583" width="10.28515625" style="210"/>
    <col min="3584" max="3584" width="6.42578125" style="210" customWidth="1"/>
    <col min="3585" max="3585" width="58.28515625" style="210" customWidth="1"/>
    <col min="3586" max="3586" width="10.28515625" style="210"/>
    <col min="3587" max="3587" width="11" style="210" customWidth="1"/>
    <col min="3588" max="3589" width="9.7109375" style="210" customWidth="1"/>
    <col min="3590" max="3590" width="10.7109375" style="210" customWidth="1"/>
    <col min="3591" max="3592" width="11.28515625" style="210" customWidth="1"/>
    <col min="3593" max="3593" width="17" style="210" customWidth="1"/>
    <col min="3594" max="3594" width="16.28515625" style="210" customWidth="1"/>
    <col min="3595" max="3839" width="10.28515625" style="210"/>
    <col min="3840" max="3840" width="6.42578125" style="210" customWidth="1"/>
    <col min="3841" max="3841" width="58.28515625" style="210" customWidth="1"/>
    <col min="3842" max="3842" width="10.28515625" style="210"/>
    <col min="3843" max="3843" width="11" style="210" customWidth="1"/>
    <col min="3844" max="3845" width="9.7109375" style="210" customWidth="1"/>
    <col min="3846" max="3846" width="10.7109375" style="210" customWidth="1"/>
    <col min="3847" max="3848" width="11.28515625" style="210" customWidth="1"/>
    <col min="3849" max="3849" width="17" style="210" customWidth="1"/>
    <col min="3850" max="3850" width="16.28515625" style="210" customWidth="1"/>
    <col min="3851" max="4095" width="10.28515625" style="210"/>
    <col min="4096" max="4096" width="6.42578125" style="210" customWidth="1"/>
    <col min="4097" max="4097" width="58.28515625" style="210" customWidth="1"/>
    <col min="4098" max="4098" width="10.28515625" style="210"/>
    <col min="4099" max="4099" width="11" style="210" customWidth="1"/>
    <col min="4100" max="4101" width="9.7109375" style="210" customWidth="1"/>
    <col min="4102" max="4102" width="10.7109375" style="210" customWidth="1"/>
    <col min="4103" max="4104" width="11.28515625" style="210" customWidth="1"/>
    <col min="4105" max="4105" width="17" style="210" customWidth="1"/>
    <col min="4106" max="4106" width="16.28515625" style="210" customWidth="1"/>
    <col min="4107" max="4351" width="10.28515625" style="210"/>
    <col min="4352" max="4352" width="6.42578125" style="210" customWidth="1"/>
    <col min="4353" max="4353" width="58.28515625" style="210" customWidth="1"/>
    <col min="4354" max="4354" width="10.28515625" style="210"/>
    <col min="4355" max="4355" width="11" style="210" customWidth="1"/>
    <col min="4356" max="4357" width="9.7109375" style="210" customWidth="1"/>
    <col min="4358" max="4358" width="10.7109375" style="210" customWidth="1"/>
    <col min="4359" max="4360" width="11.28515625" style="210" customWidth="1"/>
    <col min="4361" max="4361" width="17" style="210" customWidth="1"/>
    <col min="4362" max="4362" width="16.28515625" style="210" customWidth="1"/>
    <col min="4363" max="4607" width="10.28515625" style="210"/>
    <col min="4608" max="4608" width="6.42578125" style="210" customWidth="1"/>
    <col min="4609" max="4609" width="58.28515625" style="210" customWidth="1"/>
    <col min="4610" max="4610" width="10.28515625" style="210"/>
    <col min="4611" max="4611" width="11" style="210" customWidth="1"/>
    <col min="4612" max="4613" width="9.7109375" style="210" customWidth="1"/>
    <col min="4614" max="4614" width="10.7109375" style="210" customWidth="1"/>
    <col min="4615" max="4616" width="11.28515625" style="210" customWidth="1"/>
    <col min="4617" max="4617" width="17" style="210" customWidth="1"/>
    <col min="4618" max="4618" width="16.28515625" style="210" customWidth="1"/>
    <col min="4619" max="4863" width="10.28515625" style="210"/>
    <col min="4864" max="4864" width="6.42578125" style="210" customWidth="1"/>
    <col min="4865" max="4865" width="58.28515625" style="210" customWidth="1"/>
    <col min="4866" max="4866" width="10.28515625" style="210"/>
    <col min="4867" max="4867" width="11" style="210" customWidth="1"/>
    <col min="4868" max="4869" width="9.7109375" style="210" customWidth="1"/>
    <col min="4870" max="4870" width="10.7109375" style="210" customWidth="1"/>
    <col min="4871" max="4872" width="11.28515625" style="210" customWidth="1"/>
    <col min="4873" max="4873" width="17" style="210" customWidth="1"/>
    <col min="4874" max="4874" width="16.28515625" style="210" customWidth="1"/>
    <col min="4875" max="5119" width="10.28515625" style="210"/>
    <col min="5120" max="5120" width="6.42578125" style="210" customWidth="1"/>
    <col min="5121" max="5121" width="58.28515625" style="210" customWidth="1"/>
    <col min="5122" max="5122" width="10.28515625" style="210"/>
    <col min="5123" max="5123" width="11" style="210" customWidth="1"/>
    <col min="5124" max="5125" width="9.7109375" style="210" customWidth="1"/>
    <col min="5126" max="5126" width="10.7109375" style="210" customWidth="1"/>
    <col min="5127" max="5128" width="11.28515625" style="210" customWidth="1"/>
    <col min="5129" max="5129" width="17" style="210" customWidth="1"/>
    <col min="5130" max="5130" width="16.28515625" style="210" customWidth="1"/>
    <col min="5131" max="5375" width="10.28515625" style="210"/>
    <col min="5376" max="5376" width="6.42578125" style="210" customWidth="1"/>
    <col min="5377" max="5377" width="58.28515625" style="210" customWidth="1"/>
    <col min="5378" max="5378" width="10.28515625" style="210"/>
    <col min="5379" max="5379" width="11" style="210" customWidth="1"/>
    <col min="5380" max="5381" width="9.7109375" style="210" customWidth="1"/>
    <col min="5382" max="5382" width="10.7109375" style="210" customWidth="1"/>
    <col min="5383" max="5384" width="11.28515625" style="210" customWidth="1"/>
    <col min="5385" max="5385" width="17" style="210" customWidth="1"/>
    <col min="5386" max="5386" width="16.28515625" style="210" customWidth="1"/>
    <col min="5387" max="5631" width="10.28515625" style="210"/>
    <col min="5632" max="5632" width="6.42578125" style="210" customWidth="1"/>
    <col min="5633" max="5633" width="58.28515625" style="210" customWidth="1"/>
    <col min="5634" max="5634" width="10.28515625" style="210"/>
    <col min="5635" max="5635" width="11" style="210" customWidth="1"/>
    <col min="5636" max="5637" width="9.7109375" style="210" customWidth="1"/>
    <col min="5638" max="5638" width="10.7109375" style="210" customWidth="1"/>
    <col min="5639" max="5640" width="11.28515625" style="210" customWidth="1"/>
    <col min="5641" max="5641" width="17" style="210" customWidth="1"/>
    <col min="5642" max="5642" width="16.28515625" style="210" customWidth="1"/>
    <col min="5643" max="5887" width="10.28515625" style="210"/>
    <col min="5888" max="5888" width="6.42578125" style="210" customWidth="1"/>
    <col min="5889" max="5889" width="58.28515625" style="210" customWidth="1"/>
    <col min="5890" max="5890" width="10.28515625" style="210"/>
    <col min="5891" max="5891" width="11" style="210" customWidth="1"/>
    <col min="5892" max="5893" width="9.7109375" style="210" customWidth="1"/>
    <col min="5894" max="5894" width="10.7109375" style="210" customWidth="1"/>
    <col min="5895" max="5896" width="11.28515625" style="210" customWidth="1"/>
    <col min="5897" max="5897" width="17" style="210" customWidth="1"/>
    <col min="5898" max="5898" width="16.28515625" style="210" customWidth="1"/>
    <col min="5899" max="6143" width="10.28515625" style="210"/>
    <col min="6144" max="6144" width="6.42578125" style="210" customWidth="1"/>
    <col min="6145" max="6145" width="58.28515625" style="210" customWidth="1"/>
    <col min="6146" max="6146" width="10.28515625" style="210"/>
    <col min="6147" max="6147" width="11" style="210" customWidth="1"/>
    <col min="6148" max="6149" width="9.7109375" style="210" customWidth="1"/>
    <col min="6150" max="6150" width="10.7109375" style="210" customWidth="1"/>
    <col min="6151" max="6152" width="11.28515625" style="210" customWidth="1"/>
    <col min="6153" max="6153" width="17" style="210" customWidth="1"/>
    <col min="6154" max="6154" width="16.28515625" style="210" customWidth="1"/>
    <col min="6155" max="6399" width="10.28515625" style="210"/>
    <col min="6400" max="6400" width="6.42578125" style="210" customWidth="1"/>
    <col min="6401" max="6401" width="58.28515625" style="210" customWidth="1"/>
    <col min="6402" max="6402" width="10.28515625" style="210"/>
    <col min="6403" max="6403" width="11" style="210" customWidth="1"/>
    <col min="6404" max="6405" width="9.7109375" style="210" customWidth="1"/>
    <col min="6406" max="6406" width="10.7109375" style="210" customWidth="1"/>
    <col min="6407" max="6408" width="11.28515625" style="210" customWidth="1"/>
    <col min="6409" max="6409" width="17" style="210" customWidth="1"/>
    <col min="6410" max="6410" width="16.28515625" style="210" customWidth="1"/>
    <col min="6411" max="6655" width="10.28515625" style="210"/>
    <col min="6656" max="6656" width="6.42578125" style="210" customWidth="1"/>
    <col min="6657" max="6657" width="58.28515625" style="210" customWidth="1"/>
    <col min="6658" max="6658" width="10.28515625" style="210"/>
    <col min="6659" max="6659" width="11" style="210" customWidth="1"/>
    <col min="6660" max="6661" width="9.7109375" style="210" customWidth="1"/>
    <col min="6662" max="6662" width="10.7109375" style="210" customWidth="1"/>
    <col min="6663" max="6664" width="11.28515625" style="210" customWidth="1"/>
    <col min="6665" max="6665" width="17" style="210" customWidth="1"/>
    <col min="6666" max="6666" width="16.28515625" style="210" customWidth="1"/>
    <col min="6667" max="6911" width="10.28515625" style="210"/>
    <col min="6912" max="6912" width="6.42578125" style="210" customWidth="1"/>
    <col min="6913" max="6913" width="58.28515625" style="210" customWidth="1"/>
    <col min="6914" max="6914" width="10.28515625" style="210"/>
    <col min="6915" max="6915" width="11" style="210" customWidth="1"/>
    <col min="6916" max="6917" width="9.7109375" style="210" customWidth="1"/>
    <col min="6918" max="6918" width="10.7109375" style="210" customWidth="1"/>
    <col min="6919" max="6920" width="11.28515625" style="210" customWidth="1"/>
    <col min="6921" max="6921" width="17" style="210" customWidth="1"/>
    <col min="6922" max="6922" width="16.28515625" style="210" customWidth="1"/>
    <col min="6923" max="7167" width="10.28515625" style="210"/>
    <col min="7168" max="7168" width="6.42578125" style="210" customWidth="1"/>
    <col min="7169" max="7169" width="58.28515625" style="210" customWidth="1"/>
    <col min="7170" max="7170" width="10.28515625" style="210"/>
    <col min="7171" max="7171" width="11" style="210" customWidth="1"/>
    <col min="7172" max="7173" width="9.7109375" style="210" customWidth="1"/>
    <col min="7174" max="7174" width="10.7109375" style="210" customWidth="1"/>
    <col min="7175" max="7176" width="11.28515625" style="210" customWidth="1"/>
    <col min="7177" max="7177" width="17" style="210" customWidth="1"/>
    <col min="7178" max="7178" width="16.28515625" style="210" customWidth="1"/>
    <col min="7179" max="7423" width="10.28515625" style="210"/>
    <col min="7424" max="7424" width="6.42578125" style="210" customWidth="1"/>
    <col min="7425" max="7425" width="58.28515625" style="210" customWidth="1"/>
    <col min="7426" max="7426" width="10.28515625" style="210"/>
    <col min="7427" max="7427" width="11" style="210" customWidth="1"/>
    <col min="7428" max="7429" width="9.7109375" style="210" customWidth="1"/>
    <col min="7430" max="7430" width="10.7109375" style="210" customWidth="1"/>
    <col min="7431" max="7432" width="11.28515625" style="210" customWidth="1"/>
    <col min="7433" max="7433" width="17" style="210" customWidth="1"/>
    <col min="7434" max="7434" width="16.28515625" style="210" customWidth="1"/>
    <col min="7435" max="7679" width="10.28515625" style="210"/>
    <col min="7680" max="7680" width="6.42578125" style="210" customWidth="1"/>
    <col min="7681" max="7681" width="58.28515625" style="210" customWidth="1"/>
    <col min="7682" max="7682" width="10.28515625" style="210"/>
    <col min="7683" max="7683" width="11" style="210" customWidth="1"/>
    <col min="7684" max="7685" width="9.7109375" style="210" customWidth="1"/>
    <col min="7686" max="7686" width="10.7109375" style="210" customWidth="1"/>
    <col min="7687" max="7688" width="11.28515625" style="210" customWidth="1"/>
    <col min="7689" max="7689" width="17" style="210" customWidth="1"/>
    <col min="7690" max="7690" width="16.28515625" style="210" customWidth="1"/>
    <col min="7691" max="7935" width="10.28515625" style="210"/>
    <col min="7936" max="7936" width="6.42578125" style="210" customWidth="1"/>
    <col min="7937" max="7937" width="58.28515625" style="210" customWidth="1"/>
    <col min="7938" max="7938" width="10.28515625" style="210"/>
    <col min="7939" max="7939" width="11" style="210" customWidth="1"/>
    <col min="7940" max="7941" width="9.7109375" style="210" customWidth="1"/>
    <col min="7942" max="7942" width="10.7109375" style="210" customWidth="1"/>
    <col min="7943" max="7944" width="11.28515625" style="210" customWidth="1"/>
    <col min="7945" max="7945" width="17" style="210" customWidth="1"/>
    <col min="7946" max="7946" width="16.28515625" style="210" customWidth="1"/>
    <col min="7947" max="8191" width="10.28515625" style="210"/>
    <col min="8192" max="8192" width="6.42578125" style="210" customWidth="1"/>
    <col min="8193" max="8193" width="58.28515625" style="210" customWidth="1"/>
    <col min="8194" max="8194" width="10.28515625" style="210"/>
    <col min="8195" max="8195" width="11" style="210" customWidth="1"/>
    <col min="8196" max="8197" width="9.7109375" style="210" customWidth="1"/>
    <col min="8198" max="8198" width="10.7109375" style="210" customWidth="1"/>
    <col min="8199" max="8200" width="11.28515625" style="210" customWidth="1"/>
    <col min="8201" max="8201" width="17" style="210" customWidth="1"/>
    <col min="8202" max="8202" width="16.28515625" style="210" customWidth="1"/>
    <col min="8203" max="8447" width="10.28515625" style="210"/>
    <col min="8448" max="8448" width="6.42578125" style="210" customWidth="1"/>
    <col min="8449" max="8449" width="58.28515625" style="210" customWidth="1"/>
    <col min="8450" max="8450" width="10.28515625" style="210"/>
    <col min="8451" max="8451" width="11" style="210" customWidth="1"/>
    <col min="8452" max="8453" width="9.7109375" style="210" customWidth="1"/>
    <col min="8454" max="8454" width="10.7109375" style="210" customWidth="1"/>
    <col min="8455" max="8456" width="11.28515625" style="210" customWidth="1"/>
    <col min="8457" max="8457" width="17" style="210" customWidth="1"/>
    <col min="8458" max="8458" width="16.28515625" style="210" customWidth="1"/>
    <col min="8459" max="8703" width="10.28515625" style="210"/>
    <col min="8704" max="8704" width="6.42578125" style="210" customWidth="1"/>
    <col min="8705" max="8705" width="58.28515625" style="210" customWidth="1"/>
    <col min="8706" max="8706" width="10.28515625" style="210"/>
    <col min="8707" max="8707" width="11" style="210" customWidth="1"/>
    <col min="8708" max="8709" width="9.7109375" style="210" customWidth="1"/>
    <col min="8710" max="8710" width="10.7109375" style="210" customWidth="1"/>
    <col min="8711" max="8712" width="11.28515625" style="210" customWidth="1"/>
    <col min="8713" max="8713" width="17" style="210" customWidth="1"/>
    <col min="8714" max="8714" width="16.28515625" style="210" customWidth="1"/>
    <col min="8715" max="8959" width="10.28515625" style="210"/>
    <col min="8960" max="8960" width="6.42578125" style="210" customWidth="1"/>
    <col min="8961" max="8961" width="58.28515625" style="210" customWidth="1"/>
    <col min="8962" max="8962" width="10.28515625" style="210"/>
    <col min="8963" max="8963" width="11" style="210" customWidth="1"/>
    <col min="8964" max="8965" width="9.7109375" style="210" customWidth="1"/>
    <col min="8966" max="8966" width="10.7109375" style="210" customWidth="1"/>
    <col min="8967" max="8968" width="11.28515625" style="210" customWidth="1"/>
    <col min="8969" max="8969" width="17" style="210" customWidth="1"/>
    <col min="8970" max="8970" width="16.28515625" style="210" customWidth="1"/>
    <col min="8971" max="9215" width="10.28515625" style="210"/>
    <col min="9216" max="9216" width="6.42578125" style="210" customWidth="1"/>
    <col min="9217" max="9217" width="58.28515625" style="210" customWidth="1"/>
    <col min="9218" max="9218" width="10.28515625" style="210"/>
    <col min="9219" max="9219" width="11" style="210" customWidth="1"/>
    <col min="9220" max="9221" width="9.7109375" style="210" customWidth="1"/>
    <col min="9222" max="9222" width="10.7109375" style="210" customWidth="1"/>
    <col min="9223" max="9224" width="11.28515625" style="210" customWidth="1"/>
    <col min="9225" max="9225" width="17" style="210" customWidth="1"/>
    <col min="9226" max="9226" width="16.28515625" style="210" customWidth="1"/>
    <col min="9227" max="9471" width="10.28515625" style="210"/>
    <col min="9472" max="9472" width="6.42578125" style="210" customWidth="1"/>
    <col min="9473" max="9473" width="58.28515625" style="210" customWidth="1"/>
    <col min="9474" max="9474" width="10.28515625" style="210"/>
    <col min="9475" max="9475" width="11" style="210" customWidth="1"/>
    <col min="9476" max="9477" width="9.7109375" style="210" customWidth="1"/>
    <col min="9478" max="9478" width="10.7109375" style="210" customWidth="1"/>
    <col min="9479" max="9480" width="11.28515625" style="210" customWidth="1"/>
    <col min="9481" max="9481" width="17" style="210" customWidth="1"/>
    <col min="9482" max="9482" width="16.28515625" style="210" customWidth="1"/>
    <col min="9483" max="9727" width="10.28515625" style="210"/>
    <col min="9728" max="9728" width="6.42578125" style="210" customWidth="1"/>
    <col min="9729" max="9729" width="58.28515625" style="210" customWidth="1"/>
    <col min="9730" max="9730" width="10.28515625" style="210"/>
    <col min="9731" max="9731" width="11" style="210" customWidth="1"/>
    <col min="9732" max="9733" width="9.7109375" style="210" customWidth="1"/>
    <col min="9734" max="9734" width="10.7109375" style="210" customWidth="1"/>
    <col min="9735" max="9736" width="11.28515625" style="210" customWidth="1"/>
    <col min="9737" max="9737" width="17" style="210" customWidth="1"/>
    <col min="9738" max="9738" width="16.28515625" style="210" customWidth="1"/>
    <col min="9739" max="9983" width="10.28515625" style="210"/>
    <col min="9984" max="9984" width="6.42578125" style="210" customWidth="1"/>
    <col min="9985" max="9985" width="58.28515625" style="210" customWidth="1"/>
    <col min="9986" max="9986" width="10.28515625" style="210"/>
    <col min="9987" max="9987" width="11" style="210" customWidth="1"/>
    <col min="9988" max="9989" width="9.7109375" style="210" customWidth="1"/>
    <col min="9990" max="9990" width="10.7109375" style="210" customWidth="1"/>
    <col min="9991" max="9992" width="11.28515625" style="210" customWidth="1"/>
    <col min="9993" max="9993" width="17" style="210" customWidth="1"/>
    <col min="9994" max="9994" width="16.28515625" style="210" customWidth="1"/>
    <col min="9995" max="10239" width="10.28515625" style="210"/>
    <col min="10240" max="10240" width="6.42578125" style="210" customWidth="1"/>
    <col min="10241" max="10241" width="58.28515625" style="210" customWidth="1"/>
    <col min="10242" max="10242" width="10.28515625" style="210"/>
    <col min="10243" max="10243" width="11" style="210" customWidth="1"/>
    <col min="10244" max="10245" width="9.7109375" style="210" customWidth="1"/>
    <col min="10246" max="10246" width="10.7109375" style="210" customWidth="1"/>
    <col min="10247" max="10248" width="11.28515625" style="210" customWidth="1"/>
    <col min="10249" max="10249" width="17" style="210" customWidth="1"/>
    <col min="10250" max="10250" width="16.28515625" style="210" customWidth="1"/>
    <col min="10251" max="10495" width="10.28515625" style="210"/>
    <col min="10496" max="10496" width="6.42578125" style="210" customWidth="1"/>
    <col min="10497" max="10497" width="58.28515625" style="210" customWidth="1"/>
    <col min="10498" max="10498" width="10.28515625" style="210"/>
    <col min="10499" max="10499" width="11" style="210" customWidth="1"/>
    <col min="10500" max="10501" width="9.7109375" style="210" customWidth="1"/>
    <col min="10502" max="10502" width="10.7109375" style="210" customWidth="1"/>
    <col min="10503" max="10504" width="11.28515625" style="210" customWidth="1"/>
    <col min="10505" max="10505" width="17" style="210" customWidth="1"/>
    <col min="10506" max="10506" width="16.28515625" style="210" customWidth="1"/>
    <col min="10507" max="10751" width="10.28515625" style="210"/>
    <col min="10752" max="10752" width="6.42578125" style="210" customWidth="1"/>
    <col min="10753" max="10753" width="58.28515625" style="210" customWidth="1"/>
    <col min="10754" max="10754" width="10.28515625" style="210"/>
    <col min="10755" max="10755" width="11" style="210" customWidth="1"/>
    <col min="10756" max="10757" width="9.7109375" style="210" customWidth="1"/>
    <col min="10758" max="10758" width="10.7109375" style="210" customWidth="1"/>
    <col min="10759" max="10760" width="11.28515625" style="210" customWidth="1"/>
    <col min="10761" max="10761" width="17" style="210" customWidth="1"/>
    <col min="10762" max="10762" width="16.28515625" style="210" customWidth="1"/>
    <col min="10763" max="11007" width="10.28515625" style="210"/>
    <col min="11008" max="11008" width="6.42578125" style="210" customWidth="1"/>
    <col min="11009" max="11009" width="58.28515625" style="210" customWidth="1"/>
    <col min="11010" max="11010" width="10.28515625" style="210"/>
    <col min="11011" max="11011" width="11" style="210" customWidth="1"/>
    <col min="11012" max="11013" width="9.7109375" style="210" customWidth="1"/>
    <col min="11014" max="11014" width="10.7109375" style="210" customWidth="1"/>
    <col min="11015" max="11016" width="11.28515625" style="210" customWidth="1"/>
    <col min="11017" max="11017" width="17" style="210" customWidth="1"/>
    <col min="11018" max="11018" width="16.28515625" style="210" customWidth="1"/>
    <col min="11019" max="11263" width="10.28515625" style="210"/>
    <col min="11264" max="11264" width="6.42578125" style="210" customWidth="1"/>
    <col min="11265" max="11265" width="58.28515625" style="210" customWidth="1"/>
    <col min="11266" max="11266" width="10.28515625" style="210"/>
    <col min="11267" max="11267" width="11" style="210" customWidth="1"/>
    <col min="11268" max="11269" width="9.7109375" style="210" customWidth="1"/>
    <col min="11270" max="11270" width="10.7109375" style="210" customWidth="1"/>
    <col min="11271" max="11272" width="11.28515625" style="210" customWidth="1"/>
    <col min="11273" max="11273" width="17" style="210" customWidth="1"/>
    <col min="11274" max="11274" width="16.28515625" style="210" customWidth="1"/>
    <col min="11275" max="11519" width="10.28515625" style="210"/>
    <col min="11520" max="11520" width="6.42578125" style="210" customWidth="1"/>
    <col min="11521" max="11521" width="58.28515625" style="210" customWidth="1"/>
    <col min="11522" max="11522" width="10.28515625" style="210"/>
    <col min="11523" max="11523" width="11" style="210" customWidth="1"/>
    <col min="11524" max="11525" width="9.7109375" style="210" customWidth="1"/>
    <col min="11526" max="11526" width="10.7109375" style="210" customWidth="1"/>
    <col min="11527" max="11528" width="11.28515625" style="210" customWidth="1"/>
    <col min="11529" max="11529" width="17" style="210" customWidth="1"/>
    <col min="11530" max="11530" width="16.28515625" style="210" customWidth="1"/>
    <col min="11531" max="11775" width="10.28515625" style="210"/>
    <col min="11776" max="11776" width="6.42578125" style="210" customWidth="1"/>
    <col min="11777" max="11777" width="58.28515625" style="210" customWidth="1"/>
    <col min="11778" max="11778" width="10.28515625" style="210"/>
    <col min="11779" max="11779" width="11" style="210" customWidth="1"/>
    <col min="11780" max="11781" width="9.7109375" style="210" customWidth="1"/>
    <col min="11782" max="11782" width="10.7109375" style="210" customWidth="1"/>
    <col min="11783" max="11784" width="11.28515625" style="210" customWidth="1"/>
    <col min="11785" max="11785" width="17" style="210" customWidth="1"/>
    <col min="11786" max="11786" width="16.28515625" style="210" customWidth="1"/>
    <col min="11787" max="12031" width="10.28515625" style="210"/>
    <col min="12032" max="12032" width="6.42578125" style="210" customWidth="1"/>
    <col min="12033" max="12033" width="58.28515625" style="210" customWidth="1"/>
    <col min="12034" max="12034" width="10.28515625" style="210"/>
    <col min="12035" max="12035" width="11" style="210" customWidth="1"/>
    <col min="12036" max="12037" width="9.7109375" style="210" customWidth="1"/>
    <col min="12038" max="12038" width="10.7109375" style="210" customWidth="1"/>
    <col min="12039" max="12040" width="11.28515625" style="210" customWidth="1"/>
    <col min="12041" max="12041" width="17" style="210" customWidth="1"/>
    <col min="12042" max="12042" width="16.28515625" style="210" customWidth="1"/>
    <col min="12043" max="12287" width="10.28515625" style="210"/>
    <col min="12288" max="12288" width="6.42578125" style="210" customWidth="1"/>
    <col min="12289" max="12289" width="58.28515625" style="210" customWidth="1"/>
    <col min="12290" max="12290" width="10.28515625" style="210"/>
    <col min="12291" max="12291" width="11" style="210" customWidth="1"/>
    <col min="12292" max="12293" width="9.7109375" style="210" customWidth="1"/>
    <col min="12294" max="12294" width="10.7109375" style="210" customWidth="1"/>
    <col min="12295" max="12296" width="11.28515625" style="210" customWidth="1"/>
    <col min="12297" max="12297" width="17" style="210" customWidth="1"/>
    <col min="12298" max="12298" width="16.28515625" style="210" customWidth="1"/>
    <col min="12299" max="12543" width="10.28515625" style="210"/>
    <col min="12544" max="12544" width="6.42578125" style="210" customWidth="1"/>
    <col min="12545" max="12545" width="58.28515625" style="210" customWidth="1"/>
    <col min="12546" max="12546" width="10.28515625" style="210"/>
    <col min="12547" max="12547" width="11" style="210" customWidth="1"/>
    <col min="12548" max="12549" width="9.7109375" style="210" customWidth="1"/>
    <col min="12550" max="12550" width="10.7109375" style="210" customWidth="1"/>
    <col min="12551" max="12552" width="11.28515625" style="210" customWidth="1"/>
    <col min="12553" max="12553" width="17" style="210" customWidth="1"/>
    <col min="12554" max="12554" width="16.28515625" style="210" customWidth="1"/>
    <col min="12555" max="12799" width="10.28515625" style="210"/>
    <col min="12800" max="12800" width="6.42578125" style="210" customWidth="1"/>
    <col min="12801" max="12801" width="58.28515625" style="210" customWidth="1"/>
    <col min="12802" max="12802" width="10.28515625" style="210"/>
    <col min="12803" max="12803" width="11" style="210" customWidth="1"/>
    <col min="12804" max="12805" width="9.7109375" style="210" customWidth="1"/>
    <col min="12806" max="12806" width="10.7109375" style="210" customWidth="1"/>
    <col min="12807" max="12808" width="11.28515625" style="210" customWidth="1"/>
    <col min="12809" max="12809" width="17" style="210" customWidth="1"/>
    <col min="12810" max="12810" width="16.28515625" style="210" customWidth="1"/>
    <col min="12811" max="13055" width="10.28515625" style="210"/>
    <col min="13056" max="13056" width="6.42578125" style="210" customWidth="1"/>
    <col min="13057" max="13057" width="58.28515625" style="210" customWidth="1"/>
    <col min="13058" max="13058" width="10.28515625" style="210"/>
    <col min="13059" max="13059" width="11" style="210" customWidth="1"/>
    <col min="13060" max="13061" width="9.7109375" style="210" customWidth="1"/>
    <col min="13062" max="13062" width="10.7109375" style="210" customWidth="1"/>
    <col min="13063" max="13064" width="11.28515625" style="210" customWidth="1"/>
    <col min="13065" max="13065" width="17" style="210" customWidth="1"/>
    <col min="13066" max="13066" width="16.28515625" style="210" customWidth="1"/>
    <col min="13067" max="13311" width="10.28515625" style="210"/>
    <col min="13312" max="13312" width="6.42578125" style="210" customWidth="1"/>
    <col min="13313" max="13313" width="58.28515625" style="210" customWidth="1"/>
    <col min="13314" max="13314" width="10.28515625" style="210"/>
    <col min="13315" max="13315" width="11" style="210" customWidth="1"/>
    <col min="13316" max="13317" width="9.7109375" style="210" customWidth="1"/>
    <col min="13318" max="13318" width="10.7109375" style="210" customWidth="1"/>
    <col min="13319" max="13320" width="11.28515625" style="210" customWidth="1"/>
    <col min="13321" max="13321" width="17" style="210" customWidth="1"/>
    <col min="13322" max="13322" width="16.28515625" style="210" customWidth="1"/>
    <col min="13323" max="13567" width="10.28515625" style="210"/>
    <col min="13568" max="13568" width="6.42578125" style="210" customWidth="1"/>
    <col min="13569" max="13569" width="58.28515625" style="210" customWidth="1"/>
    <col min="13570" max="13570" width="10.28515625" style="210"/>
    <col min="13571" max="13571" width="11" style="210" customWidth="1"/>
    <col min="13572" max="13573" width="9.7109375" style="210" customWidth="1"/>
    <col min="13574" max="13574" width="10.7109375" style="210" customWidth="1"/>
    <col min="13575" max="13576" width="11.28515625" style="210" customWidth="1"/>
    <col min="13577" max="13577" width="17" style="210" customWidth="1"/>
    <col min="13578" max="13578" width="16.28515625" style="210" customWidth="1"/>
    <col min="13579" max="13823" width="10.28515625" style="210"/>
    <col min="13824" max="13824" width="6.42578125" style="210" customWidth="1"/>
    <col min="13825" max="13825" width="58.28515625" style="210" customWidth="1"/>
    <col min="13826" max="13826" width="10.28515625" style="210"/>
    <col min="13827" max="13827" width="11" style="210" customWidth="1"/>
    <col min="13828" max="13829" width="9.7109375" style="210" customWidth="1"/>
    <col min="13830" max="13830" width="10.7109375" style="210" customWidth="1"/>
    <col min="13831" max="13832" width="11.28515625" style="210" customWidth="1"/>
    <col min="13833" max="13833" width="17" style="210" customWidth="1"/>
    <col min="13834" max="13834" width="16.28515625" style="210" customWidth="1"/>
    <col min="13835" max="14079" width="10.28515625" style="210"/>
    <col min="14080" max="14080" width="6.42578125" style="210" customWidth="1"/>
    <col min="14081" max="14081" width="58.28515625" style="210" customWidth="1"/>
    <col min="14082" max="14082" width="10.28515625" style="210"/>
    <col min="14083" max="14083" width="11" style="210" customWidth="1"/>
    <col min="14084" max="14085" width="9.7109375" style="210" customWidth="1"/>
    <col min="14086" max="14086" width="10.7109375" style="210" customWidth="1"/>
    <col min="14087" max="14088" width="11.28515625" style="210" customWidth="1"/>
    <col min="14089" max="14089" width="17" style="210" customWidth="1"/>
    <col min="14090" max="14090" width="16.28515625" style="210" customWidth="1"/>
    <col min="14091" max="14335" width="10.28515625" style="210"/>
    <col min="14336" max="14336" width="6.42578125" style="210" customWidth="1"/>
    <col min="14337" max="14337" width="58.28515625" style="210" customWidth="1"/>
    <col min="14338" max="14338" width="10.28515625" style="210"/>
    <col min="14339" max="14339" width="11" style="210" customWidth="1"/>
    <col min="14340" max="14341" width="9.7109375" style="210" customWidth="1"/>
    <col min="14342" max="14342" width="10.7109375" style="210" customWidth="1"/>
    <col min="14343" max="14344" width="11.28515625" style="210" customWidth="1"/>
    <col min="14345" max="14345" width="17" style="210" customWidth="1"/>
    <col min="14346" max="14346" width="16.28515625" style="210" customWidth="1"/>
    <col min="14347" max="14591" width="10.28515625" style="210"/>
    <col min="14592" max="14592" width="6.42578125" style="210" customWidth="1"/>
    <col min="14593" max="14593" width="58.28515625" style="210" customWidth="1"/>
    <col min="14594" max="14594" width="10.28515625" style="210"/>
    <col min="14595" max="14595" width="11" style="210" customWidth="1"/>
    <col min="14596" max="14597" width="9.7109375" style="210" customWidth="1"/>
    <col min="14598" max="14598" width="10.7109375" style="210" customWidth="1"/>
    <col min="14599" max="14600" width="11.28515625" style="210" customWidth="1"/>
    <col min="14601" max="14601" width="17" style="210" customWidth="1"/>
    <col min="14602" max="14602" width="16.28515625" style="210" customWidth="1"/>
    <col min="14603" max="14847" width="10.28515625" style="210"/>
    <col min="14848" max="14848" width="6.42578125" style="210" customWidth="1"/>
    <col min="14849" max="14849" width="58.28515625" style="210" customWidth="1"/>
    <col min="14850" max="14850" width="10.28515625" style="210"/>
    <col min="14851" max="14851" width="11" style="210" customWidth="1"/>
    <col min="14852" max="14853" width="9.7109375" style="210" customWidth="1"/>
    <col min="14854" max="14854" width="10.7109375" style="210" customWidth="1"/>
    <col min="14855" max="14856" width="11.28515625" style="210" customWidth="1"/>
    <col min="14857" max="14857" width="17" style="210" customWidth="1"/>
    <col min="14858" max="14858" width="16.28515625" style="210" customWidth="1"/>
    <col min="14859" max="15103" width="10.28515625" style="210"/>
    <col min="15104" max="15104" width="6.42578125" style="210" customWidth="1"/>
    <col min="15105" max="15105" width="58.28515625" style="210" customWidth="1"/>
    <col min="15106" max="15106" width="10.28515625" style="210"/>
    <col min="15107" max="15107" width="11" style="210" customWidth="1"/>
    <col min="15108" max="15109" width="9.7109375" style="210" customWidth="1"/>
    <col min="15110" max="15110" width="10.7109375" style="210" customWidth="1"/>
    <col min="15111" max="15112" width="11.28515625" style="210" customWidth="1"/>
    <col min="15113" max="15113" width="17" style="210" customWidth="1"/>
    <col min="15114" max="15114" width="16.28515625" style="210" customWidth="1"/>
    <col min="15115" max="15359" width="10.28515625" style="210"/>
    <col min="15360" max="15360" width="6.42578125" style="210" customWidth="1"/>
    <col min="15361" max="15361" width="58.28515625" style="210" customWidth="1"/>
    <col min="15362" max="15362" width="10.28515625" style="210"/>
    <col min="15363" max="15363" width="11" style="210" customWidth="1"/>
    <col min="15364" max="15365" width="9.7109375" style="210" customWidth="1"/>
    <col min="15366" max="15366" width="10.7109375" style="210" customWidth="1"/>
    <col min="15367" max="15368" width="11.28515625" style="210" customWidth="1"/>
    <col min="15369" max="15369" width="17" style="210" customWidth="1"/>
    <col min="15370" max="15370" width="16.28515625" style="210" customWidth="1"/>
    <col min="15371" max="15615" width="10.28515625" style="210"/>
    <col min="15616" max="15616" width="6.42578125" style="210" customWidth="1"/>
    <col min="15617" max="15617" width="58.28515625" style="210" customWidth="1"/>
    <col min="15618" max="15618" width="10.28515625" style="210"/>
    <col min="15619" max="15619" width="11" style="210" customWidth="1"/>
    <col min="15620" max="15621" width="9.7109375" style="210" customWidth="1"/>
    <col min="15622" max="15622" width="10.7109375" style="210" customWidth="1"/>
    <col min="15623" max="15624" width="11.28515625" style="210" customWidth="1"/>
    <col min="15625" max="15625" width="17" style="210" customWidth="1"/>
    <col min="15626" max="15626" width="16.28515625" style="210" customWidth="1"/>
    <col min="15627" max="15871" width="10.28515625" style="210"/>
    <col min="15872" max="15872" width="6.42578125" style="210" customWidth="1"/>
    <col min="15873" max="15873" width="58.28515625" style="210" customWidth="1"/>
    <col min="15874" max="15874" width="10.28515625" style="210"/>
    <col min="15875" max="15875" width="11" style="210" customWidth="1"/>
    <col min="15876" max="15877" width="9.7109375" style="210" customWidth="1"/>
    <col min="15878" max="15878" width="10.7109375" style="210" customWidth="1"/>
    <col min="15879" max="15880" width="11.28515625" style="210" customWidth="1"/>
    <col min="15881" max="15881" width="17" style="210" customWidth="1"/>
    <col min="15882" max="15882" width="16.28515625" style="210" customWidth="1"/>
    <col min="15883" max="16127" width="10.28515625" style="210"/>
    <col min="16128" max="16128" width="6.42578125" style="210" customWidth="1"/>
    <col min="16129" max="16129" width="58.28515625" style="210" customWidth="1"/>
    <col min="16130" max="16130" width="10.28515625" style="210"/>
    <col min="16131" max="16131" width="11" style="210" customWidth="1"/>
    <col min="16132" max="16133" width="9.7109375" style="210" customWidth="1"/>
    <col min="16134" max="16134" width="10.7109375" style="210" customWidth="1"/>
    <col min="16135" max="16136" width="11.28515625" style="210" customWidth="1"/>
    <col min="16137" max="16137" width="17" style="210" customWidth="1"/>
    <col min="16138" max="16138" width="16.28515625" style="210" customWidth="1"/>
    <col min="16139" max="16384" width="10.28515625" style="210"/>
  </cols>
  <sheetData>
    <row r="1" spans="1:11" ht="12" customHeight="1" x14ac:dyDescent="0.2">
      <c r="A1" s="209"/>
      <c r="C1" s="211"/>
      <c r="D1" s="211"/>
      <c r="E1" s="211"/>
      <c r="F1" s="211"/>
      <c r="G1" s="5" t="s">
        <v>267</v>
      </c>
      <c r="H1" s="5"/>
      <c r="I1" s="3"/>
    </row>
    <row r="2" spans="1:11" ht="12" customHeight="1" x14ac:dyDescent="0.2">
      <c r="C2" s="211"/>
      <c r="D2" s="211"/>
      <c r="E2" s="211"/>
      <c r="F2" s="211"/>
      <c r="G2" s="261" t="s">
        <v>223</v>
      </c>
      <c r="H2" s="5"/>
      <c r="I2" s="3"/>
    </row>
    <row r="3" spans="1:11" ht="12" customHeight="1" x14ac:dyDescent="0.2">
      <c r="C3" s="211"/>
      <c r="D3" s="211"/>
      <c r="E3" s="211"/>
      <c r="F3" s="211"/>
      <c r="G3" s="261" t="s">
        <v>1</v>
      </c>
      <c r="H3" s="5"/>
      <c r="I3" s="3"/>
    </row>
    <row r="4" spans="1:11" ht="12" customHeight="1" x14ac:dyDescent="0.2">
      <c r="B4" s="211"/>
      <c r="C4" s="212"/>
      <c r="D4" s="211"/>
      <c r="E4" s="212"/>
      <c r="F4" s="211"/>
      <c r="G4" s="261" t="s">
        <v>224</v>
      </c>
      <c r="H4" s="6"/>
      <c r="I4" s="3"/>
    </row>
    <row r="5" spans="1:11" ht="12" customHeight="1" x14ac:dyDescent="0.2">
      <c r="B5" s="211"/>
      <c r="C5" s="212"/>
      <c r="D5" s="211"/>
      <c r="E5" s="212"/>
      <c r="F5" s="211"/>
      <c r="G5" s="4"/>
      <c r="H5" s="4"/>
      <c r="I5" s="3"/>
    </row>
    <row r="6" spans="1:11" ht="12.75" customHeight="1" x14ac:dyDescent="0.2">
      <c r="A6" s="213" t="s">
        <v>26</v>
      </c>
      <c r="B6" s="213"/>
      <c r="C6" s="213"/>
      <c r="D6" s="213"/>
      <c r="E6" s="213"/>
      <c r="F6" s="213"/>
      <c r="G6" s="213"/>
      <c r="H6" s="213"/>
      <c r="I6" s="213"/>
      <c r="J6" s="210" t="s">
        <v>268</v>
      </c>
    </row>
    <row r="7" spans="1:11" ht="11.25" customHeight="1" x14ac:dyDescent="0.2">
      <c r="I7" s="210" t="s">
        <v>2</v>
      </c>
    </row>
    <row r="8" spans="1:11" ht="11.25" customHeight="1" x14ac:dyDescent="0.2">
      <c r="A8" s="214"/>
      <c r="B8" s="214"/>
      <c r="C8" s="215" t="s">
        <v>27</v>
      </c>
      <c r="D8" s="216" t="s">
        <v>28</v>
      </c>
      <c r="E8" s="217" t="s">
        <v>29</v>
      </c>
      <c r="F8" s="218"/>
      <c r="G8" s="217" t="s">
        <v>30</v>
      </c>
      <c r="H8" s="219"/>
      <c r="I8" s="218"/>
    </row>
    <row r="9" spans="1:11" ht="11.25" customHeight="1" x14ac:dyDescent="0.2">
      <c r="A9" s="220"/>
      <c r="B9" s="220"/>
      <c r="C9" s="221"/>
      <c r="D9" s="222" t="s">
        <v>31</v>
      </c>
      <c r="E9" s="215"/>
      <c r="F9" s="215"/>
      <c r="G9" s="217" t="s">
        <v>32</v>
      </c>
      <c r="H9" s="219"/>
      <c r="I9" s="218"/>
    </row>
    <row r="10" spans="1:11" ht="11.25" customHeight="1" x14ac:dyDescent="0.2">
      <c r="A10" s="220"/>
      <c r="B10" s="220"/>
      <c r="C10" s="221" t="s">
        <v>33</v>
      </c>
      <c r="D10" s="222" t="s">
        <v>34</v>
      </c>
      <c r="E10" s="221"/>
      <c r="F10" s="221"/>
      <c r="G10" s="215"/>
      <c r="H10" s="215"/>
      <c r="I10" s="215"/>
    </row>
    <row r="11" spans="1:11" ht="14.25" customHeight="1" x14ac:dyDescent="0.2">
      <c r="A11" s="220" t="s">
        <v>14</v>
      </c>
      <c r="B11" s="220" t="s">
        <v>35</v>
      </c>
      <c r="C11" s="221" t="s">
        <v>36</v>
      </c>
      <c r="D11" s="222" t="s">
        <v>37</v>
      </c>
      <c r="E11" s="221"/>
      <c r="F11" s="221"/>
      <c r="G11" s="221"/>
      <c r="H11" s="221"/>
      <c r="I11" s="221"/>
    </row>
    <row r="12" spans="1:11" ht="32.25" customHeight="1" x14ac:dyDescent="0.2">
      <c r="A12" s="220"/>
      <c r="B12" s="220"/>
      <c r="C12" s="221" t="s">
        <v>38</v>
      </c>
      <c r="D12" s="222" t="s">
        <v>39</v>
      </c>
      <c r="E12" s="221" t="s">
        <v>40</v>
      </c>
      <c r="F12" s="221" t="s">
        <v>41</v>
      </c>
      <c r="G12" s="221" t="s">
        <v>42</v>
      </c>
      <c r="H12" s="221" t="s">
        <v>40</v>
      </c>
      <c r="I12" s="221" t="s">
        <v>41</v>
      </c>
      <c r="K12" s="210" t="s">
        <v>268</v>
      </c>
    </row>
    <row r="13" spans="1:11" ht="18.75" customHeight="1" x14ac:dyDescent="0.2">
      <c r="A13" s="223"/>
      <c r="B13" s="223"/>
      <c r="D13" s="224" t="s">
        <v>43</v>
      </c>
      <c r="E13" s="225"/>
      <c r="F13" s="225"/>
      <c r="G13" s="225"/>
      <c r="H13" s="225"/>
      <c r="I13" s="225"/>
    </row>
    <row r="14" spans="1:11" ht="11.25" customHeight="1" x14ac:dyDescent="0.2">
      <c r="A14" s="226">
        <v>1</v>
      </c>
      <c r="B14" s="226">
        <v>2</v>
      </c>
      <c r="C14" s="226">
        <v>3</v>
      </c>
      <c r="D14" s="226">
        <v>4</v>
      </c>
      <c r="E14" s="226">
        <v>5</v>
      </c>
      <c r="F14" s="226">
        <v>6</v>
      </c>
      <c r="G14" s="227">
        <v>7</v>
      </c>
      <c r="H14" s="226">
        <v>8</v>
      </c>
      <c r="I14" s="226">
        <v>9</v>
      </c>
    </row>
    <row r="15" spans="1:11" s="233" customFormat="1" ht="21.75" customHeight="1" x14ac:dyDescent="0.2">
      <c r="A15" s="228"/>
      <c r="B15" s="229" t="s">
        <v>44</v>
      </c>
      <c r="C15" s="230"/>
      <c r="D15" s="231">
        <v>460154250.26999998</v>
      </c>
      <c r="E15" s="231">
        <v>238608357.27000007</v>
      </c>
      <c r="F15" s="231">
        <v>221545893</v>
      </c>
      <c r="G15" s="231">
        <v>223972394.39000005</v>
      </c>
      <c r="H15" s="231">
        <v>60896525.029999994</v>
      </c>
      <c r="I15" s="231">
        <v>163075869.36000001</v>
      </c>
      <c r="J15" s="232"/>
    </row>
    <row r="16" spans="1:11" s="233" customFormat="1" ht="12" customHeight="1" x14ac:dyDescent="0.2">
      <c r="A16" s="234"/>
      <c r="B16" s="497" t="s">
        <v>45</v>
      </c>
      <c r="C16" s="498"/>
      <c r="D16" s="499">
        <v>42966879.979999997</v>
      </c>
      <c r="E16" s="499">
        <v>8239118.8000000017</v>
      </c>
      <c r="F16" s="499">
        <v>34727761.18</v>
      </c>
      <c r="G16" s="499">
        <v>19399362.230000004</v>
      </c>
      <c r="H16" s="499">
        <v>2162588.79</v>
      </c>
      <c r="I16" s="499">
        <v>17236773.439999994</v>
      </c>
      <c r="J16" s="235"/>
      <c r="K16" s="232"/>
    </row>
    <row r="17" spans="1:10" s="233" customFormat="1" ht="12" customHeight="1" x14ac:dyDescent="0.2">
      <c r="A17" s="234"/>
      <c r="B17" s="500" t="s">
        <v>46</v>
      </c>
      <c r="C17" s="501"/>
      <c r="D17" s="502">
        <v>417187370.28999996</v>
      </c>
      <c r="E17" s="502">
        <v>230369238.47000006</v>
      </c>
      <c r="F17" s="502">
        <v>186818131.81999999</v>
      </c>
      <c r="G17" s="502">
        <v>204573032.16000003</v>
      </c>
      <c r="H17" s="502">
        <v>58733936.239999995</v>
      </c>
      <c r="I17" s="502">
        <v>145839095.92000002</v>
      </c>
      <c r="J17" s="236"/>
    </row>
    <row r="18" spans="1:10" ht="27" customHeight="1" thickBot="1" x14ac:dyDescent="0.25">
      <c r="A18" s="237" t="s">
        <v>269</v>
      </c>
      <c r="B18" s="238" t="s">
        <v>270</v>
      </c>
      <c r="C18" s="239"/>
      <c r="D18" s="240">
        <v>143027308.98000005</v>
      </c>
      <c r="E18" s="240">
        <v>52290799.339999996</v>
      </c>
      <c r="F18" s="240">
        <v>90736509.640000001</v>
      </c>
      <c r="G18" s="240">
        <v>90984884.179999992</v>
      </c>
      <c r="H18" s="240">
        <v>28359798.27</v>
      </c>
      <c r="I18" s="240">
        <v>62625085.910000011</v>
      </c>
    </row>
    <row r="19" spans="1:10" ht="20.25" customHeight="1" x14ac:dyDescent="0.2">
      <c r="A19" s="241" t="s">
        <v>271</v>
      </c>
      <c r="B19" s="242" t="s">
        <v>272</v>
      </c>
      <c r="C19" s="503"/>
      <c r="D19" s="504"/>
      <c r="E19" s="504"/>
      <c r="F19" s="505"/>
      <c r="G19" s="504"/>
      <c r="H19" s="504"/>
      <c r="I19" s="505"/>
    </row>
    <row r="20" spans="1:10" ht="11.1" customHeight="1" x14ac:dyDescent="0.25">
      <c r="A20" s="243"/>
      <c r="B20" s="244" t="s">
        <v>273</v>
      </c>
      <c r="C20" s="506"/>
      <c r="D20" s="507"/>
      <c r="E20" s="507"/>
      <c r="F20" s="508"/>
      <c r="G20" s="507"/>
      <c r="H20" s="507"/>
      <c r="I20" s="245"/>
    </row>
    <row r="21" spans="1:10" ht="11.1" customHeight="1" x14ac:dyDescent="0.2">
      <c r="A21" s="246"/>
      <c r="B21" s="509" t="s">
        <v>45</v>
      </c>
      <c r="C21" s="247" t="s">
        <v>274</v>
      </c>
      <c r="D21" s="248">
        <v>90527.959999999992</v>
      </c>
      <c r="E21" s="249">
        <v>4526.3999999999996</v>
      </c>
      <c r="F21" s="250">
        <v>86001.56</v>
      </c>
      <c r="G21" s="250">
        <v>90527.959999999992</v>
      </c>
      <c r="H21" s="249">
        <v>4526.3999999999996</v>
      </c>
      <c r="I21" s="250">
        <v>86001.56</v>
      </c>
    </row>
    <row r="22" spans="1:10" ht="11.1" customHeight="1" x14ac:dyDescent="0.2">
      <c r="A22" s="251"/>
      <c r="B22" s="510" t="s">
        <v>46</v>
      </c>
      <c r="C22" s="252" t="s">
        <v>275</v>
      </c>
      <c r="D22" s="253"/>
      <c r="E22" s="254"/>
      <c r="F22" s="255"/>
      <c r="G22" s="256"/>
      <c r="H22" s="254"/>
      <c r="I22" s="254"/>
    </row>
    <row r="23" spans="1:10" ht="11.1" customHeight="1" x14ac:dyDescent="0.2">
      <c r="A23" s="257"/>
      <c r="C23" s="258"/>
      <c r="D23" s="259"/>
      <c r="E23" s="259"/>
      <c r="F23" s="259"/>
      <c r="G23" s="259"/>
      <c r="H23" s="259"/>
      <c r="I23" s="260"/>
    </row>
    <row r="24" spans="1:10" ht="15.75" customHeight="1" x14ac:dyDescent="0.2">
      <c r="A24" s="511" t="s">
        <v>47</v>
      </c>
      <c r="D24" s="236"/>
      <c r="E24" s="236"/>
      <c r="F24" s="236"/>
      <c r="G24" s="236"/>
      <c r="H24" s="236"/>
      <c r="I24" s="236"/>
    </row>
    <row r="25" spans="1:10" ht="11.1" customHeight="1" x14ac:dyDescent="0.2">
      <c r="A25" s="257"/>
      <c r="D25" s="236"/>
      <c r="E25" s="236"/>
      <c r="F25" s="236"/>
      <c r="G25" s="236"/>
      <c r="H25" s="236"/>
      <c r="I25" s="236"/>
    </row>
    <row r="26" spans="1:10" ht="11.1" customHeight="1" x14ac:dyDescent="0.2">
      <c r="A26" s="257"/>
      <c r="D26" s="236"/>
      <c r="E26" s="236"/>
      <c r="F26" s="236"/>
      <c r="G26" s="236"/>
      <c r="H26" s="236"/>
      <c r="I26" s="236"/>
    </row>
    <row r="27" spans="1:10" ht="11.1" customHeight="1" x14ac:dyDescent="0.2">
      <c r="A27" s="257"/>
      <c r="D27" s="236"/>
      <c r="E27" s="236"/>
      <c r="F27" s="236"/>
      <c r="G27" s="236"/>
      <c r="H27" s="236"/>
      <c r="I27" s="236"/>
    </row>
    <row r="28" spans="1:10" ht="11.1" customHeight="1" x14ac:dyDescent="0.2">
      <c r="A28" s="257"/>
      <c r="D28" s="236"/>
      <c r="E28" s="236"/>
      <c r="F28" s="236"/>
      <c r="G28" s="236"/>
      <c r="H28" s="236"/>
      <c r="I28" s="236"/>
    </row>
    <row r="29" spans="1:10" ht="11.1" customHeight="1" x14ac:dyDescent="0.2">
      <c r="A29" s="257"/>
      <c r="D29" s="236"/>
      <c r="E29" s="236"/>
      <c r="F29" s="236"/>
      <c r="G29" s="236"/>
      <c r="H29" s="236"/>
      <c r="I29" s="236"/>
    </row>
    <row r="30" spans="1:10" ht="11.1" customHeight="1" x14ac:dyDescent="0.2">
      <c r="A30" s="257"/>
      <c r="D30" s="236"/>
      <c r="E30" s="236"/>
      <c r="F30" s="236"/>
      <c r="G30" s="236"/>
      <c r="H30" s="236"/>
      <c r="I30" s="236"/>
    </row>
    <row r="31" spans="1:10" ht="11.1" customHeight="1" x14ac:dyDescent="0.2">
      <c r="A31" s="257"/>
      <c r="D31" s="236"/>
      <c r="E31" s="236"/>
      <c r="F31" s="236"/>
      <c r="G31" s="236"/>
      <c r="H31" s="236"/>
      <c r="I31" s="236"/>
    </row>
    <row r="32" spans="1:10" ht="11.1" customHeight="1" x14ac:dyDescent="0.2">
      <c r="A32" s="257"/>
      <c r="D32" s="236"/>
      <c r="E32" s="236"/>
      <c r="F32" s="236"/>
      <c r="G32" s="236"/>
      <c r="H32" s="236"/>
      <c r="I32" s="236"/>
    </row>
    <row r="33" spans="1:9" ht="11.1" customHeight="1" x14ac:dyDescent="0.2">
      <c r="A33" s="257"/>
      <c r="D33" s="236"/>
      <c r="E33" s="236"/>
      <c r="F33" s="236"/>
      <c r="G33" s="236"/>
      <c r="H33" s="236"/>
      <c r="I33" s="236"/>
    </row>
    <row r="34" spans="1:9" ht="11.1" customHeight="1" x14ac:dyDescent="0.2">
      <c r="A34" s="257"/>
      <c r="D34" s="236"/>
      <c r="E34" s="236"/>
      <c r="F34" s="236"/>
      <c r="G34" s="236"/>
      <c r="H34" s="236"/>
      <c r="I34" s="236"/>
    </row>
    <row r="35" spans="1:9" ht="11.1" customHeight="1" x14ac:dyDescent="0.2">
      <c r="A35" s="257"/>
      <c r="D35" s="236"/>
      <c r="E35" s="236"/>
      <c r="F35" s="236"/>
      <c r="G35" s="236"/>
      <c r="H35" s="236"/>
      <c r="I35" s="236"/>
    </row>
    <row r="36" spans="1:9" ht="11.1" customHeight="1" x14ac:dyDescent="0.2">
      <c r="A36" s="257"/>
      <c r="D36" s="236"/>
      <c r="E36" s="236"/>
      <c r="F36" s="236"/>
      <c r="G36" s="236"/>
      <c r="H36" s="236"/>
      <c r="I36" s="236"/>
    </row>
    <row r="37" spans="1:9" ht="11.1" customHeight="1" x14ac:dyDescent="0.2">
      <c r="A37" s="257"/>
      <c r="D37" s="236"/>
      <c r="E37" s="236"/>
      <c r="F37" s="236"/>
      <c r="G37" s="236"/>
      <c r="H37" s="236"/>
      <c r="I37" s="236"/>
    </row>
    <row r="38" spans="1:9" ht="11.1" customHeight="1" x14ac:dyDescent="0.2">
      <c r="A38" s="257"/>
      <c r="D38" s="236"/>
      <c r="E38" s="236"/>
      <c r="F38" s="236"/>
      <c r="G38" s="236"/>
      <c r="H38" s="236"/>
      <c r="I38" s="236"/>
    </row>
    <row r="39" spans="1:9" ht="11.1" customHeight="1" x14ac:dyDescent="0.2">
      <c r="A39" s="257"/>
      <c r="D39" s="236"/>
      <c r="E39" s="236"/>
      <c r="F39" s="236"/>
      <c r="G39" s="236"/>
      <c r="H39" s="236"/>
      <c r="I39" s="236"/>
    </row>
    <row r="40" spans="1:9" ht="12.75" customHeight="1" x14ac:dyDescent="0.2">
      <c r="D40" s="259"/>
      <c r="E40" s="259"/>
      <c r="F40" s="259"/>
      <c r="G40" s="259"/>
      <c r="H40" s="259"/>
      <c r="I40" s="259"/>
    </row>
    <row r="41" spans="1:9" ht="12.7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FB62-8DE8-4624-AD27-09B16DCF21E9}">
  <sheetPr>
    <tabColor rgb="FF0070C0"/>
  </sheetPr>
  <dimension ref="A1:H150"/>
  <sheetViews>
    <sheetView zoomScale="130" zoomScaleNormal="130" workbookViewId="0"/>
  </sheetViews>
  <sheetFormatPr defaultRowHeight="13.5" x14ac:dyDescent="0.25"/>
  <cols>
    <col min="1" max="1" width="4.42578125" style="262" customWidth="1"/>
    <col min="2" max="2" width="5.7109375" style="262" customWidth="1"/>
    <col min="3" max="3" width="7.140625" style="262" customWidth="1"/>
    <col min="4" max="4" width="5.5703125" style="263" customWidth="1"/>
    <col min="5" max="5" width="46.85546875" style="262" customWidth="1"/>
    <col min="6" max="6" width="22.28515625" style="262" customWidth="1"/>
    <col min="7" max="7" width="9.140625" style="262" customWidth="1"/>
    <col min="8" max="8" width="12.28515625" style="262" customWidth="1"/>
    <col min="9" max="256" width="9.140625" style="262"/>
    <col min="257" max="257" width="4.42578125" style="262" customWidth="1"/>
    <col min="258" max="258" width="5.7109375" style="262" customWidth="1"/>
    <col min="259" max="259" width="7.5703125" style="262" customWidth="1"/>
    <col min="260" max="260" width="6.5703125" style="262" customWidth="1"/>
    <col min="261" max="261" width="47.42578125" style="262" customWidth="1"/>
    <col min="262" max="262" width="22.28515625" style="262" customWidth="1"/>
    <col min="263" max="263" width="9.140625" style="262"/>
    <col min="264" max="264" width="12.28515625" style="262" customWidth="1"/>
    <col min="265" max="512" width="9.140625" style="262"/>
    <col min="513" max="513" width="4.42578125" style="262" customWidth="1"/>
    <col min="514" max="514" width="5.7109375" style="262" customWidth="1"/>
    <col min="515" max="515" width="7.5703125" style="262" customWidth="1"/>
    <col min="516" max="516" width="6.5703125" style="262" customWidth="1"/>
    <col min="517" max="517" width="47.42578125" style="262" customWidth="1"/>
    <col min="518" max="518" width="22.28515625" style="262" customWidth="1"/>
    <col min="519" max="519" width="9.140625" style="262"/>
    <col min="520" max="520" width="12.28515625" style="262" customWidth="1"/>
    <col min="521" max="768" width="9.140625" style="262"/>
    <col min="769" max="769" width="4.42578125" style="262" customWidth="1"/>
    <col min="770" max="770" width="5.7109375" style="262" customWidth="1"/>
    <col min="771" max="771" width="7.5703125" style="262" customWidth="1"/>
    <col min="772" max="772" width="6.5703125" style="262" customWidth="1"/>
    <col min="773" max="773" width="47.42578125" style="262" customWidth="1"/>
    <col min="774" max="774" width="22.28515625" style="262" customWidth="1"/>
    <col min="775" max="775" width="9.140625" style="262"/>
    <col min="776" max="776" width="12.28515625" style="262" customWidth="1"/>
    <col min="777" max="1024" width="9.140625" style="262"/>
    <col min="1025" max="1025" width="4.42578125" style="262" customWidth="1"/>
    <col min="1026" max="1026" width="5.7109375" style="262" customWidth="1"/>
    <col min="1027" max="1027" width="7.5703125" style="262" customWidth="1"/>
    <col min="1028" max="1028" width="6.5703125" style="262" customWidth="1"/>
    <col min="1029" max="1029" width="47.42578125" style="262" customWidth="1"/>
    <col min="1030" max="1030" width="22.28515625" style="262" customWidth="1"/>
    <col min="1031" max="1031" width="9.140625" style="262"/>
    <col min="1032" max="1032" width="12.28515625" style="262" customWidth="1"/>
    <col min="1033" max="1280" width="9.140625" style="262"/>
    <col min="1281" max="1281" width="4.42578125" style="262" customWidth="1"/>
    <col min="1282" max="1282" width="5.7109375" style="262" customWidth="1"/>
    <col min="1283" max="1283" width="7.5703125" style="262" customWidth="1"/>
    <col min="1284" max="1284" width="6.5703125" style="262" customWidth="1"/>
    <col min="1285" max="1285" width="47.42578125" style="262" customWidth="1"/>
    <col min="1286" max="1286" width="22.28515625" style="262" customWidth="1"/>
    <col min="1287" max="1287" width="9.140625" style="262"/>
    <col min="1288" max="1288" width="12.28515625" style="262" customWidth="1"/>
    <col min="1289" max="1536" width="9.140625" style="262"/>
    <col min="1537" max="1537" width="4.42578125" style="262" customWidth="1"/>
    <col min="1538" max="1538" width="5.7109375" style="262" customWidth="1"/>
    <col min="1539" max="1539" width="7.5703125" style="262" customWidth="1"/>
    <col min="1540" max="1540" width="6.5703125" style="262" customWidth="1"/>
    <col min="1541" max="1541" width="47.42578125" style="262" customWidth="1"/>
    <col min="1542" max="1542" width="22.28515625" style="262" customWidth="1"/>
    <col min="1543" max="1543" width="9.140625" style="262"/>
    <col min="1544" max="1544" width="12.28515625" style="262" customWidth="1"/>
    <col min="1545" max="1792" width="9.140625" style="262"/>
    <col min="1793" max="1793" width="4.42578125" style="262" customWidth="1"/>
    <col min="1794" max="1794" width="5.7109375" style="262" customWidth="1"/>
    <col min="1795" max="1795" width="7.5703125" style="262" customWidth="1"/>
    <col min="1796" max="1796" width="6.5703125" style="262" customWidth="1"/>
    <col min="1797" max="1797" width="47.42578125" style="262" customWidth="1"/>
    <col min="1798" max="1798" width="22.28515625" style="262" customWidth="1"/>
    <col min="1799" max="1799" width="9.140625" style="262"/>
    <col min="1800" max="1800" width="12.28515625" style="262" customWidth="1"/>
    <col min="1801" max="2048" width="9.140625" style="262"/>
    <col min="2049" max="2049" width="4.42578125" style="262" customWidth="1"/>
    <col min="2050" max="2050" width="5.7109375" style="262" customWidth="1"/>
    <col min="2051" max="2051" width="7.5703125" style="262" customWidth="1"/>
    <col min="2052" max="2052" width="6.5703125" style="262" customWidth="1"/>
    <col min="2053" max="2053" width="47.42578125" style="262" customWidth="1"/>
    <col min="2054" max="2054" width="22.28515625" style="262" customWidth="1"/>
    <col min="2055" max="2055" width="9.140625" style="262"/>
    <col min="2056" max="2056" width="12.28515625" style="262" customWidth="1"/>
    <col min="2057" max="2304" width="9.140625" style="262"/>
    <col min="2305" max="2305" width="4.42578125" style="262" customWidth="1"/>
    <col min="2306" max="2306" width="5.7109375" style="262" customWidth="1"/>
    <col min="2307" max="2307" width="7.5703125" style="262" customWidth="1"/>
    <col min="2308" max="2308" width="6.5703125" style="262" customWidth="1"/>
    <col min="2309" max="2309" width="47.42578125" style="262" customWidth="1"/>
    <col min="2310" max="2310" width="22.28515625" style="262" customWidth="1"/>
    <col min="2311" max="2311" width="9.140625" style="262"/>
    <col min="2312" max="2312" width="12.28515625" style="262" customWidth="1"/>
    <col min="2313" max="2560" width="9.140625" style="262"/>
    <col min="2561" max="2561" width="4.42578125" style="262" customWidth="1"/>
    <col min="2562" max="2562" width="5.7109375" style="262" customWidth="1"/>
    <col min="2563" max="2563" width="7.5703125" style="262" customWidth="1"/>
    <col min="2564" max="2564" width="6.5703125" style="262" customWidth="1"/>
    <col min="2565" max="2565" width="47.42578125" style="262" customWidth="1"/>
    <col min="2566" max="2566" width="22.28515625" style="262" customWidth="1"/>
    <col min="2567" max="2567" width="9.140625" style="262"/>
    <col min="2568" max="2568" width="12.28515625" style="262" customWidth="1"/>
    <col min="2569" max="2816" width="9.140625" style="262"/>
    <col min="2817" max="2817" width="4.42578125" style="262" customWidth="1"/>
    <col min="2818" max="2818" width="5.7109375" style="262" customWidth="1"/>
    <col min="2819" max="2819" width="7.5703125" style="262" customWidth="1"/>
    <col min="2820" max="2820" width="6.5703125" style="262" customWidth="1"/>
    <col min="2821" max="2821" width="47.42578125" style="262" customWidth="1"/>
    <col min="2822" max="2822" width="22.28515625" style="262" customWidth="1"/>
    <col min="2823" max="2823" width="9.140625" style="262"/>
    <col min="2824" max="2824" width="12.28515625" style="262" customWidth="1"/>
    <col min="2825" max="3072" width="9.140625" style="262"/>
    <col min="3073" max="3073" width="4.42578125" style="262" customWidth="1"/>
    <col min="3074" max="3074" width="5.7109375" style="262" customWidth="1"/>
    <col min="3075" max="3075" width="7.5703125" style="262" customWidth="1"/>
    <col min="3076" max="3076" width="6.5703125" style="262" customWidth="1"/>
    <col min="3077" max="3077" width="47.42578125" style="262" customWidth="1"/>
    <col min="3078" max="3078" width="22.28515625" style="262" customWidth="1"/>
    <col min="3079" max="3079" width="9.140625" style="262"/>
    <col min="3080" max="3080" width="12.28515625" style="262" customWidth="1"/>
    <col min="3081" max="3328" width="9.140625" style="262"/>
    <col min="3329" max="3329" width="4.42578125" style="262" customWidth="1"/>
    <col min="3330" max="3330" width="5.7109375" style="262" customWidth="1"/>
    <col min="3331" max="3331" width="7.5703125" style="262" customWidth="1"/>
    <col min="3332" max="3332" width="6.5703125" style="262" customWidth="1"/>
    <col min="3333" max="3333" width="47.42578125" style="262" customWidth="1"/>
    <col min="3334" max="3334" width="22.28515625" style="262" customWidth="1"/>
    <col min="3335" max="3335" width="9.140625" style="262"/>
    <col min="3336" max="3336" width="12.28515625" style="262" customWidth="1"/>
    <col min="3337" max="3584" width="9.140625" style="262"/>
    <col min="3585" max="3585" width="4.42578125" style="262" customWidth="1"/>
    <col min="3586" max="3586" width="5.7109375" style="262" customWidth="1"/>
    <col min="3587" max="3587" width="7.5703125" style="262" customWidth="1"/>
    <col min="3588" max="3588" width="6.5703125" style="262" customWidth="1"/>
    <col min="3589" max="3589" width="47.42578125" style="262" customWidth="1"/>
    <col min="3590" max="3590" width="22.28515625" style="262" customWidth="1"/>
    <col min="3591" max="3591" width="9.140625" style="262"/>
    <col min="3592" max="3592" width="12.28515625" style="262" customWidth="1"/>
    <col min="3593" max="3840" width="9.140625" style="262"/>
    <col min="3841" max="3841" width="4.42578125" style="262" customWidth="1"/>
    <col min="3842" max="3842" width="5.7109375" style="262" customWidth="1"/>
    <col min="3843" max="3843" width="7.5703125" style="262" customWidth="1"/>
    <col min="3844" max="3844" width="6.5703125" style="262" customWidth="1"/>
    <col min="3845" max="3845" width="47.42578125" style="262" customWidth="1"/>
    <col min="3846" max="3846" width="22.28515625" style="262" customWidth="1"/>
    <col min="3847" max="3847" width="9.140625" style="262"/>
    <col min="3848" max="3848" width="12.28515625" style="262" customWidth="1"/>
    <col min="3849" max="4096" width="9.140625" style="262"/>
    <col min="4097" max="4097" width="4.42578125" style="262" customWidth="1"/>
    <col min="4098" max="4098" width="5.7109375" style="262" customWidth="1"/>
    <col min="4099" max="4099" width="7.5703125" style="262" customWidth="1"/>
    <col min="4100" max="4100" width="6.5703125" style="262" customWidth="1"/>
    <col min="4101" max="4101" width="47.42578125" style="262" customWidth="1"/>
    <col min="4102" max="4102" width="22.28515625" style="262" customWidth="1"/>
    <col min="4103" max="4103" width="9.140625" style="262"/>
    <col min="4104" max="4104" width="12.28515625" style="262" customWidth="1"/>
    <col min="4105" max="4352" width="9.140625" style="262"/>
    <col min="4353" max="4353" width="4.42578125" style="262" customWidth="1"/>
    <col min="4354" max="4354" width="5.7109375" style="262" customWidth="1"/>
    <col min="4355" max="4355" width="7.5703125" style="262" customWidth="1"/>
    <col min="4356" max="4356" width="6.5703125" style="262" customWidth="1"/>
    <col min="4357" max="4357" width="47.42578125" style="262" customWidth="1"/>
    <col min="4358" max="4358" width="22.28515625" style="262" customWidth="1"/>
    <col min="4359" max="4359" width="9.140625" style="262"/>
    <col min="4360" max="4360" width="12.28515625" style="262" customWidth="1"/>
    <col min="4361" max="4608" width="9.140625" style="262"/>
    <col min="4609" max="4609" width="4.42578125" style="262" customWidth="1"/>
    <col min="4610" max="4610" width="5.7109375" style="262" customWidth="1"/>
    <col min="4611" max="4611" width="7.5703125" style="262" customWidth="1"/>
    <col min="4612" max="4612" width="6.5703125" style="262" customWidth="1"/>
    <col min="4613" max="4613" width="47.42578125" style="262" customWidth="1"/>
    <col min="4614" max="4614" width="22.28515625" style="262" customWidth="1"/>
    <col min="4615" max="4615" width="9.140625" style="262"/>
    <col min="4616" max="4616" width="12.28515625" style="262" customWidth="1"/>
    <col min="4617" max="4864" width="9.140625" style="262"/>
    <col min="4865" max="4865" width="4.42578125" style="262" customWidth="1"/>
    <col min="4866" max="4866" width="5.7109375" style="262" customWidth="1"/>
    <col min="4867" max="4867" width="7.5703125" style="262" customWidth="1"/>
    <col min="4868" max="4868" width="6.5703125" style="262" customWidth="1"/>
    <col min="4869" max="4869" width="47.42578125" style="262" customWidth="1"/>
    <col min="4870" max="4870" width="22.28515625" style="262" customWidth="1"/>
    <col min="4871" max="4871" width="9.140625" style="262"/>
    <col min="4872" max="4872" width="12.28515625" style="262" customWidth="1"/>
    <col min="4873" max="5120" width="9.140625" style="262"/>
    <col min="5121" max="5121" width="4.42578125" style="262" customWidth="1"/>
    <col min="5122" max="5122" width="5.7109375" style="262" customWidth="1"/>
    <col min="5123" max="5123" width="7.5703125" style="262" customWidth="1"/>
    <col min="5124" max="5124" width="6.5703125" style="262" customWidth="1"/>
    <col min="5125" max="5125" width="47.42578125" style="262" customWidth="1"/>
    <col min="5126" max="5126" width="22.28515625" style="262" customWidth="1"/>
    <col min="5127" max="5127" width="9.140625" style="262"/>
    <col min="5128" max="5128" width="12.28515625" style="262" customWidth="1"/>
    <col min="5129" max="5376" width="9.140625" style="262"/>
    <col min="5377" max="5377" width="4.42578125" style="262" customWidth="1"/>
    <col min="5378" max="5378" width="5.7109375" style="262" customWidth="1"/>
    <col min="5379" max="5379" width="7.5703125" style="262" customWidth="1"/>
    <col min="5380" max="5380" width="6.5703125" style="262" customWidth="1"/>
    <col min="5381" max="5381" width="47.42578125" style="262" customWidth="1"/>
    <col min="5382" max="5382" width="22.28515625" style="262" customWidth="1"/>
    <col min="5383" max="5383" width="9.140625" style="262"/>
    <col min="5384" max="5384" width="12.28515625" style="262" customWidth="1"/>
    <col min="5385" max="5632" width="9.140625" style="262"/>
    <col min="5633" max="5633" width="4.42578125" style="262" customWidth="1"/>
    <col min="5634" max="5634" width="5.7109375" style="262" customWidth="1"/>
    <col min="5635" max="5635" width="7.5703125" style="262" customWidth="1"/>
    <col min="5636" max="5636" width="6.5703125" style="262" customWidth="1"/>
    <col min="5637" max="5637" width="47.42578125" style="262" customWidth="1"/>
    <col min="5638" max="5638" width="22.28515625" style="262" customWidth="1"/>
    <col min="5639" max="5639" width="9.140625" style="262"/>
    <col min="5640" max="5640" width="12.28515625" style="262" customWidth="1"/>
    <col min="5641" max="5888" width="9.140625" style="262"/>
    <col min="5889" max="5889" width="4.42578125" style="262" customWidth="1"/>
    <col min="5890" max="5890" width="5.7109375" style="262" customWidth="1"/>
    <col min="5891" max="5891" width="7.5703125" style="262" customWidth="1"/>
    <col min="5892" max="5892" width="6.5703125" style="262" customWidth="1"/>
    <col min="5893" max="5893" width="47.42578125" style="262" customWidth="1"/>
    <col min="5894" max="5894" width="22.28515625" style="262" customWidth="1"/>
    <col min="5895" max="5895" width="9.140625" style="262"/>
    <col min="5896" max="5896" width="12.28515625" style="262" customWidth="1"/>
    <col min="5897" max="6144" width="9.140625" style="262"/>
    <col min="6145" max="6145" width="4.42578125" style="262" customWidth="1"/>
    <col min="6146" max="6146" width="5.7109375" style="262" customWidth="1"/>
    <col min="6147" max="6147" width="7.5703125" style="262" customWidth="1"/>
    <col min="6148" max="6148" width="6.5703125" style="262" customWidth="1"/>
    <col min="6149" max="6149" width="47.42578125" style="262" customWidth="1"/>
    <col min="6150" max="6150" width="22.28515625" style="262" customWidth="1"/>
    <col min="6151" max="6151" width="9.140625" style="262"/>
    <col min="6152" max="6152" width="12.28515625" style="262" customWidth="1"/>
    <col min="6153" max="6400" width="9.140625" style="262"/>
    <col min="6401" max="6401" width="4.42578125" style="262" customWidth="1"/>
    <col min="6402" max="6402" width="5.7109375" style="262" customWidth="1"/>
    <col min="6403" max="6403" width="7.5703125" style="262" customWidth="1"/>
    <col min="6404" max="6404" width="6.5703125" style="262" customWidth="1"/>
    <col min="6405" max="6405" width="47.42578125" style="262" customWidth="1"/>
    <col min="6406" max="6406" width="22.28515625" style="262" customWidth="1"/>
    <col min="6407" max="6407" width="9.140625" style="262"/>
    <col min="6408" max="6408" width="12.28515625" style="262" customWidth="1"/>
    <col min="6409" max="6656" width="9.140625" style="262"/>
    <col min="6657" max="6657" width="4.42578125" style="262" customWidth="1"/>
    <col min="6658" max="6658" width="5.7109375" style="262" customWidth="1"/>
    <col min="6659" max="6659" width="7.5703125" style="262" customWidth="1"/>
    <col min="6660" max="6660" width="6.5703125" style="262" customWidth="1"/>
    <col min="6661" max="6661" width="47.42578125" style="262" customWidth="1"/>
    <col min="6662" max="6662" width="22.28515625" style="262" customWidth="1"/>
    <col min="6663" max="6663" width="9.140625" style="262"/>
    <col min="6664" max="6664" width="12.28515625" style="262" customWidth="1"/>
    <col min="6665" max="6912" width="9.140625" style="262"/>
    <col min="6913" max="6913" width="4.42578125" style="262" customWidth="1"/>
    <col min="6914" max="6914" width="5.7109375" style="262" customWidth="1"/>
    <col min="6915" max="6915" width="7.5703125" style="262" customWidth="1"/>
    <col min="6916" max="6916" width="6.5703125" style="262" customWidth="1"/>
    <col min="6917" max="6917" width="47.42578125" style="262" customWidth="1"/>
    <col min="6918" max="6918" width="22.28515625" style="262" customWidth="1"/>
    <col min="6919" max="6919" width="9.140625" style="262"/>
    <col min="6920" max="6920" width="12.28515625" style="262" customWidth="1"/>
    <col min="6921" max="7168" width="9.140625" style="262"/>
    <col min="7169" max="7169" width="4.42578125" style="262" customWidth="1"/>
    <col min="7170" max="7170" width="5.7109375" style="262" customWidth="1"/>
    <col min="7171" max="7171" width="7.5703125" style="262" customWidth="1"/>
    <col min="7172" max="7172" width="6.5703125" style="262" customWidth="1"/>
    <col min="7173" max="7173" width="47.42578125" style="262" customWidth="1"/>
    <col min="7174" max="7174" width="22.28515625" style="262" customWidth="1"/>
    <col min="7175" max="7175" width="9.140625" style="262"/>
    <col min="7176" max="7176" width="12.28515625" style="262" customWidth="1"/>
    <col min="7177" max="7424" width="9.140625" style="262"/>
    <col min="7425" max="7425" width="4.42578125" style="262" customWidth="1"/>
    <col min="7426" max="7426" width="5.7109375" style="262" customWidth="1"/>
    <col min="7427" max="7427" width="7.5703125" style="262" customWidth="1"/>
    <col min="7428" max="7428" width="6.5703125" style="262" customWidth="1"/>
    <col min="7429" max="7429" width="47.42578125" style="262" customWidth="1"/>
    <col min="7430" max="7430" width="22.28515625" style="262" customWidth="1"/>
    <col min="7431" max="7431" width="9.140625" style="262"/>
    <col min="7432" max="7432" width="12.28515625" style="262" customWidth="1"/>
    <col min="7433" max="7680" width="9.140625" style="262"/>
    <col min="7681" max="7681" width="4.42578125" style="262" customWidth="1"/>
    <col min="7682" max="7682" width="5.7109375" style="262" customWidth="1"/>
    <col min="7683" max="7683" width="7.5703125" style="262" customWidth="1"/>
    <col min="7684" max="7684" width="6.5703125" style="262" customWidth="1"/>
    <col min="7685" max="7685" width="47.42578125" style="262" customWidth="1"/>
    <col min="7686" max="7686" width="22.28515625" style="262" customWidth="1"/>
    <col min="7687" max="7687" width="9.140625" style="262"/>
    <col min="7688" max="7688" width="12.28515625" style="262" customWidth="1"/>
    <col min="7689" max="7936" width="9.140625" style="262"/>
    <col min="7937" max="7937" width="4.42578125" style="262" customWidth="1"/>
    <col min="7938" max="7938" width="5.7109375" style="262" customWidth="1"/>
    <col min="7939" max="7939" width="7.5703125" style="262" customWidth="1"/>
    <col min="7940" max="7940" width="6.5703125" style="262" customWidth="1"/>
    <col min="7941" max="7941" width="47.42578125" style="262" customWidth="1"/>
    <col min="7942" max="7942" width="22.28515625" style="262" customWidth="1"/>
    <col min="7943" max="7943" width="9.140625" style="262"/>
    <col min="7944" max="7944" width="12.28515625" style="262" customWidth="1"/>
    <col min="7945" max="8192" width="9.140625" style="262"/>
    <col min="8193" max="8193" width="4.42578125" style="262" customWidth="1"/>
    <col min="8194" max="8194" width="5.7109375" style="262" customWidth="1"/>
    <col min="8195" max="8195" width="7.5703125" style="262" customWidth="1"/>
    <col min="8196" max="8196" width="6.5703125" style="262" customWidth="1"/>
    <col min="8197" max="8197" width="47.42578125" style="262" customWidth="1"/>
    <col min="8198" max="8198" width="22.28515625" style="262" customWidth="1"/>
    <col min="8199" max="8199" width="9.140625" style="262"/>
    <col min="8200" max="8200" width="12.28515625" style="262" customWidth="1"/>
    <col min="8201" max="8448" width="9.140625" style="262"/>
    <col min="8449" max="8449" width="4.42578125" style="262" customWidth="1"/>
    <col min="8450" max="8450" width="5.7109375" style="262" customWidth="1"/>
    <col min="8451" max="8451" width="7.5703125" style="262" customWidth="1"/>
    <col min="8452" max="8452" width="6.5703125" style="262" customWidth="1"/>
    <col min="8453" max="8453" width="47.42578125" style="262" customWidth="1"/>
    <col min="8454" max="8454" width="22.28515625" style="262" customWidth="1"/>
    <col min="8455" max="8455" width="9.140625" style="262"/>
    <col min="8456" max="8456" width="12.28515625" style="262" customWidth="1"/>
    <col min="8457" max="8704" width="9.140625" style="262"/>
    <col min="8705" max="8705" width="4.42578125" style="262" customWidth="1"/>
    <col min="8706" max="8706" width="5.7109375" style="262" customWidth="1"/>
    <col min="8707" max="8707" width="7.5703125" style="262" customWidth="1"/>
    <col min="8708" max="8708" width="6.5703125" style="262" customWidth="1"/>
    <col min="8709" max="8709" width="47.42578125" style="262" customWidth="1"/>
    <col min="8710" max="8710" width="22.28515625" style="262" customWidth="1"/>
    <col min="8711" max="8711" width="9.140625" style="262"/>
    <col min="8712" max="8712" width="12.28515625" style="262" customWidth="1"/>
    <col min="8713" max="8960" width="9.140625" style="262"/>
    <col min="8961" max="8961" width="4.42578125" style="262" customWidth="1"/>
    <col min="8962" max="8962" width="5.7109375" style="262" customWidth="1"/>
    <col min="8963" max="8963" width="7.5703125" style="262" customWidth="1"/>
    <col min="8964" max="8964" width="6.5703125" style="262" customWidth="1"/>
    <col min="8965" max="8965" width="47.42578125" style="262" customWidth="1"/>
    <col min="8966" max="8966" width="22.28515625" style="262" customWidth="1"/>
    <col min="8967" max="8967" width="9.140625" style="262"/>
    <col min="8968" max="8968" width="12.28515625" style="262" customWidth="1"/>
    <col min="8969" max="9216" width="9.140625" style="262"/>
    <col min="9217" max="9217" width="4.42578125" style="262" customWidth="1"/>
    <col min="9218" max="9218" width="5.7109375" style="262" customWidth="1"/>
    <col min="9219" max="9219" width="7.5703125" style="262" customWidth="1"/>
    <col min="9220" max="9220" width="6.5703125" style="262" customWidth="1"/>
    <col min="9221" max="9221" width="47.42578125" style="262" customWidth="1"/>
    <col min="9222" max="9222" width="22.28515625" style="262" customWidth="1"/>
    <col min="9223" max="9223" width="9.140625" style="262"/>
    <col min="9224" max="9224" width="12.28515625" style="262" customWidth="1"/>
    <col min="9225" max="9472" width="9.140625" style="262"/>
    <col min="9473" max="9473" width="4.42578125" style="262" customWidth="1"/>
    <col min="9474" max="9474" width="5.7109375" style="262" customWidth="1"/>
    <col min="9475" max="9475" width="7.5703125" style="262" customWidth="1"/>
    <col min="9476" max="9476" width="6.5703125" style="262" customWidth="1"/>
    <col min="9477" max="9477" width="47.42578125" style="262" customWidth="1"/>
    <col min="9478" max="9478" width="22.28515625" style="262" customWidth="1"/>
    <col min="9479" max="9479" width="9.140625" style="262"/>
    <col min="9480" max="9480" width="12.28515625" style="262" customWidth="1"/>
    <col min="9481" max="9728" width="9.140625" style="262"/>
    <col min="9729" max="9729" width="4.42578125" style="262" customWidth="1"/>
    <col min="9730" max="9730" width="5.7109375" style="262" customWidth="1"/>
    <col min="9731" max="9731" width="7.5703125" style="262" customWidth="1"/>
    <col min="9732" max="9732" width="6.5703125" style="262" customWidth="1"/>
    <col min="9733" max="9733" width="47.42578125" style="262" customWidth="1"/>
    <col min="9734" max="9734" width="22.28515625" style="262" customWidth="1"/>
    <col min="9735" max="9735" width="9.140625" style="262"/>
    <col min="9736" max="9736" width="12.28515625" style="262" customWidth="1"/>
    <col min="9737" max="9984" width="9.140625" style="262"/>
    <col min="9985" max="9985" width="4.42578125" style="262" customWidth="1"/>
    <col min="9986" max="9986" width="5.7109375" style="262" customWidth="1"/>
    <col min="9987" max="9987" width="7.5703125" style="262" customWidth="1"/>
    <col min="9988" max="9988" width="6.5703125" style="262" customWidth="1"/>
    <col min="9989" max="9989" width="47.42578125" style="262" customWidth="1"/>
    <col min="9990" max="9990" width="22.28515625" style="262" customWidth="1"/>
    <col min="9991" max="9991" width="9.140625" style="262"/>
    <col min="9992" max="9992" width="12.28515625" style="262" customWidth="1"/>
    <col min="9993" max="10240" width="9.140625" style="262"/>
    <col min="10241" max="10241" width="4.42578125" style="262" customWidth="1"/>
    <col min="10242" max="10242" width="5.7109375" style="262" customWidth="1"/>
    <col min="10243" max="10243" width="7.5703125" style="262" customWidth="1"/>
    <col min="10244" max="10244" width="6.5703125" style="262" customWidth="1"/>
    <col min="10245" max="10245" width="47.42578125" style="262" customWidth="1"/>
    <col min="10246" max="10246" width="22.28515625" style="262" customWidth="1"/>
    <col min="10247" max="10247" width="9.140625" style="262"/>
    <col min="10248" max="10248" width="12.28515625" style="262" customWidth="1"/>
    <col min="10249" max="10496" width="9.140625" style="262"/>
    <col min="10497" max="10497" width="4.42578125" style="262" customWidth="1"/>
    <col min="10498" max="10498" width="5.7109375" style="262" customWidth="1"/>
    <col min="10499" max="10499" width="7.5703125" style="262" customWidth="1"/>
    <col min="10500" max="10500" width="6.5703125" style="262" customWidth="1"/>
    <col min="10501" max="10501" width="47.42578125" style="262" customWidth="1"/>
    <col min="10502" max="10502" width="22.28515625" style="262" customWidth="1"/>
    <col min="10503" max="10503" width="9.140625" style="262"/>
    <col min="10504" max="10504" width="12.28515625" style="262" customWidth="1"/>
    <col min="10505" max="10752" width="9.140625" style="262"/>
    <col min="10753" max="10753" width="4.42578125" style="262" customWidth="1"/>
    <col min="10754" max="10754" width="5.7109375" style="262" customWidth="1"/>
    <col min="10755" max="10755" width="7.5703125" style="262" customWidth="1"/>
    <col min="10756" max="10756" width="6.5703125" style="262" customWidth="1"/>
    <col min="10757" max="10757" width="47.42578125" style="262" customWidth="1"/>
    <col min="10758" max="10758" width="22.28515625" style="262" customWidth="1"/>
    <col min="10759" max="10759" width="9.140625" style="262"/>
    <col min="10760" max="10760" width="12.28515625" style="262" customWidth="1"/>
    <col min="10761" max="11008" width="9.140625" style="262"/>
    <col min="11009" max="11009" width="4.42578125" style="262" customWidth="1"/>
    <col min="11010" max="11010" width="5.7109375" style="262" customWidth="1"/>
    <col min="11011" max="11011" width="7.5703125" style="262" customWidth="1"/>
    <col min="11012" max="11012" width="6.5703125" style="262" customWidth="1"/>
    <col min="11013" max="11013" width="47.42578125" style="262" customWidth="1"/>
    <col min="11014" max="11014" width="22.28515625" style="262" customWidth="1"/>
    <col min="11015" max="11015" width="9.140625" style="262"/>
    <col min="11016" max="11016" width="12.28515625" style="262" customWidth="1"/>
    <col min="11017" max="11264" width="9.140625" style="262"/>
    <col min="11265" max="11265" width="4.42578125" style="262" customWidth="1"/>
    <col min="11266" max="11266" width="5.7109375" style="262" customWidth="1"/>
    <col min="11267" max="11267" width="7.5703125" style="262" customWidth="1"/>
    <col min="11268" max="11268" width="6.5703125" style="262" customWidth="1"/>
    <col min="11269" max="11269" width="47.42578125" style="262" customWidth="1"/>
    <col min="11270" max="11270" width="22.28515625" style="262" customWidth="1"/>
    <col min="11271" max="11271" width="9.140625" style="262"/>
    <col min="11272" max="11272" width="12.28515625" style="262" customWidth="1"/>
    <col min="11273" max="11520" width="9.140625" style="262"/>
    <col min="11521" max="11521" width="4.42578125" style="262" customWidth="1"/>
    <col min="11522" max="11522" width="5.7109375" style="262" customWidth="1"/>
    <col min="11523" max="11523" width="7.5703125" style="262" customWidth="1"/>
    <col min="11524" max="11524" width="6.5703125" style="262" customWidth="1"/>
    <col min="11525" max="11525" width="47.42578125" style="262" customWidth="1"/>
    <col min="11526" max="11526" width="22.28515625" style="262" customWidth="1"/>
    <col min="11527" max="11527" width="9.140625" style="262"/>
    <col min="11528" max="11528" width="12.28515625" style="262" customWidth="1"/>
    <col min="11529" max="11776" width="9.140625" style="262"/>
    <col min="11777" max="11777" width="4.42578125" style="262" customWidth="1"/>
    <col min="11778" max="11778" width="5.7109375" style="262" customWidth="1"/>
    <col min="11779" max="11779" width="7.5703125" style="262" customWidth="1"/>
    <col min="11780" max="11780" width="6.5703125" style="262" customWidth="1"/>
    <col min="11781" max="11781" width="47.42578125" style="262" customWidth="1"/>
    <col min="11782" max="11782" width="22.28515625" style="262" customWidth="1"/>
    <col min="11783" max="11783" width="9.140625" style="262"/>
    <col min="11784" max="11784" width="12.28515625" style="262" customWidth="1"/>
    <col min="11785" max="12032" width="9.140625" style="262"/>
    <col min="12033" max="12033" width="4.42578125" style="262" customWidth="1"/>
    <col min="12034" max="12034" width="5.7109375" style="262" customWidth="1"/>
    <col min="12035" max="12035" width="7.5703125" style="262" customWidth="1"/>
    <col min="12036" max="12036" width="6.5703125" style="262" customWidth="1"/>
    <col min="12037" max="12037" width="47.42578125" style="262" customWidth="1"/>
    <col min="12038" max="12038" width="22.28515625" style="262" customWidth="1"/>
    <col min="12039" max="12039" width="9.140625" style="262"/>
    <col min="12040" max="12040" width="12.28515625" style="262" customWidth="1"/>
    <col min="12041" max="12288" width="9.140625" style="262"/>
    <col min="12289" max="12289" width="4.42578125" style="262" customWidth="1"/>
    <col min="12290" max="12290" width="5.7109375" style="262" customWidth="1"/>
    <col min="12291" max="12291" width="7.5703125" style="262" customWidth="1"/>
    <col min="12292" max="12292" width="6.5703125" style="262" customWidth="1"/>
    <col min="12293" max="12293" width="47.42578125" style="262" customWidth="1"/>
    <col min="12294" max="12294" width="22.28515625" style="262" customWidth="1"/>
    <col min="12295" max="12295" width="9.140625" style="262"/>
    <col min="12296" max="12296" width="12.28515625" style="262" customWidth="1"/>
    <col min="12297" max="12544" width="9.140625" style="262"/>
    <col min="12545" max="12545" width="4.42578125" style="262" customWidth="1"/>
    <col min="12546" max="12546" width="5.7109375" style="262" customWidth="1"/>
    <col min="12547" max="12547" width="7.5703125" style="262" customWidth="1"/>
    <col min="12548" max="12548" width="6.5703125" style="262" customWidth="1"/>
    <col min="12549" max="12549" width="47.42578125" style="262" customWidth="1"/>
    <col min="12550" max="12550" width="22.28515625" style="262" customWidth="1"/>
    <col min="12551" max="12551" width="9.140625" style="262"/>
    <col min="12552" max="12552" width="12.28515625" style="262" customWidth="1"/>
    <col min="12553" max="12800" width="9.140625" style="262"/>
    <col min="12801" max="12801" width="4.42578125" style="262" customWidth="1"/>
    <col min="12802" max="12802" width="5.7109375" style="262" customWidth="1"/>
    <col min="12803" max="12803" width="7.5703125" style="262" customWidth="1"/>
    <col min="12804" max="12804" width="6.5703125" style="262" customWidth="1"/>
    <col min="12805" max="12805" width="47.42578125" style="262" customWidth="1"/>
    <col min="12806" max="12806" width="22.28515625" style="262" customWidth="1"/>
    <col min="12807" max="12807" width="9.140625" style="262"/>
    <col min="12808" max="12808" width="12.28515625" style="262" customWidth="1"/>
    <col min="12809" max="13056" width="9.140625" style="262"/>
    <col min="13057" max="13057" width="4.42578125" style="262" customWidth="1"/>
    <col min="13058" max="13058" width="5.7109375" style="262" customWidth="1"/>
    <col min="13059" max="13059" width="7.5703125" style="262" customWidth="1"/>
    <col min="13060" max="13060" width="6.5703125" style="262" customWidth="1"/>
    <col min="13061" max="13061" width="47.42578125" style="262" customWidth="1"/>
    <col min="13062" max="13062" width="22.28515625" style="262" customWidth="1"/>
    <col min="13063" max="13063" width="9.140625" style="262"/>
    <col min="13064" max="13064" width="12.28515625" style="262" customWidth="1"/>
    <col min="13065" max="13312" width="9.140625" style="262"/>
    <col min="13313" max="13313" width="4.42578125" style="262" customWidth="1"/>
    <col min="13314" max="13314" width="5.7109375" style="262" customWidth="1"/>
    <col min="13315" max="13315" width="7.5703125" style="262" customWidth="1"/>
    <col min="13316" max="13316" width="6.5703125" style="262" customWidth="1"/>
    <col min="13317" max="13317" width="47.42578125" style="262" customWidth="1"/>
    <col min="13318" max="13318" width="22.28515625" style="262" customWidth="1"/>
    <col min="13319" max="13319" width="9.140625" style="262"/>
    <col min="13320" max="13320" width="12.28515625" style="262" customWidth="1"/>
    <col min="13321" max="13568" width="9.140625" style="262"/>
    <col min="13569" max="13569" width="4.42578125" style="262" customWidth="1"/>
    <col min="13570" max="13570" width="5.7109375" style="262" customWidth="1"/>
    <col min="13571" max="13571" width="7.5703125" style="262" customWidth="1"/>
    <col min="13572" max="13572" width="6.5703125" style="262" customWidth="1"/>
    <col min="13573" max="13573" width="47.42578125" style="262" customWidth="1"/>
    <col min="13574" max="13574" width="22.28515625" style="262" customWidth="1"/>
    <col min="13575" max="13575" width="9.140625" style="262"/>
    <col min="13576" max="13576" width="12.28515625" style="262" customWidth="1"/>
    <col min="13577" max="13824" width="9.140625" style="262"/>
    <col min="13825" max="13825" width="4.42578125" style="262" customWidth="1"/>
    <col min="13826" max="13826" width="5.7109375" style="262" customWidth="1"/>
    <col min="13827" max="13827" width="7.5703125" style="262" customWidth="1"/>
    <col min="13828" max="13828" width="6.5703125" style="262" customWidth="1"/>
    <col min="13829" max="13829" width="47.42578125" style="262" customWidth="1"/>
    <col min="13830" max="13830" width="22.28515625" style="262" customWidth="1"/>
    <col min="13831" max="13831" width="9.140625" style="262"/>
    <col min="13832" max="13832" width="12.28515625" style="262" customWidth="1"/>
    <col min="13833" max="14080" width="9.140625" style="262"/>
    <col min="14081" max="14081" width="4.42578125" style="262" customWidth="1"/>
    <col min="14082" max="14082" width="5.7109375" style="262" customWidth="1"/>
    <col min="14083" max="14083" width="7.5703125" style="262" customWidth="1"/>
    <col min="14084" max="14084" width="6.5703125" style="262" customWidth="1"/>
    <col min="14085" max="14085" width="47.42578125" style="262" customWidth="1"/>
    <col min="14086" max="14086" width="22.28515625" style="262" customWidth="1"/>
    <col min="14087" max="14087" width="9.140625" style="262"/>
    <col min="14088" max="14088" width="12.28515625" style="262" customWidth="1"/>
    <col min="14089" max="14336" width="9.140625" style="262"/>
    <col min="14337" max="14337" width="4.42578125" style="262" customWidth="1"/>
    <col min="14338" max="14338" width="5.7109375" style="262" customWidth="1"/>
    <col min="14339" max="14339" width="7.5703125" style="262" customWidth="1"/>
    <col min="14340" max="14340" width="6.5703125" style="262" customWidth="1"/>
    <col min="14341" max="14341" width="47.42578125" style="262" customWidth="1"/>
    <col min="14342" max="14342" width="22.28515625" style="262" customWidth="1"/>
    <col min="14343" max="14343" width="9.140625" style="262"/>
    <col min="14344" max="14344" width="12.28515625" style="262" customWidth="1"/>
    <col min="14345" max="14592" width="9.140625" style="262"/>
    <col min="14593" max="14593" width="4.42578125" style="262" customWidth="1"/>
    <col min="14594" max="14594" width="5.7109375" style="262" customWidth="1"/>
    <col min="14595" max="14595" width="7.5703125" style="262" customWidth="1"/>
    <col min="14596" max="14596" width="6.5703125" style="262" customWidth="1"/>
    <col min="14597" max="14597" width="47.42578125" style="262" customWidth="1"/>
    <col min="14598" max="14598" width="22.28515625" style="262" customWidth="1"/>
    <col min="14599" max="14599" width="9.140625" style="262"/>
    <col min="14600" max="14600" width="12.28515625" style="262" customWidth="1"/>
    <col min="14601" max="14848" width="9.140625" style="262"/>
    <col min="14849" max="14849" width="4.42578125" style="262" customWidth="1"/>
    <col min="14850" max="14850" width="5.7109375" style="262" customWidth="1"/>
    <col min="14851" max="14851" width="7.5703125" style="262" customWidth="1"/>
    <col min="14852" max="14852" width="6.5703125" style="262" customWidth="1"/>
    <col min="14853" max="14853" width="47.42578125" style="262" customWidth="1"/>
    <col min="14854" max="14854" width="22.28515625" style="262" customWidth="1"/>
    <col min="14855" max="14855" width="9.140625" style="262"/>
    <col min="14856" max="14856" width="12.28515625" style="262" customWidth="1"/>
    <col min="14857" max="15104" width="9.140625" style="262"/>
    <col min="15105" max="15105" width="4.42578125" style="262" customWidth="1"/>
    <col min="15106" max="15106" width="5.7109375" style="262" customWidth="1"/>
    <col min="15107" max="15107" width="7.5703125" style="262" customWidth="1"/>
    <col min="15108" max="15108" width="6.5703125" style="262" customWidth="1"/>
    <col min="15109" max="15109" width="47.42578125" style="262" customWidth="1"/>
    <col min="15110" max="15110" width="22.28515625" style="262" customWidth="1"/>
    <col min="15111" max="15111" width="9.140625" style="262"/>
    <col min="15112" max="15112" width="12.28515625" style="262" customWidth="1"/>
    <col min="15113" max="15360" width="9.140625" style="262"/>
    <col min="15361" max="15361" width="4.42578125" style="262" customWidth="1"/>
    <col min="15362" max="15362" width="5.7109375" style="262" customWidth="1"/>
    <col min="15363" max="15363" width="7.5703125" style="262" customWidth="1"/>
    <col min="15364" max="15364" width="6.5703125" style="262" customWidth="1"/>
    <col min="15365" max="15365" width="47.42578125" style="262" customWidth="1"/>
    <col min="15366" max="15366" width="22.28515625" style="262" customWidth="1"/>
    <col min="15367" max="15367" width="9.140625" style="262"/>
    <col min="15368" max="15368" width="12.28515625" style="262" customWidth="1"/>
    <col min="15369" max="15616" width="9.140625" style="262"/>
    <col min="15617" max="15617" width="4.42578125" style="262" customWidth="1"/>
    <col min="15618" max="15618" width="5.7109375" style="262" customWidth="1"/>
    <col min="15619" max="15619" width="7.5703125" style="262" customWidth="1"/>
    <col min="15620" max="15620" width="6.5703125" style="262" customWidth="1"/>
    <col min="15621" max="15621" width="47.42578125" style="262" customWidth="1"/>
    <col min="15622" max="15622" width="22.28515625" style="262" customWidth="1"/>
    <col min="15623" max="15623" width="9.140625" style="262"/>
    <col min="15624" max="15624" width="12.28515625" style="262" customWidth="1"/>
    <col min="15625" max="15872" width="9.140625" style="262"/>
    <col min="15873" max="15873" width="4.42578125" style="262" customWidth="1"/>
    <col min="15874" max="15874" width="5.7109375" style="262" customWidth="1"/>
    <col min="15875" max="15875" width="7.5703125" style="262" customWidth="1"/>
    <col min="15876" max="15876" width="6.5703125" style="262" customWidth="1"/>
    <col min="15877" max="15877" width="47.42578125" style="262" customWidth="1"/>
    <col min="15878" max="15878" width="22.28515625" style="262" customWidth="1"/>
    <col min="15879" max="15879" width="9.140625" style="262"/>
    <col min="15880" max="15880" width="12.28515625" style="262" customWidth="1"/>
    <col min="15881" max="16128" width="9.140625" style="262"/>
    <col min="16129" max="16129" width="4.42578125" style="262" customWidth="1"/>
    <col min="16130" max="16130" width="5.7109375" style="262" customWidth="1"/>
    <col min="16131" max="16131" width="7.5703125" style="262" customWidth="1"/>
    <col min="16132" max="16132" width="6.5703125" style="262" customWidth="1"/>
    <col min="16133" max="16133" width="47.42578125" style="262" customWidth="1"/>
    <col min="16134" max="16134" width="22.28515625" style="262" customWidth="1"/>
    <col min="16135" max="16135" width="9.140625" style="262"/>
    <col min="16136" max="16136" width="12.28515625" style="262" customWidth="1"/>
    <col min="16137" max="16384" width="9.140625" style="262"/>
  </cols>
  <sheetData>
    <row r="1" spans="1:8" ht="12.95" customHeight="1" x14ac:dyDescent="0.25">
      <c r="F1" s="264" t="s">
        <v>276</v>
      </c>
    </row>
    <row r="2" spans="1:8" ht="12.95" customHeight="1" x14ac:dyDescent="0.25">
      <c r="F2" s="265" t="s">
        <v>223</v>
      </c>
    </row>
    <row r="3" spans="1:8" ht="12.95" customHeight="1" x14ac:dyDescent="0.25">
      <c r="F3" s="264" t="s">
        <v>1</v>
      </c>
    </row>
    <row r="4" spans="1:8" ht="12.75" customHeight="1" x14ac:dyDescent="0.25">
      <c r="F4" s="265" t="s">
        <v>224</v>
      </c>
    </row>
    <row r="5" spans="1:8" ht="26.25" customHeight="1" x14ac:dyDescent="0.25">
      <c r="A5" s="266" t="s">
        <v>277</v>
      </c>
      <c r="B5" s="266"/>
      <c r="C5" s="266"/>
      <c r="D5" s="267"/>
      <c r="E5" s="266"/>
      <c r="F5" s="266"/>
    </row>
    <row r="6" spans="1:8" ht="15.75" customHeight="1" x14ac:dyDescent="0.25">
      <c r="A6" s="266" t="s">
        <v>278</v>
      </c>
      <c r="B6" s="266"/>
      <c r="C6" s="266"/>
      <c r="D6" s="267"/>
      <c r="E6" s="266"/>
      <c r="F6" s="266"/>
    </row>
    <row r="7" spans="1:8" ht="33.75" customHeight="1" x14ac:dyDescent="0.25">
      <c r="F7" s="268" t="s">
        <v>2</v>
      </c>
    </row>
    <row r="8" spans="1:8" ht="20.25" customHeight="1" x14ac:dyDescent="0.25">
      <c r="A8" s="269" t="s">
        <v>14</v>
      </c>
      <c r="B8" s="269" t="s">
        <v>233</v>
      </c>
      <c r="C8" s="269" t="s">
        <v>279</v>
      </c>
      <c r="D8" s="270" t="s">
        <v>280</v>
      </c>
      <c r="E8" s="271" t="s">
        <v>281</v>
      </c>
      <c r="F8" s="269" t="s">
        <v>282</v>
      </c>
    </row>
    <row r="9" spans="1:8" s="275" customFormat="1" ht="10.5" customHeight="1" x14ac:dyDescent="0.3">
      <c r="A9" s="272">
        <v>1</v>
      </c>
      <c r="B9" s="272">
        <v>2</v>
      </c>
      <c r="C9" s="272">
        <v>3</v>
      </c>
      <c r="D9" s="273">
        <v>4</v>
      </c>
      <c r="E9" s="274">
        <v>5</v>
      </c>
      <c r="F9" s="272">
        <v>6</v>
      </c>
    </row>
    <row r="10" spans="1:8" ht="17.25" customHeight="1" x14ac:dyDescent="0.25">
      <c r="A10" s="512" t="s">
        <v>283</v>
      </c>
      <c r="B10" s="513"/>
      <c r="C10" s="513"/>
      <c r="D10" s="276"/>
      <c r="E10" s="513"/>
      <c r="F10" s="514"/>
    </row>
    <row r="11" spans="1:8" ht="15" customHeight="1" x14ac:dyDescent="0.25">
      <c r="A11" s="277">
        <v>1</v>
      </c>
      <c r="B11" s="278">
        <v>630</v>
      </c>
      <c r="C11" s="278">
        <v>63003</v>
      </c>
      <c r="D11" s="270">
        <v>2360</v>
      </c>
      <c r="E11" s="279" t="s">
        <v>284</v>
      </c>
      <c r="F11" s="280">
        <f>35000</f>
        <v>35000</v>
      </c>
    </row>
    <row r="12" spans="1:8" ht="26.25" customHeight="1" x14ac:dyDescent="0.25">
      <c r="A12" s="277">
        <v>2</v>
      </c>
      <c r="B12" s="281">
        <v>700</v>
      </c>
      <c r="C12" s="281">
        <v>70095</v>
      </c>
      <c r="D12" s="282">
        <v>6230</v>
      </c>
      <c r="E12" s="283" t="s">
        <v>285</v>
      </c>
      <c r="F12" s="284">
        <f>1500000</f>
        <v>1500000</v>
      </c>
      <c r="G12" s="285"/>
    </row>
    <row r="13" spans="1:8" ht="26.25" customHeight="1" x14ac:dyDescent="0.25">
      <c r="A13" s="277">
        <v>3</v>
      </c>
      <c r="B13" s="281">
        <v>750</v>
      </c>
      <c r="C13" s="281">
        <v>75095</v>
      </c>
      <c r="D13" s="270">
        <v>2360</v>
      </c>
      <c r="E13" s="286" t="s">
        <v>286</v>
      </c>
      <c r="F13" s="284">
        <f>200000</f>
        <v>200000</v>
      </c>
      <c r="H13" s="287"/>
    </row>
    <row r="14" spans="1:8" ht="15" customHeight="1" x14ac:dyDescent="0.25">
      <c r="A14" s="277">
        <v>4</v>
      </c>
      <c r="B14" s="281">
        <v>755</v>
      </c>
      <c r="C14" s="281">
        <v>75515</v>
      </c>
      <c r="D14" s="270">
        <v>2360</v>
      </c>
      <c r="E14" s="288" t="s">
        <v>287</v>
      </c>
      <c r="F14" s="289">
        <f>146896.8</f>
        <v>146896.79999999999</v>
      </c>
      <c r="H14" s="287"/>
    </row>
    <row r="15" spans="1:8" ht="27" customHeight="1" x14ac:dyDescent="0.25">
      <c r="A15" s="277">
        <v>5</v>
      </c>
      <c r="B15" s="281">
        <v>801</v>
      </c>
      <c r="C15" s="281">
        <v>80195</v>
      </c>
      <c r="D15" s="290" t="s">
        <v>288</v>
      </c>
      <c r="E15" s="291" t="s">
        <v>289</v>
      </c>
      <c r="F15" s="292">
        <f>18864+1109</f>
        <v>19973</v>
      </c>
      <c r="H15" s="287"/>
    </row>
    <row r="16" spans="1:8" ht="28.9" customHeight="1" x14ac:dyDescent="0.25">
      <c r="A16" s="277">
        <v>6</v>
      </c>
      <c r="B16" s="281">
        <v>801</v>
      </c>
      <c r="C16" s="281">
        <v>80195</v>
      </c>
      <c r="D16" s="290" t="s">
        <v>288</v>
      </c>
      <c r="E16" s="291" t="s">
        <v>290</v>
      </c>
      <c r="F16" s="292">
        <f>144716.29+8503.71</f>
        <v>153220</v>
      </c>
      <c r="H16" s="287"/>
    </row>
    <row r="17" spans="1:8" ht="15" customHeight="1" x14ac:dyDescent="0.25">
      <c r="A17" s="277">
        <v>7</v>
      </c>
      <c r="B17" s="281">
        <v>851</v>
      </c>
      <c r="C17" s="281">
        <v>85153</v>
      </c>
      <c r="D17" s="293">
        <v>2360</v>
      </c>
      <c r="E17" s="294" t="s">
        <v>291</v>
      </c>
      <c r="F17" s="292">
        <f>48765</f>
        <v>48765</v>
      </c>
      <c r="H17" s="287"/>
    </row>
    <row r="18" spans="1:8" ht="27" customHeight="1" x14ac:dyDescent="0.25">
      <c r="A18" s="277">
        <v>8</v>
      </c>
      <c r="B18" s="281">
        <v>851</v>
      </c>
      <c r="C18" s="281">
        <v>85154</v>
      </c>
      <c r="D18" s="270">
        <v>2360</v>
      </c>
      <c r="E18" s="286" t="s">
        <v>292</v>
      </c>
      <c r="F18" s="284">
        <f>615000+235000+41482</f>
        <v>891482</v>
      </c>
    </row>
    <row r="19" spans="1:8" ht="24.75" customHeight="1" x14ac:dyDescent="0.25">
      <c r="A19" s="295">
        <v>9</v>
      </c>
      <c r="B19" s="296">
        <v>851</v>
      </c>
      <c r="C19" s="297">
        <v>85195</v>
      </c>
      <c r="D19" s="298">
        <v>2360</v>
      </c>
      <c r="E19" s="299" t="s">
        <v>293</v>
      </c>
      <c r="F19" s="284">
        <f>122500</f>
        <v>122500</v>
      </c>
    </row>
    <row r="20" spans="1:8" ht="24.75" customHeight="1" x14ac:dyDescent="0.25">
      <c r="A20" s="295">
        <v>10</v>
      </c>
      <c r="B20" s="296">
        <v>851</v>
      </c>
      <c r="C20" s="297">
        <v>85195</v>
      </c>
      <c r="D20" s="298">
        <v>2360</v>
      </c>
      <c r="E20" s="299" t="s">
        <v>294</v>
      </c>
      <c r="F20" s="284">
        <v>125000</v>
      </c>
    </row>
    <row r="21" spans="1:8" ht="38.25" customHeight="1" x14ac:dyDescent="0.25">
      <c r="A21" s="295">
        <v>11</v>
      </c>
      <c r="B21" s="277">
        <v>852</v>
      </c>
      <c r="C21" s="277">
        <v>85219</v>
      </c>
      <c r="D21" s="300">
        <v>2830</v>
      </c>
      <c r="E21" s="301" t="s">
        <v>295</v>
      </c>
      <c r="F21" s="284">
        <f>171894</f>
        <v>171894</v>
      </c>
    </row>
    <row r="22" spans="1:8" ht="24.75" customHeight="1" x14ac:dyDescent="0.25">
      <c r="A22" s="295">
        <v>12</v>
      </c>
      <c r="B22" s="302">
        <v>852</v>
      </c>
      <c r="C22" s="303">
        <v>85228</v>
      </c>
      <c r="D22" s="298">
        <v>2360</v>
      </c>
      <c r="E22" s="304" t="s">
        <v>296</v>
      </c>
      <c r="F22" s="284">
        <f>F23+F24</f>
        <v>13764558.119999999</v>
      </c>
    </row>
    <row r="23" spans="1:8" s="264" customFormat="1" ht="13.5" customHeight="1" x14ac:dyDescent="0.25">
      <c r="A23" s="305" t="s">
        <v>297</v>
      </c>
      <c r="B23" s="306"/>
      <c r="C23" s="307"/>
      <c r="D23" s="308"/>
      <c r="E23" s="309" t="s">
        <v>298</v>
      </c>
      <c r="F23" s="310">
        <f>8905485.52-12000+144403.6-27500</f>
        <v>9010389.1199999992</v>
      </c>
    </row>
    <row r="24" spans="1:8" s="264" customFormat="1" ht="13.5" customHeight="1" x14ac:dyDescent="0.25">
      <c r="A24" s="305" t="s">
        <v>299</v>
      </c>
      <c r="B24" s="306"/>
      <c r="C24" s="307"/>
      <c r="D24" s="308"/>
      <c r="E24" s="309" t="s">
        <v>300</v>
      </c>
      <c r="F24" s="310">
        <f>4754169</f>
        <v>4754169</v>
      </c>
    </row>
    <row r="25" spans="1:8" ht="15" customHeight="1" x14ac:dyDescent="0.25">
      <c r="A25" s="311">
        <v>13</v>
      </c>
      <c r="B25" s="312">
        <v>852</v>
      </c>
      <c r="C25" s="312">
        <v>85295</v>
      </c>
      <c r="D25" s="313">
        <v>2360</v>
      </c>
      <c r="E25" s="304" t="s">
        <v>301</v>
      </c>
      <c r="F25" s="314">
        <f>2691864</f>
        <v>2691864</v>
      </c>
    </row>
    <row r="26" spans="1:8" ht="38.25" customHeight="1" x14ac:dyDescent="0.25">
      <c r="A26" s="277">
        <v>14</v>
      </c>
      <c r="B26" s="281">
        <v>853</v>
      </c>
      <c r="C26" s="281">
        <v>85395</v>
      </c>
      <c r="D26" s="270">
        <v>2360</v>
      </c>
      <c r="E26" s="286" t="s">
        <v>302</v>
      </c>
      <c r="F26" s="284">
        <f>19000</f>
        <v>19000</v>
      </c>
    </row>
    <row r="27" spans="1:8" ht="24.75" customHeight="1" x14ac:dyDescent="0.25">
      <c r="A27" s="277">
        <v>15</v>
      </c>
      <c r="B27" s="281">
        <v>855</v>
      </c>
      <c r="C27" s="281">
        <v>85510</v>
      </c>
      <c r="D27" s="315" t="s">
        <v>303</v>
      </c>
      <c r="E27" s="288" t="s">
        <v>304</v>
      </c>
      <c r="F27" s="284">
        <f>2830580+188620</f>
        <v>3019200</v>
      </c>
    </row>
    <row r="28" spans="1:8" ht="24.75" customHeight="1" x14ac:dyDescent="0.25">
      <c r="A28" s="277">
        <v>16</v>
      </c>
      <c r="B28" s="281">
        <v>900</v>
      </c>
      <c r="C28" s="281">
        <v>90001</v>
      </c>
      <c r="D28" s="270">
        <v>6230</v>
      </c>
      <c r="E28" s="316" t="s">
        <v>305</v>
      </c>
      <c r="F28" s="284">
        <v>5000</v>
      </c>
    </row>
    <row r="29" spans="1:8" ht="26.25" customHeight="1" x14ac:dyDescent="0.25">
      <c r="A29" s="317">
        <v>17</v>
      </c>
      <c r="B29" s="281">
        <v>900</v>
      </c>
      <c r="C29" s="281">
        <v>90005</v>
      </c>
      <c r="D29" s="270">
        <v>2360</v>
      </c>
      <c r="E29" s="318" t="s">
        <v>306</v>
      </c>
      <c r="F29" s="319">
        <v>100000</v>
      </c>
      <c r="G29" s="320"/>
    </row>
    <row r="30" spans="1:8" ht="28.5" customHeight="1" x14ac:dyDescent="0.25">
      <c r="A30" s="317">
        <v>18</v>
      </c>
      <c r="B30" s="281">
        <v>900</v>
      </c>
      <c r="C30" s="281">
        <v>90095</v>
      </c>
      <c r="D30" s="290" t="s">
        <v>307</v>
      </c>
      <c r="E30" s="291" t="s">
        <v>308</v>
      </c>
      <c r="F30" s="292">
        <f>14643+82977</f>
        <v>97620</v>
      </c>
      <c r="G30" s="320"/>
    </row>
    <row r="31" spans="1:8" s="264" customFormat="1" ht="15" customHeight="1" x14ac:dyDescent="0.25">
      <c r="A31" s="277">
        <v>19</v>
      </c>
      <c r="B31" s="281">
        <v>921</v>
      </c>
      <c r="C31" s="281">
        <v>92120</v>
      </c>
      <c r="D31" s="270">
        <v>2720</v>
      </c>
      <c r="E31" s="321" t="s">
        <v>309</v>
      </c>
      <c r="F31" s="319">
        <f>750000</f>
        <v>750000</v>
      </c>
    </row>
    <row r="32" spans="1:8" ht="38.25" customHeight="1" x14ac:dyDescent="0.25">
      <c r="A32" s="277">
        <v>20</v>
      </c>
      <c r="B32" s="281">
        <v>921</v>
      </c>
      <c r="C32" s="281">
        <v>92195</v>
      </c>
      <c r="D32" s="322">
        <v>2360</v>
      </c>
      <c r="E32" s="286" t="s">
        <v>310</v>
      </c>
      <c r="F32" s="319">
        <v>950000</v>
      </c>
    </row>
    <row r="33" spans="1:8" ht="15.6" customHeight="1" x14ac:dyDescent="0.25">
      <c r="A33" s="277">
        <v>21</v>
      </c>
      <c r="B33" s="281">
        <v>926</v>
      </c>
      <c r="C33" s="281">
        <v>92605</v>
      </c>
      <c r="D33" s="322">
        <v>2360</v>
      </c>
      <c r="E33" s="288" t="s">
        <v>311</v>
      </c>
      <c r="F33" s="284">
        <f>5000000</f>
        <v>5000000</v>
      </c>
    </row>
    <row r="34" spans="1:8" s="324" customFormat="1" ht="18" customHeight="1" x14ac:dyDescent="0.25">
      <c r="A34" s="515"/>
      <c r="B34" s="516"/>
      <c r="C34" s="516"/>
      <c r="D34" s="323"/>
      <c r="E34" s="516" t="s">
        <v>312</v>
      </c>
      <c r="F34" s="284">
        <f>SUM(F11,F12,F13,F14,F15,F16,F17,F18,F19,F20,F21,F22,F28,F25,F26,F27,F29,F30,F31,F32,F33)</f>
        <v>29811972.919999998</v>
      </c>
      <c r="H34" s="325"/>
    </row>
    <row r="35" spans="1:8" ht="17.25" customHeight="1" x14ac:dyDescent="0.25">
      <c r="A35" s="512" t="s">
        <v>313</v>
      </c>
      <c r="B35" s="513"/>
      <c r="C35" s="513"/>
      <c r="D35" s="276"/>
      <c r="E35" s="513"/>
      <c r="F35" s="514"/>
    </row>
    <row r="36" spans="1:8" ht="17.25" customHeight="1" x14ac:dyDescent="0.25">
      <c r="A36" s="269" t="s">
        <v>14</v>
      </c>
      <c r="B36" s="269" t="s">
        <v>233</v>
      </c>
      <c r="C36" s="269" t="s">
        <v>279</v>
      </c>
      <c r="D36" s="326"/>
      <c r="E36" s="271" t="s">
        <v>314</v>
      </c>
      <c r="F36" s="327" t="s">
        <v>282</v>
      </c>
    </row>
    <row r="37" spans="1:8" ht="24" customHeight="1" x14ac:dyDescent="0.25">
      <c r="A37" s="281">
        <v>1</v>
      </c>
      <c r="B37" s="281">
        <v>801</v>
      </c>
      <c r="C37" s="281">
        <v>80101</v>
      </c>
      <c r="D37" s="322" t="s">
        <v>315</v>
      </c>
      <c r="E37" s="321" t="s">
        <v>106</v>
      </c>
      <c r="F37" s="284">
        <f>3611632.2+9720952.16-550000</f>
        <v>12782584.359999999</v>
      </c>
    </row>
    <row r="38" spans="1:8" s="264" customFormat="1" ht="13.5" customHeight="1" x14ac:dyDescent="0.25">
      <c r="A38" s="328"/>
      <c r="B38" s="329"/>
      <c r="C38" s="330"/>
      <c r="D38" s="331"/>
      <c r="E38" s="332" t="s">
        <v>316</v>
      </c>
      <c r="F38" s="333"/>
    </row>
    <row r="39" spans="1:8" s="264" customFormat="1" ht="13.5" customHeight="1" x14ac:dyDescent="0.25">
      <c r="A39" s="334"/>
      <c r="C39" s="335"/>
      <c r="D39" s="336"/>
      <c r="E39" s="337" t="s">
        <v>317</v>
      </c>
      <c r="F39" s="338"/>
      <c r="G39" s="339"/>
    </row>
    <row r="40" spans="1:8" s="264" customFormat="1" ht="14.25" customHeight="1" x14ac:dyDescent="0.25">
      <c r="A40" s="334"/>
      <c r="C40" s="335"/>
      <c r="D40" s="340"/>
      <c r="E40" s="341" t="s">
        <v>318</v>
      </c>
      <c r="F40" s="338"/>
    </row>
    <row r="41" spans="1:8" s="264" customFormat="1" ht="25.5" customHeight="1" x14ac:dyDescent="0.25">
      <c r="A41" s="334"/>
      <c r="C41" s="335"/>
      <c r="D41" s="340"/>
      <c r="E41" s="342" t="s">
        <v>319</v>
      </c>
      <c r="F41" s="343"/>
    </row>
    <row r="42" spans="1:8" s="264" customFormat="1" ht="13.5" customHeight="1" x14ac:dyDescent="0.25">
      <c r="A42" s="344"/>
      <c r="B42" s="345"/>
      <c r="C42" s="346"/>
      <c r="D42" s="347"/>
      <c r="E42" s="348" t="s">
        <v>320</v>
      </c>
      <c r="F42" s="349"/>
    </row>
    <row r="43" spans="1:8" ht="13.9" customHeight="1" x14ac:dyDescent="0.25">
      <c r="A43" s="312">
        <v>2</v>
      </c>
      <c r="B43" s="312">
        <v>801</v>
      </c>
      <c r="C43" s="312">
        <v>80103</v>
      </c>
      <c r="D43" s="313">
        <v>2540</v>
      </c>
      <c r="E43" s="350" t="s">
        <v>125</v>
      </c>
      <c r="F43" s="314">
        <f>198379.2</f>
        <v>198379.2</v>
      </c>
    </row>
    <row r="44" spans="1:8" s="264" customFormat="1" ht="13.5" customHeight="1" x14ac:dyDescent="0.25">
      <c r="A44" s="334"/>
      <c r="C44" s="335"/>
      <c r="D44" s="340"/>
      <c r="E44" s="351" t="s">
        <v>318</v>
      </c>
      <c r="F44" s="352"/>
    </row>
    <row r="45" spans="1:8" ht="24" customHeight="1" x14ac:dyDescent="0.25">
      <c r="A45" s="281">
        <v>3</v>
      </c>
      <c r="B45" s="281">
        <v>801</v>
      </c>
      <c r="C45" s="281">
        <v>80104</v>
      </c>
      <c r="D45" s="322" t="s">
        <v>315</v>
      </c>
      <c r="E45" s="321" t="s">
        <v>126</v>
      </c>
      <c r="F45" s="284">
        <f>9183881.2+3891938.8</f>
        <v>13075820</v>
      </c>
    </row>
    <row r="46" spans="1:8" s="264" customFormat="1" ht="13.5" customHeight="1" x14ac:dyDescent="0.25">
      <c r="A46" s="353"/>
      <c r="B46" s="354"/>
      <c r="C46" s="355"/>
      <c r="D46" s="356"/>
      <c r="E46" s="357" t="s">
        <v>321</v>
      </c>
      <c r="F46" s="352"/>
    </row>
    <row r="47" spans="1:8" s="264" customFormat="1" ht="13.5" customHeight="1" x14ac:dyDescent="0.25">
      <c r="A47" s="334"/>
      <c r="C47" s="335"/>
      <c r="D47" s="340"/>
      <c r="E47" s="358" t="s">
        <v>322</v>
      </c>
      <c r="F47" s="343"/>
    </row>
    <row r="48" spans="1:8" s="264" customFormat="1" ht="13.5" customHeight="1" x14ac:dyDescent="0.25">
      <c r="A48" s="334"/>
      <c r="C48" s="335"/>
      <c r="D48" s="340"/>
      <c r="E48" s="358" t="s">
        <v>323</v>
      </c>
      <c r="F48" s="343"/>
    </row>
    <row r="49" spans="1:6" s="264" customFormat="1" ht="13.5" customHeight="1" x14ac:dyDescent="0.25">
      <c r="A49" s="334"/>
      <c r="C49" s="335"/>
      <c r="D49" s="340"/>
      <c r="E49" s="358" t="s">
        <v>324</v>
      </c>
      <c r="F49" s="343"/>
    </row>
    <row r="50" spans="1:6" s="264" customFormat="1" ht="13.5" customHeight="1" x14ac:dyDescent="0.25">
      <c r="A50" s="334"/>
      <c r="C50" s="335"/>
      <c r="D50" s="340"/>
      <c r="E50" s="342" t="s">
        <v>325</v>
      </c>
      <c r="F50" s="343"/>
    </row>
    <row r="51" spans="1:6" s="264" customFormat="1" ht="13.5" customHeight="1" x14ac:dyDescent="0.25">
      <c r="A51" s="334"/>
      <c r="C51" s="335"/>
      <c r="D51" s="340"/>
      <c r="E51" s="342" t="s">
        <v>326</v>
      </c>
      <c r="F51" s="343"/>
    </row>
    <row r="52" spans="1:6" s="264" customFormat="1" ht="13.5" customHeight="1" x14ac:dyDescent="0.25">
      <c r="A52" s="334"/>
      <c r="C52" s="335"/>
      <c r="D52" s="340"/>
      <c r="E52" s="358" t="s">
        <v>327</v>
      </c>
      <c r="F52" s="343"/>
    </row>
    <row r="53" spans="1:6" s="264" customFormat="1" ht="13.5" customHeight="1" x14ac:dyDescent="0.25">
      <c r="A53" s="334"/>
      <c r="C53" s="335"/>
      <c r="D53" s="340"/>
      <c r="E53" s="358" t="s">
        <v>328</v>
      </c>
      <c r="F53" s="343"/>
    </row>
    <row r="54" spans="1:6" s="264" customFormat="1" ht="13.5" customHeight="1" x14ac:dyDescent="0.25">
      <c r="A54" s="334"/>
      <c r="C54" s="335"/>
      <c r="D54" s="340"/>
      <c r="E54" s="342" t="s">
        <v>329</v>
      </c>
      <c r="F54" s="343"/>
    </row>
    <row r="55" spans="1:6" s="264" customFormat="1" ht="13.5" customHeight="1" x14ac:dyDescent="0.25">
      <c r="A55" s="334"/>
      <c r="C55" s="335"/>
      <c r="D55" s="340"/>
      <c r="E55" s="359" t="s">
        <v>330</v>
      </c>
      <c r="F55" s="343"/>
    </row>
    <row r="56" spans="1:6" s="264" customFormat="1" ht="13.5" customHeight="1" x14ac:dyDescent="0.25">
      <c r="A56" s="334"/>
      <c r="C56" s="335"/>
      <c r="D56" s="340"/>
      <c r="E56" s="342" t="s">
        <v>331</v>
      </c>
      <c r="F56" s="343"/>
    </row>
    <row r="57" spans="1:6" s="264" customFormat="1" ht="13.5" customHeight="1" x14ac:dyDescent="0.25">
      <c r="A57" s="334"/>
      <c r="C57" s="335"/>
      <c r="D57" s="340"/>
      <c r="E57" s="359" t="s">
        <v>332</v>
      </c>
      <c r="F57" s="343"/>
    </row>
    <row r="58" spans="1:6" s="264" customFormat="1" ht="13.5" customHeight="1" x14ac:dyDescent="0.25">
      <c r="A58" s="334"/>
      <c r="C58" s="335"/>
      <c r="D58" s="340"/>
      <c r="E58" s="359" t="s">
        <v>333</v>
      </c>
      <c r="F58" s="343"/>
    </row>
    <row r="59" spans="1:6" s="264" customFormat="1" ht="13.5" customHeight="1" x14ac:dyDescent="0.25">
      <c r="A59" s="344"/>
      <c r="B59" s="345"/>
      <c r="C59" s="346"/>
      <c r="D59" s="347"/>
      <c r="E59" s="360" t="s">
        <v>334</v>
      </c>
      <c r="F59" s="349"/>
    </row>
    <row r="60" spans="1:6" ht="22.5" customHeight="1" x14ac:dyDescent="0.25">
      <c r="A60" s="281">
        <v>4</v>
      </c>
      <c r="B60" s="281">
        <v>801</v>
      </c>
      <c r="C60" s="281">
        <v>80106</v>
      </c>
      <c r="D60" s="270">
        <v>2540</v>
      </c>
      <c r="E60" s="288" t="s">
        <v>335</v>
      </c>
      <c r="F60" s="284">
        <f>158564</f>
        <v>158564</v>
      </c>
    </row>
    <row r="61" spans="1:6" s="264" customFormat="1" ht="13.5" customHeight="1" x14ac:dyDescent="0.25">
      <c r="A61" s="334"/>
      <c r="C61" s="335"/>
      <c r="D61" s="361"/>
      <c r="E61" s="362" t="s">
        <v>336</v>
      </c>
      <c r="F61" s="363"/>
    </row>
    <row r="62" spans="1:6" ht="13.5" customHeight="1" x14ac:dyDescent="0.25">
      <c r="A62" s="312">
        <v>5</v>
      </c>
      <c r="B62" s="312">
        <v>801</v>
      </c>
      <c r="C62" s="312">
        <v>80115</v>
      </c>
      <c r="D62" s="364">
        <v>2540</v>
      </c>
      <c r="E62" s="365" t="s">
        <v>194</v>
      </c>
      <c r="F62" s="314">
        <f>3756329.44</f>
        <v>3756329.44</v>
      </c>
    </row>
    <row r="63" spans="1:6" s="264" customFormat="1" ht="12.75" customHeight="1" x14ac:dyDescent="0.25">
      <c r="A63" s="328"/>
      <c r="B63" s="329"/>
      <c r="C63" s="330"/>
      <c r="D63" s="366"/>
      <c r="E63" s="367" t="s">
        <v>337</v>
      </c>
      <c r="F63" s="333"/>
    </row>
    <row r="64" spans="1:6" ht="23.25" customHeight="1" x14ac:dyDescent="0.25">
      <c r="A64" s="281">
        <v>6</v>
      </c>
      <c r="B64" s="281">
        <v>801</v>
      </c>
      <c r="C64" s="281">
        <v>80116</v>
      </c>
      <c r="D64" s="368" t="s">
        <v>315</v>
      </c>
      <c r="E64" s="369" t="s">
        <v>195</v>
      </c>
      <c r="F64" s="314">
        <f>9078519.3+650000+300000</f>
        <v>10028519.300000001</v>
      </c>
    </row>
    <row r="65" spans="1:6" s="264" customFormat="1" ht="13.5" customHeight="1" x14ac:dyDescent="0.25">
      <c r="A65" s="353"/>
      <c r="B65" s="354"/>
      <c r="C65" s="355"/>
      <c r="D65" s="356"/>
      <c r="E65" s="370" t="s">
        <v>338</v>
      </c>
      <c r="F65" s="352"/>
    </row>
    <row r="66" spans="1:6" s="264" customFormat="1" ht="25.5" customHeight="1" x14ac:dyDescent="0.25">
      <c r="A66" s="334"/>
      <c r="C66" s="335"/>
      <c r="D66" s="340"/>
      <c r="E66" s="371" t="s">
        <v>339</v>
      </c>
      <c r="F66" s="343"/>
    </row>
    <row r="67" spans="1:6" s="264" customFormat="1" ht="13.5" customHeight="1" x14ac:dyDescent="0.25">
      <c r="A67" s="334"/>
      <c r="C67" s="335"/>
      <c r="D67" s="340"/>
      <c r="E67" s="359" t="s">
        <v>340</v>
      </c>
      <c r="F67" s="343"/>
    </row>
    <row r="68" spans="1:6" s="264" customFormat="1" ht="13.5" customHeight="1" x14ac:dyDescent="0.25">
      <c r="A68" s="334"/>
      <c r="C68" s="335"/>
      <c r="D68" s="340"/>
      <c r="E68" s="371" t="s">
        <v>341</v>
      </c>
      <c r="F68" s="343"/>
    </row>
    <row r="69" spans="1:6" s="264" customFormat="1" ht="13.5" customHeight="1" x14ac:dyDescent="0.25">
      <c r="A69" s="334"/>
      <c r="C69" s="335"/>
      <c r="D69" s="340"/>
      <c r="E69" s="359" t="s">
        <v>342</v>
      </c>
      <c r="F69" s="343"/>
    </row>
    <row r="70" spans="1:6" s="264" customFormat="1" ht="13.5" customHeight="1" x14ac:dyDescent="0.25">
      <c r="A70" s="334"/>
      <c r="C70" s="335"/>
      <c r="D70" s="340"/>
      <c r="E70" s="359" t="s">
        <v>343</v>
      </c>
      <c r="F70" s="343"/>
    </row>
    <row r="71" spans="1:6" s="264" customFormat="1" ht="13.5" customHeight="1" x14ac:dyDescent="0.25">
      <c r="A71" s="334"/>
      <c r="C71" s="335"/>
      <c r="D71" s="372"/>
      <c r="E71" s="373" t="s">
        <v>344</v>
      </c>
      <c r="F71" s="338"/>
    </row>
    <row r="72" spans="1:6" s="264" customFormat="1" ht="13.5" customHeight="1" x14ac:dyDescent="0.25">
      <c r="A72" s="334"/>
      <c r="C72" s="335"/>
      <c r="D72" s="372"/>
      <c r="E72" s="359" t="s">
        <v>345</v>
      </c>
      <c r="F72" s="343"/>
    </row>
    <row r="73" spans="1:6" s="264" customFormat="1" ht="13.5" customHeight="1" x14ac:dyDescent="0.25">
      <c r="A73" s="334"/>
      <c r="C73" s="335"/>
      <c r="D73" s="374"/>
      <c r="E73" s="373" t="s">
        <v>346</v>
      </c>
      <c r="F73" s="338"/>
    </row>
    <row r="74" spans="1:6" s="264" customFormat="1" ht="13.5" customHeight="1" x14ac:dyDescent="0.25">
      <c r="A74" s="344"/>
      <c r="B74" s="345"/>
      <c r="C74" s="346"/>
      <c r="D74" s="347"/>
      <c r="E74" s="348" t="s">
        <v>347</v>
      </c>
      <c r="F74" s="349"/>
    </row>
    <row r="75" spans="1:6" ht="24" customHeight="1" x14ac:dyDescent="0.25">
      <c r="A75" s="277">
        <v>7</v>
      </c>
      <c r="B75" s="277">
        <v>801</v>
      </c>
      <c r="C75" s="277">
        <v>80117</v>
      </c>
      <c r="D75" s="375" t="s">
        <v>315</v>
      </c>
      <c r="E75" s="321" t="s">
        <v>196</v>
      </c>
      <c r="F75" s="284">
        <f>2677774+1983634.18</f>
        <v>4661408.18</v>
      </c>
    </row>
    <row r="76" spans="1:6" s="264" customFormat="1" ht="13.5" customHeight="1" x14ac:dyDescent="0.25">
      <c r="A76" s="334"/>
      <c r="C76" s="335"/>
      <c r="D76" s="340"/>
      <c r="E76" s="337" t="s">
        <v>348</v>
      </c>
      <c r="F76" s="338"/>
    </row>
    <row r="77" spans="1:6" s="264" customFormat="1" ht="24" customHeight="1" x14ac:dyDescent="0.25">
      <c r="A77" s="344"/>
      <c r="B77" s="345"/>
      <c r="C77" s="346"/>
      <c r="D77" s="347"/>
      <c r="E77" s="348" t="s">
        <v>349</v>
      </c>
      <c r="F77" s="349"/>
    </row>
    <row r="78" spans="1:6" ht="24" customHeight="1" x14ac:dyDescent="0.25">
      <c r="A78" s="277">
        <v>8</v>
      </c>
      <c r="B78" s="277">
        <v>801</v>
      </c>
      <c r="C78" s="277">
        <v>80120</v>
      </c>
      <c r="D78" s="375" t="s">
        <v>315</v>
      </c>
      <c r="E78" s="321" t="s">
        <v>61</v>
      </c>
      <c r="F78" s="284">
        <f>3471265.85+4785976.45-430423</f>
        <v>7826819.3000000007</v>
      </c>
    </row>
    <row r="79" spans="1:6" s="264" customFormat="1" ht="25.5" customHeight="1" x14ac:dyDescent="0.25">
      <c r="A79" s="334"/>
      <c r="C79" s="335"/>
      <c r="D79" s="340"/>
      <c r="E79" s="342" t="s">
        <v>350</v>
      </c>
      <c r="F79" s="343"/>
    </row>
    <row r="80" spans="1:6" s="264" customFormat="1" ht="24.75" customHeight="1" x14ac:dyDescent="0.25">
      <c r="A80" s="344"/>
      <c r="B80" s="345"/>
      <c r="C80" s="346"/>
      <c r="D80" s="347"/>
      <c r="E80" s="376" t="s">
        <v>351</v>
      </c>
      <c r="F80" s="377"/>
    </row>
    <row r="81" spans="1:7" s="264" customFormat="1" ht="13.5" customHeight="1" x14ac:dyDescent="0.25">
      <c r="A81" s="334"/>
      <c r="C81" s="335"/>
      <c r="D81" s="340"/>
      <c r="E81" s="373" t="s">
        <v>352</v>
      </c>
      <c r="F81" s="338"/>
    </row>
    <row r="82" spans="1:7" s="264" customFormat="1" ht="13.5" customHeight="1" x14ac:dyDescent="0.25">
      <c r="A82" s="344"/>
      <c r="B82" s="345"/>
      <c r="C82" s="346"/>
      <c r="D82" s="347"/>
      <c r="E82" s="360" t="s">
        <v>353</v>
      </c>
      <c r="F82" s="349"/>
    </row>
    <row r="83" spans="1:7" ht="26.25" customHeight="1" x14ac:dyDescent="0.25">
      <c r="A83" s="277">
        <v>9</v>
      </c>
      <c r="B83" s="277">
        <v>801</v>
      </c>
      <c r="C83" s="277">
        <v>80122</v>
      </c>
      <c r="D83" s="375" t="s">
        <v>315</v>
      </c>
      <c r="E83" s="321" t="s">
        <v>198</v>
      </c>
      <c r="F83" s="284">
        <f>395800+902460-100000</f>
        <v>1198260</v>
      </c>
    </row>
    <row r="84" spans="1:7" s="264" customFormat="1" ht="12.75" customHeight="1" x14ac:dyDescent="0.25">
      <c r="A84" s="353"/>
      <c r="B84" s="354"/>
      <c r="C84" s="355"/>
      <c r="D84" s="356"/>
      <c r="E84" s="378" t="s">
        <v>354</v>
      </c>
      <c r="F84" s="352"/>
    </row>
    <row r="85" spans="1:7" s="264" customFormat="1" ht="13.5" customHeight="1" x14ac:dyDescent="0.25">
      <c r="A85" s="334"/>
      <c r="C85" s="335"/>
      <c r="D85" s="372"/>
      <c r="E85" s="379" t="s">
        <v>355</v>
      </c>
      <c r="F85" s="338"/>
    </row>
    <row r="86" spans="1:7" s="264" customFormat="1" ht="13.5" customHeight="1" x14ac:dyDescent="0.25">
      <c r="A86" s="334"/>
      <c r="C86" s="335"/>
      <c r="D86" s="340"/>
      <c r="E86" s="371" t="s">
        <v>356</v>
      </c>
      <c r="F86" s="343"/>
      <c r="G86" s="380"/>
    </row>
    <row r="87" spans="1:7" s="264" customFormat="1" ht="13.5" customHeight="1" x14ac:dyDescent="0.25">
      <c r="A87" s="334"/>
      <c r="C87" s="335"/>
      <c r="D87" s="340"/>
      <c r="E87" s="358" t="s">
        <v>357</v>
      </c>
      <c r="F87" s="343"/>
    </row>
    <row r="88" spans="1:7" s="264" customFormat="1" ht="13.5" customHeight="1" x14ac:dyDescent="0.25">
      <c r="A88" s="334"/>
      <c r="C88" s="335"/>
      <c r="D88" s="340"/>
      <c r="E88" s="358" t="s">
        <v>358</v>
      </c>
      <c r="F88" s="343"/>
    </row>
    <row r="89" spans="1:7" s="264" customFormat="1" ht="13.5" customHeight="1" x14ac:dyDescent="0.25">
      <c r="A89" s="334"/>
      <c r="C89" s="335"/>
      <c r="D89" s="340"/>
      <c r="E89" s="359" t="s">
        <v>359</v>
      </c>
      <c r="F89" s="343"/>
    </row>
    <row r="90" spans="1:7" ht="51.75" customHeight="1" x14ac:dyDescent="0.25">
      <c r="A90" s="281">
        <v>10</v>
      </c>
      <c r="B90" s="281">
        <v>801</v>
      </c>
      <c r="C90" s="281">
        <v>80149</v>
      </c>
      <c r="D90" s="322" t="s">
        <v>315</v>
      </c>
      <c r="E90" s="288" t="s">
        <v>360</v>
      </c>
      <c r="F90" s="284">
        <f>5113118.41+55575.11-444408-100000+100000</f>
        <v>4724285.5200000005</v>
      </c>
    </row>
    <row r="91" spans="1:7" s="264" customFormat="1" ht="13.5" customHeight="1" x14ac:dyDescent="0.25">
      <c r="A91" s="334"/>
      <c r="C91" s="335"/>
      <c r="D91" s="340"/>
      <c r="E91" s="342" t="s">
        <v>330</v>
      </c>
      <c r="F91" s="343"/>
    </row>
    <row r="92" spans="1:7" s="264" customFormat="1" ht="13.5" customHeight="1" x14ac:dyDescent="0.25">
      <c r="A92" s="334"/>
      <c r="C92" s="335"/>
      <c r="D92" s="340"/>
      <c r="E92" s="342" t="s">
        <v>361</v>
      </c>
      <c r="F92" s="343"/>
    </row>
    <row r="93" spans="1:7" s="264" customFormat="1" ht="13.5" customHeight="1" x14ac:dyDescent="0.25">
      <c r="A93" s="334"/>
      <c r="C93" s="335"/>
      <c r="D93" s="340"/>
      <c r="E93" s="381" t="s">
        <v>321</v>
      </c>
      <c r="F93" s="338"/>
    </row>
    <row r="94" spans="1:7" s="264" customFormat="1" ht="13.5" customHeight="1" x14ac:dyDescent="0.25">
      <c r="A94" s="334"/>
      <c r="C94" s="335"/>
      <c r="D94" s="340"/>
      <c r="E94" s="358" t="s">
        <v>323</v>
      </c>
      <c r="F94" s="343"/>
    </row>
    <row r="95" spans="1:7" s="264" customFormat="1" ht="13.5" customHeight="1" x14ac:dyDescent="0.25">
      <c r="A95" s="334"/>
      <c r="C95" s="335"/>
      <c r="D95" s="340"/>
      <c r="E95" s="342" t="s">
        <v>362</v>
      </c>
      <c r="F95" s="343"/>
    </row>
    <row r="96" spans="1:7" s="264" customFormat="1" ht="13.5" customHeight="1" x14ac:dyDescent="0.25">
      <c r="A96" s="334"/>
      <c r="C96" s="335"/>
      <c r="D96" s="340"/>
      <c r="E96" s="342" t="s">
        <v>363</v>
      </c>
      <c r="F96" s="343"/>
    </row>
    <row r="97" spans="1:7" s="264" customFormat="1" ht="13.5" customHeight="1" x14ac:dyDescent="0.25">
      <c r="A97" s="334"/>
      <c r="C97" s="335"/>
      <c r="D97" s="340"/>
      <c r="E97" s="342" t="s">
        <v>331</v>
      </c>
      <c r="F97" s="343"/>
    </row>
    <row r="98" spans="1:7" s="264" customFormat="1" ht="13.5" customHeight="1" x14ac:dyDescent="0.25">
      <c r="A98" s="334"/>
      <c r="C98" s="335"/>
      <c r="D98" s="340"/>
      <c r="E98" s="342" t="s">
        <v>326</v>
      </c>
      <c r="F98" s="343"/>
    </row>
    <row r="99" spans="1:7" s="264" customFormat="1" ht="13.5" customHeight="1" x14ac:dyDescent="0.25">
      <c r="A99" s="334"/>
      <c r="C99" s="335"/>
      <c r="D99" s="336"/>
      <c r="E99" s="358" t="s">
        <v>322</v>
      </c>
      <c r="F99" s="343"/>
    </row>
    <row r="100" spans="1:7" s="264" customFormat="1" ht="13.5" customHeight="1" x14ac:dyDescent="0.25">
      <c r="A100" s="334"/>
      <c r="C100" s="335"/>
      <c r="D100" s="340"/>
      <c r="E100" s="358" t="s">
        <v>329</v>
      </c>
      <c r="F100" s="343"/>
    </row>
    <row r="101" spans="1:7" s="264" customFormat="1" ht="13.5" customHeight="1" x14ac:dyDescent="0.25">
      <c r="A101" s="334"/>
      <c r="C101" s="335"/>
      <c r="D101" s="340"/>
      <c r="E101" s="358" t="s">
        <v>325</v>
      </c>
      <c r="F101" s="343"/>
    </row>
    <row r="102" spans="1:7" s="264" customFormat="1" ht="13.5" customHeight="1" x14ac:dyDescent="0.25">
      <c r="A102" s="334"/>
      <c r="C102" s="335"/>
      <c r="D102" s="340"/>
      <c r="E102" s="381" t="s">
        <v>332</v>
      </c>
      <c r="F102" s="338"/>
    </row>
    <row r="103" spans="1:7" s="264" customFormat="1" ht="13.5" customHeight="1" x14ac:dyDescent="0.25">
      <c r="A103" s="334"/>
      <c r="C103" s="335"/>
      <c r="D103" s="340"/>
      <c r="E103" s="341" t="s">
        <v>334</v>
      </c>
      <c r="F103" s="338"/>
    </row>
    <row r="104" spans="1:7" s="264" customFormat="1" ht="13.5" customHeight="1" x14ac:dyDescent="0.25">
      <c r="A104" s="344"/>
      <c r="B104" s="345"/>
      <c r="C104" s="346"/>
      <c r="D104" s="347"/>
      <c r="E104" s="382" t="s">
        <v>333</v>
      </c>
      <c r="F104" s="349"/>
    </row>
    <row r="105" spans="1:7" ht="30" customHeight="1" x14ac:dyDescent="0.25">
      <c r="A105" s="277">
        <v>11</v>
      </c>
      <c r="B105" s="277">
        <v>801</v>
      </c>
      <c r="C105" s="277">
        <v>80150</v>
      </c>
      <c r="D105" s="375" t="s">
        <v>315</v>
      </c>
      <c r="E105" s="301" t="s">
        <v>364</v>
      </c>
      <c r="F105" s="284">
        <f>434541.03+548526.98+170000</f>
        <v>1153068.01</v>
      </c>
    </row>
    <row r="106" spans="1:7" s="264" customFormat="1" ht="13.5" customHeight="1" x14ac:dyDescent="0.25">
      <c r="A106" s="334"/>
      <c r="C106" s="335"/>
      <c r="D106" s="340"/>
      <c r="E106" s="371" t="s">
        <v>365</v>
      </c>
      <c r="F106" s="343"/>
    </row>
    <row r="107" spans="1:7" s="264" customFormat="1" ht="25.9" customHeight="1" x14ac:dyDescent="0.25">
      <c r="A107" s="334"/>
      <c r="C107" s="335"/>
      <c r="D107" s="340"/>
      <c r="E107" s="342" t="s">
        <v>319</v>
      </c>
      <c r="F107" s="343"/>
    </row>
    <row r="108" spans="1:7" s="264" customFormat="1" ht="14.25" customHeight="1" x14ac:dyDescent="0.25">
      <c r="A108" s="334"/>
      <c r="C108" s="335"/>
      <c r="D108" s="340"/>
      <c r="E108" s="341" t="s">
        <v>318</v>
      </c>
      <c r="F108" s="343"/>
    </row>
    <row r="109" spans="1:7" s="264" customFormat="1" ht="13.5" customHeight="1" x14ac:dyDescent="0.25">
      <c r="A109" s="334"/>
      <c r="C109" s="335"/>
      <c r="D109" s="340"/>
      <c r="E109" s="342" t="s">
        <v>316</v>
      </c>
      <c r="F109" s="343"/>
    </row>
    <row r="110" spans="1:7" s="264" customFormat="1" ht="13.5" customHeight="1" x14ac:dyDescent="0.25">
      <c r="A110" s="344"/>
      <c r="B110" s="345"/>
      <c r="C110" s="346"/>
      <c r="D110" s="347"/>
      <c r="E110" s="348" t="s">
        <v>317</v>
      </c>
      <c r="F110" s="349"/>
      <c r="G110" s="339"/>
    </row>
    <row r="111" spans="1:7" ht="13.5" customHeight="1" x14ac:dyDescent="0.25">
      <c r="A111" s="311">
        <v>12</v>
      </c>
      <c r="B111" s="311">
        <v>801</v>
      </c>
      <c r="C111" s="311">
        <v>80151</v>
      </c>
      <c r="D111" s="383">
        <v>2540</v>
      </c>
      <c r="E111" s="365" t="s">
        <v>366</v>
      </c>
      <c r="F111" s="314">
        <f>54992.29</f>
        <v>54992.29</v>
      </c>
    </row>
    <row r="112" spans="1:7" s="264" customFormat="1" ht="13.5" customHeight="1" x14ac:dyDescent="0.25">
      <c r="A112" s="353"/>
      <c r="B112" s="354"/>
      <c r="C112" s="355"/>
      <c r="D112" s="384"/>
      <c r="E112" s="370" t="s">
        <v>367</v>
      </c>
      <c r="F112" s="352"/>
    </row>
    <row r="113" spans="1:6" s="264" customFormat="1" ht="13.5" customHeight="1" x14ac:dyDescent="0.25">
      <c r="A113" s="344"/>
      <c r="B113" s="345"/>
      <c r="C113" s="346"/>
      <c r="D113" s="385"/>
      <c r="E113" s="360" t="s">
        <v>343</v>
      </c>
      <c r="F113" s="349"/>
    </row>
    <row r="114" spans="1:6" ht="78.75" customHeight="1" x14ac:dyDescent="0.25">
      <c r="A114" s="277">
        <v>13</v>
      </c>
      <c r="B114" s="277">
        <v>801</v>
      </c>
      <c r="C114" s="277">
        <v>80152</v>
      </c>
      <c r="D114" s="375" t="s">
        <v>315</v>
      </c>
      <c r="E114" s="288" t="s">
        <v>368</v>
      </c>
      <c r="F114" s="284">
        <f>944760.81+461079.88+180000</f>
        <v>1585840.69</v>
      </c>
    </row>
    <row r="115" spans="1:6" s="264" customFormat="1" ht="13.5" customHeight="1" x14ac:dyDescent="0.25">
      <c r="A115" s="334"/>
      <c r="C115" s="335"/>
      <c r="D115" s="340"/>
      <c r="E115" s="337" t="s">
        <v>348</v>
      </c>
      <c r="F115" s="338"/>
    </row>
    <row r="116" spans="1:6" s="264" customFormat="1" ht="13.5" customHeight="1" x14ac:dyDescent="0.25">
      <c r="A116" s="334"/>
      <c r="C116" s="335"/>
      <c r="D116" s="340"/>
      <c r="E116" s="358" t="s">
        <v>353</v>
      </c>
      <c r="F116" s="343"/>
    </row>
    <row r="117" spans="1:6" s="264" customFormat="1" ht="13.5" customHeight="1" x14ac:dyDescent="0.25">
      <c r="A117" s="334"/>
      <c r="C117" s="335"/>
      <c r="D117" s="336"/>
      <c r="E117" s="386" t="s">
        <v>337</v>
      </c>
      <c r="F117" s="338"/>
    </row>
    <row r="118" spans="1:6" s="264" customFormat="1" ht="22.9" customHeight="1" x14ac:dyDescent="0.25">
      <c r="A118" s="334"/>
      <c r="C118" s="335"/>
      <c r="D118" s="340"/>
      <c r="E118" s="342" t="s">
        <v>350</v>
      </c>
      <c r="F118" s="338"/>
    </row>
    <row r="119" spans="1:6" s="264" customFormat="1" ht="24.75" customHeight="1" x14ac:dyDescent="0.25">
      <c r="A119" s="334"/>
      <c r="C119" s="335"/>
      <c r="D119" s="340"/>
      <c r="E119" s="342" t="s">
        <v>351</v>
      </c>
      <c r="F119" s="343"/>
    </row>
    <row r="120" spans="1:6" s="264" customFormat="1" ht="13.5" customHeight="1" x14ac:dyDescent="0.25">
      <c r="A120" s="334"/>
      <c r="C120" s="335"/>
      <c r="D120" s="340"/>
      <c r="E120" s="358" t="s">
        <v>352</v>
      </c>
      <c r="F120" s="343"/>
    </row>
    <row r="121" spans="1:6" s="264" customFormat="1" ht="24" customHeight="1" x14ac:dyDescent="0.25">
      <c r="A121" s="344"/>
      <c r="B121" s="345"/>
      <c r="C121" s="346"/>
      <c r="D121" s="347"/>
      <c r="E121" s="348" t="s">
        <v>349</v>
      </c>
      <c r="F121" s="349"/>
    </row>
    <row r="122" spans="1:6" ht="15.75" customHeight="1" x14ac:dyDescent="0.25">
      <c r="A122" s="387">
        <v>14</v>
      </c>
      <c r="B122" s="387">
        <v>853</v>
      </c>
      <c r="C122" s="387">
        <v>85311</v>
      </c>
      <c r="D122" s="388">
        <v>2580</v>
      </c>
      <c r="E122" s="389" t="s">
        <v>369</v>
      </c>
      <c r="F122" s="289">
        <f>293325+27500</f>
        <v>320825</v>
      </c>
    </row>
    <row r="123" spans="1:6" s="264" customFormat="1" ht="13.5" customHeight="1" x14ac:dyDescent="0.25">
      <c r="A123" s="328"/>
      <c r="B123" s="329"/>
      <c r="C123" s="346"/>
      <c r="D123" s="390"/>
      <c r="E123" s="345" t="s">
        <v>370</v>
      </c>
      <c r="F123" s="349"/>
    </row>
    <row r="124" spans="1:6" ht="15.75" customHeight="1" x14ac:dyDescent="0.25">
      <c r="A124" s="311">
        <v>15</v>
      </c>
      <c r="B124" s="311">
        <v>854</v>
      </c>
      <c r="C124" s="391">
        <v>85402</v>
      </c>
      <c r="D124" s="388">
        <v>2540</v>
      </c>
      <c r="E124" s="392" t="s">
        <v>371</v>
      </c>
      <c r="F124" s="314">
        <f>1138913.09</f>
        <v>1138913.0900000001</v>
      </c>
    </row>
    <row r="125" spans="1:6" s="264" customFormat="1" ht="13.5" customHeight="1" x14ac:dyDescent="0.25">
      <c r="A125" s="328"/>
      <c r="B125" s="329"/>
      <c r="C125" s="330"/>
      <c r="D125" s="366"/>
      <c r="E125" s="393" t="s">
        <v>372</v>
      </c>
      <c r="F125" s="333"/>
    </row>
    <row r="126" spans="1:6" ht="25.5" customHeight="1" x14ac:dyDescent="0.25">
      <c r="A126" s="277">
        <v>16</v>
      </c>
      <c r="B126" s="277">
        <v>854</v>
      </c>
      <c r="C126" s="277">
        <v>85404</v>
      </c>
      <c r="D126" s="394" t="s">
        <v>315</v>
      </c>
      <c r="E126" s="369" t="s">
        <v>373</v>
      </c>
      <c r="F126" s="284">
        <f>1189786.53+20000</f>
        <v>1209786.53</v>
      </c>
    </row>
    <row r="127" spans="1:6" s="264" customFormat="1" ht="13.5" customHeight="1" x14ac:dyDescent="0.25">
      <c r="A127" s="334"/>
      <c r="C127" s="335"/>
      <c r="D127" s="340"/>
      <c r="E127" s="359" t="s">
        <v>332</v>
      </c>
      <c r="F127" s="338"/>
    </row>
    <row r="128" spans="1:6" s="264" customFormat="1" ht="13.5" customHeight="1" x14ac:dyDescent="0.25">
      <c r="A128" s="334"/>
      <c r="C128" s="335"/>
      <c r="D128" s="340"/>
      <c r="E128" s="395" t="s">
        <v>323</v>
      </c>
      <c r="F128" s="343"/>
    </row>
    <row r="129" spans="1:7" s="264" customFormat="1" ht="13.5" customHeight="1" x14ac:dyDescent="0.25">
      <c r="A129" s="334"/>
      <c r="C129" s="335"/>
      <c r="D129" s="340"/>
      <c r="E129" s="342" t="s">
        <v>361</v>
      </c>
      <c r="F129" s="343"/>
    </row>
    <row r="130" spans="1:7" s="264" customFormat="1" ht="13.5" customHeight="1" x14ac:dyDescent="0.25">
      <c r="A130" s="334"/>
      <c r="C130" s="335"/>
      <c r="D130" s="340"/>
      <c r="E130" s="342" t="s">
        <v>331</v>
      </c>
      <c r="F130" s="343"/>
    </row>
    <row r="131" spans="1:7" s="264" customFormat="1" ht="13.5" customHeight="1" x14ac:dyDescent="0.25">
      <c r="A131" s="334"/>
      <c r="C131" s="335"/>
      <c r="D131" s="340"/>
      <c r="E131" s="358" t="s">
        <v>327</v>
      </c>
      <c r="F131" s="343"/>
    </row>
    <row r="132" spans="1:7" s="264" customFormat="1" ht="13.5" customHeight="1" x14ac:dyDescent="0.25">
      <c r="A132" s="334"/>
      <c r="C132" s="335"/>
      <c r="D132" s="340"/>
      <c r="E132" s="342" t="s">
        <v>362</v>
      </c>
      <c r="F132" s="343"/>
    </row>
    <row r="133" spans="1:7" s="264" customFormat="1" ht="13.5" customHeight="1" x14ac:dyDescent="0.25">
      <c r="A133" s="334"/>
      <c r="C133" s="335"/>
      <c r="D133" s="340"/>
      <c r="E133" s="342" t="s">
        <v>326</v>
      </c>
      <c r="F133" s="343"/>
    </row>
    <row r="134" spans="1:7" s="264" customFormat="1" ht="13.5" customHeight="1" x14ac:dyDescent="0.25">
      <c r="A134" s="334"/>
      <c r="C134" s="335"/>
      <c r="D134" s="340"/>
      <c r="E134" s="381" t="s">
        <v>321</v>
      </c>
      <c r="F134" s="338"/>
    </row>
    <row r="135" spans="1:7" s="264" customFormat="1" ht="13.5" customHeight="1" x14ac:dyDescent="0.25">
      <c r="A135" s="344"/>
      <c r="B135" s="345"/>
      <c r="C135" s="346"/>
      <c r="D135" s="340"/>
      <c r="E135" s="341" t="s">
        <v>334</v>
      </c>
      <c r="F135" s="396"/>
    </row>
    <row r="136" spans="1:7" ht="25.5" customHeight="1" x14ac:dyDescent="0.25">
      <c r="A136" s="397">
        <v>17</v>
      </c>
      <c r="B136" s="397">
        <v>854</v>
      </c>
      <c r="C136" s="397">
        <v>85406</v>
      </c>
      <c r="D136" s="398">
        <v>2540</v>
      </c>
      <c r="E136" s="399" t="s">
        <v>374</v>
      </c>
      <c r="F136" s="284">
        <f>123905.02</f>
        <v>123905.02</v>
      </c>
    </row>
    <row r="137" spans="1:7" s="264" customFormat="1" ht="13.5" customHeight="1" x14ac:dyDescent="0.25">
      <c r="A137" s="353"/>
      <c r="B137" s="354"/>
      <c r="C137" s="355"/>
      <c r="D137" s="361"/>
      <c r="E137" s="400" t="s">
        <v>375</v>
      </c>
      <c r="F137" s="352"/>
    </row>
    <row r="138" spans="1:7" ht="14.25" customHeight="1" x14ac:dyDescent="0.25">
      <c r="A138" s="311">
        <v>18</v>
      </c>
      <c r="B138" s="311">
        <v>854</v>
      </c>
      <c r="C138" s="311">
        <v>85410</v>
      </c>
      <c r="D138" s="388">
        <v>2590</v>
      </c>
      <c r="E138" s="365" t="s">
        <v>376</v>
      </c>
      <c r="F138" s="314">
        <f>1565082.91</f>
        <v>1565082.91</v>
      </c>
    </row>
    <row r="139" spans="1:7" s="264" customFormat="1" ht="13.5" customHeight="1" x14ac:dyDescent="0.25">
      <c r="A139" s="328"/>
      <c r="B139" s="329"/>
      <c r="C139" s="330"/>
      <c r="D139" s="390"/>
      <c r="E139" s="345" t="s">
        <v>377</v>
      </c>
      <c r="F139" s="401"/>
    </row>
    <row r="140" spans="1:7" ht="14.25" customHeight="1" x14ac:dyDescent="0.25">
      <c r="A140" s="517"/>
      <c r="B140" s="518"/>
      <c r="C140" s="518"/>
      <c r="D140" s="276"/>
      <c r="E140" s="518" t="s">
        <v>312</v>
      </c>
      <c r="F140" s="314">
        <f>SUM(F37:F139)</f>
        <v>65563382.840000004</v>
      </c>
    </row>
    <row r="141" spans="1:7" ht="15.75" customHeight="1" x14ac:dyDescent="0.25">
      <c r="A141" s="402"/>
      <c r="B141" s="403"/>
      <c r="C141" s="403"/>
      <c r="D141" s="276"/>
      <c r="E141" s="403" t="s">
        <v>378</v>
      </c>
      <c r="F141" s="404">
        <f>SUM(F34,F140)</f>
        <v>95375355.760000005</v>
      </c>
    </row>
    <row r="143" spans="1:7" ht="12.6" customHeight="1" x14ac:dyDescent="0.25">
      <c r="A143" s="324"/>
      <c r="F143" s="287"/>
    </row>
    <row r="144" spans="1:7" x14ac:dyDescent="0.25">
      <c r="F144" s="287"/>
      <c r="G144" s="264"/>
    </row>
    <row r="145" spans="6:7" x14ac:dyDescent="0.25">
      <c r="F145" s="287"/>
      <c r="G145" s="264"/>
    </row>
    <row r="146" spans="6:7" x14ac:dyDescent="0.25">
      <c r="F146" s="287"/>
    </row>
    <row r="147" spans="6:7" x14ac:dyDescent="0.25">
      <c r="F147" s="287"/>
    </row>
    <row r="148" spans="6:7" x14ac:dyDescent="0.25">
      <c r="F148" s="287"/>
    </row>
    <row r="149" spans="6:7" x14ac:dyDescent="0.25">
      <c r="F149" s="287"/>
    </row>
    <row r="150" spans="6:7" x14ac:dyDescent="0.25">
      <c r="F150" s="287"/>
    </row>
  </sheetData>
  <pageMargins left="0.51181102362204722" right="0.51181102362204722" top="0.70866141732283472" bottom="0.74803149606299213" header="0.31496062992125984" footer="0.31496062992125984"/>
  <pageSetup paperSize="9" firstPageNumber="66" orientation="portrait" r:id="rId1"/>
  <headerFooter>
    <oddFooter>&amp;C&amp;"Arial Narrow,Normalny"&amp;8&amp;P</oddFooter>
  </headerFooter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9B25-1801-47F9-99F1-D94FCD1C7230}">
  <sheetPr>
    <tabColor rgb="FFFF0000"/>
  </sheetPr>
  <dimension ref="A1:G41"/>
  <sheetViews>
    <sheetView zoomScale="130" zoomScaleNormal="130" workbookViewId="0"/>
  </sheetViews>
  <sheetFormatPr defaultRowHeight="15" x14ac:dyDescent="0.25"/>
  <cols>
    <col min="1" max="1" width="4.42578125" style="521" customWidth="1"/>
    <col min="2" max="2" width="7.5703125" style="521" customWidth="1"/>
    <col min="3" max="3" width="50.85546875" style="521" customWidth="1"/>
    <col min="4" max="4" width="14.85546875" style="521" customWidth="1"/>
    <col min="5" max="5" width="14" style="521" customWidth="1"/>
    <col min="6" max="6" width="14.140625" style="521" customWidth="1"/>
    <col min="7" max="7" width="14.7109375" style="521" customWidth="1"/>
    <col min="8" max="256" width="9.140625" style="521"/>
    <col min="257" max="257" width="4.42578125" style="521" customWidth="1"/>
    <col min="258" max="258" width="7.5703125" style="521" customWidth="1"/>
    <col min="259" max="259" width="47.42578125" style="521" customWidth="1"/>
    <col min="260" max="260" width="14.85546875" style="521" customWidth="1"/>
    <col min="261" max="261" width="14" style="521" customWidth="1"/>
    <col min="262" max="262" width="14.140625" style="521" customWidth="1"/>
    <col min="263" max="263" width="14.7109375" style="521" customWidth="1"/>
    <col min="264" max="512" width="9.140625" style="521"/>
    <col min="513" max="513" width="4.42578125" style="521" customWidth="1"/>
    <col min="514" max="514" width="7.5703125" style="521" customWidth="1"/>
    <col min="515" max="515" width="47.42578125" style="521" customWidth="1"/>
    <col min="516" max="516" width="14.85546875" style="521" customWidth="1"/>
    <col min="517" max="517" width="14" style="521" customWidth="1"/>
    <col min="518" max="518" width="14.140625" style="521" customWidth="1"/>
    <col min="519" max="519" width="14.7109375" style="521" customWidth="1"/>
    <col min="520" max="768" width="9.140625" style="521"/>
    <col min="769" max="769" width="4.42578125" style="521" customWidth="1"/>
    <col min="770" max="770" width="7.5703125" style="521" customWidth="1"/>
    <col min="771" max="771" width="47.42578125" style="521" customWidth="1"/>
    <col min="772" max="772" width="14.85546875" style="521" customWidth="1"/>
    <col min="773" max="773" width="14" style="521" customWidth="1"/>
    <col min="774" max="774" width="14.140625" style="521" customWidth="1"/>
    <col min="775" max="775" width="14.7109375" style="521" customWidth="1"/>
    <col min="776" max="1024" width="9.140625" style="521"/>
    <col min="1025" max="1025" width="4.42578125" style="521" customWidth="1"/>
    <col min="1026" max="1026" width="7.5703125" style="521" customWidth="1"/>
    <col min="1027" max="1027" width="47.42578125" style="521" customWidth="1"/>
    <col min="1028" max="1028" width="14.85546875" style="521" customWidth="1"/>
    <col min="1029" max="1029" width="14" style="521" customWidth="1"/>
    <col min="1030" max="1030" width="14.140625" style="521" customWidth="1"/>
    <col min="1031" max="1031" width="14.7109375" style="521" customWidth="1"/>
    <col min="1032" max="1280" width="9.140625" style="521"/>
    <col min="1281" max="1281" width="4.42578125" style="521" customWidth="1"/>
    <col min="1282" max="1282" width="7.5703125" style="521" customWidth="1"/>
    <col min="1283" max="1283" width="47.42578125" style="521" customWidth="1"/>
    <col min="1284" max="1284" width="14.85546875" style="521" customWidth="1"/>
    <col min="1285" max="1285" width="14" style="521" customWidth="1"/>
    <col min="1286" max="1286" width="14.140625" style="521" customWidth="1"/>
    <col min="1287" max="1287" width="14.7109375" style="521" customWidth="1"/>
    <col min="1288" max="1536" width="9.140625" style="521"/>
    <col min="1537" max="1537" width="4.42578125" style="521" customWidth="1"/>
    <col min="1538" max="1538" width="7.5703125" style="521" customWidth="1"/>
    <col min="1539" max="1539" width="47.42578125" style="521" customWidth="1"/>
    <col min="1540" max="1540" width="14.85546875" style="521" customWidth="1"/>
    <col min="1541" max="1541" width="14" style="521" customWidth="1"/>
    <col min="1542" max="1542" width="14.140625" style="521" customWidth="1"/>
    <col min="1543" max="1543" width="14.7109375" style="521" customWidth="1"/>
    <col min="1544" max="1792" width="9.140625" style="521"/>
    <col min="1793" max="1793" width="4.42578125" style="521" customWidth="1"/>
    <col min="1794" max="1794" width="7.5703125" style="521" customWidth="1"/>
    <col min="1795" max="1795" width="47.42578125" style="521" customWidth="1"/>
    <col min="1796" max="1796" width="14.85546875" style="521" customWidth="1"/>
    <col min="1797" max="1797" width="14" style="521" customWidth="1"/>
    <col min="1798" max="1798" width="14.140625" style="521" customWidth="1"/>
    <col min="1799" max="1799" width="14.7109375" style="521" customWidth="1"/>
    <col min="1800" max="2048" width="9.140625" style="521"/>
    <col min="2049" max="2049" width="4.42578125" style="521" customWidth="1"/>
    <col min="2050" max="2050" width="7.5703125" style="521" customWidth="1"/>
    <col min="2051" max="2051" width="47.42578125" style="521" customWidth="1"/>
    <col min="2052" max="2052" width="14.85546875" style="521" customWidth="1"/>
    <col min="2053" max="2053" width="14" style="521" customWidth="1"/>
    <col min="2054" max="2054" width="14.140625" style="521" customWidth="1"/>
    <col min="2055" max="2055" width="14.7109375" style="521" customWidth="1"/>
    <col min="2056" max="2304" width="9.140625" style="521"/>
    <col min="2305" max="2305" width="4.42578125" style="521" customWidth="1"/>
    <col min="2306" max="2306" width="7.5703125" style="521" customWidth="1"/>
    <col min="2307" max="2307" width="47.42578125" style="521" customWidth="1"/>
    <col min="2308" max="2308" width="14.85546875" style="521" customWidth="1"/>
    <col min="2309" max="2309" width="14" style="521" customWidth="1"/>
    <col min="2310" max="2310" width="14.140625" style="521" customWidth="1"/>
    <col min="2311" max="2311" width="14.7109375" style="521" customWidth="1"/>
    <col min="2312" max="2560" width="9.140625" style="521"/>
    <col min="2561" max="2561" width="4.42578125" style="521" customWidth="1"/>
    <col min="2562" max="2562" width="7.5703125" style="521" customWidth="1"/>
    <col min="2563" max="2563" width="47.42578125" style="521" customWidth="1"/>
    <col min="2564" max="2564" width="14.85546875" style="521" customWidth="1"/>
    <col min="2565" max="2565" width="14" style="521" customWidth="1"/>
    <col min="2566" max="2566" width="14.140625" style="521" customWidth="1"/>
    <col min="2567" max="2567" width="14.7109375" style="521" customWidth="1"/>
    <col min="2568" max="2816" width="9.140625" style="521"/>
    <col min="2817" max="2817" width="4.42578125" style="521" customWidth="1"/>
    <col min="2818" max="2818" width="7.5703125" style="521" customWidth="1"/>
    <col min="2819" max="2819" width="47.42578125" style="521" customWidth="1"/>
    <col min="2820" max="2820" width="14.85546875" style="521" customWidth="1"/>
    <col min="2821" max="2821" width="14" style="521" customWidth="1"/>
    <col min="2822" max="2822" width="14.140625" style="521" customWidth="1"/>
    <col min="2823" max="2823" width="14.7109375" style="521" customWidth="1"/>
    <col min="2824" max="3072" width="9.140625" style="521"/>
    <col min="3073" max="3073" width="4.42578125" style="521" customWidth="1"/>
    <col min="3074" max="3074" width="7.5703125" style="521" customWidth="1"/>
    <col min="3075" max="3075" width="47.42578125" style="521" customWidth="1"/>
    <col min="3076" max="3076" width="14.85546875" style="521" customWidth="1"/>
    <col min="3077" max="3077" width="14" style="521" customWidth="1"/>
    <col min="3078" max="3078" width="14.140625" style="521" customWidth="1"/>
    <col min="3079" max="3079" width="14.7109375" style="521" customWidth="1"/>
    <col min="3080" max="3328" width="9.140625" style="521"/>
    <col min="3329" max="3329" width="4.42578125" style="521" customWidth="1"/>
    <col min="3330" max="3330" width="7.5703125" style="521" customWidth="1"/>
    <col min="3331" max="3331" width="47.42578125" style="521" customWidth="1"/>
    <col min="3332" max="3332" width="14.85546875" style="521" customWidth="1"/>
    <col min="3333" max="3333" width="14" style="521" customWidth="1"/>
    <col min="3334" max="3334" width="14.140625" style="521" customWidth="1"/>
    <col min="3335" max="3335" width="14.7109375" style="521" customWidth="1"/>
    <col min="3336" max="3584" width="9.140625" style="521"/>
    <col min="3585" max="3585" width="4.42578125" style="521" customWidth="1"/>
    <col min="3586" max="3586" width="7.5703125" style="521" customWidth="1"/>
    <col min="3587" max="3587" width="47.42578125" style="521" customWidth="1"/>
    <col min="3588" max="3588" width="14.85546875" style="521" customWidth="1"/>
    <col min="3589" max="3589" width="14" style="521" customWidth="1"/>
    <col min="3590" max="3590" width="14.140625" style="521" customWidth="1"/>
    <col min="3591" max="3591" width="14.7109375" style="521" customWidth="1"/>
    <col min="3592" max="3840" width="9.140625" style="521"/>
    <col min="3841" max="3841" width="4.42578125" style="521" customWidth="1"/>
    <col min="3842" max="3842" width="7.5703125" style="521" customWidth="1"/>
    <col min="3843" max="3843" width="47.42578125" style="521" customWidth="1"/>
    <col min="3844" max="3844" width="14.85546875" style="521" customWidth="1"/>
    <col min="3845" max="3845" width="14" style="521" customWidth="1"/>
    <col min="3846" max="3846" width="14.140625" style="521" customWidth="1"/>
    <col min="3847" max="3847" width="14.7109375" style="521" customWidth="1"/>
    <col min="3848" max="4096" width="9.140625" style="521"/>
    <col min="4097" max="4097" width="4.42578125" style="521" customWidth="1"/>
    <col min="4098" max="4098" width="7.5703125" style="521" customWidth="1"/>
    <col min="4099" max="4099" width="47.42578125" style="521" customWidth="1"/>
    <col min="4100" max="4100" width="14.85546875" style="521" customWidth="1"/>
    <col min="4101" max="4101" width="14" style="521" customWidth="1"/>
    <col min="4102" max="4102" width="14.140625" style="521" customWidth="1"/>
    <col min="4103" max="4103" width="14.7109375" style="521" customWidth="1"/>
    <col min="4104" max="4352" width="9.140625" style="521"/>
    <col min="4353" max="4353" width="4.42578125" style="521" customWidth="1"/>
    <col min="4354" max="4354" width="7.5703125" style="521" customWidth="1"/>
    <col min="4355" max="4355" width="47.42578125" style="521" customWidth="1"/>
    <col min="4356" max="4356" width="14.85546875" style="521" customWidth="1"/>
    <col min="4357" max="4357" width="14" style="521" customWidth="1"/>
    <col min="4358" max="4358" width="14.140625" style="521" customWidth="1"/>
    <col min="4359" max="4359" width="14.7109375" style="521" customWidth="1"/>
    <col min="4360" max="4608" width="9.140625" style="521"/>
    <col min="4609" max="4609" width="4.42578125" style="521" customWidth="1"/>
    <col min="4610" max="4610" width="7.5703125" style="521" customWidth="1"/>
    <col min="4611" max="4611" width="47.42578125" style="521" customWidth="1"/>
    <col min="4612" max="4612" width="14.85546875" style="521" customWidth="1"/>
    <col min="4613" max="4613" width="14" style="521" customWidth="1"/>
    <col min="4614" max="4614" width="14.140625" style="521" customWidth="1"/>
    <col min="4615" max="4615" width="14.7109375" style="521" customWidth="1"/>
    <col min="4616" max="4864" width="9.140625" style="521"/>
    <col min="4865" max="4865" width="4.42578125" style="521" customWidth="1"/>
    <col min="4866" max="4866" width="7.5703125" style="521" customWidth="1"/>
    <col min="4867" max="4867" width="47.42578125" style="521" customWidth="1"/>
    <col min="4868" max="4868" width="14.85546875" style="521" customWidth="1"/>
    <col min="4869" max="4869" width="14" style="521" customWidth="1"/>
    <col min="4870" max="4870" width="14.140625" style="521" customWidth="1"/>
    <col min="4871" max="4871" width="14.7109375" style="521" customWidth="1"/>
    <col min="4872" max="5120" width="9.140625" style="521"/>
    <col min="5121" max="5121" width="4.42578125" style="521" customWidth="1"/>
    <col min="5122" max="5122" width="7.5703125" style="521" customWidth="1"/>
    <col min="5123" max="5123" width="47.42578125" style="521" customWidth="1"/>
    <col min="5124" max="5124" width="14.85546875" style="521" customWidth="1"/>
    <col min="5125" max="5125" width="14" style="521" customWidth="1"/>
    <col min="5126" max="5126" width="14.140625" style="521" customWidth="1"/>
    <col min="5127" max="5127" width="14.7109375" style="521" customWidth="1"/>
    <col min="5128" max="5376" width="9.140625" style="521"/>
    <col min="5377" max="5377" width="4.42578125" style="521" customWidth="1"/>
    <col min="5378" max="5378" width="7.5703125" style="521" customWidth="1"/>
    <col min="5379" max="5379" width="47.42578125" style="521" customWidth="1"/>
    <col min="5380" max="5380" width="14.85546875" style="521" customWidth="1"/>
    <col min="5381" max="5381" width="14" style="521" customWidth="1"/>
    <col min="5382" max="5382" width="14.140625" style="521" customWidth="1"/>
    <col min="5383" max="5383" width="14.7109375" style="521" customWidth="1"/>
    <col min="5384" max="5632" width="9.140625" style="521"/>
    <col min="5633" max="5633" width="4.42578125" style="521" customWidth="1"/>
    <col min="5634" max="5634" width="7.5703125" style="521" customWidth="1"/>
    <col min="5635" max="5635" width="47.42578125" style="521" customWidth="1"/>
    <col min="5636" max="5636" width="14.85546875" style="521" customWidth="1"/>
    <col min="5637" max="5637" width="14" style="521" customWidth="1"/>
    <col min="5638" max="5638" width="14.140625" style="521" customWidth="1"/>
    <col min="5639" max="5639" width="14.7109375" style="521" customWidth="1"/>
    <col min="5640" max="5888" width="9.140625" style="521"/>
    <col min="5889" max="5889" width="4.42578125" style="521" customWidth="1"/>
    <col min="5890" max="5890" width="7.5703125" style="521" customWidth="1"/>
    <col min="5891" max="5891" width="47.42578125" style="521" customWidth="1"/>
    <col min="5892" max="5892" width="14.85546875" style="521" customWidth="1"/>
    <col min="5893" max="5893" width="14" style="521" customWidth="1"/>
    <col min="5894" max="5894" width="14.140625" style="521" customWidth="1"/>
    <col min="5895" max="5895" width="14.7109375" style="521" customWidth="1"/>
    <col min="5896" max="6144" width="9.140625" style="521"/>
    <col min="6145" max="6145" width="4.42578125" style="521" customWidth="1"/>
    <col min="6146" max="6146" width="7.5703125" style="521" customWidth="1"/>
    <col min="6147" max="6147" width="47.42578125" style="521" customWidth="1"/>
    <col min="6148" max="6148" width="14.85546875" style="521" customWidth="1"/>
    <col min="6149" max="6149" width="14" style="521" customWidth="1"/>
    <col min="6150" max="6150" width="14.140625" style="521" customWidth="1"/>
    <col min="6151" max="6151" width="14.7109375" style="521" customWidth="1"/>
    <col min="6152" max="6400" width="9.140625" style="521"/>
    <col min="6401" max="6401" width="4.42578125" style="521" customWidth="1"/>
    <col min="6402" max="6402" width="7.5703125" style="521" customWidth="1"/>
    <col min="6403" max="6403" width="47.42578125" style="521" customWidth="1"/>
    <col min="6404" max="6404" width="14.85546875" style="521" customWidth="1"/>
    <col min="6405" max="6405" width="14" style="521" customWidth="1"/>
    <col min="6406" max="6406" width="14.140625" style="521" customWidth="1"/>
    <col min="6407" max="6407" width="14.7109375" style="521" customWidth="1"/>
    <col min="6408" max="6656" width="9.140625" style="521"/>
    <col min="6657" max="6657" width="4.42578125" style="521" customWidth="1"/>
    <col min="6658" max="6658" width="7.5703125" style="521" customWidth="1"/>
    <col min="6659" max="6659" width="47.42578125" style="521" customWidth="1"/>
    <col min="6660" max="6660" width="14.85546875" style="521" customWidth="1"/>
    <col min="6661" max="6661" width="14" style="521" customWidth="1"/>
    <col min="6662" max="6662" width="14.140625" style="521" customWidth="1"/>
    <col min="6663" max="6663" width="14.7109375" style="521" customWidth="1"/>
    <col min="6664" max="6912" width="9.140625" style="521"/>
    <col min="6913" max="6913" width="4.42578125" style="521" customWidth="1"/>
    <col min="6914" max="6914" width="7.5703125" style="521" customWidth="1"/>
    <col min="6915" max="6915" width="47.42578125" style="521" customWidth="1"/>
    <col min="6916" max="6916" width="14.85546875" style="521" customWidth="1"/>
    <col min="6917" max="6917" width="14" style="521" customWidth="1"/>
    <col min="6918" max="6918" width="14.140625" style="521" customWidth="1"/>
    <col min="6919" max="6919" width="14.7109375" style="521" customWidth="1"/>
    <col min="6920" max="7168" width="9.140625" style="521"/>
    <col min="7169" max="7169" width="4.42578125" style="521" customWidth="1"/>
    <col min="7170" max="7170" width="7.5703125" style="521" customWidth="1"/>
    <col min="7171" max="7171" width="47.42578125" style="521" customWidth="1"/>
    <col min="7172" max="7172" width="14.85546875" style="521" customWidth="1"/>
    <col min="7173" max="7173" width="14" style="521" customWidth="1"/>
    <col min="7174" max="7174" width="14.140625" style="521" customWidth="1"/>
    <col min="7175" max="7175" width="14.7109375" style="521" customWidth="1"/>
    <col min="7176" max="7424" width="9.140625" style="521"/>
    <col min="7425" max="7425" width="4.42578125" style="521" customWidth="1"/>
    <col min="7426" max="7426" width="7.5703125" style="521" customWidth="1"/>
    <col min="7427" max="7427" width="47.42578125" style="521" customWidth="1"/>
    <col min="7428" max="7428" width="14.85546875" style="521" customWidth="1"/>
    <col min="7429" max="7429" width="14" style="521" customWidth="1"/>
    <col min="7430" max="7430" width="14.140625" style="521" customWidth="1"/>
    <col min="7431" max="7431" width="14.7109375" style="521" customWidth="1"/>
    <col min="7432" max="7680" width="9.140625" style="521"/>
    <col min="7681" max="7681" width="4.42578125" style="521" customWidth="1"/>
    <col min="7682" max="7682" width="7.5703125" style="521" customWidth="1"/>
    <col min="7683" max="7683" width="47.42578125" style="521" customWidth="1"/>
    <col min="7684" max="7684" width="14.85546875" style="521" customWidth="1"/>
    <col min="7685" max="7685" width="14" style="521" customWidth="1"/>
    <col min="7686" max="7686" width="14.140625" style="521" customWidth="1"/>
    <col min="7687" max="7687" width="14.7109375" style="521" customWidth="1"/>
    <col min="7688" max="7936" width="9.140625" style="521"/>
    <col min="7937" max="7937" width="4.42578125" style="521" customWidth="1"/>
    <col min="7938" max="7938" width="7.5703125" style="521" customWidth="1"/>
    <col min="7939" max="7939" width="47.42578125" style="521" customWidth="1"/>
    <col min="7940" max="7940" width="14.85546875" style="521" customWidth="1"/>
    <col min="7941" max="7941" width="14" style="521" customWidth="1"/>
    <col min="7942" max="7942" width="14.140625" style="521" customWidth="1"/>
    <col min="7943" max="7943" width="14.7109375" style="521" customWidth="1"/>
    <col min="7944" max="8192" width="9.140625" style="521"/>
    <col min="8193" max="8193" width="4.42578125" style="521" customWidth="1"/>
    <col min="8194" max="8194" width="7.5703125" style="521" customWidth="1"/>
    <col min="8195" max="8195" width="47.42578125" style="521" customWidth="1"/>
    <col min="8196" max="8196" width="14.85546875" style="521" customWidth="1"/>
    <col min="8197" max="8197" width="14" style="521" customWidth="1"/>
    <col min="8198" max="8198" width="14.140625" style="521" customWidth="1"/>
    <col min="8199" max="8199" width="14.7109375" style="521" customWidth="1"/>
    <col min="8200" max="8448" width="9.140625" style="521"/>
    <col min="8449" max="8449" width="4.42578125" style="521" customWidth="1"/>
    <col min="8450" max="8450" width="7.5703125" style="521" customWidth="1"/>
    <col min="8451" max="8451" width="47.42578125" style="521" customWidth="1"/>
    <col min="8452" max="8452" width="14.85546875" style="521" customWidth="1"/>
    <col min="8453" max="8453" width="14" style="521" customWidth="1"/>
    <col min="8454" max="8454" width="14.140625" style="521" customWidth="1"/>
    <col min="8455" max="8455" width="14.7109375" style="521" customWidth="1"/>
    <col min="8456" max="8704" width="9.140625" style="521"/>
    <col min="8705" max="8705" width="4.42578125" style="521" customWidth="1"/>
    <col min="8706" max="8706" width="7.5703125" style="521" customWidth="1"/>
    <col min="8707" max="8707" width="47.42578125" style="521" customWidth="1"/>
    <col min="8708" max="8708" width="14.85546875" style="521" customWidth="1"/>
    <col min="8709" max="8709" width="14" style="521" customWidth="1"/>
    <col min="8710" max="8710" width="14.140625" style="521" customWidth="1"/>
    <col min="8711" max="8711" width="14.7109375" style="521" customWidth="1"/>
    <col min="8712" max="8960" width="9.140625" style="521"/>
    <col min="8961" max="8961" width="4.42578125" style="521" customWidth="1"/>
    <col min="8962" max="8962" width="7.5703125" style="521" customWidth="1"/>
    <col min="8963" max="8963" width="47.42578125" style="521" customWidth="1"/>
    <col min="8964" max="8964" width="14.85546875" style="521" customWidth="1"/>
    <col min="8965" max="8965" width="14" style="521" customWidth="1"/>
    <col min="8966" max="8966" width="14.140625" style="521" customWidth="1"/>
    <col min="8967" max="8967" width="14.7109375" style="521" customWidth="1"/>
    <col min="8968" max="9216" width="9.140625" style="521"/>
    <col min="9217" max="9217" width="4.42578125" style="521" customWidth="1"/>
    <col min="9218" max="9218" width="7.5703125" style="521" customWidth="1"/>
    <col min="9219" max="9219" width="47.42578125" style="521" customWidth="1"/>
    <col min="9220" max="9220" width="14.85546875" style="521" customWidth="1"/>
    <col min="9221" max="9221" width="14" style="521" customWidth="1"/>
    <col min="9222" max="9222" width="14.140625" style="521" customWidth="1"/>
    <col min="9223" max="9223" width="14.7109375" style="521" customWidth="1"/>
    <col min="9224" max="9472" width="9.140625" style="521"/>
    <col min="9473" max="9473" width="4.42578125" style="521" customWidth="1"/>
    <col min="9474" max="9474" width="7.5703125" style="521" customWidth="1"/>
    <col min="9475" max="9475" width="47.42578125" style="521" customWidth="1"/>
    <col min="9476" max="9476" width="14.85546875" style="521" customWidth="1"/>
    <col min="9477" max="9477" width="14" style="521" customWidth="1"/>
    <col min="9478" max="9478" width="14.140625" style="521" customWidth="1"/>
    <col min="9479" max="9479" width="14.7109375" style="521" customWidth="1"/>
    <col min="9480" max="9728" width="9.140625" style="521"/>
    <col min="9729" max="9729" width="4.42578125" style="521" customWidth="1"/>
    <col min="9730" max="9730" width="7.5703125" style="521" customWidth="1"/>
    <col min="9731" max="9731" width="47.42578125" style="521" customWidth="1"/>
    <col min="9732" max="9732" width="14.85546875" style="521" customWidth="1"/>
    <col min="9733" max="9733" width="14" style="521" customWidth="1"/>
    <col min="9734" max="9734" width="14.140625" style="521" customWidth="1"/>
    <col min="9735" max="9735" width="14.7109375" style="521" customWidth="1"/>
    <col min="9736" max="9984" width="9.140625" style="521"/>
    <col min="9985" max="9985" width="4.42578125" style="521" customWidth="1"/>
    <col min="9986" max="9986" width="7.5703125" style="521" customWidth="1"/>
    <col min="9987" max="9987" width="47.42578125" style="521" customWidth="1"/>
    <col min="9988" max="9988" width="14.85546875" style="521" customWidth="1"/>
    <col min="9989" max="9989" width="14" style="521" customWidth="1"/>
    <col min="9990" max="9990" width="14.140625" style="521" customWidth="1"/>
    <col min="9991" max="9991" width="14.7109375" style="521" customWidth="1"/>
    <col min="9992" max="10240" width="9.140625" style="521"/>
    <col min="10241" max="10241" width="4.42578125" style="521" customWidth="1"/>
    <col min="10242" max="10242" width="7.5703125" style="521" customWidth="1"/>
    <col min="10243" max="10243" width="47.42578125" style="521" customWidth="1"/>
    <col min="10244" max="10244" width="14.85546875" style="521" customWidth="1"/>
    <col min="10245" max="10245" width="14" style="521" customWidth="1"/>
    <col min="10246" max="10246" width="14.140625" style="521" customWidth="1"/>
    <col min="10247" max="10247" width="14.7109375" style="521" customWidth="1"/>
    <col min="10248" max="10496" width="9.140625" style="521"/>
    <col min="10497" max="10497" width="4.42578125" style="521" customWidth="1"/>
    <col min="10498" max="10498" width="7.5703125" style="521" customWidth="1"/>
    <col min="10499" max="10499" width="47.42578125" style="521" customWidth="1"/>
    <col min="10500" max="10500" width="14.85546875" style="521" customWidth="1"/>
    <col min="10501" max="10501" width="14" style="521" customWidth="1"/>
    <col min="10502" max="10502" width="14.140625" style="521" customWidth="1"/>
    <col min="10503" max="10503" width="14.7109375" style="521" customWidth="1"/>
    <col min="10504" max="10752" width="9.140625" style="521"/>
    <col min="10753" max="10753" width="4.42578125" style="521" customWidth="1"/>
    <col min="10754" max="10754" width="7.5703125" style="521" customWidth="1"/>
    <col min="10755" max="10755" width="47.42578125" style="521" customWidth="1"/>
    <col min="10756" max="10756" width="14.85546875" style="521" customWidth="1"/>
    <col min="10757" max="10757" width="14" style="521" customWidth="1"/>
    <col min="10758" max="10758" width="14.140625" style="521" customWidth="1"/>
    <col min="10759" max="10759" width="14.7109375" style="521" customWidth="1"/>
    <col min="10760" max="11008" width="9.140625" style="521"/>
    <col min="11009" max="11009" width="4.42578125" style="521" customWidth="1"/>
    <col min="11010" max="11010" width="7.5703125" style="521" customWidth="1"/>
    <col min="11011" max="11011" width="47.42578125" style="521" customWidth="1"/>
    <col min="11012" max="11012" width="14.85546875" style="521" customWidth="1"/>
    <col min="11013" max="11013" width="14" style="521" customWidth="1"/>
    <col min="11014" max="11014" width="14.140625" style="521" customWidth="1"/>
    <col min="11015" max="11015" width="14.7109375" style="521" customWidth="1"/>
    <col min="11016" max="11264" width="9.140625" style="521"/>
    <col min="11265" max="11265" width="4.42578125" style="521" customWidth="1"/>
    <col min="11266" max="11266" width="7.5703125" style="521" customWidth="1"/>
    <col min="11267" max="11267" width="47.42578125" style="521" customWidth="1"/>
    <col min="11268" max="11268" width="14.85546875" style="521" customWidth="1"/>
    <col min="11269" max="11269" width="14" style="521" customWidth="1"/>
    <col min="11270" max="11270" width="14.140625" style="521" customWidth="1"/>
    <col min="11271" max="11271" width="14.7109375" style="521" customWidth="1"/>
    <col min="11272" max="11520" width="9.140625" style="521"/>
    <col min="11521" max="11521" width="4.42578125" style="521" customWidth="1"/>
    <col min="11522" max="11522" width="7.5703125" style="521" customWidth="1"/>
    <col min="11523" max="11523" width="47.42578125" style="521" customWidth="1"/>
    <col min="11524" max="11524" width="14.85546875" style="521" customWidth="1"/>
    <col min="11525" max="11525" width="14" style="521" customWidth="1"/>
    <col min="11526" max="11526" width="14.140625" style="521" customWidth="1"/>
    <col min="11527" max="11527" width="14.7109375" style="521" customWidth="1"/>
    <col min="11528" max="11776" width="9.140625" style="521"/>
    <col min="11777" max="11777" width="4.42578125" style="521" customWidth="1"/>
    <col min="11778" max="11778" width="7.5703125" style="521" customWidth="1"/>
    <col min="11779" max="11779" width="47.42578125" style="521" customWidth="1"/>
    <col min="11780" max="11780" width="14.85546875" style="521" customWidth="1"/>
    <col min="11781" max="11781" width="14" style="521" customWidth="1"/>
    <col min="11782" max="11782" width="14.140625" style="521" customWidth="1"/>
    <col min="11783" max="11783" width="14.7109375" style="521" customWidth="1"/>
    <col min="11784" max="12032" width="9.140625" style="521"/>
    <col min="12033" max="12033" width="4.42578125" style="521" customWidth="1"/>
    <col min="12034" max="12034" width="7.5703125" style="521" customWidth="1"/>
    <col min="12035" max="12035" width="47.42578125" style="521" customWidth="1"/>
    <col min="12036" max="12036" width="14.85546875" style="521" customWidth="1"/>
    <col min="12037" max="12037" width="14" style="521" customWidth="1"/>
    <col min="12038" max="12038" width="14.140625" style="521" customWidth="1"/>
    <col min="12039" max="12039" width="14.7109375" style="521" customWidth="1"/>
    <col min="12040" max="12288" width="9.140625" style="521"/>
    <col min="12289" max="12289" width="4.42578125" style="521" customWidth="1"/>
    <col min="12290" max="12290" width="7.5703125" style="521" customWidth="1"/>
    <col min="12291" max="12291" width="47.42578125" style="521" customWidth="1"/>
    <col min="12292" max="12292" width="14.85546875" style="521" customWidth="1"/>
    <col min="12293" max="12293" width="14" style="521" customWidth="1"/>
    <col min="12294" max="12294" width="14.140625" style="521" customWidth="1"/>
    <col min="12295" max="12295" width="14.7109375" style="521" customWidth="1"/>
    <col min="12296" max="12544" width="9.140625" style="521"/>
    <col min="12545" max="12545" width="4.42578125" style="521" customWidth="1"/>
    <col min="12546" max="12546" width="7.5703125" style="521" customWidth="1"/>
    <col min="12547" max="12547" width="47.42578125" style="521" customWidth="1"/>
    <col min="12548" max="12548" width="14.85546875" style="521" customWidth="1"/>
    <col min="12549" max="12549" width="14" style="521" customWidth="1"/>
    <col min="12550" max="12550" width="14.140625" style="521" customWidth="1"/>
    <col min="12551" max="12551" width="14.7109375" style="521" customWidth="1"/>
    <col min="12552" max="12800" width="9.140625" style="521"/>
    <col min="12801" max="12801" width="4.42578125" style="521" customWidth="1"/>
    <col min="12802" max="12802" width="7.5703125" style="521" customWidth="1"/>
    <col min="12803" max="12803" width="47.42578125" style="521" customWidth="1"/>
    <col min="12804" max="12804" width="14.85546875" style="521" customWidth="1"/>
    <col min="12805" max="12805" width="14" style="521" customWidth="1"/>
    <col min="12806" max="12806" width="14.140625" style="521" customWidth="1"/>
    <col min="12807" max="12807" width="14.7109375" style="521" customWidth="1"/>
    <col min="12808" max="13056" width="9.140625" style="521"/>
    <col min="13057" max="13057" width="4.42578125" style="521" customWidth="1"/>
    <col min="13058" max="13058" width="7.5703125" style="521" customWidth="1"/>
    <col min="13059" max="13059" width="47.42578125" style="521" customWidth="1"/>
    <col min="13060" max="13060" width="14.85546875" style="521" customWidth="1"/>
    <col min="13061" max="13061" width="14" style="521" customWidth="1"/>
    <col min="13062" max="13062" width="14.140625" style="521" customWidth="1"/>
    <col min="13063" max="13063" width="14.7109375" style="521" customWidth="1"/>
    <col min="13064" max="13312" width="9.140625" style="521"/>
    <col min="13313" max="13313" width="4.42578125" style="521" customWidth="1"/>
    <col min="13314" max="13314" width="7.5703125" style="521" customWidth="1"/>
    <col min="13315" max="13315" width="47.42578125" style="521" customWidth="1"/>
    <col min="13316" max="13316" width="14.85546875" style="521" customWidth="1"/>
    <col min="13317" max="13317" width="14" style="521" customWidth="1"/>
    <col min="13318" max="13318" width="14.140625" style="521" customWidth="1"/>
    <col min="13319" max="13319" width="14.7109375" style="521" customWidth="1"/>
    <col min="13320" max="13568" width="9.140625" style="521"/>
    <col min="13569" max="13569" width="4.42578125" style="521" customWidth="1"/>
    <col min="13570" max="13570" width="7.5703125" style="521" customWidth="1"/>
    <col min="13571" max="13571" width="47.42578125" style="521" customWidth="1"/>
    <col min="13572" max="13572" width="14.85546875" style="521" customWidth="1"/>
    <col min="13573" max="13573" width="14" style="521" customWidth="1"/>
    <col min="13574" max="13574" width="14.140625" style="521" customWidth="1"/>
    <col min="13575" max="13575" width="14.7109375" style="521" customWidth="1"/>
    <col min="13576" max="13824" width="9.140625" style="521"/>
    <col min="13825" max="13825" width="4.42578125" style="521" customWidth="1"/>
    <col min="13826" max="13826" width="7.5703125" style="521" customWidth="1"/>
    <col min="13827" max="13827" width="47.42578125" style="521" customWidth="1"/>
    <col min="13828" max="13828" width="14.85546875" style="521" customWidth="1"/>
    <col min="13829" max="13829" width="14" style="521" customWidth="1"/>
    <col min="13830" max="13830" width="14.140625" style="521" customWidth="1"/>
    <col min="13831" max="13831" width="14.7109375" style="521" customWidth="1"/>
    <col min="13832" max="14080" width="9.140625" style="521"/>
    <col min="14081" max="14081" width="4.42578125" style="521" customWidth="1"/>
    <col min="14082" max="14082" width="7.5703125" style="521" customWidth="1"/>
    <col min="14083" max="14083" width="47.42578125" style="521" customWidth="1"/>
    <col min="14084" max="14084" width="14.85546875" style="521" customWidth="1"/>
    <col min="14085" max="14085" width="14" style="521" customWidth="1"/>
    <col min="14086" max="14086" width="14.140625" style="521" customWidth="1"/>
    <col min="14087" max="14087" width="14.7109375" style="521" customWidth="1"/>
    <col min="14088" max="14336" width="9.140625" style="521"/>
    <col min="14337" max="14337" width="4.42578125" style="521" customWidth="1"/>
    <col min="14338" max="14338" width="7.5703125" style="521" customWidth="1"/>
    <col min="14339" max="14339" width="47.42578125" style="521" customWidth="1"/>
    <col min="14340" max="14340" width="14.85546875" style="521" customWidth="1"/>
    <col min="14341" max="14341" width="14" style="521" customWidth="1"/>
    <col min="14342" max="14342" width="14.140625" style="521" customWidth="1"/>
    <col min="14343" max="14343" width="14.7109375" style="521" customWidth="1"/>
    <col min="14344" max="14592" width="9.140625" style="521"/>
    <col min="14593" max="14593" width="4.42578125" style="521" customWidth="1"/>
    <col min="14594" max="14594" width="7.5703125" style="521" customWidth="1"/>
    <col min="14595" max="14595" width="47.42578125" style="521" customWidth="1"/>
    <col min="14596" max="14596" width="14.85546875" style="521" customWidth="1"/>
    <col min="14597" max="14597" width="14" style="521" customWidth="1"/>
    <col min="14598" max="14598" width="14.140625" style="521" customWidth="1"/>
    <col min="14599" max="14599" width="14.7109375" style="521" customWidth="1"/>
    <col min="14600" max="14848" width="9.140625" style="521"/>
    <col min="14849" max="14849" width="4.42578125" style="521" customWidth="1"/>
    <col min="14850" max="14850" width="7.5703125" style="521" customWidth="1"/>
    <col min="14851" max="14851" width="47.42578125" style="521" customWidth="1"/>
    <col min="14852" max="14852" width="14.85546875" style="521" customWidth="1"/>
    <col min="14853" max="14853" width="14" style="521" customWidth="1"/>
    <col min="14854" max="14854" width="14.140625" style="521" customWidth="1"/>
    <col min="14855" max="14855" width="14.7109375" style="521" customWidth="1"/>
    <col min="14856" max="15104" width="9.140625" style="521"/>
    <col min="15105" max="15105" width="4.42578125" style="521" customWidth="1"/>
    <col min="15106" max="15106" width="7.5703125" style="521" customWidth="1"/>
    <col min="15107" max="15107" width="47.42578125" style="521" customWidth="1"/>
    <col min="15108" max="15108" width="14.85546875" style="521" customWidth="1"/>
    <col min="15109" max="15109" width="14" style="521" customWidth="1"/>
    <col min="15110" max="15110" width="14.140625" style="521" customWidth="1"/>
    <col min="15111" max="15111" width="14.7109375" style="521" customWidth="1"/>
    <col min="15112" max="15360" width="9.140625" style="521"/>
    <col min="15361" max="15361" width="4.42578125" style="521" customWidth="1"/>
    <col min="15362" max="15362" width="7.5703125" style="521" customWidth="1"/>
    <col min="15363" max="15363" width="47.42578125" style="521" customWidth="1"/>
    <col min="15364" max="15364" width="14.85546875" style="521" customWidth="1"/>
    <col min="15365" max="15365" width="14" style="521" customWidth="1"/>
    <col min="15366" max="15366" width="14.140625" style="521" customWidth="1"/>
    <col min="15367" max="15367" width="14.7109375" style="521" customWidth="1"/>
    <col min="15368" max="15616" width="9.140625" style="521"/>
    <col min="15617" max="15617" width="4.42578125" style="521" customWidth="1"/>
    <col min="15618" max="15618" width="7.5703125" style="521" customWidth="1"/>
    <col min="15619" max="15619" width="47.42578125" style="521" customWidth="1"/>
    <col min="15620" max="15620" width="14.85546875" style="521" customWidth="1"/>
    <col min="15621" max="15621" width="14" style="521" customWidth="1"/>
    <col min="15622" max="15622" width="14.140625" style="521" customWidth="1"/>
    <col min="15623" max="15623" width="14.7109375" style="521" customWidth="1"/>
    <col min="15624" max="15872" width="9.140625" style="521"/>
    <col min="15873" max="15873" width="4.42578125" style="521" customWidth="1"/>
    <col min="15874" max="15874" width="7.5703125" style="521" customWidth="1"/>
    <col min="15875" max="15875" width="47.42578125" style="521" customWidth="1"/>
    <col min="15876" max="15876" width="14.85546875" style="521" customWidth="1"/>
    <col min="15877" max="15877" width="14" style="521" customWidth="1"/>
    <col min="15878" max="15878" width="14.140625" style="521" customWidth="1"/>
    <col min="15879" max="15879" width="14.7109375" style="521" customWidth="1"/>
    <col min="15880" max="16128" width="9.140625" style="521"/>
    <col min="16129" max="16129" width="4.42578125" style="521" customWidth="1"/>
    <col min="16130" max="16130" width="7.5703125" style="521" customWidth="1"/>
    <col min="16131" max="16131" width="47.42578125" style="521" customWidth="1"/>
    <col min="16132" max="16132" width="14.85546875" style="521" customWidth="1"/>
    <col min="16133" max="16133" width="14" style="521" customWidth="1"/>
    <col min="16134" max="16134" width="14.140625" style="521" customWidth="1"/>
    <col min="16135" max="16135" width="14.7109375" style="521" customWidth="1"/>
    <col min="16136" max="16384" width="9.140625" style="521"/>
  </cols>
  <sheetData>
    <row r="1" spans="1:7" s="24" customFormat="1" ht="12.75" x14ac:dyDescent="0.25">
      <c r="F1" s="9" t="s">
        <v>379</v>
      </c>
    </row>
    <row r="2" spans="1:7" s="24" customFormat="1" ht="12.75" x14ac:dyDescent="0.25">
      <c r="F2" s="7" t="s">
        <v>223</v>
      </c>
    </row>
    <row r="3" spans="1:7" s="24" customFormat="1" ht="12.75" x14ac:dyDescent="0.25">
      <c r="F3" s="7" t="s">
        <v>1</v>
      </c>
    </row>
    <row r="4" spans="1:7" s="24" customFormat="1" ht="12.75" x14ac:dyDescent="0.25">
      <c r="F4" s="7" t="s">
        <v>224</v>
      </c>
    </row>
    <row r="5" spans="1:7" s="405" customFormat="1" ht="25.5" customHeight="1" x14ac:dyDescent="0.2">
      <c r="A5" s="528" t="s">
        <v>380</v>
      </c>
      <c r="B5" s="528"/>
      <c r="C5" s="528"/>
      <c r="D5" s="528"/>
      <c r="E5" s="528"/>
      <c r="F5" s="528"/>
      <c r="G5" s="528"/>
    </row>
    <row r="6" spans="1:7" s="405" customFormat="1" ht="12" x14ac:dyDescent="0.2">
      <c r="A6" s="406" t="s">
        <v>381</v>
      </c>
      <c r="B6" s="406"/>
      <c r="C6" s="406"/>
      <c r="D6" s="406"/>
      <c r="E6" s="406"/>
      <c r="F6" s="406"/>
      <c r="G6" s="406"/>
    </row>
    <row r="7" spans="1:7" s="407" customFormat="1" ht="12" x14ac:dyDescent="0.2">
      <c r="A7" s="529" t="s">
        <v>382</v>
      </c>
      <c r="B7" s="529"/>
      <c r="C7" s="529"/>
      <c r="D7" s="529"/>
      <c r="E7" s="529"/>
      <c r="F7" s="529"/>
      <c r="G7" s="529"/>
    </row>
    <row r="8" spans="1:7" x14ac:dyDescent="0.25">
      <c r="A8" s="519"/>
      <c r="B8" s="519"/>
      <c r="C8" s="520"/>
      <c r="D8" s="519"/>
      <c r="E8" s="519"/>
      <c r="F8" s="519"/>
      <c r="G8" s="408"/>
    </row>
    <row r="9" spans="1:7" x14ac:dyDescent="0.25">
      <c r="A9" s="530" t="s">
        <v>14</v>
      </c>
      <c r="B9" s="409"/>
      <c r="C9" s="530" t="s">
        <v>383</v>
      </c>
      <c r="D9" s="533" t="s">
        <v>384</v>
      </c>
      <c r="E9" s="410"/>
      <c r="F9" s="411"/>
      <c r="G9" s="533" t="s">
        <v>385</v>
      </c>
    </row>
    <row r="10" spans="1:7" ht="9.75" customHeight="1" x14ac:dyDescent="0.25">
      <c r="A10" s="531"/>
      <c r="B10" s="412" t="s">
        <v>4</v>
      </c>
      <c r="C10" s="531"/>
      <c r="D10" s="534"/>
      <c r="E10" s="534" t="s">
        <v>386</v>
      </c>
      <c r="F10" s="534" t="s">
        <v>387</v>
      </c>
      <c r="G10" s="534"/>
    </row>
    <row r="11" spans="1:7" ht="3.75" customHeight="1" x14ac:dyDescent="0.25">
      <c r="A11" s="531"/>
      <c r="B11" s="413"/>
      <c r="C11" s="531"/>
      <c r="D11" s="534"/>
      <c r="E11" s="534"/>
      <c r="F11" s="534"/>
      <c r="G11" s="534"/>
    </row>
    <row r="12" spans="1:7" ht="13.5" customHeight="1" x14ac:dyDescent="0.25">
      <c r="A12" s="532"/>
      <c r="B12" s="413" t="s">
        <v>5</v>
      </c>
      <c r="C12" s="532"/>
      <c r="D12" s="535"/>
      <c r="E12" s="535"/>
      <c r="F12" s="535"/>
      <c r="G12" s="535"/>
    </row>
    <row r="13" spans="1:7" x14ac:dyDescent="0.25">
      <c r="A13" s="414">
        <v>1</v>
      </c>
      <c r="B13" s="414">
        <v>2</v>
      </c>
      <c r="C13" s="414">
        <v>3</v>
      </c>
      <c r="D13" s="414">
        <v>4</v>
      </c>
      <c r="E13" s="414">
        <v>5</v>
      </c>
      <c r="F13" s="414">
        <v>6</v>
      </c>
      <c r="G13" s="414">
        <v>7</v>
      </c>
    </row>
    <row r="14" spans="1:7" s="519" customFormat="1" ht="12" customHeight="1" x14ac:dyDescent="0.25">
      <c r="A14" s="415"/>
      <c r="B14" s="416">
        <v>801</v>
      </c>
      <c r="C14" s="522"/>
      <c r="D14" s="417"/>
      <c r="E14" s="417"/>
      <c r="F14" s="417"/>
      <c r="G14" s="417"/>
    </row>
    <row r="15" spans="1:7" ht="12" customHeight="1" x14ac:dyDescent="0.25">
      <c r="A15" s="418" t="s">
        <v>388</v>
      </c>
      <c r="B15" s="419">
        <v>80101</v>
      </c>
      <c r="C15" s="420" t="s">
        <v>106</v>
      </c>
      <c r="D15" s="421">
        <v>333</v>
      </c>
      <c r="E15" s="421">
        <v>834922.84</v>
      </c>
      <c r="F15" s="421">
        <v>835255.84</v>
      </c>
      <c r="G15" s="421">
        <v>0</v>
      </c>
    </row>
    <row r="16" spans="1:7" ht="12" customHeight="1" x14ac:dyDescent="0.25">
      <c r="A16" s="418" t="s">
        <v>389</v>
      </c>
      <c r="B16" s="419">
        <v>80104</v>
      </c>
      <c r="C16" s="422" t="s">
        <v>126</v>
      </c>
      <c r="D16" s="423">
        <v>2644.19</v>
      </c>
      <c r="E16" s="423">
        <v>5578632</v>
      </c>
      <c r="F16" s="423">
        <v>5581276.1900000004</v>
      </c>
      <c r="G16" s="423">
        <v>0</v>
      </c>
    </row>
    <row r="17" spans="1:7" ht="12" customHeight="1" x14ac:dyDescent="0.25">
      <c r="A17" s="424" t="s">
        <v>390</v>
      </c>
      <c r="B17" s="425">
        <v>80148</v>
      </c>
      <c r="C17" s="426" t="s">
        <v>132</v>
      </c>
      <c r="D17" s="427">
        <v>215.62</v>
      </c>
      <c r="E17" s="427">
        <v>3299009</v>
      </c>
      <c r="F17" s="427">
        <v>3299224.62</v>
      </c>
      <c r="G17" s="427">
        <v>0</v>
      </c>
    </row>
    <row r="18" spans="1:7" ht="12" customHeight="1" x14ac:dyDescent="0.25">
      <c r="A18" s="428"/>
      <c r="B18" s="429">
        <v>854</v>
      </c>
      <c r="C18" s="430"/>
      <c r="D18" s="431"/>
      <c r="E18" s="431"/>
      <c r="F18" s="431"/>
      <c r="G18" s="427"/>
    </row>
    <row r="19" spans="1:7" ht="23.25" customHeight="1" x14ac:dyDescent="0.25">
      <c r="A19" s="432" t="s">
        <v>388</v>
      </c>
      <c r="B19" s="433">
        <v>85412</v>
      </c>
      <c r="C19" s="434" t="s">
        <v>391</v>
      </c>
      <c r="D19" s="435">
        <v>0</v>
      </c>
      <c r="E19" s="435">
        <v>7500</v>
      </c>
      <c r="F19" s="435">
        <v>7500</v>
      </c>
      <c r="G19" s="436">
        <v>0</v>
      </c>
    </row>
    <row r="20" spans="1:7" x14ac:dyDescent="0.25">
      <c r="A20" s="437"/>
      <c r="B20" s="438"/>
      <c r="C20" s="523" t="s">
        <v>392</v>
      </c>
      <c r="D20" s="524">
        <f>SUM(D15:D17)+D19</f>
        <v>3192.81</v>
      </c>
      <c r="E20" s="524">
        <f t="shared" ref="E20:G20" si="0">SUM(E15:E17)+E19</f>
        <v>9720063.8399999999</v>
      </c>
      <c r="F20" s="524">
        <f t="shared" si="0"/>
        <v>9723256.6500000004</v>
      </c>
      <c r="G20" s="525">
        <f t="shared" si="0"/>
        <v>0</v>
      </c>
    </row>
    <row r="21" spans="1:7" ht="9" customHeight="1" x14ac:dyDescent="0.25">
      <c r="A21" s="165"/>
      <c r="B21" s="439"/>
      <c r="C21" s="440"/>
      <c r="D21" s="441"/>
      <c r="E21" s="441"/>
      <c r="F21" s="441"/>
      <c r="G21" s="441"/>
    </row>
    <row r="22" spans="1:7" x14ac:dyDescent="0.25">
      <c r="A22" s="429"/>
      <c r="B22" s="429">
        <v>801</v>
      </c>
      <c r="C22" s="526"/>
      <c r="D22" s="442"/>
      <c r="E22" s="442"/>
      <c r="F22" s="442"/>
      <c r="G22" s="442"/>
    </row>
    <row r="23" spans="1:7" ht="12" customHeight="1" x14ac:dyDescent="0.25">
      <c r="A23" s="443" t="s">
        <v>388</v>
      </c>
      <c r="B23" s="444">
        <v>80102</v>
      </c>
      <c r="C23" s="420" t="s">
        <v>193</v>
      </c>
      <c r="D23" s="421">
        <v>5.54</v>
      </c>
      <c r="E23" s="421">
        <v>14400</v>
      </c>
      <c r="F23" s="421">
        <v>14405.54</v>
      </c>
      <c r="G23" s="421">
        <v>0</v>
      </c>
    </row>
    <row r="24" spans="1:7" ht="12" customHeight="1" x14ac:dyDescent="0.25">
      <c r="A24" s="418" t="s">
        <v>389</v>
      </c>
      <c r="B24" s="419">
        <v>80115</v>
      </c>
      <c r="C24" s="422" t="s">
        <v>194</v>
      </c>
      <c r="D24" s="423">
        <v>373.99</v>
      </c>
      <c r="E24" s="423">
        <v>1134651</v>
      </c>
      <c r="F24" s="423">
        <v>1135024.99</v>
      </c>
      <c r="G24" s="423">
        <v>0</v>
      </c>
    </row>
    <row r="25" spans="1:7" ht="12" customHeight="1" x14ac:dyDescent="0.25">
      <c r="A25" s="418" t="s">
        <v>390</v>
      </c>
      <c r="B25" s="419">
        <v>80120</v>
      </c>
      <c r="C25" s="422" t="s">
        <v>61</v>
      </c>
      <c r="D25" s="445">
        <v>305.43</v>
      </c>
      <c r="E25" s="423">
        <v>278650</v>
      </c>
      <c r="F25" s="423">
        <v>278955.43</v>
      </c>
      <c r="G25" s="423">
        <v>0</v>
      </c>
    </row>
    <row r="26" spans="1:7" ht="12" customHeight="1" x14ac:dyDescent="0.25">
      <c r="A26" s="418" t="s">
        <v>393</v>
      </c>
      <c r="B26" s="419">
        <v>80132</v>
      </c>
      <c r="C26" s="422" t="s">
        <v>394</v>
      </c>
      <c r="D26" s="423">
        <v>0</v>
      </c>
      <c r="E26" s="423">
        <v>97791</v>
      </c>
      <c r="F26" s="423">
        <v>97791</v>
      </c>
      <c r="G26" s="446">
        <v>0</v>
      </c>
    </row>
    <row r="27" spans="1:7" ht="12" customHeight="1" x14ac:dyDescent="0.25">
      <c r="A27" s="447" t="s">
        <v>395</v>
      </c>
      <c r="B27" s="433">
        <v>80140</v>
      </c>
      <c r="C27" s="448" t="s">
        <v>396</v>
      </c>
      <c r="D27" s="449">
        <v>0</v>
      </c>
      <c r="E27" s="449">
        <v>172386</v>
      </c>
      <c r="F27" s="449">
        <v>172386</v>
      </c>
      <c r="G27" s="449">
        <v>0</v>
      </c>
    </row>
    <row r="28" spans="1:7" ht="12" customHeight="1" x14ac:dyDescent="0.25">
      <c r="A28" s="418" t="s">
        <v>397</v>
      </c>
      <c r="B28" s="433">
        <v>80142</v>
      </c>
      <c r="C28" s="448" t="s">
        <v>398</v>
      </c>
      <c r="D28" s="423">
        <v>0</v>
      </c>
      <c r="E28" s="423">
        <v>319147</v>
      </c>
      <c r="F28" s="423">
        <v>319147</v>
      </c>
      <c r="G28" s="423">
        <v>0</v>
      </c>
    </row>
    <row r="29" spans="1:7" ht="12" customHeight="1" x14ac:dyDescent="0.25">
      <c r="A29" s="418" t="s">
        <v>399</v>
      </c>
      <c r="B29" s="433">
        <v>80144</v>
      </c>
      <c r="C29" s="448" t="s">
        <v>400</v>
      </c>
      <c r="D29" s="423">
        <v>0</v>
      </c>
      <c r="E29" s="423">
        <v>114800</v>
      </c>
      <c r="F29" s="423">
        <v>114800</v>
      </c>
      <c r="G29" s="423">
        <v>0</v>
      </c>
    </row>
    <row r="30" spans="1:7" ht="12" customHeight="1" x14ac:dyDescent="0.25">
      <c r="A30" s="424" t="s">
        <v>401</v>
      </c>
      <c r="B30" s="425">
        <v>80148</v>
      </c>
      <c r="C30" s="426" t="s">
        <v>132</v>
      </c>
      <c r="D30" s="427">
        <v>0</v>
      </c>
      <c r="E30" s="427">
        <v>220315</v>
      </c>
      <c r="F30" s="427">
        <v>220315</v>
      </c>
      <c r="G30" s="427">
        <v>0</v>
      </c>
    </row>
    <row r="31" spans="1:7" ht="14.25" customHeight="1" x14ac:dyDescent="0.25">
      <c r="A31" s="450"/>
      <c r="B31" s="429">
        <v>854</v>
      </c>
      <c r="C31" s="451"/>
      <c r="D31" s="452"/>
      <c r="E31" s="452"/>
      <c r="F31" s="452"/>
      <c r="G31" s="452"/>
    </row>
    <row r="32" spans="1:7" ht="14.25" customHeight="1" x14ac:dyDescent="0.25">
      <c r="A32" s="433" t="s">
        <v>388</v>
      </c>
      <c r="B32" s="447">
        <v>85406</v>
      </c>
      <c r="C32" s="434" t="s">
        <v>402</v>
      </c>
      <c r="D32" s="449">
        <v>0</v>
      </c>
      <c r="E32" s="449">
        <v>4960</v>
      </c>
      <c r="F32" s="449">
        <v>4960</v>
      </c>
      <c r="G32" s="449">
        <v>0</v>
      </c>
    </row>
    <row r="33" spans="1:7" ht="12" customHeight="1" x14ac:dyDescent="0.25">
      <c r="A33" s="433" t="s">
        <v>389</v>
      </c>
      <c r="B33" s="419">
        <v>85410</v>
      </c>
      <c r="C33" s="422" t="s">
        <v>376</v>
      </c>
      <c r="D33" s="423">
        <v>318.79000000000002</v>
      </c>
      <c r="E33" s="423">
        <v>662650</v>
      </c>
      <c r="F33" s="423">
        <v>662968.79</v>
      </c>
      <c r="G33" s="423">
        <v>0</v>
      </c>
    </row>
    <row r="34" spans="1:7" ht="22.5" customHeight="1" x14ac:dyDescent="0.25">
      <c r="A34" s="433" t="s">
        <v>390</v>
      </c>
      <c r="B34" s="433">
        <v>85412</v>
      </c>
      <c r="C34" s="434" t="s">
        <v>391</v>
      </c>
      <c r="D34" s="449">
        <v>0</v>
      </c>
      <c r="E34" s="449">
        <v>1300</v>
      </c>
      <c r="F34" s="449">
        <v>1300</v>
      </c>
      <c r="G34" s="449">
        <v>0</v>
      </c>
    </row>
    <row r="35" spans="1:7" ht="12" customHeight="1" x14ac:dyDescent="0.25">
      <c r="A35" s="433" t="s">
        <v>393</v>
      </c>
      <c r="B35" s="419">
        <v>85417</v>
      </c>
      <c r="C35" s="434" t="s">
        <v>403</v>
      </c>
      <c r="D35" s="423">
        <v>0</v>
      </c>
      <c r="E35" s="423">
        <v>153400</v>
      </c>
      <c r="F35" s="423">
        <v>153400</v>
      </c>
      <c r="G35" s="423">
        <v>0</v>
      </c>
    </row>
    <row r="36" spans="1:7" ht="12" customHeight="1" x14ac:dyDescent="0.25">
      <c r="A36" s="425" t="s">
        <v>395</v>
      </c>
      <c r="B36" s="453">
        <v>85420</v>
      </c>
      <c r="C36" s="426" t="s">
        <v>404</v>
      </c>
      <c r="D36" s="454">
        <v>0</v>
      </c>
      <c r="E36" s="454">
        <v>37310.01</v>
      </c>
      <c r="F36" s="454">
        <v>37310.01</v>
      </c>
      <c r="G36" s="455">
        <v>0</v>
      </c>
    </row>
    <row r="37" spans="1:7" ht="12" customHeight="1" x14ac:dyDescent="0.25">
      <c r="A37" s="456"/>
      <c r="B37" s="453"/>
      <c r="C37" s="523" t="s">
        <v>405</v>
      </c>
      <c r="D37" s="527">
        <f>SUM(D23:D36)</f>
        <v>1003.75</v>
      </c>
      <c r="E37" s="527">
        <f t="shared" ref="E37:G37" si="1">SUM(E23:E36)</f>
        <v>3211760.01</v>
      </c>
      <c r="F37" s="527">
        <f t="shared" si="1"/>
        <v>3212763.76</v>
      </c>
      <c r="G37" s="527">
        <f t="shared" si="1"/>
        <v>0</v>
      </c>
    </row>
    <row r="38" spans="1:7" ht="12" customHeight="1" x14ac:dyDescent="0.25">
      <c r="A38" s="457"/>
      <c r="B38" s="458"/>
      <c r="C38" s="523" t="s">
        <v>406</v>
      </c>
      <c r="D38" s="525">
        <f>D20+D37</f>
        <v>4196.5599999999995</v>
      </c>
      <c r="E38" s="525">
        <f>E20+E37</f>
        <v>12931823.85</v>
      </c>
      <c r="F38" s="525">
        <f t="shared" ref="F38:G38" si="2">F20+F37</f>
        <v>12936020.41</v>
      </c>
      <c r="G38" s="525">
        <f t="shared" si="2"/>
        <v>0</v>
      </c>
    </row>
    <row r="39" spans="1:7" x14ac:dyDescent="0.25">
      <c r="A39" s="139"/>
      <c r="B39" s="139"/>
      <c r="C39" s="459"/>
    </row>
    <row r="40" spans="1:7" x14ac:dyDescent="0.25">
      <c r="A40" s="139"/>
      <c r="B40" s="139"/>
      <c r="C40" s="459"/>
    </row>
    <row r="41" spans="1:7" x14ac:dyDescent="0.25">
      <c r="A41" s="139"/>
      <c r="B41" s="139"/>
      <c r="C41" s="459"/>
    </row>
  </sheetData>
  <mergeCells count="8">
    <mergeCell ref="A5:G5"/>
    <mergeCell ref="A7:G7"/>
    <mergeCell ref="A9:A12"/>
    <mergeCell ref="C9:C12"/>
    <mergeCell ref="D9:D12"/>
    <mergeCell ref="G9:G12"/>
    <mergeCell ref="E10:E12"/>
    <mergeCell ref="F10:F12"/>
  </mergeCells>
  <pageMargins left="0.70866141732283472" right="0.70866141732283472" top="0.55118110236220474" bottom="0.55118110236220474" header="0.31496062992125984" footer="0.31496062992125984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Zał.Nr1</vt:lpstr>
      <vt:lpstr>Zał.Nr2</vt:lpstr>
      <vt:lpstr>Zał.Nr3</vt:lpstr>
      <vt:lpstr>Zał.Nr4</vt:lpstr>
      <vt:lpstr>Zał.Nr5</vt:lpstr>
      <vt:lpstr>Zał.Nr1!Obszar_wydruku</vt:lpstr>
      <vt:lpstr>Zał.Nr2!Obszar_wydruku</vt:lpstr>
      <vt:lpstr>Zał.Nr3!Obszar_wydruku</vt:lpstr>
      <vt:lpstr>Zał.Nr1!Tytuły_wydruku</vt:lpstr>
      <vt:lpstr>Zał.Nr2!Tytuły_wydruku</vt:lpstr>
      <vt:lpstr>Zał.Nr4!Tytuły_wydruku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Renata Ciechurska</cp:lastModifiedBy>
  <cp:lastPrinted>2026-06-01T11:31:34Z</cp:lastPrinted>
  <dcterms:created xsi:type="dcterms:W3CDTF">2015-06-05T18:19:34Z</dcterms:created>
  <dcterms:modified xsi:type="dcterms:W3CDTF">2026-06-01T12:02:59Z</dcterms:modified>
</cp:coreProperties>
</file>