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ciechurska\Desktop\"/>
    </mc:Choice>
  </mc:AlternateContent>
  <xr:revisionPtr revIDLastSave="0" documentId="8_{4CB2F159-AF19-49CA-903D-F5F2E7E152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Zał.Nr1" sheetId="11" r:id="rId1"/>
    <sheet name="Zał.Nr2" sheetId="12" r:id="rId2"/>
    <sheet name="Zał.Nr3" sheetId="13" r:id="rId3"/>
    <sheet name="Zał.Nr4" sheetId="14" r:id="rId4"/>
    <sheet name="Zał.Nr5" sheetId="10" r:id="rId5"/>
  </sheets>
  <definedNames>
    <definedName name="_xlnm._FilterDatabase" localSheetId="0" hidden="1">Zał.Nr1!$A$38:$H$216</definedName>
    <definedName name="_xlnm.Print_Area" localSheetId="0">Zał.Nr1!$A$1:$H$436</definedName>
    <definedName name="_xlnm.Print_Area" localSheetId="1">Zał.Nr2!$A$1:$I$47</definedName>
    <definedName name="_xlnm.Print_Titles" localSheetId="0">Zał.Nr1!$7:$9</definedName>
    <definedName name="_xlnm.Print_Titles" localSheetId="2">Zał.Nr3!$10:$11</definedName>
    <definedName name="_xlnm.Print_Titles" localSheetId="3">Zał.Nr4!$37:$37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9" i="14" l="1"/>
  <c r="F137" i="14"/>
  <c r="F127" i="14"/>
  <c r="F125" i="14"/>
  <c r="F123" i="14"/>
  <c r="F115" i="14"/>
  <c r="F112" i="14"/>
  <c r="F106" i="14"/>
  <c r="F91" i="14"/>
  <c r="F84" i="14"/>
  <c r="F79" i="14"/>
  <c r="F76" i="14"/>
  <c r="F65" i="14"/>
  <c r="F63" i="14"/>
  <c r="F61" i="14"/>
  <c r="F46" i="14"/>
  <c r="F44" i="14"/>
  <c r="F38" i="14"/>
  <c r="F141" i="14" s="1"/>
  <c r="F34" i="14"/>
  <c r="F32" i="14"/>
  <c r="F31" i="14"/>
  <c r="F28" i="14"/>
  <c r="F27" i="14"/>
  <c r="F26" i="14"/>
  <c r="F25" i="14"/>
  <c r="F24" i="14"/>
  <c r="F23" i="14" s="1"/>
  <c r="F35" i="14" s="1"/>
  <c r="F142" i="14" s="1"/>
  <c r="F22" i="14"/>
  <c r="F20" i="14"/>
  <c r="F19" i="14"/>
  <c r="F18" i="14"/>
  <c r="F17" i="14"/>
  <c r="F16" i="14"/>
  <c r="F15" i="14"/>
  <c r="F14" i="14"/>
  <c r="F13" i="14"/>
  <c r="F12" i="14"/>
  <c r="F11" i="14"/>
  <c r="F46" i="13"/>
  <c r="F45" i="13"/>
  <c r="F44" i="13"/>
  <c r="F43" i="13" s="1"/>
  <c r="F42" i="13"/>
  <c r="F41" i="13"/>
  <c r="F40" i="13"/>
  <c r="F39" i="13" s="1"/>
  <c r="F38" i="13"/>
  <c r="F37" i="13"/>
  <c r="F47" i="13" s="1"/>
  <c r="F33" i="13"/>
  <c r="F31" i="13"/>
  <c r="F29" i="13"/>
  <c r="F27" i="13"/>
  <c r="F26" i="13"/>
  <c r="F25" i="13"/>
  <c r="F23" i="13"/>
  <c r="F21" i="13"/>
  <c r="F19" i="13"/>
  <c r="F17" i="13"/>
  <c r="F16" i="13"/>
  <c r="F35" i="13" s="1"/>
  <c r="F48" i="13" l="1"/>
  <c r="H435" i="11" l="1"/>
  <c r="H434" i="11"/>
  <c r="H433" i="11"/>
  <c r="H432" i="11"/>
  <c r="G431" i="11"/>
  <c r="F431" i="11"/>
  <c r="F430" i="11" s="1"/>
  <c r="F429" i="11" s="1"/>
  <c r="H427" i="11"/>
  <c r="H426" i="11"/>
  <c r="H425" i="11"/>
  <c r="H424" i="11"/>
  <c r="G423" i="11"/>
  <c r="F423" i="11"/>
  <c r="G422" i="11"/>
  <c r="H421" i="11"/>
  <c r="H420" i="11"/>
  <c r="H419" i="11"/>
  <c r="G418" i="11"/>
  <c r="F418" i="11"/>
  <c r="H418" i="11" s="1"/>
  <c r="H417" i="11"/>
  <c r="G416" i="11"/>
  <c r="F416" i="11"/>
  <c r="F415" i="11"/>
  <c r="H413" i="11"/>
  <c r="H412" i="11"/>
  <c r="G411" i="11"/>
  <c r="G410" i="11" s="1"/>
  <c r="G409" i="11" s="1"/>
  <c r="F411" i="11"/>
  <c r="F410" i="11" s="1"/>
  <c r="F409" i="11" s="1"/>
  <c r="H407" i="11"/>
  <c r="H406" i="11"/>
  <c r="H405" i="11"/>
  <c r="H404" i="11"/>
  <c r="H403" i="11"/>
  <c r="H402" i="11"/>
  <c r="G401" i="11"/>
  <c r="G400" i="11" s="1"/>
  <c r="F401" i="11"/>
  <c r="H401" i="11" s="1"/>
  <c r="H398" i="11"/>
  <c r="H397" i="11"/>
  <c r="H396" i="11"/>
  <c r="H395" i="11"/>
  <c r="H394" i="11"/>
  <c r="G393" i="11"/>
  <c r="F393" i="11"/>
  <c r="G392" i="11"/>
  <c r="G391" i="11"/>
  <c r="H390" i="11"/>
  <c r="H389" i="11"/>
  <c r="H388" i="11"/>
  <c r="H387" i="11"/>
  <c r="H386" i="11"/>
  <c r="H385" i="11"/>
  <c r="H384" i="11"/>
  <c r="H383" i="11"/>
  <c r="G382" i="11"/>
  <c r="F382" i="11"/>
  <c r="H382" i="11" s="1"/>
  <c r="H381" i="11"/>
  <c r="H380" i="11"/>
  <c r="H379" i="11"/>
  <c r="H378" i="11"/>
  <c r="H377" i="11"/>
  <c r="H376" i="11"/>
  <c r="H375" i="11"/>
  <c r="H374" i="11"/>
  <c r="H373" i="11"/>
  <c r="H372" i="11"/>
  <c r="H371" i="11"/>
  <c r="H370" i="11"/>
  <c r="H369" i="11"/>
  <c r="H368" i="11"/>
  <c r="H367" i="11"/>
  <c r="H366" i="11"/>
  <c r="G365" i="11"/>
  <c r="F365" i="11"/>
  <c r="H365" i="11" s="1"/>
  <c r="F364" i="11"/>
  <c r="H364" i="11" s="1"/>
  <c r="F363" i="11"/>
  <c r="H363" i="11" s="1"/>
  <c r="H362" i="11"/>
  <c r="F362" i="11"/>
  <c r="F361" i="11"/>
  <c r="H361" i="11" s="1"/>
  <c r="F360" i="11"/>
  <c r="H360" i="11" s="1"/>
  <c r="F359" i="11"/>
  <c r="H359" i="11" s="1"/>
  <c r="H358" i="11"/>
  <c r="F358" i="11"/>
  <c r="F357" i="11"/>
  <c r="G356" i="11"/>
  <c r="H355" i="11"/>
  <c r="H354" i="11"/>
  <c r="H353" i="11"/>
  <c r="G352" i="11"/>
  <c r="F352" i="11"/>
  <c r="H351" i="11"/>
  <c r="H350" i="11"/>
  <c r="G349" i="11"/>
  <c r="F349" i="11"/>
  <c r="H349" i="11" s="1"/>
  <c r="H348" i="11"/>
  <c r="H347" i="11"/>
  <c r="H346" i="11"/>
  <c r="H345" i="11"/>
  <c r="H344" i="11"/>
  <c r="H343" i="11"/>
  <c r="H342" i="11"/>
  <c r="H341" i="11"/>
  <c r="G340" i="11"/>
  <c r="F340" i="11"/>
  <c r="H339" i="11"/>
  <c r="G338" i="11"/>
  <c r="F338" i="11"/>
  <c r="H338" i="11" s="1"/>
  <c r="H337" i="11"/>
  <c r="H336" i="11"/>
  <c r="H335" i="11"/>
  <c r="H334" i="11"/>
  <c r="G333" i="11"/>
  <c r="F333" i="11"/>
  <c r="H331" i="11"/>
  <c r="H330" i="11"/>
  <c r="G329" i="11"/>
  <c r="F329" i="11"/>
  <c r="G328" i="11"/>
  <c r="H320" i="11"/>
  <c r="H319" i="11"/>
  <c r="G318" i="11"/>
  <c r="F318" i="11"/>
  <c r="G317" i="11"/>
  <c r="H316" i="11"/>
  <c r="H315" i="11"/>
  <c r="G314" i="11"/>
  <c r="F314" i="11"/>
  <c r="G313" i="11"/>
  <c r="H311" i="11"/>
  <c r="H310" i="11"/>
  <c r="H309" i="11"/>
  <c r="H308" i="11"/>
  <c r="G307" i="11"/>
  <c r="H307" i="11" s="1"/>
  <c r="F307" i="11"/>
  <c r="G306" i="11"/>
  <c r="F306" i="11"/>
  <c r="H305" i="11"/>
  <c r="H304" i="11"/>
  <c r="H303" i="11"/>
  <c r="H302" i="11"/>
  <c r="H301" i="11"/>
  <c r="H300" i="11"/>
  <c r="H299" i="11"/>
  <c r="G299" i="11"/>
  <c r="G298" i="11" s="1"/>
  <c r="F299" i="11"/>
  <c r="F298" i="11"/>
  <c r="H297" i="11"/>
  <c r="G296" i="11"/>
  <c r="G295" i="11" s="1"/>
  <c r="F296" i="11"/>
  <c r="F295" i="11"/>
  <c r="H295" i="11" s="1"/>
  <c r="H294" i="11"/>
  <c r="H293" i="11"/>
  <c r="G292" i="11"/>
  <c r="G291" i="11" s="1"/>
  <c r="F292" i="11"/>
  <c r="H290" i="11"/>
  <c r="H289" i="11"/>
  <c r="H288" i="11"/>
  <c r="G287" i="11"/>
  <c r="H287" i="11" s="1"/>
  <c r="F287" i="11"/>
  <c r="F286" i="11" s="1"/>
  <c r="H285" i="11"/>
  <c r="G284" i="11"/>
  <c r="G283" i="11" s="1"/>
  <c r="F284" i="11"/>
  <c r="G282" i="11"/>
  <c r="G276" i="11" s="1"/>
  <c r="H281" i="11"/>
  <c r="H280" i="11"/>
  <c r="H279" i="11"/>
  <c r="H278" i="11"/>
  <c r="H277" i="11"/>
  <c r="F276" i="11"/>
  <c r="F275" i="11"/>
  <c r="H273" i="11"/>
  <c r="H272" i="11"/>
  <c r="H271" i="11"/>
  <c r="G270" i="11"/>
  <c r="H270" i="11" s="1"/>
  <c r="F270" i="11"/>
  <c r="G269" i="11"/>
  <c r="G268" i="11" s="1"/>
  <c r="F269" i="11"/>
  <c r="F268" i="11"/>
  <c r="H267" i="11"/>
  <c r="G266" i="11"/>
  <c r="F266" i="11"/>
  <c r="H265" i="11"/>
  <c r="H264" i="11"/>
  <c r="H263" i="11"/>
  <c r="H262" i="11"/>
  <c r="G261" i="11"/>
  <c r="F260" i="11"/>
  <c r="H256" i="11"/>
  <c r="H255" i="11"/>
  <c r="G254" i="11"/>
  <c r="F254" i="11"/>
  <c r="H254" i="11" s="1"/>
  <c r="G253" i="11"/>
  <c r="H252" i="11"/>
  <c r="H251" i="11"/>
  <c r="H250" i="11"/>
  <c r="G249" i="11"/>
  <c r="F249" i="11"/>
  <c r="G248" i="11"/>
  <c r="G247" i="11" s="1"/>
  <c r="H246" i="11"/>
  <c r="H245" i="11"/>
  <c r="H244" i="11"/>
  <c r="G243" i="11"/>
  <c r="G242" i="11" s="1"/>
  <c r="G241" i="11" s="1"/>
  <c r="F243" i="11"/>
  <c r="F242" i="11" s="1"/>
  <c r="F241" i="11" s="1"/>
  <c r="H240" i="11"/>
  <c r="H239" i="11"/>
  <c r="H238" i="11"/>
  <c r="H237" i="11"/>
  <c r="H236" i="11"/>
  <c r="H235" i="11"/>
  <c r="H234" i="11"/>
  <c r="H233" i="11"/>
  <c r="G233" i="11"/>
  <c r="F233" i="11"/>
  <c r="H232" i="11"/>
  <c r="H231" i="11"/>
  <c r="G231" i="11"/>
  <c r="G229" i="11" s="1"/>
  <c r="G228" i="11" s="1"/>
  <c r="G226" i="11" s="1"/>
  <c r="H230" i="11"/>
  <c r="F229" i="11"/>
  <c r="H225" i="11"/>
  <c r="H224" i="11"/>
  <c r="G223" i="11"/>
  <c r="G222" i="11" s="1"/>
  <c r="G221" i="11" s="1"/>
  <c r="F223" i="11"/>
  <c r="H223" i="11" s="1"/>
  <c r="H220" i="11"/>
  <c r="H219" i="11"/>
  <c r="G218" i="11"/>
  <c r="G217" i="11" s="1"/>
  <c r="G216" i="11" s="1"/>
  <c r="F218" i="11"/>
  <c r="H215" i="11"/>
  <c r="G214" i="11"/>
  <c r="F214" i="11"/>
  <c r="H214" i="11" s="1"/>
  <c r="G213" i="11"/>
  <c r="H213" i="11" s="1"/>
  <c r="F213" i="11"/>
  <c r="H212" i="11"/>
  <c r="H211" i="11"/>
  <c r="H210" i="11"/>
  <c r="G209" i="11"/>
  <c r="F209" i="11"/>
  <c r="H209" i="11" s="1"/>
  <c r="H208" i="11"/>
  <c r="G207" i="11"/>
  <c r="F207" i="11"/>
  <c r="H206" i="11"/>
  <c r="H205" i="11"/>
  <c r="G204" i="11"/>
  <c r="G199" i="11" s="1"/>
  <c r="F204" i="11"/>
  <c r="H203" i="11"/>
  <c r="H202" i="11"/>
  <c r="H201" i="11"/>
  <c r="G200" i="11"/>
  <c r="F200" i="11"/>
  <c r="H200" i="11" s="1"/>
  <c r="H198" i="11"/>
  <c r="H197" i="11"/>
  <c r="G196" i="11"/>
  <c r="F196" i="11"/>
  <c r="H196" i="11" s="1"/>
  <c r="G195" i="11"/>
  <c r="F193" i="11"/>
  <c r="H193" i="11" s="1"/>
  <c r="F192" i="11"/>
  <c r="H192" i="11" s="1"/>
  <c r="H191" i="11"/>
  <c r="F191" i="11"/>
  <c r="F190" i="11"/>
  <c r="H190" i="11" s="1"/>
  <c r="F189" i="11"/>
  <c r="H189" i="11" s="1"/>
  <c r="F188" i="11"/>
  <c r="H188" i="11" s="1"/>
  <c r="H187" i="11"/>
  <c r="F187" i="11"/>
  <c r="F186" i="11"/>
  <c r="G185" i="11"/>
  <c r="H184" i="11"/>
  <c r="H183" i="11"/>
  <c r="H182" i="11"/>
  <c r="H181" i="11"/>
  <c r="H180" i="11"/>
  <c r="H179" i="11"/>
  <c r="H178" i="11"/>
  <c r="H177" i="11"/>
  <c r="H176" i="11"/>
  <c r="H175" i="11"/>
  <c r="G174" i="11"/>
  <c r="F174" i="11"/>
  <c r="H173" i="11"/>
  <c r="H172" i="11"/>
  <c r="G171" i="11"/>
  <c r="F171" i="11"/>
  <c r="H171" i="11" s="1"/>
  <c r="H170" i="11"/>
  <c r="H169" i="11"/>
  <c r="H168" i="11"/>
  <c r="H167" i="11"/>
  <c r="G167" i="11"/>
  <c r="H166" i="11"/>
  <c r="H165" i="11"/>
  <c r="G164" i="11"/>
  <c r="F164" i="11"/>
  <c r="H162" i="11"/>
  <c r="H161" i="11"/>
  <c r="G160" i="11"/>
  <c r="G159" i="11" s="1"/>
  <c r="F160" i="11"/>
  <c r="H156" i="11"/>
  <c r="H155" i="11"/>
  <c r="H154" i="11"/>
  <c r="H153" i="11"/>
  <c r="H152" i="11"/>
  <c r="H151" i="11"/>
  <c r="G150" i="11"/>
  <c r="G149" i="11" s="1"/>
  <c r="F150" i="11"/>
  <c r="H145" i="11"/>
  <c r="H144" i="11"/>
  <c r="H143" i="11"/>
  <c r="F143" i="11"/>
  <c r="H142" i="11"/>
  <c r="G141" i="11"/>
  <c r="H141" i="11" s="1"/>
  <c r="F141" i="11"/>
  <c r="G140" i="11"/>
  <c r="H140" i="11" s="1"/>
  <c r="F140" i="11"/>
  <c r="H139" i="11"/>
  <c r="H138" i="11"/>
  <c r="H137" i="11"/>
  <c r="G136" i="11"/>
  <c r="G135" i="11" s="1"/>
  <c r="F136" i="11"/>
  <c r="H134" i="11"/>
  <c r="H133" i="11"/>
  <c r="H132" i="11"/>
  <c r="H131" i="11"/>
  <c r="H130" i="11"/>
  <c r="G129" i="11"/>
  <c r="H129" i="11" s="1"/>
  <c r="F129" i="11"/>
  <c r="G128" i="11"/>
  <c r="H128" i="11" s="1"/>
  <c r="F128" i="11"/>
  <c r="H127" i="11"/>
  <c r="H126" i="11"/>
  <c r="H125" i="11"/>
  <c r="H124" i="11"/>
  <c r="H123" i="11"/>
  <c r="H122" i="11"/>
  <c r="H121" i="11"/>
  <c r="H120" i="11"/>
  <c r="H119" i="11"/>
  <c r="H118" i="11"/>
  <c r="H117" i="11"/>
  <c r="H116" i="11"/>
  <c r="H115" i="11"/>
  <c r="H114" i="11"/>
  <c r="H113" i="11"/>
  <c r="H112" i="11"/>
  <c r="G111" i="11"/>
  <c r="F111" i="11"/>
  <c r="G110" i="11"/>
  <c r="H109" i="11"/>
  <c r="G108" i="11"/>
  <c r="G107" i="11" s="1"/>
  <c r="F108" i="11"/>
  <c r="H106" i="11"/>
  <c r="H105" i="11"/>
  <c r="H104" i="11"/>
  <c r="H103" i="11"/>
  <c r="H102" i="11"/>
  <c r="H101" i="11"/>
  <c r="F100" i="11"/>
  <c r="H99" i="11"/>
  <c r="H98" i="11"/>
  <c r="H97" i="11"/>
  <c r="G97" i="11"/>
  <c r="G96" i="11"/>
  <c r="G95" i="11" s="1"/>
  <c r="H93" i="11"/>
  <c r="G92" i="11"/>
  <c r="G91" i="11" s="1"/>
  <c r="G90" i="11" s="1"/>
  <c r="F92" i="11"/>
  <c r="H92" i="11" s="1"/>
  <c r="F91" i="11"/>
  <c r="H89" i="11"/>
  <c r="H88" i="11"/>
  <c r="H87" i="11"/>
  <c r="H86" i="11"/>
  <c r="G85" i="11"/>
  <c r="H85" i="11" s="1"/>
  <c r="G84" i="11"/>
  <c r="H84" i="11" s="1"/>
  <c r="H83" i="11"/>
  <c r="H82" i="11"/>
  <c r="H81" i="11"/>
  <c r="H80" i="11"/>
  <c r="H79" i="11"/>
  <c r="H78" i="11"/>
  <c r="G77" i="11"/>
  <c r="F77" i="11"/>
  <c r="H76" i="11"/>
  <c r="G75" i="11"/>
  <c r="F75" i="11"/>
  <c r="H73" i="11"/>
  <c r="H72" i="11"/>
  <c r="H71" i="11"/>
  <c r="G70" i="11"/>
  <c r="G69" i="11" s="1"/>
  <c r="G68" i="11" s="1"/>
  <c r="F69" i="11"/>
  <c r="F68" i="11" s="1"/>
  <c r="H67" i="11"/>
  <c r="G66" i="11"/>
  <c r="F66" i="11"/>
  <c r="F65" i="11" s="1"/>
  <c r="H63" i="11"/>
  <c r="H62" i="11"/>
  <c r="G61" i="11"/>
  <c r="H61" i="11" s="1"/>
  <c r="F61" i="11"/>
  <c r="F60" i="11"/>
  <c r="H59" i="11"/>
  <c r="H58" i="11"/>
  <c r="G57" i="11"/>
  <c r="F57" i="11"/>
  <c r="F56" i="11"/>
  <c r="F55" i="11" s="1"/>
  <c r="H54" i="11"/>
  <c r="H53" i="11"/>
  <c r="H52" i="11"/>
  <c r="H51" i="11"/>
  <c r="G51" i="11"/>
  <c r="F51" i="11"/>
  <c r="F50" i="11" s="1"/>
  <c r="G50" i="11"/>
  <c r="G49" i="11" s="1"/>
  <c r="F49" i="11"/>
  <c r="H48" i="11"/>
  <c r="G47" i="11"/>
  <c r="F47" i="11"/>
  <c r="H46" i="11"/>
  <c r="G45" i="11"/>
  <c r="F45" i="11"/>
  <c r="H44" i="11"/>
  <c r="H43" i="11"/>
  <c r="G42" i="11"/>
  <c r="G41" i="11" s="1"/>
  <c r="G40" i="11" s="1"/>
  <c r="F42" i="11"/>
  <c r="H42" i="11" s="1"/>
  <c r="H37" i="11"/>
  <c r="G36" i="11"/>
  <c r="G35" i="11" s="1"/>
  <c r="F36" i="11"/>
  <c r="H34" i="11"/>
  <c r="H33" i="11"/>
  <c r="G32" i="11"/>
  <c r="G31" i="11" s="1"/>
  <c r="G30" i="11" s="1"/>
  <c r="F32" i="11"/>
  <c r="F31" i="11" s="1"/>
  <c r="H29" i="11"/>
  <c r="G28" i="11"/>
  <c r="G27" i="11" s="1"/>
  <c r="G26" i="11" s="1"/>
  <c r="G25" i="11" s="1"/>
  <c r="F28" i="11"/>
  <c r="F27" i="11" s="1"/>
  <c r="H27" i="11" s="1"/>
  <c r="F26" i="11"/>
  <c r="H24" i="11"/>
  <c r="F24" i="11"/>
  <c r="G23" i="11"/>
  <c r="F23" i="11"/>
  <c r="G22" i="11"/>
  <c r="G21" i="11" s="1"/>
  <c r="G20" i="11" s="1"/>
  <c r="H19" i="11"/>
  <c r="G18" i="11"/>
  <c r="F18" i="11"/>
  <c r="G17" i="11"/>
  <c r="G16" i="11" s="1"/>
  <c r="H15" i="11"/>
  <c r="F15" i="11"/>
  <c r="G14" i="11"/>
  <c r="G13" i="11" s="1"/>
  <c r="G12" i="11" s="1"/>
  <c r="G11" i="11" s="1"/>
  <c r="F14" i="11"/>
  <c r="F13" i="11" s="1"/>
  <c r="F12" i="11" l="1"/>
  <c r="H13" i="11"/>
  <c r="H276" i="11"/>
  <c r="G275" i="11"/>
  <c r="H28" i="11"/>
  <c r="H50" i="11"/>
  <c r="G74" i="11"/>
  <c r="H111" i="11"/>
  <c r="H282" i="11"/>
  <c r="H296" i="11"/>
  <c r="F400" i="11"/>
  <c r="H400" i="11" s="1"/>
  <c r="H416" i="11"/>
  <c r="G10" i="11"/>
  <c r="H298" i="11"/>
  <c r="H49" i="11"/>
  <c r="H57" i="11"/>
  <c r="F185" i="11"/>
  <c r="H185" i="11" s="1"/>
  <c r="F195" i="11"/>
  <c r="H195" i="11" s="1"/>
  <c r="F253" i="11"/>
  <c r="G286" i="11"/>
  <c r="H286" i="11" s="1"/>
  <c r="H36" i="11"/>
  <c r="H47" i="11"/>
  <c r="H207" i="11"/>
  <c r="F222" i="11"/>
  <c r="F221" i="11" s="1"/>
  <c r="H221" i="11" s="1"/>
  <c r="H253" i="11"/>
  <c r="H340" i="11"/>
  <c r="H431" i="11"/>
  <c r="H31" i="11"/>
  <c r="H18" i="11"/>
  <c r="F17" i="11"/>
  <c r="H26" i="11"/>
  <c r="G194" i="11"/>
  <c r="H249" i="11"/>
  <c r="F248" i="11"/>
  <c r="H284" i="11"/>
  <c r="F283" i="11"/>
  <c r="H409" i="11"/>
  <c r="H14" i="11"/>
  <c r="F41" i="11"/>
  <c r="H45" i="11"/>
  <c r="H68" i="11"/>
  <c r="H77" i="11"/>
  <c r="H108" i="11"/>
  <c r="F107" i="11"/>
  <c r="H107" i="11" s="1"/>
  <c r="H423" i="11"/>
  <c r="F422" i="11"/>
  <c r="H422" i="11" s="1"/>
  <c r="H12" i="11"/>
  <c r="H23" i="11"/>
  <c r="F22" i="11"/>
  <c r="H32" i="11"/>
  <c r="F35" i="11"/>
  <c r="H35" i="11" s="1"/>
  <c r="H66" i="11"/>
  <c r="G65" i="11"/>
  <c r="G64" i="11" s="1"/>
  <c r="H70" i="11"/>
  <c r="H75" i="11"/>
  <c r="F74" i="11"/>
  <c r="H74" i="11" s="1"/>
  <c r="F96" i="11"/>
  <c r="H100" i="11"/>
  <c r="H136" i="11"/>
  <c r="F135" i="11"/>
  <c r="H135" i="11" s="1"/>
  <c r="H222" i="11"/>
  <c r="G274" i="11"/>
  <c r="H292" i="11"/>
  <c r="F291" i="11"/>
  <c r="H291" i="11" s="1"/>
  <c r="H91" i="11"/>
  <c r="F90" i="11"/>
  <c r="H90" i="11" s="1"/>
  <c r="H160" i="11"/>
  <c r="F159" i="11"/>
  <c r="H159" i="11" s="1"/>
  <c r="H229" i="11"/>
  <c r="F228" i="11"/>
  <c r="H241" i="11"/>
  <c r="H318" i="11"/>
  <c r="F317" i="11"/>
  <c r="H317" i="11" s="1"/>
  <c r="F428" i="11"/>
  <c r="G260" i="11"/>
  <c r="H261" i="11"/>
  <c r="H150" i="11"/>
  <c r="F149" i="11"/>
  <c r="H149" i="11" s="1"/>
  <c r="H186" i="11"/>
  <c r="H242" i="11"/>
  <c r="H268" i="11"/>
  <c r="H269" i="11"/>
  <c r="H314" i="11"/>
  <c r="F313" i="11"/>
  <c r="H313" i="11" s="1"/>
  <c r="H329" i="11"/>
  <c r="F328" i="11"/>
  <c r="H328" i="11" s="1"/>
  <c r="G332" i="11"/>
  <c r="H357" i="11"/>
  <c r="F356" i="11"/>
  <c r="H356" i="11" s="1"/>
  <c r="H393" i="11"/>
  <c r="F392" i="11"/>
  <c r="H410" i="11"/>
  <c r="H164" i="11"/>
  <c r="F163" i="11"/>
  <c r="H163" i="11" s="1"/>
  <c r="G56" i="11"/>
  <c r="G60" i="11"/>
  <c r="H60" i="11" s="1"/>
  <c r="H69" i="11"/>
  <c r="F110" i="11"/>
  <c r="G163" i="11"/>
  <c r="G94" i="11" s="1"/>
  <c r="H174" i="11"/>
  <c r="F199" i="11"/>
  <c r="H204" i="11"/>
  <c r="H218" i="11"/>
  <c r="F217" i="11"/>
  <c r="H243" i="11"/>
  <c r="F259" i="11"/>
  <c r="H266" i="11"/>
  <c r="H275" i="11"/>
  <c r="H306" i="11"/>
  <c r="H333" i="11"/>
  <c r="F332" i="11"/>
  <c r="H332" i="11" s="1"/>
  <c r="H352" i="11"/>
  <c r="H411" i="11"/>
  <c r="F414" i="11"/>
  <c r="G415" i="11"/>
  <c r="G414" i="11" s="1"/>
  <c r="G408" i="11" s="1"/>
  <c r="G430" i="11"/>
  <c r="G37" i="10"/>
  <c r="F37" i="10"/>
  <c r="E37" i="10"/>
  <c r="D37" i="10"/>
  <c r="G20" i="10"/>
  <c r="G38" i="10" s="1"/>
  <c r="F20" i="10"/>
  <c r="F38" i="10" s="1"/>
  <c r="E20" i="10"/>
  <c r="E38" i="10" s="1"/>
  <c r="D20" i="10"/>
  <c r="D38" i="10" s="1"/>
  <c r="F194" i="11" l="1"/>
  <c r="H194" i="11" s="1"/>
  <c r="H199" i="11"/>
  <c r="F391" i="11"/>
  <c r="H391" i="11" s="1"/>
  <c r="H392" i="11"/>
  <c r="H283" i="11"/>
  <c r="F274" i="11"/>
  <c r="H65" i="11"/>
  <c r="H414" i="11"/>
  <c r="F216" i="11"/>
  <c r="H217" i="11"/>
  <c r="F40" i="11"/>
  <c r="H41" i="11"/>
  <c r="F30" i="11"/>
  <c r="F258" i="11"/>
  <c r="G55" i="11"/>
  <c r="H56" i="11"/>
  <c r="G259" i="11"/>
  <c r="G258" i="11" s="1"/>
  <c r="G257" i="11" s="1"/>
  <c r="H260" i="11"/>
  <c r="H228" i="11"/>
  <c r="F226" i="11"/>
  <c r="F95" i="11"/>
  <c r="H96" i="11"/>
  <c r="F21" i="11"/>
  <c r="H22" i="11"/>
  <c r="F408" i="11"/>
  <c r="F247" i="11"/>
  <c r="H247" i="11" s="1"/>
  <c r="H248" i="11"/>
  <c r="H17" i="11"/>
  <c r="F16" i="11"/>
  <c r="G429" i="11"/>
  <c r="H430" i="11"/>
  <c r="H110" i="11"/>
  <c r="H415" i="11"/>
  <c r="F64" i="11"/>
  <c r="H95" i="11" l="1"/>
  <c r="F94" i="11"/>
  <c r="H21" i="11"/>
  <c r="F20" i="11"/>
  <c r="H20" i="11" s="1"/>
  <c r="H226" i="11"/>
  <c r="H259" i="11"/>
  <c r="G39" i="11"/>
  <c r="H55" i="11"/>
  <c r="F257" i="11"/>
  <c r="H258" i="11"/>
  <c r="H30" i="11"/>
  <c r="F25" i="11"/>
  <c r="H216" i="11"/>
  <c r="H274" i="11"/>
  <c r="H40" i="11"/>
  <c r="F39" i="11"/>
  <c r="H64" i="11"/>
  <c r="G428" i="11"/>
  <c r="H429" i="11"/>
  <c r="H16" i="11"/>
  <c r="F11" i="11"/>
  <c r="H408" i="11"/>
  <c r="H25" i="11" l="1"/>
  <c r="H39" i="11"/>
  <c r="F38" i="11"/>
  <c r="H257" i="11"/>
  <c r="H428" i="11"/>
  <c r="G38" i="11"/>
  <c r="H94" i="11"/>
  <c r="F10" i="11"/>
  <c r="H11" i="11"/>
  <c r="H10" i="11" l="1"/>
  <c r="H38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Renata Siedlecka</author>
    <author>Małgorzata Pinkowski</author>
  </authors>
  <commentList>
    <comment ref="J16" authorId="0" shapeId="0" xr:uid="{04569609-8DF6-40A4-B795-62AE2804CC47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jednoroczne bieżące</t>
        </r>
      </text>
    </comment>
    <comment ref="J17" authorId="0" shapeId="0" xr:uid="{D329AD47-6B6E-49C1-AA18-3A0B095DA3D5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jednoroczne majątkowe</t>
        </r>
      </text>
    </comment>
    <comment ref="B20" authorId="0" shapeId="0" xr:uid="{09900F3D-FB89-4870-BBBC-145A89060F9B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MZDiZ</t>
        </r>
      </text>
    </comment>
    <comment ref="B27" authorId="1" shapeId="0" xr:uid="{958A121E-3D36-4C44-BAF0-1A83C0F1E1F2}">
      <text>
        <r>
          <rPr>
            <b/>
            <sz val="9"/>
            <color indexed="81"/>
            <rFont val="Tahoma"/>
            <family val="2"/>
            <charset val="238"/>
          </rPr>
          <t>Małgorzata Pinkowski:</t>
        </r>
        <r>
          <rPr>
            <sz val="9"/>
            <color indexed="81"/>
            <rFont val="Tahoma"/>
            <family val="2"/>
            <charset val="238"/>
          </rPr>
          <t xml:space="preserve">
LGD</t>
        </r>
      </text>
    </comment>
    <comment ref="B31" authorId="1" shapeId="0" xr:uid="{309199C2-653F-4823-9C12-CC823ED54853}">
      <text>
        <r>
          <rPr>
            <b/>
            <sz val="9"/>
            <color indexed="81"/>
            <rFont val="Tahoma"/>
            <family val="2"/>
            <charset val="238"/>
          </rPr>
          <t>Małgorzata Pinkowski:</t>
        </r>
        <r>
          <rPr>
            <sz val="9"/>
            <color indexed="81"/>
            <rFont val="Tahoma"/>
            <family val="2"/>
            <charset val="238"/>
          </rPr>
          <t xml:space="preserve">
LGD</t>
        </r>
      </text>
    </comment>
    <comment ref="B35" authorId="1" shapeId="0" xr:uid="{516EE047-FEAA-43A5-8E30-72A06F9366DD}">
      <text>
        <r>
          <rPr>
            <b/>
            <sz val="9"/>
            <color indexed="81"/>
            <rFont val="Tahoma"/>
            <family val="2"/>
            <charset val="238"/>
          </rPr>
          <t>Małgorzata Pinkowski:</t>
        </r>
        <r>
          <rPr>
            <sz val="9"/>
            <color indexed="81"/>
            <rFont val="Tahoma"/>
            <family val="2"/>
            <charset val="238"/>
          </rPr>
          <t xml:space="preserve">
LGD</t>
        </r>
      </text>
    </comment>
    <comment ref="B39" authorId="1" shapeId="0" xr:uid="{222C3DA4-7E3B-4A91-BC4F-A081D692D565}">
      <text>
        <r>
          <rPr>
            <b/>
            <sz val="9"/>
            <color indexed="81"/>
            <rFont val="Tahoma"/>
            <family val="2"/>
            <charset val="238"/>
          </rPr>
          <t>Małgorzata Pinkowski:</t>
        </r>
        <r>
          <rPr>
            <sz val="9"/>
            <color indexed="81"/>
            <rFont val="Tahoma"/>
            <family val="2"/>
            <charset val="238"/>
          </rPr>
          <t xml:space="preserve">
LGD</t>
        </r>
      </text>
    </comment>
    <comment ref="D47" authorId="1" shapeId="0" xr:uid="{DFCE374A-B888-4036-A0EE-27F3D5F8E0A7}">
      <text>
        <r>
          <rPr>
            <b/>
            <sz val="9"/>
            <color indexed="81"/>
            <rFont val="Tahoma"/>
            <family val="2"/>
            <charset val="238"/>
          </rPr>
          <t>Małgorzata Pinkowski:</t>
        </r>
        <r>
          <rPr>
            <sz val="9"/>
            <color indexed="81"/>
            <rFont val="Tahoma"/>
            <family val="2"/>
            <charset val="238"/>
          </rPr>
          <t xml:space="preserve">
brak formuły, wpisano z ręki</t>
        </r>
      </text>
    </comment>
  </commentList>
</comments>
</file>

<file path=xl/sharedStrings.xml><?xml version="1.0" encoding="utf-8"?>
<sst xmlns="http://schemas.openxmlformats.org/spreadsheetml/2006/main" count="831" uniqueCount="394">
  <si>
    <t>Załącznik Nr 1</t>
  </si>
  <si>
    <t>PREZYDENTA MIASTA WŁOCŁAWEK</t>
  </si>
  <si>
    <t>w złotych</t>
  </si>
  <si>
    <t>Plan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</si>
  <si>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</si>
  <si>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</si>
  <si>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</si>
  <si>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</si>
  <si>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</si>
  <si>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</si>
  <si>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</si>
  <si>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</si>
  <si>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WYDATKI OGÓŁEM:</t>
  </si>
  <si>
    <t>Szkoły podstawowe</t>
  </si>
  <si>
    <t>Wydział Edukacji, Zdrowia i Polityki Społecznej</t>
  </si>
  <si>
    <t>Przedszkola</t>
  </si>
  <si>
    <t>zakup usług pozostałych</t>
  </si>
  <si>
    <t>Technika</t>
  </si>
  <si>
    <t>Licea ogólnokształcące</t>
  </si>
  <si>
    <t>wynagrodzenia bezosobowe</t>
  </si>
  <si>
    <t xml:space="preserve">składki na Fundusz Pracy oraz Fundusz Solidarnościowy </t>
  </si>
  <si>
    <t>Administracja publiczna</t>
  </si>
  <si>
    <t>Zmiany w budżecie miasta Włocławek na 2026 rok</t>
  </si>
  <si>
    <t>Wydatki na zadania własne gminy:</t>
  </si>
  <si>
    <t>Gospodarka mieszkaniowa</t>
  </si>
  <si>
    <t>Gospodarka gruntami i nieruchomościami</t>
  </si>
  <si>
    <t>Pozostała działalność</t>
  </si>
  <si>
    <t xml:space="preserve">zakup materiałów i wyposażenia </t>
  </si>
  <si>
    <t>zakup usług remontowych</t>
  </si>
  <si>
    <t>opłaty z tytułu zakupu usług telekomunikacyjnych</t>
  </si>
  <si>
    <t>Promocja jednostek samorządu terytorialnego</t>
  </si>
  <si>
    <t>składki na ubezpieczenia społeczne</t>
  </si>
  <si>
    <t>koszty postępowania sądowego i prokuratorskiego</t>
  </si>
  <si>
    <t>Różne rozliczenia</t>
  </si>
  <si>
    <t>Rezerwy ogólne i celowe</t>
  </si>
  <si>
    <t>4810</t>
  </si>
  <si>
    <t xml:space="preserve">rezerwy </t>
  </si>
  <si>
    <t xml:space="preserve"> - rezerwa celowa</t>
  </si>
  <si>
    <t>Rodzina</t>
  </si>
  <si>
    <t>Świadczenia rodzinne, świadczenie z funduszu alimentacyjnego oraz składki na ubezpieczenia emerytalne i rentowe z ubezpieczenia społecznego</t>
  </si>
  <si>
    <t>Gospodarka komunalna i ochrona środowiska</t>
  </si>
  <si>
    <t>Wydatki na zadania własne powiatu:</t>
  </si>
  <si>
    <t>Oświata i wychowanie</t>
  </si>
  <si>
    <t>Wydatki na zadania rządowe powiatu:</t>
  </si>
  <si>
    <t>Oddziały przedszkolne w szkołach podstawowych</t>
  </si>
  <si>
    <t>Poradnie psychologiczno - pedagogiczne, w tym poradnie specjalistyczne</t>
  </si>
  <si>
    <t>DOCHODY OGÓŁEM:</t>
  </si>
  <si>
    <t>Dochody na zadania własne gminy:</t>
  </si>
  <si>
    <t>Organ - projekty w ramach grantów Lokalnej Grupy Działania Miasta Włocławek</t>
  </si>
  <si>
    <t>2057</t>
  </si>
  <si>
    <t>dotacja celowa w ramach programów finansowanych z udziałem środków europejskich oraz środków, o których mowa w art. 5 ust. 3 pkt 5 lit. a i b ustawy, lub płatności w ramach budżetu środków europejskich, realizowanych przez jednostki samorządu terytorialnego</t>
  </si>
  <si>
    <t>852</t>
  </si>
  <si>
    <t>Pomoc społeczna</t>
  </si>
  <si>
    <t>Pomoc w zakresie dożywiania</t>
  </si>
  <si>
    <t>Organ</t>
  </si>
  <si>
    <t>2030</t>
  </si>
  <si>
    <t>dotacja celowa otrzymana z budżetu państwa na realizację własnych zadań bieżących gmin (związków gmin, związków powiatowo-gminnych)</t>
  </si>
  <si>
    <t>Dochody na zadania własne powiatu:</t>
  </si>
  <si>
    <t>Dochody na zadania zlecone gminie:</t>
  </si>
  <si>
    <t>Ośrodki pomocy społecznej</t>
  </si>
  <si>
    <t>2010</t>
  </si>
  <si>
    <t xml:space="preserve">dotacje celowe otrzymane z budżetu państwa na realizację zadań bieżących z zakresu administracji rządowej oraz innych zadań zleconych gminie (związkom gmin, związkom powiatowo-gminnym) ustawami </t>
  </si>
  <si>
    <t>2060</t>
  </si>
  <si>
    <t>dotacje celowe otrzymane z budżetu państwa na zadania bieżące z zakresu administracji rządowej zlecone gminom (związkom gmin, związkom powiatowo - gminnym), związane z realizacją świadczenia wychowawczego stanowiącego pomoc państwa w wychowywaniu dzieci</t>
  </si>
  <si>
    <t>Karta Dużej Rodziny</t>
  </si>
  <si>
    <t>Transport i łączność</t>
  </si>
  <si>
    <t>Lokalny transport zbiorowy</t>
  </si>
  <si>
    <t xml:space="preserve">Miejski Zarząd Dróg i Zieleni </t>
  </si>
  <si>
    <t>Miejski Zarząd Dróg i Zieleni - zadanie pn."Multimodalne centrum przesiadkowe - etap III" w ramach projektu pn. "Włocławek – Miasto dobrego klimatu dla gospodarki, środowiska i wygodnego życia"</t>
  </si>
  <si>
    <t xml:space="preserve">zakup usług obejmujących wykonanie ekspertyz, analiz i opinii </t>
  </si>
  <si>
    <t>Miejski Zarząd Dróg i Zieleni - zadanie pn."Poprawa funkcjonowania transportu zbiorowego w mieście Włocławek poprzez modernizację infrastruktury towarzyszącej transportowi zbiorowemu II ETAP"</t>
  </si>
  <si>
    <t>Turystyka</t>
  </si>
  <si>
    <t>63095</t>
  </si>
  <si>
    <t>Wydział Kultury, Turystyki i Promocji</t>
  </si>
  <si>
    <t xml:space="preserve">składki na ubezpieczenia społeczne </t>
  </si>
  <si>
    <t>Wydział Gospodarowania Mieniem Komunalnym</t>
  </si>
  <si>
    <t>opłaty na rzecz budżetu państwa</t>
  </si>
  <si>
    <t>opłaty na rzecz budżetów jednostek samorządu terytorialnego</t>
  </si>
  <si>
    <t>Gospodarowanie mieszkaniowym zasobem gminy</t>
  </si>
  <si>
    <t>Administracja Zasobów Komunalnych</t>
  </si>
  <si>
    <t>wpłaty na Państwowy Fundusz Rehabilitacji Osób Niepełnosprawnych</t>
  </si>
  <si>
    <t>75085</t>
  </si>
  <si>
    <t>Wspólna obsługa jednostek samorządu terytorialnego</t>
  </si>
  <si>
    <t>Centrum Usług Wspólnych Placówek Oświatowych</t>
  </si>
  <si>
    <t>dodatkowe wynagrodzenie roczne</t>
  </si>
  <si>
    <t>wpłaty na PPK finansowane przez podmiot zatrudniający</t>
  </si>
  <si>
    <t>75095</t>
  </si>
  <si>
    <t>Biuro Prezydenta</t>
  </si>
  <si>
    <t>Miejski Zarząd Dróg i Zieleni - zadanie pn. "Zielone tereny Śródmieścia miasta Włocławek"</t>
  </si>
  <si>
    <t xml:space="preserve">składki na ubezpieczenie społeczne </t>
  </si>
  <si>
    <t>składki na Fundusz Pracy oraz Fundusz Solidarnościowy</t>
  </si>
  <si>
    <t xml:space="preserve">szkolenia pracowników niebędących członkami korpusu służby cywilnej </t>
  </si>
  <si>
    <t>Jednostki oświatowe zbiorczo</t>
  </si>
  <si>
    <t>4210</t>
  </si>
  <si>
    <t>zakup materiałów i wyposażenia</t>
  </si>
  <si>
    <t>zakup środków dydaktycznych i książek</t>
  </si>
  <si>
    <t>podróże służbowe krajowe</t>
  </si>
  <si>
    <t>dodatkowe wynagrodzenie roczne nauczycieli</t>
  </si>
  <si>
    <t>wydatki osobowe niezaliczone do wynagrodzeń</t>
  </si>
  <si>
    <t>wynagrodzenia osobowe pracowników</t>
  </si>
  <si>
    <t>zakup energii</t>
  </si>
  <si>
    <t xml:space="preserve">różne opłaty i składki </t>
  </si>
  <si>
    <t>wynagrodzenie osobowe nauczycieli</t>
  </si>
  <si>
    <t>Przedszkola specjalne</t>
  </si>
  <si>
    <t>Świetlice szkolne</t>
  </si>
  <si>
    <t>Stołówki szkolne i przedszkolne</t>
  </si>
  <si>
    <t xml:space="preserve">Realizacja zadań wymagających stosowania specjalnej </t>
  </si>
  <si>
    <t>organizacji nauki i metod pracy dla dzieci w przedszkolach,</t>
  </si>
  <si>
    <t xml:space="preserve">oddziałach przedszkolnych w szkołach podstawowych </t>
  </si>
  <si>
    <t>i innych formach wychowania przedszkolnego</t>
  </si>
  <si>
    <t>organizacji nauki i metod pracy dla dzieci i młodzieży</t>
  </si>
  <si>
    <t>w szkołach podstawowych</t>
  </si>
  <si>
    <t xml:space="preserve">Wydział Edukacji, Zdrowia i Polityki Społecznej  </t>
  </si>
  <si>
    <t>nagrody o charakterze szczególnym  niezaliczone do wynagrodzeń</t>
  </si>
  <si>
    <t>Wydział Edukacji, Zdrowia i Polityki Społecznej  - Projekt "Kierunek zawód"</t>
  </si>
  <si>
    <t>Jednostki oświatowe zbiorczo - Projekt "Kierunek zawód"</t>
  </si>
  <si>
    <t xml:space="preserve">wynagrodzenia osobowe nauczycieli </t>
  </si>
  <si>
    <t>Jednostki oświatowe zbiorczo - projekty w ramach grantów Lokalnej Grupy Działania Miasta Włocławek</t>
  </si>
  <si>
    <t>zakup środków żywności</t>
  </si>
  <si>
    <t xml:space="preserve">zakup środków dydaktycznych i książek </t>
  </si>
  <si>
    <t xml:space="preserve">zakup usług pozostałych </t>
  </si>
  <si>
    <t>851</t>
  </si>
  <si>
    <t>Ochrona zdrowia</t>
  </si>
  <si>
    <t>Programy polityki zdrowotnej</t>
  </si>
  <si>
    <t>zakup usług zdrowotnych</t>
  </si>
  <si>
    <t>Przeciwdziałanie alkoholizmowi</t>
  </si>
  <si>
    <t>dotacja celowa z budżetu dla pozostałych jednostek zaliczanych do sektora finansów publicznych</t>
  </si>
  <si>
    <t xml:space="preserve">Miejski Ośrodek Pomocy Rodzinie </t>
  </si>
  <si>
    <t>Centrum Wsparcia dla Osób w Kryzysie</t>
  </si>
  <si>
    <t>Placówka Opiekuńczo - Wychowawcza Nr 1 "Maluch"</t>
  </si>
  <si>
    <t>świadczenia społeczne</t>
  </si>
  <si>
    <t>Pozostałe zadania w zakresie polityki społecznej</t>
  </si>
  <si>
    <t>Miejska Jadłodajnia "U Świętego Antoniego"</t>
  </si>
  <si>
    <t>Edukacyjna opieka wychowawcza</t>
  </si>
  <si>
    <t>Kolonie i obozy oraz inne formy wypoczynku dzieci</t>
  </si>
  <si>
    <t>i młodzieży szkolnej, a także szkolenia młodzieży</t>
  </si>
  <si>
    <t>4170</t>
  </si>
  <si>
    <t>Schroniska dla zwierząt</t>
  </si>
  <si>
    <t>Schronisko dla Zwierząt</t>
  </si>
  <si>
    <t>Kultura fizyczna</t>
  </si>
  <si>
    <t>Obiekty sportowe</t>
  </si>
  <si>
    <t>Instytucje kultury fizycznej</t>
  </si>
  <si>
    <t>Ośrodek Sportu i Rekreacji</t>
  </si>
  <si>
    <t>Drogi publiczne w miastach na prawach powiatu</t>
  </si>
  <si>
    <t>pozostałe odsetki</t>
  </si>
  <si>
    <t>kary i odszkodowania wypłacane na rzecz osób fizycznych</t>
  </si>
  <si>
    <t>Miejski Zarząd Dróg i Zieleni - "Budowa i przebudowa dróg rowerowych na terenie miasta Włocławek III ETAP"</t>
  </si>
  <si>
    <t>podatek od nieruchomości</t>
  </si>
  <si>
    <t>Szkoły podstawowe specjalne</t>
  </si>
  <si>
    <t>Dowożenie uczniów do szkół</t>
  </si>
  <si>
    <t>Branżowe szkoły II stopnia</t>
  </si>
  <si>
    <t>Szkoły zawodowe specjalne</t>
  </si>
  <si>
    <t>Placówki kształcenia ustawicznego i centra kształcenia</t>
  </si>
  <si>
    <t>zawodowego</t>
  </si>
  <si>
    <t>w gimnazjach, klasach dotychczasowego gimnazjum</t>
  </si>
  <si>
    <t>prowadzonych w szkołach innego typu, liceach</t>
  </si>
  <si>
    <t xml:space="preserve">ogólnokształcących, technikach, szkołach policealnych, </t>
  </si>
  <si>
    <t>branżowych szkołach I i II stopnia i klasach dotychczasowej</t>
  </si>
  <si>
    <t>zasadniczej szkoły zawodowej prowadzonych w branżowych</t>
  </si>
  <si>
    <t>szkołach I stopnia oraz szkołach artystycznych</t>
  </si>
  <si>
    <t>Zespół Szkół Nr 3 - projekt pn. "Budowa skoordynowanego systemu pomocy specjalistycznej opartego na Specjalistycznych Centrach Wspierających Edukację Włączającą - I edycja"</t>
  </si>
  <si>
    <t>Zespół Szkół Technicznych - Erasmus+ Akcja KA1 pn. "Mobilność edukacyjna techników w ramach zagranicznych praktyk zawodowych 2026"</t>
  </si>
  <si>
    <t>Zespół Szkół Samochodowych - Erasmus+ Akcja KA1 pn. "Praktyki międzynarodowe gwarantem lepszego startu w życiu zawodowym"</t>
  </si>
  <si>
    <t>Wydział Edukacji, Zdrowia i Polityki Społecznej - projekt pn. "Dostosowanie kształcenia zawodowego do potrzeb rynku pracy"</t>
  </si>
  <si>
    <t>dotacja celowa z budżetu na finansowanie lub dofinansowanie zadań zleconych do realizacji pozostałym jednostkom niezaliczanym do sektora finansów publicznych</t>
  </si>
  <si>
    <t>stypendia dla uczniów</t>
  </si>
  <si>
    <t>Jednostki oświatowe zbiorczo  - projekt pn. "Dostosowanie kształcenia zawodowego do potrzeb rynku pracy"</t>
  </si>
  <si>
    <t>4797</t>
  </si>
  <si>
    <t>4799</t>
  </si>
  <si>
    <t>Wydatki na zadania zlecone gminie:</t>
  </si>
  <si>
    <t>Miejski Ośrodek Pomocy Rodzinie</t>
  </si>
  <si>
    <t>Miejski Ośrodek Pomocy Rodzinie - świadczenie wychowawcze</t>
  </si>
  <si>
    <t>Bezpieczeństwo publiczne i ochrona przeciwpożarowa</t>
  </si>
  <si>
    <t>Komendy powiatowe Państwowej Straży Pożarnej</t>
  </si>
  <si>
    <t>Komenda Miejska Państwowej Straży Pożarnej</t>
  </si>
  <si>
    <t>wydatki osobowe niezaliczone do uposażeń wypłacane żołnierzom i funkcjonariuszom</t>
  </si>
  <si>
    <t>uposażenia żołnierzy zawodowych oraz funkcjonariuszy</t>
  </si>
  <si>
    <t>inne należności żołnierzy zawodowych oraz funkcjonariuszy zaliczane do wynagrodzeń</t>
  </si>
  <si>
    <t>do Zarządzenia NR 324/2026</t>
  </si>
  <si>
    <t>z dnia 30 czerwca 2026 r.</t>
  </si>
  <si>
    <t>Załącznik Nr 5</t>
  </si>
  <si>
    <t xml:space="preserve">Plan </t>
  </si>
  <si>
    <t xml:space="preserve"> dochodów i wydatków wydzielonych rachunków dochodów oświatowych jednostek budżetowych na 2026 rok</t>
  </si>
  <si>
    <t>(zbiorczo)</t>
  </si>
  <si>
    <t>Lp.</t>
  </si>
  <si>
    <t>Wyszczególnienie</t>
  </si>
  <si>
    <t>Stan środków pieniężnych na początek roku</t>
  </si>
  <si>
    <t>Stan środków pieniężnych na koniec roku</t>
  </si>
  <si>
    <t>Dochody</t>
  </si>
  <si>
    <t>Wydatki</t>
  </si>
  <si>
    <t>1.</t>
  </si>
  <si>
    <t>2.</t>
  </si>
  <si>
    <t>3.</t>
  </si>
  <si>
    <t xml:space="preserve">Kolonie i obozy oraz inne formy wypoczynku dzieci i młodzieży szkolnej, a także szkolenia młodzieży </t>
  </si>
  <si>
    <t>Ogółem dochody i wydatki na zadania gminy</t>
  </si>
  <si>
    <t>4.</t>
  </si>
  <si>
    <t xml:space="preserve">Szkoły artystyczne </t>
  </si>
  <si>
    <t>5.</t>
  </si>
  <si>
    <t>Placówki kształcenia ustawicznego i centra kształcenia zawodowego</t>
  </si>
  <si>
    <t>6.</t>
  </si>
  <si>
    <t>Ośrodki szkolenia, dokształcania i doskonalenia kadr</t>
  </si>
  <si>
    <t>7.</t>
  </si>
  <si>
    <t>Inne formy kształcenia osobno niewymienione</t>
  </si>
  <si>
    <t>8.</t>
  </si>
  <si>
    <t xml:space="preserve">Poradnie psychologiczno-pedagogiczne, w tym poradnie specjalistyczne </t>
  </si>
  <si>
    <t>Internaty i bursy szkolne</t>
  </si>
  <si>
    <t>Szkolne schroniska młodzieżowe</t>
  </si>
  <si>
    <t>Młodzieżowe ośrodki wychowawcze</t>
  </si>
  <si>
    <t>Ogółem dochody i wydatki na zadania powiatu</t>
  </si>
  <si>
    <t xml:space="preserve">Ogółem dochody i wydatki </t>
  </si>
  <si>
    <t>Załącznik Nr 2</t>
  </si>
  <si>
    <t>Zmiana wydatków na programy i projekty realizowane ze środków pochodzących z funduszy strukturalnych i Funduszu Spójności</t>
  </si>
  <si>
    <t xml:space="preserve">
</t>
  </si>
  <si>
    <t xml:space="preserve">Wydatki
</t>
  </si>
  <si>
    <t>w tym:</t>
  </si>
  <si>
    <t>Planowane wydatki</t>
  </si>
  <si>
    <t>w okresie</t>
  </si>
  <si>
    <t>2026 rok</t>
  </si>
  <si>
    <t>Klasyfikacja</t>
  </si>
  <si>
    <t>realizacji</t>
  </si>
  <si>
    <t>Program/Projekt</t>
  </si>
  <si>
    <t xml:space="preserve"> (dział, </t>
  </si>
  <si>
    <t>Projektu</t>
  </si>
  <si>
    <t>rozdział)</t>
  </si>
  <si>
    <t>(całkowita wartość Projektu)</t>
  </si>
  <si>
    <t>Środki z budżetu krajowego*</t>
  </si>
  <si>
    <t>Środki z budżetu UE</t>
  </si>
  <si>
    <t>Wydatki razem (8+9)</t>
  </si>
  <si>
    <t xml:space="preserve"> </t>
  </si>
  <si>
    <t>(5 + 6)</t>
  </si>
  <si>
    <t>Wydatki ogółem:</t>
  </si>
  <si>
    <t>wydatki bieżące</t>
  </si>
  <si>
    <t>wydatki majątkowe</t>
  </si>
  <si>
    <t>1</t>
  </si>
  <si>
    <t xml:space="preserve"> FUNDUSZE EUROPEJSKIE DLA KUJAW I POMORZA 2021 -  2027</t>
  </si>
  <si>
    <t>1.2</t>
  </si>
  <si>
    <t>Poprawa funkcjonowania transportu zbiorowego w mieście Włocławek poprzez modernizację infrastruktury towarzyszącej transportowi zbiorowemu II ETAP</t>
  </si>
  <si>
    <t>w tym: /Miejski Zarząd Dróg i Zieleni/</t>
  </si>
  <si>
    <t>dz. 600</t>
  </si>
  <si>
    <t>rozdz. 60004</t>
  </si>
  <si>
    <t>1.3</t>
  </si>
  <si>
    <t>Budowa i przebudowa dróg rowerowych na terenie miasta Włocławek III ETAP</t>
  </si>
  <si>
    <t>rozdz. 60015</t>
  </si>
  <si>
    <t>1.13</t>
  </si>
  <si>
    <t>Klub Młodzieżowy Akademia Smaku</t>
  </si>
  <si>
    <t>w tym: /Zespół Szkół Chemicznych/</t>
  </si>
  <si>
    <t>dz. 801</t>
  </si>
  <si>
    <t>rozdz. 80195</t>
  </si>
  <si>
    <t>1.14</t>
  </si>
  <si>
    <t>Odwaga zaczyna się od nas</t>
  </si>
  <si>
    <t>w tym: /Szkoła Podstawowa Nr 2/</t>
  </si>
  <si>
    <t>1.15</t>
  </si>
  <si>
    <t>Dbam o siebie, aktywni seniorzy "10"</t>
  </si>
  <si>
    <t>w tym: /Szkoła Podstawowa Nr 10/</t>
  </si>
  <si>
    <t>1.16</t>
  </si>
  <si>
    <t>Akademia wszechstronnego rozwoju</t>
  </si>
  <si>
    <t>w tym: /Zespół Szkolno-Przedszkolny Nr 2/</t>
  </si>
  <si>
    <t>Polsko-Szwajcarski Program Rozwoju Miast</t>
  </si>
  <si>
    <t>6.1</t>
  </si>
  <si>
    <t>Multimodalne centrum przesiadkowe - etap III</t>
  </si>
  <si>
    <t>* środki własne jst, współfinansowanie z budżetu państwa oraz inne</t>
  </si>
  <si>
    <t xml:space="preserve">do Zarządzenia NR 324/2026 </t>
  </si>
  <si>
    <t>Załącznik Nr 3</t>
  </si>
  <si>
    <t xml:space="preserve">Dotacje udzielane z budżetu jednostki samorządu terytorialnego </t>
  </si>
  <si>
    <t>dla jednostek sektora finansów publicznych na 2026 rok</t>
  </si>
  <si>
    <t>Dział</t>
  </si>
  <si>
    <t>Rozdział</t>
  </si>
  <si>
    <t xml:space="preserve">§ </t>
  </si>
  <si>
    <t>Nazwa zadania</t>
  </si>
  <si>
    <t>Kwota dotacji</t>
  </si>
  <si>
    <t>dotacje celowe</t>
  </si>
  <si>
    <t xml:space="preserve">Programy polityki zdrowotnej </t>
  </si>
  <si>
    <t>Przeciwdziałanie alkoholizmowi (dofinansowanie "Niebieskiej linii")</t>
  </si>
  <si>
    <t>Przeciwdziałanie alkoholizmowi (realizacja zadań z zakresu profilaktyki uzależnień)</t>
  </si>
  <si>
    <t>6306      6307</t>
  </si>
  <si>
    <t>Realizacja projektu pn. "Włocławek – Miasto dobrego klimatu dla gospodarki, środowiska i wygodnego życia" (dotacja na zakupy inwestycyjne)</t>
  </si>
  <si>
    <t>Ośrodki wsparcia</t>
  </si>
  <si>
    <t xml:space="preserve">Powiatowe urzędy pracy </t>
  </si>
  <si>
    <t>Pozostała działalność - SENIORALIA 2026 – Obchody Święta Seniora (Budżet Obywatelski)</t>
  </si>
  <si>
    <t>Galerie i biura wystaw artystycznych (dotacja na inwestycje)</t>
  </si>
  <si>
    <t xml:space="preserve"> - Galeria Sztuki Współczesnej</t>
  </si>
  <si>
    <t xml:space="preserve">Galerie i biura wystaw artystycznych </t>
  </si>
  <si>
    <t>Centra kultury i sztuki</t>
  </si>
  <si>
    <t xml:space="preserve"> - Centrum Kultury Browar B </t>
  </si>
  <si>
    <t>Centra kultury i sztuki (dotacja na inwestycje)</t>
  </si>
  <si>
    <t>Pozostałe instytucje kultury (dotacja na inwestycje)</t>
  </si>
  <si>
    <t xml:space="preserve"> - Teatr Impresaryjny</t>
  </si>
  <si>
    <t>Biblioteki</t>
  </si>
  <si>
    <t xml:space="preserve"> - Miejska Biblioteka Publiczna</t>
  </si>
  <si>
    <t>Biblioteki (dotacja na inwestycje)</t>
  </si>
  <si>
    <t>Razem:</t>
  </si>
  <si>
    <t>dotacje podmiotowe</t>
  </si>
  <si>
    <t xml:space="preserve"> - Zakład Aktywności Zawodowej</t>
  </si>
  <si>
    <t>Galerie i biura wystaw artystycznych</t>
  </si>
  <si>
    <t xml:space="preserve"> - Centrum Kultury Browar B</t>
  </si>
  <si>
    <t>Pozostałe instytucje kultury</t>
  </si>
  <si>
    <t>Ogółem:</t>
  </si>
  <si>
    <t>Załącznik Nr 4</t>
  </si>
  <si>
    <t>dla jednostek spoza sektora finansów publicznych na 2026 rok</t>
  </si>
  <si>
    <t>Zadania w zakresie upowszechniania turystyki</t>
  </si>
  <si>
    <t>Dotacje do prac budowlanych w ramach rewitalizacji (dotacja na inwestycje)</t>
  </si>
  <si>
    <t>Pozostała działalność (prowadzenie Kawiarni Obywatelskiej "Śródmieście Cafe")</t>
  </si>
  <si>
    <t>Nieodpłatna pomoc prawna - zadanie rządowe</t>
  </si>
  <si>
    <t>2837    2839</t>
  </si>
  <si>
    <t>Realizacja projektu unijnego "Dostosowanie kształcenia ogólnego do potrzeb rynku pracy I ETAP" (licea)</t>
  </si>
  <si>
    <t>Realizacja projektu unijnego "Dostosowanie kształcenia ogólnego do potrzeb rynku pracy II ETAP" (szkoły podstawowe)</t>
  </si>
  <si>
    <t>Realizacja projektu unijnego "Dostosowanie kształcenia zawodowego do potrzeb rynku pracy"</t>
  </si>
  <si>
    <t>Zwalczanie narkomanii</t>
  </si>
  <si>
    <t>Dofinansowanie programów dotyczących uzależnień, pozalekcyjnych zajęć sportowych (przeciwdzialanie alkoholizmowi)</t>
  </si>
  <si>
    <t>Pozostała działalność (promocja i ochrona zdrowia oraz działania na rzecz osób niepełnosprawnych)</t>
  </si>
  <si>
    <t>Pozostała działalność (ćwiczenia gimnastyczne poprawiające kondycję seniora - Budżet Obywatelski)</t>
  </si>
  <si>
    <t>Zapewnienie schronienia osobom bezdomnym (wypłata dodatku motywacyjnego dla pracowników schroniska dla osób bezdomnych w ramach programu rządowego)</t>
  </si>
  <si>
    <t>Usługi opiekuńcze i specjalistyczne usługi opiekuńcze - ogółem, z tego:</t>
  </si>
  <si>
    <t>13.1</t>
  </si>
  <si>
    <t xml:space="preserve"> - zadania własne</t>
  </si>
  <si>
    <t>13.2</t>
  </si>
  <si>
    <t xml:space="preserve"> - zadania zlecone</t>
  </si>
  <si>
    <t>Zapewnienie schronienia osobom bezdomnym (pozostała działalność)</t>
  </si>
  <si>
    <t>Pozostała działalność (aktywizacja społeczna seniorów, podnoszenie poziomu bezpieczeństwa i poprawa warunków funkcjonowania seniorów)</t>
  </si>
  <si>
    <t>2360                  2830</t>
  </si>
  <si>
    <t>Działalność placówek opiekuńczo - wychowawczych</t>
  </si>
  <si>
    <t>Dofinansowanie  przyłączy kanalizacyjnych do nieruchomości (dotacja na inwestycje)</t>
  </si>
  <si>
    <t>Ochrona powietrza atmosferycznego i klimatu (zadania w zakresie ekologii i ochrony zwierząt oraz ochrony dziedzictwa przyrodniczego)</t>
  </si>
  <si>
    <t>2366   2367</t>
  </si>
  <si>
    <t>Realizacja projektu unijnego  "Włocławek miastem bioróżnorodnym"</t>
  </si>
  <si>
    <t>Ochrona zabytków i opieka nad zabytkami</t>
  </si>
  <si>
    <t>Upowszechnianie kultury, sztuki, ochrony dóbr kultury i tradycji przez organizacje prowadzące działalność pożytku publicznego (pozostała działalność)</t>
  </si>
  <si>
    <t>Zadania w zakresie kultury fizycznej</t>
  </si>
  <si>
    <t>Razem</t>
  </si>
  <si>
    <t>Nazwa placówki/nazwa podmiotu</t>
  </si>
  <si>
    <t>2540        2590</t>
  </si>
  <si>
    <t>Publiczna Szkoła Podstawowa im. Ks. J. Długosza</t>
  </si>
  <si>
    <t xml:space="preserve">Szkoła Podstawowa Nr 24 w Zespole Szkół WSO "Cogito" </t>
  </si>
  <si>
    <t>Akademicka Szkoła Podstawowa Nr 1 im. Obrońców Wisły 1920 roku we Włocławku</t>
  </si>
  <si>
    <t>Akademicka Szkoła Podstawowa Mistrzostwa Sportowego Nr 1          im. Obrońców Wisły 1920 roku we Włocławku</t>
  </si>
  <si>
    <t>Szkoła Podstawowa z oddziałami dwujęzycznymi Monttessori-     Schule</t>
  </si>
  <si>
    <t>Niepubliczne Przedszkole "Skakanka"</t>
  </si>
  <si>
    <t>Przedszkole Niepubliczne "Chatka Puchatka"</t>
  </si>
  <si>
    <t>Niepubliczne Przedszkole "Smerfna Chata"</t>
  </si>
  <si>
    <t>Przedszkole Niepubliczne "Tęczowa Kraina"</t>
  </si>
  <si>
    <t>Niepubliczne Przedszkole "Na Wspólnej"</t>
  </si>
  <si>
    <t>Centrum Malucha - "Piotruś Pan"- Przedszkole Niepubliczne</t>
  </si>
  <si>
    <t>Niepubliczne Przedszkole "Domowe Przedszkole"</t>
  </si>
  <si>
    <t>Niepubliczne Przedszkole "Bajeczka" Kinga Mizak Aneta Kryczka s.c.</t>
  </si>
  <si>
    <t>Przedszkole Niepubliczne "Happy Kids"</t>
  </si>
  <si>
    <t>Przedszkole Niepubliczne "Kujawiaczek"</t>
  </si>
  <si>
    <t>Niepubliczne Przedszkole "Sensosmyki"</t>
  </si>
  <si>
    <t>Niepubliczne Przedszkole Leśne "Gniazdko Wilgi"</t>
  </si>
  <si>
    <t xml:space="preserve">Przedszkole Publiczne Nr 1 </t>
  </si>
  <si>
    <t>Katolickie Publiczne Przedszkole "Pod Aniołem Stróżem"</t>
  </si>
  <si>
    <t>Inne formy wychowania przedszkolnego - punkty przedszkolne</t>
  </si>
  <si>
    <t>Niepubliczny Punkt Przedszkolny "Kraina Bajek"</t>
  </si>
  <si>
    <t>Akademickie Technikum Wojskowe im. Obrońców Wisły 1920 roku we Włocławku</t>
  </si>
  <si>
    <t>Szkoły policealne</t>
  </si>
  <si>
    <t>Publiczna Szkoła Policealna  "Cosinus Plus" we Włocławku</t>
  </si>
  <si>
    <t>Policealna Szkoła Techników Ochrony Fizycznej Osób i Mienia Elitarne Studium Służb Ochrony "Delta"</t>
  </si>
  <si>
    <t>Zaoczna Policealna Szkoła Zawodowa "Pascal" we Włocławku</t>
  </si>
  <si>
    <t>Stacjonarna Policealna Szkoła Medyczna "Pascal" we Włocławku</t>
  </si>
  <si>
    <t>Policealna Szkoła Medyczna "Pascal"</t>
  </si>
  <si>
    <t>Policealna Szkoła Centrum Nauki i Biznesu "Żak"</t>
  </si>
  <si>
    <t xml:space="preserve">Szkoła Policealna "Spectrum" </t>
  </si>
  <si>
    <t>Policealna Szkoła Futuro</t>
  </si>
  <si>
    <t>Szkoła Policealna Opieki Medycznej "Żak"</t>
  </si>
  <si>
    <t>Akademicka Szkoła Policealna przy Kujawskiej Szkole Wyższej we Włocławku</t>
  </si>
  <si>
    <t>Branżowe szkoły I stopnia</t>
  </si>
  <si>
    <t>Branżowa Szkoła I Stopnia IMPULS</t>
  </si>
  <si>
    <t xml:space="preserve">Branżowa Szkoła I Stopnia nr 9 w Zespole Szkół Włocławskiego Stowarzyszenia Oświatowego "Cogito" </t>
  </si>
  <si>
    <t>Akademickie Liceum Ogólnokształcące nr 1 im. Obrońców Wisły 1920 roku we Włocławku</t>
  </si>
  <si>
    <t>Akademickie Liceum Ogólnokształcące Mistrzostwa Sportowego nr 1 im. Obrońców Wisły 1920 roku we Włocławku</t>
  </si>
  <si>
    <t>Liceum Ogólnokształcące Montessorii</t>
  </si>
  <si>
    <t>Publiczne Liceum Ogólnokształcące im. Ks. J. Długosza</t>
  </si>
  <si>
    <t>Licea ogólnokształcące dla dorosłych</t>
  </si>
  <si>
    <t>Liceum Ogólnokształcące dla Dorosłych Futuro</t>
  </si>
  <si>
    <t>Prywatne Liceum Ogólnokształcące dla Dorosłych (Katarzyna Balcer)</t>
  </si>
  <si>
    <t>Liceum Ogólnokształcące dla Dorosłych "Pascal' we Włocławku</t>
  </si>
  <si>
    <t xml:space="preserve">Liceum Ogólnokształcące "Spectrum" we Włocławku </t>
  </si>
  <si>
    <t>Liceum Ogólnokształcące dla Dorosłych "Żak"</t>
  </si>
  <si>
    <t>Publiczne Liceum Ogólnokształcące dla Dorosłych "Cosinus Plus"</t>
  </si>
  <si>
    <t>Realizacja zadań wymagających stosowania specjalnej organizacji nauki i metod pracy dla dzieci w przedszkolach, oddziałach przedszkolnych w szkołach podstawowych i innych formach wychowania przedszkolnego</t>
  </si>
  <si>
    <t>Terapeutyczny Punkt Przedszkolny Neuromind</t>
  </si>
  <si>
    <t>Terapeutyczny Punkt Przedszkolny "Synapsik"</t>
  </si>
  <si>
    <t>Terapeutyczny Punkt Przedszkolny "Zielony Słonik"</t>
  </si>
  <si>
    <t>Realizacja zadań wymagających stosowania specjalnej organizacji nauki i metod pracy dla dzieci i młodzieży w szkołach podstawowych</t>
  </si>
  <si>
    <t>Szkoła Podstawowa z oddziałami dwujęzycznymi Monttessori-      Schule</t>
  </si>
  <si>
    <t>Kwalifikacyjne kursy zawodowe</t>
  </si>
  <si>
    <t>Szkoła Policealna "Cosinus Plus" we Włocławku</t>
  </si>
  <si>
    <t>Realizacja zadań wymagających stosowania specjalnej organizacji nauki i metod pracy dla dzieci i młodzieży w gimnazjach, klasach dotychczasowego gimnazjum prowadzonych w szkołach innego typu, liceach ogólnokształcących, technikach, szkołach policealnych, branżowych szkołach I i II  stopnia i klasach dotychczasowej zasadniczej szkoły zawodowej prowadzonych w branżowych szkołach I stopnia oraz szkołach artystycznych</t>
  </si>
  <si>
    <t>Rehabilitacja zawodowa i społeczna osób niepełnosprawnych</t>
  </si>
  <si>
    <t>Warsztaty Terapii Zajęciowej</t>
  </si>
  <si>
    <t>Specjalne ośrodki wychowawcze</t>
  </si>
  <si>
    <t>Specjalny Ośrodek Wychowawczy Zgromadzenia Sióstr Orionistek</t>
  </si>
  <si>
    <t>Wczesne wspomaganie rozwoju dziecka</t>
  </si>
  <si>
    <t>Poradnia Psychologiczno - Pedagogiczna "Vitamed"</t>
  </si>
  <si>
    <t>Internat Zespołu Szkół Katolickich im. Ks. J. Długosza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</si>
</sst>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name val="Arial"/>
      <family val="2"/>
      <charset val="238"/>
    </font>
    <font>
      <sz val="8"/>
      <name val="Arial Narrow"/>
      <family val="2"/>
      <charset val="238"/>
    </font>
    <font>
      <sz val="7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8"/>
      <color theme="1"/>
      <name val="Arial Narrow"/>
      <family val="2"/>
      <charset val="238"/>
    </font>
    <font>
      <sz val="9"/>
      <name val="Arial Narrow"/>
      <family val="2"/>
      <charset val="238"/>
    </font>
    <font>
      <i/>
      <sz val="8"/>
      <name val="Arial Narrow"/>
      <family val="2"/>
      <charset val="238"/>
    </font>
    <font>
      <sz val="11"/>
      <color rgb="FF9C0006"/>
      <name val="Calibri"/>
      <family val="2"/>
      <charset val="238"/>
      <scheme val="minor"/>
    </font>
    <font>
      <b/>
      <sz val="9"/>
      <name val="Arial CE"/>
      <family val="2"/>
      <charset val="238"/>
    </font>
    <font>
      <sz val="9"/>
      <name val="Arial"/>
      <family val="2"/>
      <charset val="238"/>
    </font>
    <font>
      <b/>
      <sz val="9"/>
      <name val="Arial CE"/>
      <charset val="238"/>
    </font>
    <font>
      <sz val="9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sz val="8"/>
      <name val="Arial CE"/>
      <family val="2"/>
      <charset val="238"/>
    </font>
    <font>
      <b/>
      <i/>
      <sz val="8"/>
      <name val="Arial Narrow"/>
      <family val="2"/>
      <charset val="238"/>
    </font>
    <font>
      <b/>
      <i/>
      <sz val="8"/>
      <color theme="1"/>
      <name val="Arial Narrow"/>
      <family val="2"/>
      <charset val="238"/>
    </font>
    <font>
      <i/>
      <sz val="8"/>
      <name val="Arial CE"/>
      <charset val="238"/>
    </font>
    <font>
      <sz val="8"/>
      <name val="Arial"/>
      <family val="2"/>
      <charset val="238"/>
    </font>
    <font>
      <b/>
      <sz val="9"/>
      <color rgb="FFFF0000"/>
      <name val="Arial Narrow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Arial CE"/>
      <family val="2"/>
      <charset val="238"/>
    </font>
    <font>
      <b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7.5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color theme="1"/>
      <name val="Arial CE"/>
      <charset val="238"/>
    </font>
    <font>
      <i/>
      <sz val="7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sz val="6"/>
      <name val="Arial Narrow"/>
      <family val="2"/>
      <charset val="238"/>
    </font>
    <font>
      <sz val="8"/>
      <color rgb="FFFF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 style="mediumDashDot">
        <color indexed="64"/>
      </top>
      <bottom style="hair">
        <color indexed="64"/>
      </bottom>
      <diagonal/>
    </border>
    <border>
      <left style="thin">
        <color indexed="64"/>
      </left>
      <right/>
      <top style="mediumDashDot">
        <color indexed="64"/>
      </top>
      <bottom style="hair">
        <color indexed="64"/>
      </bottom>
      <diagonal/>
    </border>
    <border>
      <left/>
      <right/>
      <top style="mediumDashDot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26">
    <xf numFmtId="0" fontId="0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7" fillId="0" borderId="0" applyFont="0" applyFill="0" applyBorder="0" applyAlignment="0" applyProtection="0"/>
    <xf numFmtId="0" fontId="18" fillId="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7" fillId="0" borderId="0"/>
    <xf numFmtId="0" fontId="9" fillId="0" borderId="0"/>
    <xf numFmtId="0" fontId="9" fillId="0" borderId="0"/>
  </cellStyleXfs>
  <cellXfs count="519">
    <xf numFmtId="0" fontId="0" fillId="0" borderId="0" xfId="0"/>
    <xf numFmtId="0" fontId="14" fillId="0" borderId="3" xfId="2" applyFont="1" applyBorder="1" applyAlignment="1">
      <alignment horizontal="center"/>
    </xf>
    <xf numFmtId="0" fontId="14" fillId="0" borderId="3" xfId="2" applyFont="1" applyBorder="1" applyAlignment="1">
      <alignment horizontal="right"/>
    </xf>
    <xf numFmtId="4" fontId="14" fillId="0" borderId="10" xfId="2" applyNumberFormat="1" applyFont="1" applyBorder="1"/>
    <xf numFmtId="0" fontId="10" fillId="0" borderId="3" xfId="2" applyFont="1" applyBorder="1" applyAlignment="1">
      <alignment horizontal="center"/>
    </xf>
    <xf numFmtId="0" fontId="10" fillId="0" borderId="3" xfId="2" applyFont="1" applyBorder="1" applyAlignment="1">
      <alignment horizontal="right" vertical="center"/>
    </xf>
    <xf numFmtId="0" fontId="10" fillId="0" borderId="3" xfId="2" applyFont="1" applyBorder="1" applyAlignment="1">
      <alignment vertical="center"/>
    </xf>
    <xf numFmtId="0" fontId="10" fillId="0" borderId="5" xfId="2" applyFont="1" applyBorder="1" applyAlignment="1">
      <alignment horizontal="center"/>
    </xf>
    <xf numFmtId="0" fontId="10" fillId="0" borderId="5" xfId="2" applyFont="1" applyBorder="1" applyAlignment="1">
      <alignment horizontal="right" vertical="center"/>
    </xf>
    <xf numFmtId="0" fontId="10" fillId="0" borderId="5" xfId="2" applyFont="1" applyBorder="1"/>
    <xf numFmtId="0" fontId="10" fillId="0" borderId="3" xfId="2" applyFont="1" applyBorder="1" applyAlignment="1">
      <alignment horizontal="right"/>
    </xf>
    <xf numFmtId="0" fontId="10" fillId="0" borderId="3" xfId="2" applyFont="1" applyBorder="1"/>
    <xf numFmtId="0" fontId="10" fillId="0" borderId="3" xfId="2" applyFont="1" applyBorder="1" applyAlignment="1">
      <alignment horizontal="right" vertical="top"/>
    </xf>
    <xf numFmtId="4" fontId="10" fillId="0" borderId="3" xfId="2" applyNumberFormat="1" applyFont="1" applyBorder="1" applyAlignment="1">
      <alignment horizontal="right"/>
    </xf>
    <xf numFmtId="4" fontId="10" fillId="0" borderId="3" xfId="2" applyNumberFormat="1" applyFont="1" applyBorder="1"/>
    <xf numFmtId="0" fontId="17" fillId="0" borderId="11" xfId="2" applyFont="1" applyBorder="1" applyAlignment="1">
      <alignment horizontal="left"/>
    </xf>
    <xf numFmtId="0" fontId="17" fillId="0" borderId="11" xfId="2" applyFont="1" applyBorder="1" applyAlignment="1">
      <alignment horizontal="left" wrapText="1"/>
    </xf>
    <xf numFmtId="0" fontId="17" fillId="0" borderId="3" xfId="2" applyFont="1" applyBorder="1" applyAlignment="1">
      <alignment horizontal="right"/>
    </xf>
    <xf numFmtId="0" fontId="17" fillId="0" borderId="11" xfId="2" applyFont="1" applyBorder="1"/>
    <xf numFmtId="0" fontId="17" fillId="0" borderId="11" xfId="2" applyFont="1" applyBorder="1" applyAlignment="1">
      <alignment wrapText="1"/>
    </xf>
    <xf numFmtId="0" fontId="10" fillId="0" borderId="4" xfId="2" applyFont="1" applyBorder="1"/>
    <xf numFmtId="0" fontId="15" fillId="0" borderId="0" xfId="2" applyFont="1"/>
    <xf numFmtId="4" fontId="10" fillId="0" borderId="5" xfId="2" applyNumberFormat="1" applyFont="1" applyBorder="1"/>
    <xf numFmtId="0" fontId="17" fillId="0" borderId="11" xfId="2" applyFont="1" applyBorder="1" applyAlignment="1">
      <alignment vertical="center" wrapText="1"/>
    </xf>
    <xf numFmtId="0" fontId="14" fillId="0" borderId="3" xfId="2" applyFont="1" applyBorder="1"/>
    <xf numFmtId="0" fontId="15" fillId="0" borderId="0" xfId="18" applyFont="1"/>
    <xf numFmtId="0" fontId="10" fillId="0" borderId="0" xfId="18" applyFont="1" applyAlignment="1">
      <alignment horizontal="left"/>
    </xf>
    <xf numFmtId="0" fontId="10" fillId="0" borderId="0" xfId="18" applyFont="1"/>
    <xf numFmtId="0" fontId="20" fillId="0" borderId="0" xfId="18" applyFont="1"/>
    <xf numFmtId="0" fontId="19" fillId="0" borderId="0" xfId="18" applyFont="1" applyAlignment="1">
      <alignment horizontal="centerContinuous" vertical="center"/>
    </xf>
    <xf numFmtId="0" fontId="22" fillId="0" borderId="0" xfId="18" applyFont="1"/>
    <xf numFmtId="0" fontId="1" fillId="0" borderId="0" xfId="18" applyAlignment="1">
      <alignment vertical="center"/>
    </xf>
    <xf numFmtId="0" fontId="23" fillId="0" borderId="0" xfId="18" applyFont="1" applyAlignment="1">
      <alignment vertical="center"/>
    </xf>
    <xf numFmtId="0" fontId="24" fillId="0" borderId="0" xfId="18" applyFont="1" applyAlignment="1">
      <alignment horizontal="center" vertical="center"/>
    </xf>
    <xf numFmtId="0" fontId="1" fillId="0" borderId="0" xfId="18"/>
    <xf numFmtId="0" fontId="14" fillId="3" borderId="1" xfId="18" applyFont="1" applyFill="1" applyBorder="1" applyAlignment="1">
      <alignment horizontal="center" vertical="center"/>
    </xf>
    <xf numFmtId="0" fontId="14" fillId="3" borderId="2" xfId="18" applyFont="1" applyFill="1" applyBorder="1" applyAlignment="1">
      <alignment horizontal="center" vertical="center"/>
    </xf>
    <xf numFmtId="0" fontId="14" fillId="3" borderId="2" xfId="18" applyFont="1" applyFill="1" applyBorder="1" applyAlignment="1">
      <alignment horizontal="center" vertical="center" wrapText="1"/>
    </xf>
    <xf numFmtId="0" fontId="14" fillId="3" borderId="3" xfId="18" applyFont="1" applyFill="1" applyBorder="1" applyAlignment="1">
      <alignment horizontal="center" vertical="center"/>
    </xf>
    <xf numFmtId="0" fontId="14" fillId="3" borderId="5" xfId="18" applyFont="1" applyFill="1" applyBorder="1" applyAlignment="1">
      <alignment horizontal="center" vertical="center"/>
    </xf>
    <xf numFmtId="0" fontId="10" fillId="3" borderId="15" xfId="18" applyFont="1" applyFill="1" applyBorder="1" applyAlignment="1">
      <alignment horizontal="center" vertical="center"/>
    </xf>
    <xf numFmtId="0" fontId="14" fillId="0" borderId="5" xfId="18" applyFont="1" applyBorder="1" applyAlignment="1">
      <alignment vertical="center"/>
    </xf>
    <xf numFmtId="0" fontId="14" fillId="0" borderId="5" xfId="18" applyFont="1" applyBorder="1" applyAlignment="1">
      <alignment horizontal="center" vertical="center"/>
    </xf>
    <xf numFmtId="0" fontId="25" fillId="0" borderId="16" xfId="18" applyFont="1" applyBorder="1" applyAlignment="1">
      <alignment vertical="center" wrapText="1"/>
    </xf>
    <xf numFmtId="3" fontId="15" fillId="0" borderId="16" xfId="18" applyNumberFormat="1" applyFont="1" applyBorder="1" applyAlignment="1">
      <alignment vertical="center"/>
    </xf>
    <xf numFmtId="0" fontId="10" fillId="0" borderId="3" xfId="18" applyFont="1" applyBorder="1" applyAlignment="1">
      <alignment horizontal="center" vertical="center"/>
    </xf>
    <xf numFmtId="0" fontId="15" fillId="0" borderId="3" xfId="18" applyFont="1" applyBorder="1" applyAlignment="1">
      <alignment horizontal="center" vertical="center"/>
    </xf>
    <xf numFmtId="0" fontId="10" fillId="0" borderId="1" xfId="18" applyFont="1" applyBorder="1" applyAlignment="1">
      <alignment horizontal="left" vertical="center" indent="2"/>
    </xf>
    <xf numFmtId="4" fontId="15" fillId="0" borderId="1" xfId="18" applyNumberFormat="1" applyFont="1" applyBorder="1" applyAlignment="1">
      <alignment vertical="center"/>
    </xf>
    <xf numFmtId="0" fontId="10" fillId="0" borderId="3" xfId="18" applyFont="1" applyBorder="1" applyAlignment="1">
      <alignment horizontal="left" vertical="center" indent="2"/>
    </xf>
    <xf numFmtId="4" fontId="15" fillId="0" borderId="3" xfId="18" applyNumberFormat="1" applyFont="1" applyBorder="1" applyAlignment="1">
      <alignment vertical="center"/>
    </xf>
    <xf numFmtId="0" fontId="10" fillId="0" borderId="5" xfId="18" applyFont="1" applyBorder="1" applyAlignment="1">
      <alignment horizontal="center" vertical="center"/>
    </xf>
    <xf numFmtId="0" fontId="15" fillId="0" borderId="5" xfId="18" applyFont="1" applyBorder="1" applyAlignment="1">
      <alignment horizontal="center" vertical="top"/>
    </xf>
    <xf numFmtId="0" fontId="10" fillId="0" borderId="5" xfId="18" applyFont="1" applyBorder="1" applyAlignment="1">
      <alignment horizontal="left" vertical="center" indent="2"/>
    </xf>
    <xf numFmtId="4" fontId="15" fillId="0" borderId="5" xfId="18" applyNumberFormat="1" applyFont="1" applyBorder="1" applyAlignment="1">
      <alignment vertical="top"/>
    </xf>
    <xf numFmtId="0" fontId="10" fillId="0" borderId="6" xfId="18" applyFont="1" applyBorder="1" applyAlignment="1">
      <alignment horizontal="center" vertical="center"/>
    </xf>
    <xf numFmtId="0" fontId="14" fillId="0" borderId="15" xfId="18" applyFont="1" applyBorder="1" applyAlignment="1">
      <alignment horizontal="center" vertical="center"/>
    </xf>
    <xf numFmtId="0" fontId="10" fillId="0" borderId="6" xfId="18" applyFont="1" applyBorder="1" applyAlignment="1">
      <alignment horizontal="left" vertical="center" indent="2"/>
    </xf>
    <xf numFmtId="4" fontId="15" fillId="0" borderId="6" xfId="18" applyNumberFormat="1" applyFont="1" applyBorder="1" applyAlignment="1">
      <alignment vertical="top"/>
    </xf>
    <xf numFmtId="0" fontId="10" fillId="0" borderId="6" xfId="18" applyFont="1" applyBorder="1" applyAlignment="1">
      <alignment horizontal="center" vertical="top"/>
    </xf>
    <xf numFmtId="0" fontId="15" fillId="0" borderId="3" xfId="18" applyFont="1" applyBorder="1" applyAlignment="1">
      <alignment horizontal="center" vertical="top"/>
    </xf>
    <xf numFmtId="0" fontId="10" fillId="0" borderId="3" xfId="18" applyFont="1" applyBorder="1" applyAlignment="1">
      <alignment horizontal="left" vertical="center" wrapText="1" indent="2"/>
    </xf>
    <xf numFmtId="4" fontId="15" fillId="0" borderId="6" xfId="18" applyNumberFormat="1" applyFont="1" applyBorder="1"/>
    <xf numFmtId="4" fontId="15" fillId="0" borderId="5" xfId="18" applyNumberFormat="1" applyFont="1" applyBorder="1"/>
    <xf numFmtId="0" fontId="10" fillId="0" borderId="17" xfId="18" applyFont="1" applyBorder="1" applyAlignment="1">
      <alignment horizontal="center" vertical="center"/>
    </xf>
    <xf numFmtId="0" fontId="15" fillId="0" borderId="18" xfId="18" applyFont="1" applyBorder="1" applyAlignment="1">
      <alignment horizontal="center" vertical="top"/>
    </xf>
    <xf numFmtId="0" fontId="26" fillId="0" borderId="17" xfId="18" applyFont="1" applyBorder="1" applyAlignment="1">
      <alignment horizontal="center"/>
    </xf>
    <xf numFmtId="4" fontId="26" fillId="0" borderId="17" xfId="18" applyNumberFormat="1" applyFont="1" applyBorder="1"/>
    <xf numFmtId="4" fontId="26" fillId="0" borderId="15" xfId="18" applyNumberFormat="1" applyFont="1" applyBorder="1"/>
    <xf numFmtId="0" fontId="10" fillId="0" borderId="0" xfId="18" applyFont="1" applyAlignment="1">
      <alignment horizontal="center" vertical="center"/>
    </xf>
    <xf numFmtId="0" fontId="15" fillId="0" borderId="0" xfId="18" applyFont="1" applyAlignment="1">
      <alignment horizontal="center" vertical="center"/>
    </xf>
    <xf numFmtId="0" fontId="10" fillId="0" borderId="0" xfId="18" applyFont="1" applyAlignment="1">
      <alignment horizontal="left" vertical="center" indent="2"/>
    </xf>
    <xf numFmtId="4" fontId="15" fillId="0" borderId="0" xfId="18" applyNumberFormat="1" applyFont="1" applyAlignment="1">
      <alignment vertical="center"/>
    </xf>
    <xf numFmtId="0" fontId="25" fillId="0" borderId="15" xfId="18" applyFont="1" applyBorder="1" applyAlignment="1">
      <alignment vertical="center" wrapText="1"/>
    </xf>
    <xf numFmtId="3" fontId="15" fillId="0" borderId="15" xfId="18" applyNumberFormat="1" applyFont="1" applyBorder="1" applyAlignment="1">
      <alignment vertical="center"/>
    </xf>
    <xf numFmtId="0" fontId="10" fillId="0" borderId="1" xfId="18" applyFont="1" applyBorder="1" applyAlignment="1">
      <alignment horizontal="center" vertical="center"/>
    </xf>
    <xf numFmtId="0" fontId="15" fillId="0" borderId="1" xfId="18" applyFont="1" applyBorder="1" applyAlignment="1">
      <alignment horizontal="center" vertical="center"/>
    </xf>
    <xf numFmtId="4" fontId="15" fillId="0" borderId="3" xfId="18" applyNumberFormat="1" applyFont="1" applyBorder="1" applyAlignment="1">
      <alignment vertical="top"/>
    </xf>
    <xf numFmtId="4" fontId="15" fillId="0" borderId="3" xfId="18" applyNumberFormat="1" applyFont="1" applyBorder="1" applyAlignment="1">
      <alignment horizontal="right" vertical="center"/>
    </xf>
    <xf numFmtId="0" fontId="10" fillId="0" borderId="3" xfId="18" applyFont="1" applyBorder="1" applyAlignment="1">
      <alignment horizontal="center" vertical="top"/>
    </xf>
    <xf numFmtId="0" fontId="10" fillId="0" borderId="3" xfId="18" applyFont="1" applyBorder="1" applyAlignment="1">
      <alignment horizontal="left" vertical="top" wrapText="1" indent="2"/>
    </xf>
    <xf numFmtId="4" fontId="15" fillId="0" borderId="3" xfId="18" applyNumberFormat="1" applyFont="1" applyBorder="1"/>
    <xf numFmtId="0" fontId="15" fillId="0" borderId="15" xfId="18" applyFont="1" applyBorder="1" applyAlignment="1">
      <alignment horizontal="center" vertical="center"/>
    </xf>
    <xf numFmtId="0" fontId="10" fillId="0" borderId="15" xfId="18" applyFont="1" applyBorder="1" applyAlignment="1">
      <alignment horizontal="left" vertical="center" indent="2"/>
    </xf>
    <xf numFmtId="4" fontId="15" fillId="0" borderId="15" xfId="18" applyNumberFormat="1" applyFont="1" applyBorder="1" applyAlignment="1">
      <alignment vertical="center"/>
    </xf>
    <xf numFmtId="0" fontId="15" fillId="0" borderId="5" xfId="18" applyFont="1" applyBorder="1" applyAlignment="1">
      <alignment horizontal="center" vertical="center"/>
    </xf>
    <xf numFmtId="4" fontId="15" fillId="0" borderId="5" xfId="18" applyNumberFormat="1" applyFont="1" applyBorder="1" applyAlignment="1">
      <alignment vertical="center"/>
    </xf>
    <xf numFmtId="4" fontId="15" fillId="0" borderId="5" xfId="18" applyNumberFormat="1" applyFont="1" applyBorder="1" applyAlignment="1">
      <alignment horizontal="right" vertical="center"/>
    </xf>
    <xf numFmtId="0" fontId="15" fillId="0" borderId="6" xfId="18" applyFont="1" applyBorder="1" applyAlignment="1">
      <alignment vertical="top"/>
    </xf>
    <xf numFmtId="4" fontId="26" fillId="0" borderId="5" xfId="18" applyNumberFormat="1" applyFont="1" applyBorder="1" applyAlignment="1">
      <alignment vertical="center"/>
    </xf>
    <xf numFmtId="0" fontId="15" fillId="0" borderId="17" xfId="18" applyFont="1" applyBorder="1"/>
    <xf numFmtId="0" fontId="15" fillId="0" borderId="15" xfId="18" applyFont="1" applyBorder="1"/>
    <xf numFmtId="0" fontId="27" fillId="0" borderId="0" xfId="18" applyFont="1"/>
    <xf numFmtId="0" fontId="28" fillId="0" borderId="0" xfId="18" applyFont="1"/>
    <xf numFmtId="49" fontId="10" fillId="0" borderId="0" xfId="18" applyNumberFormat="1" applyFont="1"/>
    <xf numFmtId="0" fontId="12" fillId="0" borderId="0" xfId="18" applyFont="1"/>
    <xf numFmtId="0" fontId="13" fillId="0" borderId="0" xfId="18" applyFont="1" applyAlignment="1">
      <alignment horizontal="centerContinuous"/>
    </xf>
    <xf numFmtId="0" fontId="12" fillId="0" borderId="0" xfId="18" applyFont="1" applyAlignment="1">
      <alignment horizontal="centerContinuous"/>
    </xf>
    <xf numFmtId="49" fontId="13" fillId="0" borderId="0" xfId="18" applyNumberFormat="1" applyFont="1" applyAlignment="1">
      <alignment horizontal="centerContinuous"/>
    </xf>
    <xf numFmtId="0" fontId="14" fillId="0" borderId="0" xfId="18" applyFont="1"/>
    <xf numFmtId="0" fontId="10" fillId="0" borderId="0" xfId="18" applyFont="1" applyAlignment="1">
      <alignment horizontal="center"/>
    </xf>
    <xf numFmtId="0" fontId="11" fillId="0" borderId="0" xfId="18" applyFont="1" applyAlignment="1">
      <alignment horizontal="center"/>
    </xf>
    <xf numFmtId="0" fontId="10" fillId="0" borderId="1" xfId="18" applyFont="1" applyBorder="1"/>
    <xf numFmtId="49" fontId="10" fillId="0" borderId="1" xfId="18" applyNumberFormat="1" applyFont="1" applyBorder="1"/>
    <xf numFmtId="0" fontId="14" fillId="0" borderId="2" xfId="18" applyFont="1" applyBorder="1"/>
    <xf numFmtId="0" fontId="14" fillId="0" borderId="1" xfId="18" applyFont="1" applyBorder="1" applyAlignment="1">
      <alignment horizontal="center"/>
    </xf>
    <xf numFmtId="3" fontId="10" fillId="0" borderId="1" xfId="18" applyNumberFormat="1" applyFont="1" applyBorder="1"/>
    <xf numFmtId="0" fontId="10" fillId="0" borderId="1" xfId="18" applyFont="1" applyBorder="1" applyAlignment="1">
      <alignment horizontal="center"/>
    </xf>
    <xf numFmtId="0" fontId="14" fillId="0" borderId="3" xfId="18" applyFont="1" applyBorder="1" applyAlignment="1">
      <alignment horizontal="center"/>
    </xf>
    <xf numFmtId="49" fontId="14" fillId="0" borderId="3" xfId="18" applyNumberFormat="1" applyFont="1" applyBorder="1" applyAlignment="1">
      <alignment horizontal="center"/>
    </xf>
    <xf numFmtId="0" fontId="14" fillId="0" borderId="4" xfId="18" applyFont="1" applyBorder="1" applyAlignment="1">
      <alignment horizontal="center"/>
    </xf>
    <xf numFmtId="3" fontId="14" fillId="0" borderId="3" xfId="18" applyNumberFormat="1" applyFont="1" applyBorder="1" applyAlignment="1">
      <alignment horizontal="center"/>
    </xf>
    <xf numFmtId="0" fontId="14" fillId="0" borderId="5" xfId="18" applyFont="1" applyBorder="1" applyAlignment="1">
      <alignment horizontal="center"/>
    </xf>
    <xf numFmtId="49" fontId="14" fillId="0" borderId="5" xfId="18" applyNumberFormat="1" applyFont="1" applyBorder="1" applyAlignment="1">
      <alignment horizontal="center"/>
    </xf>
    <xf numFmtId="0" fontId="14" fillId="0" borderId="6" xfId="18" applyFont="1" applyBorder="1" applyAlignment="1">
      <alignment horizontal="center"/>
    </xf>
    <xf numFmtId="3" fontId="14" fillId="0" borderId="5" xfId="18" applyNumberFormat="1" applyFont="1" applyBorder="1" applyAlignment="1">
      <alignment horizontal="center"/>
    </xf>
    <xf numFmtId="3" fontId="10" fillId="0" borderId="3" xfId="18" applyNumberFormat="1" applyFont="1" applyBorder="1"/>
    <xf numFmtId="49" fontId="10" fillId="0" borderId="3" xfId="18" applyNumberFormat="1" applyFont="1" applyBorder="1" applyAlignment="1">
      <alignment horizontal="right"/>
    </xf>
    <xf numFmtId="0" fontId="14" fillId="0" borderId="7" xfId="18" applyFont="1" applyBorder="1"/>
    <xf numFmtId="4" fontId="14" fillId="0" borderId="8" xfId="18" applyNumberFormat="1" applyFont="1" applyBorder="1"/>
    <xf numFmtId="0" fontId="14" fillId="0" borderId="9" xfId="18" applyFont="1" applyBorder="1"/>
    <xf numFmtId="4" fontId="14" fillId="0" borderId="10" xfId="18" applyNumberFormat="1" applyFont="1" applyBorder="1"/>
    <xf numFmtId="3" fontId="14" fillId="0" borderId="3" xfId="18" applyNumberFormat="1" applyFont="1" applyBorder="1" applyAlignment="1">
      <alignment horizontal="right"/>
    </xf>
    <xf numFmtId="49" fontId="14" fillId="0" borderId="3" xfId="18" applyNumberFormat="1" applyFont="1" applyBorder="1" applyAlignment="1">
      <alignment horizontal="right"/>
    </xf>
    <xf numFmtId="3" fontId="14" fillId="0" borderId="4" xfId="18" applyNumberFormat="1" applyFont="1" applyBorder="1"/>
    <xf numFmtId="4" fontId="14" fillId="0" borderId="10" xfId="18" applyNumberFormat="1" applyFont="1" applyBorder="1" applyAlignment="1">
      <alignment horizontal="right"/>
    </xf>
    <xf numFmtId="0" fontId="10" fillId="0" borderId="3" xfId="18" applyFont="1" applyBorder="1"/>
    <xf numFmtId="0" fontId="10" fillId="0" borderId="6" xfId="18" applyFont="1" applyBorder="1"/>
    <xf numFmtId="4" fontId="10" fillId="0" borderId="5" xfId="18" applyNumberFormat="1" applyFont="1" applyBorder="1" applyAlignment="1">
      <alignment horizontal="right"/>
    </xf>
    <xf numFmtId="4" fontId="10" fillId="0" borderId="5" xfId="18" applyNumberFormat="1" applyFont="1" applyBorder="1"/>
    <xf numFmtId="49" fontId="10" fillId="0" borderId="3" xfId="18" applyNumberFormat="1" applyFont="1" applyBorder="1" applyAlignment="1">
      <alignment horizontal="center"/>
    </xf>
    <xf numFmtId="49" fontId="17" fillId="0" borderId="3" xfId="18" applyNumberFormat="1" applyFont="1" applyBorder="1" applyAlignment="1">
      <alignment horizontal="right"/>
    </xf>
    <xf numFmtId="0" fontId="17" fillId="0" borderId="12" xfId="18" applyFont="1" applyBorder="1" applyAlignment="1">
      <alignment vertical="center" wrapText="1"/>
    </xf>
    <xf numFmtId="4" fontId="17" fillId="0" borderId="11" xfId="18" applyNumberFormat="1" applyFont="1" applyBorder="1"/>
    <xf numFmtId="4" fontId="17" fillId="0" borderId="11" xfId="18" applyNumberFormat="1" applyFont="1" applyBorder="1" applyAlignment="1">
      <alignment horizontal="right"/>
    </xf>
    <xf numFmtId="3" fontId="10" fillId="0" borderId="3" xfId="18" applyNumberFormat="1" applyFont="1" applyBorder="1" applyAlignment="1">
      <alignment horizontal="right"/>
    </xf>
    <xf numFmtId="49" fontId="10" fillId="0" borderId="3" xfId="18" applyNumberFormat="1" applyFont="1" applyBorder="1" applyAlignment="1">
      <alignment horizontal="right" vertical="top"/>
    </xf>
    <xf numFmtId="0" fontId="10" fillId="0" borderId="4" xfId="18" applyFont="1" applyBorder="1" applyAlignment="1">
      <alignment vertical="top" wrapText="1"/>
    </xf>
    <xf numFmtId="4" fontId="10" fillId="0" borderId="3" xfId="18" applyNumberFormat="1" applyFont="1" applyBorder="1"/>
    <xf numFmtId="4" fontId="10" fillId="0" borderId="3" xfId="18" applyNumberFormat="1" applyFont="1" applyBorder="1" applyAlignment="1">
      <alignment horizontal="right"/>
    </xf>
    <xf numFmtId="3" fontId="14" fillId="0" borderId="3" xfId="18" applyNumberFormat="1" applyFont="1" applyBorder="1"/>
    <xf numFmtId="49" fontId="16" fillId="0" borderId="3" xfId="18" applyNumberFormat="1" applyFont="1" applyBorder="1" applyAlignment="1">
      <alignment horizontal="right"/>
    </xf>
    <xf numFmtId="0" fontId="17" fillId="0" borderId="11" xfId="18" applyFont="1" applyBorder="1" applyAlignment="1">
      <alignment vertical="center" wrapText="1"/>
    </xf>
    <xf numFmtId="0" fontId="10" fillId="0" borderId="4" xfId="18" applyFont="1" applyBorder="1" applyAlignment="1">
      <alignment vertical="center" wrapText="1"/>
    </xf>
    <xf numFmtId="0" fontId="17" fillId="0" borderId="12" xfId="18" applyFont="1" applyBorder="1" applyAlignment="1">
      <alignment vertical="center"/>
    </xf>
    <xf numFmtId="0" fontId="10" fillId="0" borderId="3" xfId="18" applyFont="1" applyBorder="1" applyAlignment="1">
      <alignment vertical="top" wrapText="1"/>
    </xf>
    <xf numFmtId="0" fontId="10" fillId="0" borderId="3" xfId="18" applyFont="1" applyBorder="1" applyAlignment="1">
      <alignment horizontal="right" vertical="top"/>
    </xf>
    <xf numFmtId="0" fontId="10" fillId="0" borderId="6" xfId="18" applyFont="1" applyBorder="1" applyAlignment="1">
      <alignment wrapText="1"/>
    </xf>
    <xf numFmtId="0" fontId="10" fillId="0" borderId="3" xfId="18" applyFont="1" applyBorder="1" applyAlignment="1">
      <alignment vertical="center" wrapText="1"/>
    </xf>
    <xf numFmtId="0" fontId="10" fillId="0" borderId="3" xfId="18" applyFont="1" applyBorder="1" applyAlignment="1">
      <alignment horizontal="right"/>
    </xf>
    <xf numFmtId="3" fontId="14" fillId="0" borderId="5" xfId="18" applyNumberFormat="1" applyFont="1" applyBorder="1"/>
    <xf numFmtId="49" fontId="10" fillId="0" borderId="5" xfId="18" applyNumberFormat="1" applyFont="1" applyBorder="1" applyAlignment="1">
      <alignment horizontal="right" vertical="top"/>
    </xf>
    <xf numFmtId="0" fontId="10" fillId="0" borderId="5" xfId="18" applyFont="1" applyBorder="1" applyAlignment="1">
      <alignment vertical="center" wrapText="1"/>
    </xf>
    <xf numFmtId="0" fontId="10" fillId="0" borderId="3" xfId="18" applyFont="1" applyBorder="1" applyAlignment="1">
      <alignment horizontal="right" vertical="center"/>
    </xf>
    <xf numFmtId="0" fontId="10" fillId="0" borderId="4" xfId="18" applyFont="1" applyBorder="1" applyAlignment="1">
      <alignment vertical="center"/>
    </xf>
    <xf numFmtId="4" fontId="14" fillId="0" borderId="10" xfId="18" applyNumberFormat="1" applyFont="1" applyBorder="1" applyAlignment="1">
      <alignment vertical="center"/>
    </xf>
    <xf numFmtId="0" fontId="10" fillId="0" borderId="4" xfId="18" applyFont="1" applyBorder="1"/>
    <xf numFmtId="0" fontId="10" fillId="0" borderId="3" xfId="18" applyFont="1" applyBorder="1" applyAlignment="1">
      <alignment horizontal="center"/>
    </xf>
    <xf numFmtId="0" fontId="10" fillId="0" borderId="5" xfId="18" applyFont="1" applyBorder="1"/>
    <xf numFmtId="0" fontId="17" fillId="0" borderId="11" xfId="18" applyFont="1" applyBorder="1"/>
    <xf numFmtId="0" fontId="17" fillId="0" borderId="12" xfId="18" applyFont="1" applyBorder="1"/>
    <xf numFmtId="0" fontId="10" fillId="0" borderId="3" xfId="19" applyFont="1" applyBorder="1" applyAlignment="1">
      <alignment horizontal="right"/>
    </xf>
    <xf numFmtId="4" fontId="17" fillId="0" borderId="11" xfId="19" applyNumberFormat="1" applyFont="1" applyBorder="1" applyAlignment="1">
      <alignment vertical="center"/>
    </xf>
    <xf numFmtId="4" fontId="17" fillId="0" borderId="11" xfId="19" applyNumberFormat="1" applyFont="1" applyBorder="1" applyAlignment="1">
      <alignment horizontal="right" vertical="center"/>
    </xf>
    <xf numFmtId="4" fontId="10" fillId="0" borderId="3" xfId="19" applyNumberFormat="1" applyFont="1" applyBorder="1" applyAlignment="1">
      <alignment vertical="center"/>
    </xf>
    <xf numFmtId="4" fontId="10" fillId="0" borderId="3" xfId="19" applyNumberFormat="1" applyFont="1" applyBorder="1" applyAlignment="1">
      <alignment horizontal="right" vertical="center"/>
    </xf>
    <xf numFmtId="4" fontId="10" fillId="0" borderId="3" xfId="19" applyNumberFormat="1" applyFont="1" applyBorder="1"/>
    <xf numFmtId="4" fontId="10" fillId="0" borderId="11" xfId="18" applyNumberFormat="1" applyFont="1" applyBorder="1"/>
    <xf numFmtId="0" fontId="10" fillId="0" borderId="4" xfId="18" applyFont="1" applyBorder="1" applyAlignment="1">
      <alignment wrapText="1"/>
    </xf>
    <xf numFmtId="49" fontId="10" fillId="0" borderId="5" xfId="18" applyNumberFormat="1" applyFont="1" applyBorder="1" applyAlignment="1">
      <alignment horizontal="right"/>
    </xf>
    <xf numFmtId="0" fontId="10" fillId="0" borderId="5" xfId="18" applyFont="1" applyBorder="1" applyAlignment="1">
      <alignment horizontal="right" vertical="center"/>
    </xf>
    <xf numFmtId="0" fontId="10" fillId="0" borderId="6" xfId="18" applyFont="1" applyBorder="1" applyAlignment="1">
      <alignment vertical="center"/>
    </xf>
    <xf numFmtId="3" fontId="10" fillId="0" borderId="6" xfId="18" applyNumberFormat="1" applyFont="1" applyBorder="1"/>
    <xf numFmtId="3" fontId="10" fillId="0" borderId="4" xfId="18" applyNumberFormat="1" applyFont="1" applyBorder="1"/>
    <xf numFmtId="4" fontId="10" fillId="0" borderId="1" xfId="18" applyNumberFormat="1" applyFont="1" applyBorder="1"/>
    <xf numFmtId="49" fontId="10" fillId="0" borderId="3" xfId="18" applyNumberFormat="1" applyFont="1" applyBorder="1" applyAlignment="1">
      <alignment horizontal="right" vertical="center"/>
    </xf>
    <xf numFmtId="0" fontId="15" fillId="0" borderId="0" xfId="18" applyFont="1" applyAlignment="1">
      <alignment vertical="center"/>
    </xf>
    <xf numFmtId="0" fontId="17" fillId="0" borderId="12" xfId="18" applyFont="1" applyBorder="1" applyAlignment="1">
      <alignment vertical="top" wrapText="1"/>
    </xf>
    <xf numFmtId="4" fontId="17" fillId="0" borderId="13" xfId="18" applyNumberFormat="1" applyFont="1" applyBorder="1"/>
    <xf numFmtId="0" fontId="10" fillId="0" borderId="4" xfId="19" applyFont="1" applyBorder="1"/>
    <xf numFmtId="49" fontId="10" fillId="0" borderId="3" xfId="19" applyNumberFormat="1" applyFont="1" applyBorder="1" applyAlignment="1">
      <alignment horizontal="right"/>
    </xf>
    <xf numFmtId="4" fontId="17" fillId="0" borderId="11" xfId="19" applyNumberFormat="1" applyFont="1" applyBorder="1"/>
    <xf numFmtId="4" fontId="17" fillId="0" borderId="11" xfId="19" applyNumberFormat="1" applyFont="1" applyBorder="1" applyAlignment="1">
      <alignment horizontal="right"/>
    </xf>
    <xf numFmtId="4" fontId="10" fillId="0" borderId="3" xfId="19" applyNumberFormat="1" applyFont="1" applyBorder="1" applyAlignment="1">
      <alignment horizontal="right"/>
    </xf>
    <xf numFmtId="49" fontId="14" fillId="0" borderId="5" xfId="18" applyNumberFormat="1" applyFont="1" applyBorder="1" applyAlignment="1">
      <alignment horizontal="right"/>
    </xf>
    <xf numFmtId="0" fontId="10" fillId="0" borderId="5" xfId="18" applyFont="1" applyBorder="1" applyAlignment="1">
      <alignment horizontal="right"/>
    </xf>
    <xf numFmtId="0" fontId="10" fillId="0" borderId="5" xfId="19" applyFont="1" applyBorder="1" applyAlignment="1">
      <alignment horizontal="right"/>
    </xf>
    <xf numFmtId="0" fontId="10" fillId="0" borderId="6" xfId="19" applyFont="1" applyBorder="1"/>
    <xf numFmtId="0" fontId="17" fillId="0" borderId="12" xfId="18" applyFont="1" applyBorder="1" applyAlignment="1">
      <alignment wrapText="1"/>
    </xf>
    <xf numFmtId="0" fontId="10" fillId="0" borderId="3" xfId="18" applyFont="1" applyBorder="1" applyAlignment="1">
      <alignment vertical="center"/>
    </xf>
    <xf numFmtId="4" fontId="14" fillId="0" borderId="3" xfId="18" applyNumberFormat="1" applyFont="1" applyBorder="1"/>
    <xf numFmtId="0" fontId="17" fillId="0" borderId="14" xfId="18" applyFont="1" applyBorder="1"/>
    <xf numFmtId="4" fontId="17" fillId="0" borderId="13" xfId="18" applyNumberFormat="1" applyFont="1" applyBorder="1" applyAlignment="1">
      <alignment horizontal="right"/>
    </xf>
    <xf numFmtId="4" fontId="10" fillId="0" borderId="5" xfId="18" applyNumberFormat="1" applyFont="1" applyBorder="1" applyAlignment="1">
      <alignment vertical="center"/>
    </xf>
    <xf numFmtId="4" fontId="17" fillId="0" borderId="11" xfId="18" applyNumberFormat="1" applyFont="1" applyBorder="1" applyAlignment="1">
      <alignment vertical="center"/>
    </xf>
    <xf numFmtId="4" fontId="10" fillId="0" borderId="3" xfId="18" applyNumberFormat="1" applyFont="1" applyBorder="1" applyAlignment="1">
      <alignment vertical="center"/>
    </xf>
    <xf numFmtId="4" fontId="10" fillId="0" borderId="3" xfId="18" applyNumberFormat="1" applyFont="1" applyBorder="1" applyAlignment="1">
      <alignment horizontal="right" vertical="center"/>
    </xf>
    <xf numFmtId="0" fontId="10" fillId="0" borderId="5" xfId="18" applyFont="1" applyBorder="1" applyAlignment="1">
      <alignment vertical="center"/>
    </xf>
    <xf numFmtId="4" fontId="10" fillId="0" borderId="5" xfId="18" applyNumberFormat="1" applyFont="1" applyBorder="1" applyAlignment="1">
      <alignment horizontal="right" vertical="center"/>
    </xf>
    <xf numFmtId="0" fontId="17" fillId="0" borderId="12" xfId="20" applyFont="1" applyBorder="1" applyAlignment="1">
      <alignment vertical="center" wrapText="1"/>
    </xf>
    <xf numFmtId="0" fontId="17" fillId="0" borderId="12" xfId="21" applyFont="1" applyBorder="1" applyAlignment="1">
      <alignment wrapText="1"/>
    </xf>
    <xf numFmtId="0" fontId="10" fillId="0" borderId="3" xfId="21" applyFont="1" applyBorder="1" applyAlignment="1">
      <alignment horizontal="right"/>
    </xf>
    <xf numFmtId="0" fontId="10" fillId="0" borderId="4" xfId="21" applyFont="1" applyBorder="1"/>
    <xf numFmtId="0" fontId="10" fillId="0" borderId="5" xfId="18" applyFont="1" applyBorder="1" applyAlignment="1">
      <alignment horizontal="right" vertical="top"/>
    </xf>
    <xf numFmtId="0" fontId="10" fillId="0" borderId="3" xfId="18" applyFont="1" applyBorder="1" applyAlignment="1">
      <alignment vertical="top"/>
    </xf>
    <xf numFmtId="3" fontId="10" fillId="0" borderId="6" xfId="18" applyNumberFormat="1" applyFont="1" applyBorder="1" applyAlignment="1">
      <alignment wrapText="1"/>
    </xf>
    <xf numFmtId="4" fontId="10" fillId="0" borderId="4" xfId="18" applyNumberFormat="1" applyFont="1" applyBorder="1"/>
    <xf numFmtId="49" fontId="10" fillId="0" borderId="5" xfId="18" applyNumberFormat="1" applyFont="1" applyBorder="1" applyAlignment="1">
      <alignment horizontal="right" vertical="center"/>
    </xf>
    <xf numFmtId="49" fontId="14" fillId="0" borderId="3" xfId="18" applyNumberFormat="1" applyFont="1" applyBorder="1"/>
    <xf numFmtId="0" fontId="10" fillId="0" borderId="6" xfId="18" applyFont="1" applyBorder="1" applyAlignment="1">
      <alignment horizontal="left"/>
    </xf>
    <xf numFmtId="0" fontId="17" fillId="0" borderId="11" xfId="18" applyFont="1" applyBorder="1" applyAlignment="1">
      <alignment vertical="center"/>
    </xf>
    <xf numFmtId="0" fontId="10" fillId="0" borderId="3" xfId="18" applyFont="1" applyBorder="1" applyAlignment="1">
      <alignment horizontal="left" vertical="center"/>
    </xf>
    <xf numFmtId="0" fontId="10" fillId="0" borderId="4" xfId="18" applyFont="1" applyBorder="1" applyAlignment="1">
      <alignment horizontal="left" vertical="center" wrapText="1"/>
    </xf>
    <xf numFmtId="0" fontId="15" fillId="0" borderId="5" xfId="18" applyFont="1" applyBorder="1"/>
    <xf numFmtId="49" fontId="15" fillId="0" borderId="5" xfId="18" applyNumberFormat="1" applyFont="1" applyBorder="1" applyAlignment="1">
      <alignment horizontal="right"/>
    </xf>
    <xf numFmtId="0" fontId="15" fillId="0" borderId="6" xfId="18" applyFont="1" applyBorder="1"/>
    <xf numFmtId="0" fontId="31" fillId="0" borderId="0" xfId="22" applyFont="1"/>
    <xf numFmtId="0" fontId="32" fillId="0" borderId="0" xfId="22" applyFont="1"/>
    <xf numFmtId="0" fontId="33" fillId="0" borderId="0" xfId="0" applyFont="1"/>
    <xf numFmtId="0" fontId="33" fillId="0" borderId="0" xfId="23" applyFont="1"/>
    <xf numFmtId="0" fontId="33" fillId="0" borderId="0" xfId="0" applyFont="1" applyAlignment="1">
      <alignment horizontal="left"/>
    </xf>
    <xf numFmtId="0" fontId="33" fillId="0" borderId="0" xfId="23" applyFont="1" applyAlignment="1">
      <alignment horizontal="left"/>
    </xf>
    <xf numFmtId="0" fontId="34" fillId="0" borderId="0" xfId="22" applyFont="1" applyAlignment="1">
      <alignment horizontal="centerContinuous" vertical="center"/>
    </xf>
    <xf numFmtId="0" fontId="35" fillId="0" borderId="1" xfId="22" applyFont="1" applyBorder="1" applyAlignment="1">
      <alignment horizontal="center" vertical="center"/>
    </xf>
    <xf numFmtId="0" fontId="35" fillId="0" borderId="1" xfId="22" applyFont="1" applyBorder="1" applyAlignment="1">
      <alignment horizontal="center" vertical="center" wrapText="1"/>
    </xf>
    <xf numFmtId="0" fontId="36" fillId="0" borderId="1" xfId="22" applyFont="1" applyBorder="1" applyAlignment="1">
      <alignment horizontal="center" vertical="top" wrapText="1"/>
    </xf>
    <xf numFmtId="0" fontId="35" fillId="0" borderId="17" xfId="22" applyFont="1" applyBorder="1" applyAlignment="1">
      <alignment horizontal="centerContinuous" vertical="center"/>
    </xf>
    <xf numFmtId="0" fontId="35" fillId="0" borderId="19" xfId="22" applyFont="1" applyBorder="1" applyAlignment="1">
      <alignment horizontal="centerContinuous" vertical="center"/>
    </xf>
    <xf numFmtId="0" fontId="35" fillId="0" borderId="18" xfId="22" applyFont="1" applyBorder="1" applyAlignment="1">
      <alignment horizontal="centerContinuous" vertical="center"/>
    </xf>
    <xf numFmtId="0" fontId="35" fillId="0" borderId="3" xfId="22" applyFont="1" applyBorder="1" applyAlignment="1">
      <alignment horizontal="center" vertical="center"/>
    </xf>
    <xf numFmtId="0" fontId="35" fillId="0" borderId="3" xfId="22" applyFont="1" applyBorder="1" applyAlignment="1">
      <alignment horizontal="center" vertical="center" wrapText="1"/>
    </xf>
    <xf numFmtId="0" fontId="36" fillId="0" borderId="3" xfId="22" applyFont="1" applyBorder="1" applyAlignment="1">
      <alignment horizontal="center" vertical="center" wrapText="1"/>
    </xf>
    <xf numFmtId="0" fontId="32" fillId="0" borderId="20" xfId="22" applyFont="1" applyBorder="1"/>
    <xf numFmtId="0" fontId="35" fillId="0" borderId="5" xfId="22" applyFont="1" applyBorder="1" applyAlignment="1">
      <alignment horizontal="center" vertical="center"/>
    </xf>
    <xf numFmtId="0" fontId="36" fillId="0" borderId="5" xfId="22" applyFont="1" applyBorder="1" applyAlignment="1">
      <alignment horizontal="center" vertical="center" wrapText="1"/>
    </xf>
    <xf numFmtId="0" fontId="35" fillId="0" borderId="5" xfId="22" applyFont="1" applyBorder="1" applyAlignment="1">
      <alignment horizontal="center" vertical="center" wrapText="1"/>
    </xf>
    <xf numFmtId="0" fontId="37" fillId="0" borderId="15" xfId="22" applyFont="1" applyBorder="1" applyAlignment="1">
      <alignment horizontal="center" vertical="center"/>
    </xf>
    <xf numFmtId="0" fontId="37" fillId="0" borderId="19" xfId="22" applyFont="1" applyBorder="1" applyAlignment="1">
      <alignment horizontal="center" vertical="center"/>
    </xf>
    <xf numFmtId="0" fontId="34" fillId="0" borderId="1" xfId="22" applyFont="1" applyBorder="1" applyAlignment="1">
      <alignment horizontal="center" vertical="center"/>
    </xf>
    <xf numFmtId="0" fontId="34" fillId="0" borderId="15" xfId="22" applyFont="1" applyBorder="1" applyAlignment="1">
      <alignment vertical="center"/>
    </xf>
    <xf numFmtId="4" fontId="35" fillId="0" borderId="19" xfId="22" applyNumberFormat="1" applyFont="1" applyBorder="1" applyAlignment="1">
      <alignment horizontal="center" vertical="center"/>
    </xf>
    <xf numFmtId="4" fontId="35" fillId="0" borderId="15" xfId="22" applyNumberFormat="1" applyFont="1" applyBorder="1" applyAlignment="1">
      <alignment vertical="center"/>
    </xf>
    <xf numFmtId="4" fontId="32" fillId="0" borderId="0" xfId="22" applyNumberFormat="1" applyFont="1" applyAlignment="1">
      <alignment horizontal="right" vertical="center"/>
    </xf>
    <xf numFmtId="4" fontId="35" fillId="0" borderId="0" xfId="22" applyNumberFormat="1" applyFont="1"/>
    <xf numFmtId="0" fontId="35" fillId="0" borderId="0" xfId="22" applyFont="1"/>
    <xf numFmtId="0" fontId="34" fillId="0" borderId="3" xfId="22" applyFont="1" applyBorder="1" applyAlignment="1">
      <alignment horizontal="center" vertical="center"/>
    </xf>
    <xf numFmtId="0" fontId="38" fillId="0" borderId="21" xfId="22" applyFont="1" applyBorder="1" applyAlignment="1">
      <alignment vertical="center"/>
    </xf>
    <xf numFmtId="4" fontId="38" fillId="0" borderId="21" xfId="22" applyNumberFormat="1" applyFont="1" applyBorder="1" applyAlignment="1">
      <alignment horizontal="center" vertical="center"/>
    </xf>
    <xf numFmtId="4" fontId="38" fillId="0" borderId="21" xfId="22" applyNumberFormat="1" applyFont="1" applyBorder="1" applyAlignment="1">
      <alignment vertical="center"/>
    </xf>
    <xf numFmtId="4" fontId="32" fillId="0" borderId="0" xfId="22" applyNumberFormat="1" applyFont="1"/>
    <xf numFmtId="43" fontId="39" fillId="0" borderId="0" xfId="16" applyFont="1"/>
    <xf numFmtId="0" fontId="38" fillId="0" borderId="22" xfId="22" applyFont="1" applyBorder="1" applyAlignment="1">
      <alignment vertical="center"/>
    </xf>
    <xf numFmtId="4" fontId="38" fillId="0" borderId="22" xfId="22" applyNumberFormat="1" applyFont="1" applyBorder="1" applyAlignment="1">
      <alignment horizontal="center" vertical="center"/>
    </xf>
    <xf numFmtId="4" fontId="38" fillId="0" borderId="22" xfId="22" applyNumberFormat="1" applyFont="1" applyBorder="1" applyAlignment="1">
      <alignment vertical="center"/>
    </xf>
    <xf numFmtId="3" fontId="32" fillId="0" borderId="0" xfId="22" applyNumberFormat="1" applyFont="1"/>
    <xf numFmtId="49" fontId="35" fillId="0" borderId="23" xfId="22" applyNumberFormat="1" applyFont="1" applyBorder="1" applyAlignment="1">
      <alignment horizontal="center" vertical="center"/>
    </xf>
    <xf numFmtId="0" fontId="35" fillId="0" borderId="24" xfId="22" applyFont="1" applyBorder="1" applyAlignment="1">
      <alignment vertical="center" wrapText="1"/>
    </xf>
    <xf numFmtId="4" fontId="34" fillId="0" borderId="25" xfId="0" applyNumberFormat="1" applyFont="1" applyBorder="1" applyAlignment="1">
      <alignment horizontal="center" vertical="center"/>
    </xf>
    <xf numFmtId="4" fontId="35" fillId="0" borderId="26" xfId="0" applyNumberFormat="1" applyFont="1" applyBorder="1" applyAlignment="1">
      <alignment horizontal="right" vertical="center"/>
    </xf>
    <xf numFmtId="49" fontId="32" fillId="0" borderId="21" xfId="22" applyNumberFormat="1" applyFont="1" applyBorder="1" applyAlignment="1">
      <alignment horizontal="center" vertical="center"/>
    </xf>
    <xf numFmtId="0" fontId="40" fillId="0" borderId="21" xfId="0" applyFont="1" applyBorder="1" applyAlignment="1">
      <alignment horizontal="left" vertical="center" wrapText="1"/>
    </xf>
    <xf numFmtId="4" fontId="0" fillId="0" borderId="27" xfId="0" applyNumberFormat="1" applyBorder="1" applyAlignment="1">
      <alignment horizontal="center" vertical="center"/>
    </xf>
    <xf numFmtId="4" fontId="1" fillId="0" borderId="27" xfId="0" applyNumberFormat="1" applyFont="1" applyBorder="1" applyAlignment="1">
      <alignment horizontal="center" vertical="center"/>
    </xf>
    <xf numFmtId="4" fontId="0" fillId="0" borderId="28" xfId="0" applyNumberFormat="1" applyBorder="1" applyAlignment="1">
      <alignment horizontal="center" vertical="center"/>
    </xf>
    <xf numFmtId="0" fontId="32" fillId="0" borderId="29" xfId="22" applyFont="1" applyBorder="1" applyAlignment="1">
      <alignment horizontal="center" vertical="top"/>
    </xf>
    <xf numFmtId="0" fontId="32" fillId="0" borderId="16" xfId="22" applyFont="1" applyBorder="1" applyAlignment="1">
      <alignment vertical="top" wrapText="1"/>
    </xf>
    <xf numFmtId="4" fontId="0" fillId="0" borderId="20" xfId="0" applyNumberFormat="1" applyBorder="1" applyAlignment="1">
      <alignment horizontal="center"/>
    </xf>
    <xf numFmtId="4" fontId="1" fillId="0" borderId="20" xfId="0" applyNumberFormat="1" applyFont="1" applyBorder="1" applyAlignment="1">
      <alignment horizontal="center"/>
    </xf>
    <xf numFmtId="4" fontId="0" fillId="0" borderId="30" xfId="0" applyNumberFormat="1" applyBorder="1" applyAlignment="1">
      <alignment horizontal="center"/>
    </xf>
    <xf numFmtId="0" fontId="32" fillId="0" borderId="31" xfId="22" applyFont="1" applyBorder="1" applyAlignment="1">
      <alignment horizontal="center" vertical="center"/>
    </xf>
    <xf numFmtId="0" fontId="38" fillId="0" borderId="29" xfId="22" applyFont="1" applyBorder="1"/>
    <xf numFmtId="4" fontId="32" fillId="0" borderId="29" xfId="22" applyNumberFormat="1" applyFont="1" applyBorder="1" applyAlignment="1">
      <alignment horizontal="center"/>
    </xf>
    <xf numFmtId="4" fontId="32" fillId="0" borderId="29" xfId="22" applyNumberFormat="1" applyFont="1" applyBorder="1"/>
    <xf numFmtId="4" fontId="32" fillId="0" borderId="32" xfId="22" applyNumberFormat="1" applyFont="1" applyBorder="1"/>
    <xf numFmtId="0" fontId="32" fillId="0" borderId="0" xfId="22" applyFont="1" applyAlignment="1">
      <alignment horizontal="center"/>
    </xf>
    <xf numFmtId="0" fontId="32" fillId="0" borderId="22" xfId="22" applyFont="1" applyBorder="1" applyAlignment="1">
      <alignment horizontal="center" vertical="center"/>
    </xf>
    <xf numFmtId="0" fontId="38" fillId="0" borderId="22" xfId="22" applyFont="1" applyBorder="1"/>
    <xf numFmtId="4" fontId="32" fillId="0" borderId="5" xfId="22" applyNumberFormat="1" applyFont="1" applyBorder="1" applyAlignment="1">
      <alignment horizontal="center"/>
    </xf>
    <xf numFmtId="4" fontId="32" fillId="0" borderId="5" xfId="22" applyNumberFormat="1" applyFont="1" applyBorder="1"/>
    <xf numFmtId="4" fontId="32" fillId="0" borderId="22" xfId="22" applyNumberFormat="1" applyFont="1" applyBorder="1"/>
    <xf numFmtId="4" fontId="32" fillId="0" borderId="33" xfId="22" applyNumberFormat="1" applyFont="1" applyBorder="1"/>
    <xf numFmtId="0" fontId="0" fillId="0" borderId="27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32" fillId="0" borderId="29" xfId="22" applyFont="1" applyBorder="1" applyAlignment="1">
      <alignment horizontal="center" vertical="center"/>
    </xf>
    <xf numFmtId="0" fontId="32" fillId="0" borderId="29" xfId="22" applyFont="1" applyBorder="1" applyAlignment="1">
      <alignment horizontal="center"/>
    </xf>
    <xf numFmtId="4" fontId="32" fillId="0" borderId="31" xfId="22" applyNumberFormat="1" applyFont="1" applyBorder="1"/>
    <xf numFmtId="4" fontId="32" fillId="0" borderId="34" xfId="22" applyNumberFormat="1" applyFont="1" applyBorder="1"/>
    <xf numFmtId="0" fontId="32" fillId="0" borderId="22" xfId="22" applyFont="1" applyBorder="1" applyAlignment="1">
      <alignment horizontal="center"/>
    </xf>
    <xf numFmtId="0" fontId="32" fillId="0" borderId="22" xfId="22" applyFont="1" applyBorder="1"/>
    <xf numFmtId="0" fontId="32" fillId="0" borderId="33" xfId="22" applyFont="1" applyBorder="1"/>
    <xf numFmtId="0" fontId="35" fillId="0" borderId="26" xfId="22" applyFont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35" fillId="0" borderId="35" xfId="22" applyFont="1" applyBorder="1" applyAlignment="1">
      <alignment horizontal="center"/>
    </xf>
    <xf numFmtId="4" fontId="35" fillId="0" borderId="26" xfId="22" applyNumberFormat="1" applyFont="1" applyBorder="1" applyAlignment="1">
      <alignment vertical="center"/>
    </xf>
    <xf numFmtId="49" fontId="32" fillId="0" borderId="3" xfId="22" applyNumberFormat="1" applyFont="1" applyBorder="1" applyAlignment="1">
      <alignment horizontal="center" vertical="center"/>
    </xf>
    <xf numFmtId="0" fontId="35" fillId="0" borderId="36" xfId="22" applyFont="1" applyBorder="1" applyAlignment="1">
      <alignment vertical="center" wrapText="1"/>
    </xf>
    <xf numFmtId="0" fontId="32" fillId="0" borderId="37" xfId="22" applyFont="1" applyBorder="1" applyAlignment="1">
      <alignment horizontal="center"/>
    </xf>
    <xf numFmtId="4" fontId="32" fillId="0" borderId="38" xfId="22" applyNumberFormat="1" applyFont="1" applyBorder="1"/>
    <xf numFmtId="4" fontId="32" fillId="0" borderId="39" xfId="22" applyNumberFormat="1" applyFont="1" applyBorder="1"/>
    <xf numFmtId="4" fontId="32" fillId="0" borderId="37" xfId="22" applyNumberFormat="1" applyFont="1" applyBorder="1"/>
    <xf numFmtId="4" fontId="32" fillId="0" borderId="39" xfId="22" applyNumberFormat="1" applyFont="1" applyBorder="1" applyAlignment="1">
      <alignment horizontal="right"/>
    </xf>
    <xf numFmtId="0" fontId="32" fillId="0" borderId="40" xfId="22" applyFont="1" applyBorder="1" applyAlignment="1">
      <alignment horizontal="center"/>
    </xf>
    <xf numFmtId="4" fontId="32" fillId="0" borderId="41" xfId="22" applyNumberFormat="1" applyFont="1" applyBorder="1"/>
    <xf numFmtId="4" fontId="32" fillId="0" borderId="40" xfId="22" applyNumberFormat="1" applyFont="1" applyBorder="1"/>
    <xf numFmtId="4" fontId="32" fillId="0" borderId="32" xfId="22" applyNumberFormat="1" applyFont="1" applyBorder="1" applyAlignment="1">
      <alignment horizontal="right"/>
    </xf>
    <xf numFmtId="4" fontId="32" fillId="0" borderId="29" xfId="22" applyNumberFormat="1" applyFont="1" applyBorder="1" applyAlignment="1">
      <alignment horizontal="right"/>
    </xf>
    <xf numFmtId="0" fontId="32" fillId="0" borderId="5" xfId="22" applyFont="1" applyBorder="1" applyAlignment="1">
      <alignment horizontal="center" vertical="center"/>
    </xf>
    <xf numFmtId="0" fontId="32" fillId="0" borderId="42" xfId="22" applyFont="1" applyBorder="1" applyAlignment="1">
      <alignment horizontal="center"/>
    </xf>
    <xf numFmtId="4" fontId="32" fillId="0" borderId="22" xfId="22" applyNumberFormat="1" applyFont="1" applyBorder="1" applyAlignment="1">
      <alignment horizontal="right"/>
    </xf>
    <xf numFmtId="0" fontId="32" fillId="0" borderId="0" xfId="22" applyFont="1" applyAlignment="1">
      <alignment horizontal="center" vertical="center"/>
    </xf>
    <xf numFmtId="0" fontId="38" fillId="0" borderId="0" xfId="22" applyFont="1"/>
    <xf numFmtId="4" fontId="32" fillId="0" borderId="0" xfId="22" applyNumberFormat="1" applyFont="1" applyAlignment="1">
      <alignment horizontal="center"/>
    </xf>
    <xf numFmtId="4" fontId="32" fillId="0" borderId="0" xfId="22" applyNumberFormat="1" applyFont="1" applyAlignment="1">
      <alignment horizontal="right"/>
    </xf>
    <xf numFmtId="0" fontId="41" fillId="0" borderId="0" xfId="22" applyFont="1"/>
    <xf numFmtId="0" fontId="16" fillId="0" borderId="0" xfId="11" applyFont="1"/>
    <xf numFmtId="0" fontId="16" fillId="0" borderId="0" xfId="11" applyFont="1" applyAlignment="1">
      <alignment horizontal="center" vertical="top"/>
    </xf>
    <xf numFmtId="0" fontId="10" fillId="0" borderId="0" xfId="11" applyFont="1" applyAlignment="1">
      <alignment horizontal="left"/>
    </xf>
    <xf numFmtId="0" fontId="16" fillId="0" borderId="0" xfId="11" applyFont="1" applyAlignment="1">
      <alignment horizontal="left"/>
    </xf>
    <xf numFmtId="0" fontId="10" fillId="0" borderId="0" xfId="11" applyFont="1"/>
    <xf numFmtId="0" fontId="44" fillId="0" borderId="0" xfId="11" applyFont="1" applyAlignment="1">
      <alignment horizontal="center" vertical="center"/>
    </xf>
    <xf numFmtId="0" fontId="16" fillId="0" borderId="0" xfId="11" applyFont="1" applyAlignment="1">
      <alignment vertical="center"/>
    </xf>
    <xf numFmtId="0" fontId="11" fillId="0" borderId="0" xfId="11" applyFont="1" applyAlignment="1">
      <alignment horizontal="right"/>
    </xf>
    <xf numFmtId="0" fontId="44" fillId="0" borderId="15" xfId="11" applyFont="1" applyBorder="1" applyAlignment="1">
      <alignment horizontal="center" vertical="center"/>
    </xf>
    <xf numFmtId="0" fontId="44" fillId="3" borderId="15" xfId="11" applyFont="1" applyFill="1" applyBorder="1" applyAlignment="1">
      <alignment horizontal="center" vertical="center"/>
    </xf>
    <xf numFmtId="0" fontId="11" fillId="0" borderId="15" xfId="11" applyFont="1" applyBorder="1" applyAlignment="1">
      <alignment horizontal="center" vertical="center"/>
    </xf>
    <xf numFmtId="0" fontId="11" fillId="0" borderId="15" xfId="11" applyFont="1" applyBorder="1" applyAlignment="1">
      <alignment horizontal="center" vertical="top"/>
    </xf>
    <xf numFmtId="0" fontId="11" fillId="0" borderId="0" xfId="11" applyFont="1"/>
    <xf numFmtId="0" fontId="44" fillId="0" borderId="17" xfId="11" applyFont="1" applyBorder="1" applyAlignment="1">
      <alignment horizontal="left" vertical="center"/>
    </xf>
    <xf numFmtId="0" fontId="44" fillId="0" borderId="18" xfId="11" applyFont="1" applyBorder="1" applyAlignment="1">
      <alignment horizontal="left" vertical="center"/>
    </xf>
    <xf numFmtId="0" fontId="44" fillId="0" borderId="18" xfId="11" applyFont="1" applyBorder="1" applyAlignment="1">
      <alignment horizontal="center" vertical="top"/>
    </xf>
    <xf numFmtId="0" fontId="44" fillId="0" borderId="19" xfId="11" applyFont="1" applyBorder="1" applyAlignment="1">
      <alignment horizontal="left" vertical="center"/>
    </xf>
    <xf numFmtId="0" fontId="16" fillId="0" borderId="15" xfId="11" applyFont="1" applyBorder="1" applyAlignment="1">
      <alignment horizontal="center" vertical="center"/>
    </xf>
    <xf numFmtId="0" fontId="16" fillId="0" borderId="15" xfId="11" applyFont="1" applyBorder="1" applyAlignment="1">
      <alignment vertical="center" wrapText="1"/>
    </xf>
    <xf numFmtId="4" fontId="16" fillId="0" borderId="15" xfId="11" applyNumberFormat="1" applyFont="1" applyBorder="1" applyAlignment="1">
      <alignment vertical="center"/>
    </xf>
    <xf numFmtId="4" fontId="16" fillId="0" borderId="0" xfId="11" applyNumberFormat="1" applyFont="1"/>
    <xf numFmtId="0" fontId="16" fillId="0" borderId="1" xfId="11" applyFont="1" applyBorder="1" applyAlignment="1">
      <alignment horizontal="center" vertical="center"/>
    </xf>
    <xf numFmtId="0" fontId="29" fillId="0" borderId="0" xfId="11" applyFont="1"/>
    <xf numFmtId="0" fontId="16" fillId="0" borderId="1" xfId="11" applyFont="1" applyBorder="1" applyAlignment="1">
      <alignment horizontal="center" vertical="center" wrapText="1"/>
    </xf>
    <xf numFmtId="0" fontId="16" fillId="0" borderId="15" xfId="11" applyFont="1" applyBorder="1" applyAlignment="1">
      <alignment vertical="center"/>
    </xf>
    <xf numFmtId="0" fontId="16" fillId="0" borderId="1" xfId="24" applyFont="1" applyBorder="1" applyAlignment="1">
      <alignment horizontal="center" vertical="center"/>
    </xf>
    <xf numFmtId="0" fontId="16" fillId="4" borderId="15" xfId="25" applyFont="1" applyFill="1" applyBorder="1" applyAlignment="1">
      <alignment horizontal="center" vertical="center"/>
    </xf>
    <xf numFmtId="0" fontId="16" fillId="4" borderId="17" xfId="17" applyFont="1" applyFill="1" applyBorder="1" applyAlignment="1">
      <alignment horizontal="center" vertical="center"/>
    </xf>
    <xf numFmtId="0" fontId="16" fillId="0" borderId="17" xfId="25" applyFont="1" applyBorder="1" applyAlignment="1">
      <alignment vertical="center" wrapText="1"/>
    </xf>
    <xf numFmtId="0" fontId="10" fillId="0" borderId="17" xfId="11" applyFont="1" applyBorder="1" applyAlignment="1">
      <alignment horizontal="center" vertical="center"/>
    </xf>
    <xf numFmtId="0" fontId="10" fillId="4" borderId="18" xfId="11" applyFont="1" applyFill="1" applyBorder="1" applyAlignment="1">
      <alignment vertical="center"/>
    </xf>
    <xf numFmtId="0" fontId="10" fillId="4" borderId="18" xfId="11" applyFont="1" applyFill="1" applyBorder="1" applyAlignment="1">
      <alignment horizontal="center" vertical="center"/>
    </xf>
    <xf numFmtId="0" fontId="10" fillId="4" borderId="18" xfId="17" applyFont="1" applyFill="1" applyBorder="1" applyAlignment="1">
      <alignment horizontal="center" vertical="center"/>
    </xf>
    <xf numFmtId="0" fontId="10" fillId="0" borderId="43" xfId="11" applyFont="1" applyBorder="1" applyAlignment="1">
      <alignment vertical="center"/>
    </xf>
    <xf numFmtId="4" fontId="10" fillId="0" borderId="15" xfId="11" applyNumberFormat="1" applyFont="1" applyBorder="1" applyAlignment="1">
      <alignment vertical="center"/>
    </xf>
    <xf numFmtId="0" fontId="16" fillId="0" borderId="15" xfId="11" applyFont="1" applyBorder="1" applyAlignment="1">
      <alignment horizontal="left" vertical="center"/>
    </xf>
    <xf numFmtId="4" fontId="16" fillId="0" borderId="15" xfId="11" applyNumberFormat="1" applyFont="1" applyBorder="1" applyAlignment="1">
      <alignment horizontal="right" vertical="center"/>
    </xf>
    <xf numFmtId="0" fontId="10" fillId="0" borderId="6" xfId="11" applyFont="1" applyBorder="1" applyAlignment="1">
      <alignment horizontal="center"/>
    </xf>
    <xf numFmtId="0" fontId="10" fillId="0" borderId="44" xfId="11" applyFont="1" applyBorder="1" applyAlignment="1">
      <alignment horizontal="center"/>
    </xf>
    <xf numFmtId="0" fontId="10" fillId="0" borderId="18" xfId="11" applyFont="1" applyBorder="1" applyAlignment="1">
      <alignment horizontal="center"/>
    </xf>
    <xf numFmtId="0" fontId="10" fillId="0" borderId="19" xfId="11" applyFont="1" applyBorder="1" applyAlignment="1">
      <alignment horizontal="center" vertical="top"/>
    </xf>
    <xf numFmtId="0" fontId="10" fillId="0" borderId="15" xfId="11" applyFont="1" applyBorder="1" applyAlignment="1">
      <alignment wrapText="1"/>
    </xf>
    <xf numFmtId="4" fontId="10" fillId="0" borderId="43" xfId="11" applyNumberFormat="1" applyFont="1" applyBorder="1" applyAlignment="1">
      <alignment horizontal="right" vertical="center"/>
    </xf>
    <xf numFmtId="0" fontId="10" fillId="0" borderId="44" xfId="11" applyFont="1" applyBorder="1" applyAlignment="1">
      <alignment horizontal="center" vertical="top"/>
    </xf>
    <xf numFmtId="0" fontId="10" fillId="0" borderId="15" xfId="11" applyFont="1" applyBorder="1"/>
    <xf numFmtId="4" fontId="10" fillId="0" borderId="43" xfId="11" applyNumberFormat="1" applyFont="1" applyBorder="1" applyAlignment="1">
      <alignment vertical="center"/>
    </xf>
    <xf numFmtId="0" fontId="10" fillId="0" borderId="15" xfId="11" applyFont="1" applyBorder="1" applyAlignment="1">
      <alignment vertical="center"/>
    </xf>
    <xf numFmtId="0" fontId="45" fillId="0" borderId="17" xfId="11" applyFont="1" applyBorder="1" applyAlignment="1">
      <alignment horizontal="left"/>
    </xf>
    <xf numFmtId="0" fontId="45" fillId="0" borderId="18" xfId="11" applyFont="1" applyBorder="1" applyAlignment="1">
      <alignment horizontal="centerContinuous"/>
    </xf>
    <xf numFmtId="0" fontId="45" fillId="0" borderId="18" xfId="11" applyFont="1" applyBorder="1" applyAlignment="1">
      <alignment horizontal="center" vertical="top"/>
    </xf>
    <xf numFmtId="0" fontId="45" fillId="0" borderId="18" xfId="11" applyFont="1" applyBorder="1" applyAlignment="1">
      <alignment horizontal="center"/>
    </xf>
    <xf numFmtId="4" fontId="45" fillId="0" borderId="15" xfId="11" applyNumberFormat="1" applyFont="1" applyBorder="1"/>
    <xf numFmtId="0" fontId="45" fillId="0" borderId="0" xfId="11" applyFont="1"/>
    <xf numFmtId="0" fontId="10" fillId="0" borderId="19" xfId="11" applyFont="1" applyBorder="1"/>
    <xf numFmtId="4" fontId="10" fillId="0" borderId="43" xfId="11" applyNumberFormat="1" applyFont="1" applyBorder="1"/>
    <xf numFmtId="4" fontId="16" fillId="0" borderId="19" xfId="11" applyNumberFormat="1" applyFont="1" applyBorder="1" applyAlignment="1">
      <alignment vertical="center"/>
    </xf>
    <xf numFmtId="0" fontId="10" fillId="0" borderId="19" xfId="11" applyFont="1" applyBorder="1" applyAlignment="1">
      <alignment horizontal="center"/>
    </xf>
    <xf numFmtId="0" fontId="10" fillId="0" borderId="43" xfId="11" applyFont="1" applyBorder="1"/>
    <xf numFmtId="0" fontId="10" fillId="0" borderId="17" xfId="11" applyFont="1" applyBorder="1" applyAlignment="1">
      <alignment horizontal="center"/>
    </xf>
    <xf numFmtId="4" fontId="10" fillId="0" borderId="19" xfId="11" applyNumberFormat="1" applyFont="1" applyBorder="1"/>
    <xf numFmtId="0" fontId="10" fillId="0" borderId="44" xfId="11" applyFont="1" applyBorder="1"/>
    <xf numFmtId="0" fontId="46" fillId="0" borderId="17" xfId="11" applyFont="1" applyBorder="1" applyAlignment="1">
      <alignment horizontal="left" vertical="center"/>
    </xf>
    <xf numFmtId="0" fontId="46" fillId="0" borderId="18" xfId="11" applyFont="1" applyBorder="1" applyAlignment="1">
      <alignment horizontal="centerContinuous" vertical="center"/>
    </xf>
    <xf numFmtId="0" fontId="46" fillId="0" borderId="18" xfId="11" applyFont="1" applyBorder="1" applyAlignment="1">
      <alignment horizontal="center" vertical="top"/>
    </xf>
    <xf numFmtId="0" fontId="46" fillId="0" borderId="18" xfId="11" applyFont="1" applyBorder="1" applyAlignment="1">
      <alignment horizontal="center" vertical="center"/>
    </xf>
    <xf numFmtId="4" fontId="46" fillId="0" borderId="15" xfId="11" applyNumberFormat="1" applyFont="1" applyBorder="1" applyAlignment="1">
      <alignment vertical="center"/>
    </xf>
    <xf numFmtId="0" fontId="45" fillId="0" borderId="0" xfId="11" applyFont="1" applyAlignment="1">
      <alignment vertical="center"/>
    </xf>
    <xf numFmtId="0" fontId="16" fillId="0" borderId="0" xfId="11" applyFont="1" applyAlignment="1">
      <alignment horizontal="center"/>
    </xf>
    <xf numFmtId="0" fontId="44" fillId="0" borderId="0" xfId="11" applyFont="1" applyAlignment="1">
      <alignment horizontal="centerContinuous" vertical="center" wrapText="1"/>
    </xf>
    <xf numFmtId="0" fontId="44" fillId="0" borderId="0" xfId="11" applyFont="1" applyAlignment="1">
      <alignment horizontal="centerContinuous" wrapText="1"/>
    </xf>
    <xf numFmtId="0" fontId="44" fillId="4" borderId="15" xfId="11" applyFont="1" applyFill="1" applyBorder="1" applyAlignment="1">
      <alignment horizontal="center" vertical="center"/>
    </xf>
    <xf numFmtId="0" fontId="44" fillId="4" borderId="17" xfId="11" applyFont="1" applyFill="1" applyBorder="1" applyAlignment="1">
      <alignment horizontal="centerContinuous" vertical="center"/>
    </xf>
    <xf numFmtId="0" fontId="47" fillId="4" borderId="15" xfId="11" applyFont="1" applyFill="1" applyBorder="1" applyAlignment="1">
      <alignment horizontal="center" vertical="center"/>
    </xf>
    <xf numFmtId="0" fontId="47" fillId="4" borderId="17" xfId="17" applyFont="1" applyFill="1" applyBorder="1" applyAlignment="1">
      <alignment horizontal="center" vertical="top"/>
    </xf>
    <xf numFmtId="0" fontId="47" fillId="4" borderId="17" xfId="11" applyFont="1" applyFill="1" applyBorder="1" applyAlignment="1">
      <alignment horizontal="centerContinuous" vertical="center"/>
    </xf>
    <xf numFmtId="0" fontId="47" fillId="0" borderId="0" xfId="11" applyFont="1"/>
    <xf numFmtId="0" fontId="46" fillId="0" borderId="18" xfId="11" applyFont="1" applyBorder="1" applyAlignment="1">
      <alignment horizontal="left" vertical="center"/>
    </xf>
    <xf numFmtId="0" fontId="16" fillId="0" borderId="18" xfId="17" applyFont="1" applyFill="1" applyBorder="1" applyAlignment="1">
      <alignment horizontal="center" vertical="top"/>
    </xf>
    <xf numFmtId="0" fontId="46" fillId="0" borderId="19" xfId="11" applyFont="1" applyBorder="1" applyAlignment="1">
      <alignment horizontal="left" vertical="center"/>
    </xf>
    <xf numFmtId="0" fontId="16" fillId="0" borderId="15" xfId="11" applyFont="1" applyBorder="1" applyAlignment="1">
      <alignment horizontal="right" vertical="center"/>
    </xf>
    <xf numFmtId="0" fontId="16" fillId="4" borderId="15" xfId="11" applyFont="1" applyFill="1" applyBorder="1" applyAlignment="1">
      <alignment vertical="center"/>
    </xf>
    <xf numFmtId="0" fontId="16" fillId="4" borderId="15" xfId="17" applyFont="1" applyFill="1" applyBorder="1" applyAlignment="1">
      <alignment horizontal="center" vertical="center"/>
    </xf>
    <xf numFmtId="0" fontId="16" fillId="4" borderId="15" xfId="11" applyFont="1" applyFill="1" applyBorder="1" applyAlignment="1">
      <alignment horizontal="left" vertical="center" wrapText="1"/>
    </xf>
    <xf numFmtId="0" fontId="16" fillId="4" borderId="17" xfId="11" applyFont="1" applyFill="1" applyBorder="1" applyAlignment="1">
      <alignment vertical="top" wrapText="1"/>
    </xf>
    <xf numFmtId="0" fontId="16" fillId="4" borderId="17" xfId="11" applyFont="1" applyFill="1" applyBorder="1" applyAlignment="1">
      <alignment vertical="center" wrapText="1"/>
    </xf>
    <xf numFmtId="4" fontId="16" fillId="0" borderId="5" xfId="11" applyNumberFormat="1" applyFont="1" applyBorder="1"/>
    <xf numFmtId="0" fontId="16" fillId="4" borderId="6" xfId="17" applyFont="1" applyFill="1" applyBorder="1" applyAlignment="1">
      <alignment horizontal="center" vertical="center" wrapText="1"/>
    </xf>
    <xf numFmtId="0" fontId="16" fillId="4" borderId="6" xfId="11" applyFont="1" applyFill="1" applyBorder="1" applyAlignment="1">
      <alignment vertical="center" wrapText="1"/>
    </xf>
    <xf numFmtId="4" fontId="16" fillId="0" borderId="5" xfId="11" applyNumberFormat="1" applyFont="1" applyBorder="1" applyAlignment="1">
      <alignment vertical="center"/>
    </xf>
    <xf numFmtId="0" fontId="16" fillId="4" borderId="6" xfId="17" applyFont="1" applyFill="1" applyBorder="1" applyAlignment="1">
      <alignment horizontal="center" vertical="center"/>
    </xf>
    <xf numFmtId="0" fontId="16" fillId="4" borderId="6" xfId="11" applyFont="1" applyFill="1" applyBorder="1" applyAlignment="1">
      <alignment vertical="center"/>
    </xf>
    <xf numFmtId="0" fontId="16" fillId="0" borderId="1" xfId="11" applyFont="1" applyBorder="1" applyAlignment="1">
      <alignment vertical="center"/>
    </xf>
    <xf numFmtId="0" fontId="16" fillId="4" borderId="1" xfId="11" applyFont="1" applyFill="1" applyBorder="1" applyAlignment="1">
      <alignment vertical="center"/>
    </xf>
    <xf numFmtId="0" fontId="16" fillId="4" borderId="45" xfId="11" applyFont="1" applyFill="1" applyBorder="1" applyAlignment="1">
      <alignment vertical="center"/>
    </xf>
    <xf numFmtId="0" fontId="16" fillId="4" borderId="46" xfId="17" applyFont="1" applyFill="1" applyBorder="1" applyAlignment="1">
      <alignment horizontal="center" vertical="center"/>
    </xf>
    <xf numFmtId="0" fontId="16" fillId="0" borderId="17" xfId="11" applyFont="1" applyBorder="1" applyAlignment="1">
      <alignment vertical="top" wrapText="1"/>
    </xf>
    <xf numFmtId="0" fontId="16" fillId="0" borderId="17" xfId="17" applyFont="1" applyFill="1" applyBorder="1" applyAlignment="1">
      <alignment horizontal="center" vertical="center"/>
    </xf>
    <xf numFmtId="0" fontId="16" fillId="0" borderId="17" xfId="11" applyFont="1" applyBorder="1" applyAlignment="1">
      <alignment vertical="center" wrapText="1"/>
    </xf>
    <xf numFmtId="0" fontId="16" fillId="4" borderId="1" xfId="11" applyFont="1" applyFill="1" applyBorder="1" applyAlignment="1">
      <alignment horizontal="right" vertical="center"/>
    </xf>
    <xf numFmtId="0" fontId="16" fillId="4" borderId="45" xfId="11" applyFont="1" applyFill="1" applyBorder="1" applyAlignment="1">
      <alignment horizontal="right" vertical="center"/>
    </xf>
    <xf numFmtId="0" fontId="16" fillId="4" borderId="17" xfId="11" applyFont="1" applyFill="1" applyBorder="1" applyAlignment="1">
      <alignment wrapText="1"/>
    </xf>
    <xf numFmtId="49" fontId="10" fillId="0" borderId="1" xfId="11" applyNumberFormat="1" applyFont="1" applyBorder="1" applyAlignment="1">
      <alignment horizontal="right"/>
    </xf>
    <xf numFmtId="0" fontId="10" fillId="4" borderId="1" xfId="11" applyFont="1" applyFill="1" applyBorder="1" applyAlignment="1">
      <alignment horizontal="right" vertical="top"/>
    </xf>
    <xf numFmtId="0" fontId="10" fillId="4" borderId="45" xfId="11" applyFont="1" applyFill="1" applyBorder="1" applyAlignment="1">
      <alignment horizontal="right" vertical="top"/>
    </xf>
    <xf numFmtId="0" fontId="10" fillId="4" borderId="46" xfId="17" applyFont="1" applyFill="1" applyBorder="1" applyAlignment="1">
      <alignment horizontal="center" vertical="top"/>
    </xf>
    <xf numFmtId="0" fontId="10" fillId="4" borderId="17" xfId="11" applyFont="1" applyFill="1" applyBorder="1" applyAlignment="1">
      <alignment wrapText="1"/>
    </xf>
    <xf numFmtId="0" fontId="16" fillId="0" borderId="15" xfId="11" applyFont="1" applyBorder="1"/>
    <xf numFmtId="0" fontId="16" fillId="4" borderId="15" xfId="11" applyFont="1" applyFill="1" applyBorder="1"/>
    <xf numFmtId="0" fontId="16" fillId="4" borderId="17" xfId="17" applyFont="1" applyFill="1" applyBorder="1" applyAlignment="1">
      <alignment horizontal="center"/>
    </xf>
    <xf numFmtId="4" fontId="16" fillId="0" borderId="15" xfId="11" applyNumberFormat="1" applyFont="1" applyBorder="1"/>
    <xf numFmtId="0" fontId="16" fillId="4" borderId="17" xfId="17" applyFont="1" applyFill="1" applyBorder="1" applyAlignment="1">
      <alignment horizontal="center" vertical="top" wrapText="1"/>
    </xf>
    <xf numFmtId="0" fontId="16" fillId="0" borderId="17" xfId="11" applyFont="1" applyBorder="1" applyAlignment="1">
      <alignment wrapText="1"/>
    </xf>
    <xf numFmtId="0" fontId="16" fillId="0" borderId="15" xfId="11" quotePrefix="1" applyFont="1" applyBorder="1" applyAlignment="1">
      <alignment horizontal="right" vertical="center"/>
    </xf>
    <xf numFmtId="0" fontId="16" fillId="0" borderId="17" xfId="11" quotePrefix="1" applyFont="1" applyBorder="1" applyAlignment="1">
      <alignment vertical="top" wrapText="1"/>
    </xf>
    <xf numFmtId="0" fontId="48" fillId="0" borderId="0" xfId="11" applyFont="1" applyAlignment="1">
      <alignment horizontal="center" vertical="center"/>
    </xf>
    <xf numFmtId="0" fontId="16" fillId="4" borderId="17" xfId="11" applyFont="1" applyFill="1" applyBorder="1" applyAlignment="1">
      <alignment vertical="center"/>
    </xf>
    <xf numFmtId="0" fontId="16" fillId="4" borderId="17" xfId="17" applyFont="1" applyFill="1" applyBorder="1" applyAlignment="1">
      <alignment horizontal="center" vertical="center" wrapText="1"/>
    </xf>
    <xf numFmtId="0" fontId="45" fillId="0" borderId="17" xfId="11" applyFont="1" applyBorder="1" applyAlignment="1">
      <alignment horizontal="center" vertical="center"/>
    </xf>
    <xf numFmtId="0" fontId="45" fillId="0" borderId="18" xfId="11" applyFont="1" applyBorder="1" applyAlignment="1">
      <alignment horizontal="center" vertical="center"/>
    </xf>
    <xf numFmtId="0" fontId="16" fillId="0" borderId="18" xfId="17" applyFont="1" applyFill="1" applyBorder="1" applyAlignment="1">
      <alignment horizontal="center" vertical="center"/>
    </xf>
    <xf numFmtId="4" fontId="45" fillId="0" borderId="15" xfId="11" applyNumberFormat="1" applyFont="1" applyBorder="1" applyAlignment="1">
      <alignment vertical="center"/>
    </xf>
    <xf numFmtId="4" fontId="16" fillId="0" borderId="0" xfId="11" applyNumberFormat="1" applyFont="1" applyAlignment="1">
      <alignment vertical="center"/>
    </xf>
    <xf numFmtId="0" fontId="16" fillId="4" borderId="17" xfId="17" applyFont="1" applyFill="1" applyBorder="1" applyAlignment="1">
      <alignment horizontal="center" vertical="top"/>
    </xf>
    <xf numFmtId="0" fontId="10" fillId="0" borderId="17" xfId="11" applyFont="1" applyBorder="1"/>
    <xf numFmtId="0" fontId="10" fillId="0" borderId="18" xfId="11" applyFont="1" applyBorder="1"/>
    <xf numFmtId="0" fontId="10" fillId="0" borderId="18" xfId="17" applyFont="1" applyFill="1" applyBorder="1" applyAlignment="1">
      <alignment horizontal="center" vertical="top"/>
    </xf>
    <xf numFmtId="0" fontId="10" fillId="0" borderId="17" xfId="11" applyFont="1" applyBorder="1" applyAlignment="1">
      <alignment vertical="center" wrapText="1"/>
    </xf>
    <xf numFmtId="4" fontId="10" fillId="0" borderId="15" xfId="11" applyNumberFormat="1" applyFont="1" applyBorder="1"/>
    <xf numFmtId="0" fontId="10" fillId="0" borderId="4" xfId="11" applyFont="1" applyBorder="1"/>
    <xf numFmtId="0" fontId="10" fillId="0" borderId="39" xfId="11" applyFont="1" applyBorder="1"/>
    <xf numFmtId="0" fontId="10" fillId="0" borderId="39" xfId="17" applyFont="1" applyFill="1" applyBorder="1" applyAlignment="1">
      <alignment horizontal="center" vertical="top"/>
    </xf>
    <xf numFmtId="0" fontId="10" fillId="0" borderId="12" xfId="11" applyFont="1" applyBorder="1" applyAlignment="1">
      <alignment horizontal="left" wrapText="1"/>
    </xf>
    <xf numFmtId="4" fontId="10" fillId="0" borderId="11" xfId="11" applyNumberFormat="1" applyFont="1" applyBorder="1"/>
    <xf numFmtId="0" fontId="48" fillId="0" borderId="0" xfId="11" applyFont="1"/>
    <xf numFmtId="0" fontId="10" fillId="0" borderId="0" xfId="17" applyFont="1" applyFill="1" applyBorder="1" applyAlignment="1">
      <alignment horizontal="center" vertical="top"/>
    </xf>
    <xf numFmtId="0" fontId="10" fillId="0" borderId="12" xfId="11" applyFont="1" applyBorder="1" applyAlignment="1">
      <alignment horizontal="left" vertical="center" wrapText="1"/>
    </xf>
    <xf numFmtId="0" fontId="10" fillId="0" borderId="47" xfId="11" applyFont="1" applyBorder="1" applyAlignment="1">
      <alignment horizontal="left" vertical="center" wrapText="1"/>
    </xf>
    <xf numFmtId="4" fontId="10" fillId="0" borderId="48" xfId="11" applyNumberFormat="1" applyFont="1" applyBorder="1"/>
    <xf numFmtId="0" fontId="10" fillId="0" borderId="6" xfId="11" applyFont="1" applyBorder="1"/>
    <xf numFmtId="0" fontId="10" fillId="0" borderId="44" xfId="17" applyFont="1" applyFill="1" applyBorder="1" applyAlignment="1">
      <alignment horizontal="center" vertical="top"/>
    </xf>
    <xf numFmtId="0" fontId="10" fillId="0" borderId="6" xfId="11" applyFont="1" applyBorder="1" applyAlignment="1">
      <alignment horizontal="left" wrapText="1"/>
    </xf>
    <xf numFmtId="4" fontId="10" fillId="0" borderId="5" xfId="11" applyNumberFormat="1" applyFont="1" applyBorder="1"/>
    <xf numFmtId="0" fontId="16" fillId="4" borderId="17" xfId="11" applyFont="1" applyFill="1" applyBorder="1"/>
    <xf numFmtId="0" fontId="10" fillId="0" borderId="14" xfId="11" applyFont="1" applyBorder="1" applyAlignment="1">
      <alignment horizontal="left" vertical="center" wrapText="1"/>
    </xf>
    <xf numFmtId="4" fontId="10" fillId="0" borderId="13" xfId="11" applyNumberFormat="1" applyFont="1" applyBorder="1"/>
    <xf numFmtId="0" fontId="10" fillId="0" borderId="2" xfId="11" applyFont="1" applyBorder="1"/>
    <xf numFmtId="0" fontId="10" fillId="0" borderId="46" xfId="11" applyFont="1" applyBorder="1"/>
    <xf numFmtId="0" fontId="10" fillId="0" borderId="45" xfId="11" applyFont="1" applyBorder="1"/>
    <xf numFmtId="0" fontId="10" fillId="0" borderId="46" xfId="17" applyFont="1" applyFill="1" applyBorder="1" applyAlignment="1">
      <alignment horizontal="center" vertical="top"/>
    </xf>
    <xf numFmtId="0" fontId="10" fillId="0" borderId="14" xfId="11" applyFont="1" applyBorder="1" applyAlignment="1">
      <alignment vertical="center" wrapText="1"/>
    </xf>
    <xf numFmtId="0" fontId="10" fillId="0" borderId="47" xfId="11" applyFont="1" applyBorder="1" applyAlignment="1">
      <alignment vertical="center" wrapText="1"/>
    </xf>
    <xf numFmtId="0" fontId="10" fillId="0" borderId="47" xfId="11" applyFont="1" applyBorder="1"/>
    <xf numFmtId="0" fontId="10" fillId="0" borderId="6" xfId="11" applyFont="1" applyBorder="1" applyAlignment="1">
      <alignment vertical="center" wrapText="1"/>
    </xf>
    <xf numFmtId="0" fontId="10" fillId="0" borderId="1" xfId="17" applyFont="1" applyFill="1" applyBorder="1" applyAlignment="1">
      <alignment horizontal="center" vertical="top"/>
    </xf>
    <xf numFmtId="0" fontId="10" fillId="0" borderId="20" xfId="11" applyFont="1" applyBorder="1" applyAlignment="1">
      <alignment vertical="center" wrapText="1"/>
    </xf>
    <xf numFmtId="4" fontId="10" fillId="0" borderId="16" xfId="11" applyNumberFormat="1" applyFont="1" applyBorder="1"/>
    <xf numFmtId="0" fontId="16" fillId="4" borderId="15" xfId="17" applyFont="1" applyFill="1" applyBorder="1" applyAlignment="1">
      <alignment horizontal="center"/>
    </xf>
    <xf numFmtId="0" fontId="16" fillId="4" borderId="18" xfId="11" applyFont="1" applyFill="1" applyBorder="1"/>
    <xf numFmtId="0" fontId="10" fillId="0" borderId="15" xfId="17" applyFont="1" applyFill="1" applyBorder="1" applyAlignment="1">
      <alignment horizontal="center" vertical="top"/>
    </xf>
    <xf numFmtId="0" fontId="10" fillId="0" borderId="18" xfId="11" applyFont="1" applyBorder="1" applyAlignment="1">
      <alignment horizontal="left" vertical="center" wrapText="1"/>
    </xf>
    <xf numFmtId="0" fontId="16" fillId="4" borderId="15" xfId="17" applyFont="1" applyFill="1" applyBorder="1" applyAlignment="1">
      <alignment horizontal="center" vertical="center" wrapText="1"/>
    </xf>
    <xf numFmtId="0" fontId="16" fillId="4" borderId="18" xfId="11" applyFont="1" applyFill="1" applyBorder="1" applyAlignment="1">
      <alignment vertical="center"/>
    </xf>
    <xf numFmtId="0" fontId="10" fillId="0" borderId="14" xfId="11" applyFont="1" applyBorder="1"/>
    <xf numFmtId="0" fontId="10" fillId="0" borderId="47" xfId="11" applyFont="1" applyBorder="1" applyAlignment="1">
      <alignment horizontal="left" wrapText="1"/>
    </xf>
    <xf numFmtId="0" fontId="10" fillId="0" borderId="0" xfId="17" quotePrefix="1" applyFont="1" applyFill="1" applyBorder="1" applyAlignment="1">
      <alignment horizontal="center" vertical="top"/>
    </xf>
    <xf numFmtId="0" fontId="10" fillId="0" borderId="12" xfId="11" applyFont="1" applyBorder="1"/>
    <xf numFmtId="0" fontId="10" fillId="0" borderId="39" xfId="17" quotePrefix="1" applyFont="1" applyFill="1" applyBorder="1" applyAlignment="1">
      <alignment horizontal="center" vertical="top"/>
    </xf>
    <xf numFmtId="0" fontId="16" fillId="0" borderId="17" xfId="17" applyFont="1" applyFill="1" applyBorder="1" applyAlignment="1">
      <alignment horizontal="center" vertical="center" wrapText="1"/>
    </xf>
    <xf numFmtId="0" fontId="10" fillId="0" borderId="49" xfId="11" applyFont="1" applyBorder="1" applyAlignment="1">
      <alignment horizontal="left" vertical="center" wrapText="1"/>
    </xf>
    <xf numFmtId="4" fontId="10" fillId="0" borderId="50" xfId="11" applyNumberFormat="1" applyFont="1" applyBorder="1"/>
    <xf numFmtId="0" fontId="10" fillId="0" borderId="14" xfId="11" applyFont="1" applyBorder="1" applyAlignment="1">
      <alignment horizontal="left" wrapText="1"/>
    </xf>
    <xf numFmtId="0" fontId="10" fillId="0" borderId="12" xfId="11" applyFont="1" applyBorder="1" applyAlignment="1">
      <alignment wrapText="1"/>
    </xf>
    <xf numFmtId="0" fontId="10" fillId="0" borderId="0" xfId="11" applyFont="1" applyAlignment="1">
      <alignment vertical="center"/>
    </xf>
    <xf numFmtId="0" fontId="10" fillId="0" borderId="12" xfId="11" applyFont="1" applyBorder="1" applyAlignment="1">
      <alignment vertical="center" wrapText="1"/>
    </xf>
    <xf numFmtId="0" fontId="10" fillId="0" borderId="6" xfId="11" applyFont="1" applyBorder="1" applyAlignment="1">
      <alignment horizontal="left" vertical="center" wrapText="1"/>
    </xf>
    <xf numFmtId="0" fontId="16" fillId="0" borderId="15" xfId="17" applyFont="1" applyFill="1" applyBorder="1" applyAlignment="1">
      <alignment horizontal="center" vertical="top"/>
    </xf>
    <xf numFmtId="0" fontId="10" fillId="0" borderId="46" xfId="17" quotePrefix="1" applyFont="1" applyFill="1" applyBorder="1" applyAlignment="1">
      <alignment horizontal="center" vertical="top"/>
    </xf>
    <xf numFmtId="0" fontId="10" fillId="0" borderId="44" xfId="17" quotePrefix="1" applyFont="1" applyFill="1" applyBorder="1" applyAlignment="1">
      <alignment horizontal="center" vertical="top"/>
    </xf>
    <xf numFmtId="0" fontId="10" fillId="0" borderId="11" xfId="11" applyFont="1" applyBorder="1" applyAlignment="1">
      <alignment horizontal="left" vertical="center" wrapText="1"/>
    </xf>
    <xf numFmtId="0" fontId="16" fillId="0" borderId="5" xfId="11" applyFont="1" applyBorder="1"/>
    <xf numFmtId="0" fontId="16" fillId="0" borderId="15" xfId="17" applyFont="1" applyFill="1" applyBorder="1" applyAlignment="1">
      <alignment horizontal="center"/>
    </xf>
    <xf numFmtId="0" fontId="16" fillId="4" borderId="44" xfId="11" applyFont="1" applyFill="1" applyBorder="1"/>
    <xf numFmtId="0" fontId="10" fillId="0" borderId="5" xfId="17" applyFont="1" applyFill="1" applyBorder="1" applyAlignment="1">
      <alignment horizontal="center" vertical="top"/>
    </xf>
    <xf numFmtId="0" fontId="10" fillId="0" borderId="18" xfId="11" applyFont="1" applyBorder="1" applyAlignment="1">
      <alignment vertical="top" wrapText="1"/>
    </xf>
    <xf numFmtId="0" fontId="16" fillId="0" borderId="15" xfId="17" applyFont="1" applyFill="1" applyBorder="1" applyAlignment="1">
      <alignment horizontal="center" vertical="center" wrapText="1"/>
    </xf>
    <xf numFmtId="0" fontId="10" fillId="0" borderId="48" xfId="11" applyFont="1" applyBorder="1" applyAlignment="1">
      <alignment vertical="center" wrapText="1"/>
    </xf>
    <xf numFmtId="4" fontId="10" fillId="0" borderId="3" xfId="11" applyNumberFormat="1" applyFont="1" applyBorder="1"/>
    <xf numFmtId="0" fontId="16" fillId="0" borderId="5" xfId="11" applyFont="1" applyBorder="1" applyAlignment="1">
      <alignment vertical="center"/>
    </xf>
    <xf numFmtId="0" fontId="16" fillId="0" borderId="15" xfId="17" applyFont="1" applyFill="1" applyBorder="1" applyAlignment="1">
      <alignment horizontal="center" vertical="center"/>
    </xf>
    <xf numFmtId="0" fontId="16" fillId="4" borderId="17" xfId="11" applyFont="1" applyFill="1" applyBorder="1" applyAlignment="1">
      <alignment horizontal="left" vertical="top" wrapText="1"/>
    </xf>
    <xf numFmtId="0" fontId="10" fillId="0" borderId="51" xfId="11" applyFont="1" applyBorder="1" applyAlignment="1">
      <alignment vertical="top" wrapText="1"/>
    </xf>
    <xf numFmtId="4" fontId="10" fillId="4" borderId="15" xfId="11" applyNumberFormat="1" applyFont="1" applyFill="1" applyBorder="1"/>
    <xf numFmtId="0" fontId="45" fillId="0" borderId="17" xfId="11" applyFont="1" applyBorder="1" applyAlignment="1">
      <alignment horizontal="center"/>
    </xf>
    <xf numFmtId="0" fontId="44" fillId="0" borderId="17" xfId="11" applyFont="1" applyBorder="1" applyAlignment="1">
      <alignment horizontal="center" vertical="center"/>
    </xf>
    <xf numFmtId="0" fontId="44" fillId="0" borderId="18" xfId="11" applyFont="1" applyBorder="1" applyAlignment="1">
      <alignment horizontal="center" vertical="center"/>
    </xf>
    <xf numFmtId="4" fontId="44" fillId="0" borderId="15" xfId="11" applyNumberFormat="1" applyFont="1" applyBorder="1" applyAlignment="1">
      <alignment vertical="center"/>
    </xf>
    <xf numFmtId="0" fontId="44" fillId="0" borderId="0" xfId="11" applyFont="1" applyAlignment="1">
      <alignment horizontal="center" vertical="center" wrapText="1"/>
    </xf>
    <xf numFmtId="0" fontId="19" fillId="0" borderId="0" xfId="18" applyFont="1" applyAlignment="1">
      <alignment horizontal="center"/>
    </xf>
    <xf numFmtId="0" fontId="21" fillId="0" borderId="0" xfId="18" applyFont="1" applyAlignment="1">
      <alignment horizontal="center" vertical="center"/>
    </xf>
    <xf numFmtId="0" fontId="14" fillId="3" borderId="1" xfId="18" applyFont="1" applyFill="1" applyBorder="1" applyAlignment="1">
      <alignment horizontal="center" vertical="center"/>
    </xf>
    <xf numFmtId="0" fontId="14" fillId="3" borderId="3" xfId="18" applyFont="1" applyFill="1" applyBorder="1" applyAlignment="1">
      <alignment horizontal="center" vertical="center"/>
    </xf>
    <xf numFmtId="0" fontId="14" fillId="3" borderId="5" xfId="18" applyFont="1" applyFill="1" applyBorder="1" applyAlignment="1">
      <alignment horizontal="center" vertical="center"/>
    </xf>
    <xf numFmtId="0" fontId="14" fillId="3" borderId="1" xfId="18" applyFont="1" applyFill="1" applyBorder="1" applyAlignment="1">
      <alignment horizontal="center" vertical="center" wrapText="1"/>
    </xf>
    <xf numFmtId="0" fontId="14" fillId="3" borderId="3" xfId="18" applyFont="1" applyFill="1" applyBorder="1" applyAlignment="1">
      <alignment horizontal="center" vertical="center" wrapText="1"/>
    </xf>
    <xf numFmtId="0" fontId="14" fillId="3" borderId="5" xfId="18" applyFont="1" applyFill="1" applyBorder="1" applyAlignment="1">
      <alignment horizontal="center" vertical="center" wrapText="1"/>
    </xf>
  </cellXfs>
  <cellStyles count="26">
    <cellStyle name="Dziesiętny" xfId="16" builtinId="3"/>
    <cellStyle name="Dziesiętny 2" xfId="3" xr:uid="{BFCEA198-B5A6-4EF1-8723-5E8521CAD3DC}"/>
    <cellStyle name="Excel Built-in Normal" xfId="4" xr:uid="{0D973522-5471-440E-B74C-241DCBFE695A}"/>
    <cellStyle name="Normalny" xfId="0" builtinId="0"/>
    <cellStyle name="Normalny 10" xfId="18" xr:uid="{6BACD3D9-592B-426F-9721-A9FE9CE20DB2}"/>
    <cellStyle name="Normalny 2" xfId="1" xr:uid="{F4A0727A-16F6-4BB8-93B1-4B9086AD85A6}"/>
    <cellStyle name="Normalny 2 2" xfId="2" xr:uid="{BE1E2D28-7667-4594-A8C7-64F906513484}"/>
    <cellStyle name="Normalny 3" xfId="5" xr:uid="{B757048F-EF6F-4793-91AA-B90652AC92F0}"/>
    <cellStyle name="Normalny 3 2" xfId="11" xr:uid="{67CEEE6D-0969-48F5-98DB-D6AC53B035C7}"/>
    <cellStyle name="Normalny 3 2 2" xfId="24" xr:uid="{FF33D63C-3054-4E58-B133-BA7CC0031241}"/>
    <cellStyle name="Normalny 3 3" xfId="15" xr:uid="{E46467C0-5919-4B8F-B506-C64FD3851CA7}"/>
    <cellStyle name="Normalny 3 4" xfId="21" xr:uid="{4D816432-E6D2-4FF8-9E54-7459BC3BAB5C}"/>
    <cellStyle name="Normalny 3 5" xfId="23" xr:uid="{A22B7970-EE1F-428F-95B0-AE980B01646A}"/>
    <cellStyle name="Normalny 4" xfId="6" xr:uid="{B2465C60-8C82-4AA7-8F41-043A6B5FBEE2}"/>
    <cellStyle name="Normalny 5" xfId="7" xr:uid="{0D5F1684-5C1D-48A7-ABCD-0A8CAA6DAE29}"/>
    <cellStyle name="Normalny 6" xfId="9" xr:uid="{2B0DED10-4C82-4D87-B036-A231710D7ED8}"/>
    <cellStyle name="Normalny 6 2" xfId="13" xr:uid="{1FC834F6-F022-4798-ACAB-01C3A46F64CE}"/>
    <cellStyle name="Normalny 6 3" xfId="19" xr:uid="{66A121DD-F365-42E5-9D63-F651D4BF7160}"/>
    <cellStyle name="Normalny 6 4" xfId="25" xr:uid="{FF8E8790-3330-4539-96EC-B722A19919EA}"/>
    <cellStyle name="Normalny 7" xfId="8" xr:uid="{62CD0728-EA2B-4DD2-AD34-21575365BC2A}"/>
    <cellStyle name="Normalny 7 2" xfId="14" xr:uid="{EC3CA01D-3A73-4BED-9320-D4FC4316300F}"/>
    <cellStyle name="Normalny 7 3" xfId="20" xr:uid="{D735B694-E343-4383-AB04-701EFD0629BA}"/>
    <cellStyle name="Normalny 8" xfId="10" xr:uid="{FCA48B7E-ED27-4C4B-BAF8-DFA7E6989938}"/>
    <cellStyle name="Normalny 9" xfId="12" xr:uid="{277CE72E-6566-4607-AAC8-B41BB9CF72C0}"/>
    <cellStyle name="Normalny_zal_Szczecin" xfId="22" xr:uid="{1846E955-6524-485D-B521-6E44198EF6D9}"/>
    <cellStyle name="Zły" xfId="17" builtinId="27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9E668-908D-42CE-BCBE-65C37E008943}">
  <sheetPr>
    <tabColor rgb="FFFF99FF"/>
  </sheetPr>
  <dimension ref="A1:H651"/>
  <sheetViews>
    <sheetView tabSelected="1" zoomScale="150" zoomScaleNormal="150" workbookViewId="0">
      <selection activeCell="M18" sqref="M18"/>
    </sheetView>
  </sheetViews>
  <sheetFormatPr defaultColWidth="9.140625" defaultRowHeight="16.5" x14ac:dyDescent="0.3"/>
  <cols>
    <col min="1" max="1" width="3.5703125" style="95" customWidth="1"/>
    <col min="2" max="2" width="6" style="95" customWidth="1"/>
    <col min="3" max="3" width="4.85546875" style="95" customWidth="1"/>
    <col min="4" max="4" width="39.140625" style="95" customWidth="1"/>
    <col min="5" max="5" width="13" style="95" customWidth="1"/>
    <col min="6" max="6" width="10.5703125" style="95" customWidth="1"/>
    <col min="7" max="7" width="10.85546875" style="95" customWidth="1"/>
    <col min="8" max="8" width="12.7109375" style="95" customWidth="1"/>
    <col min="9" max="9" width="10.28515625" style="95" customWidth="1"/>
    <col min="10" max="16384" width="9.140625" style="95"/>
  </cols>
  <sheetData>
    <row r="1" spans="1:8" ht="13.5" customHeight="1" x14ac:dyDescent="0.3">
      <c r="A1" s="27"/>
      <c r="B1" s="27"/>
      <c r="C1" s="94"/>
      <c r="D1" s="26"/>
      <c r="E1" s="26"/>
      <c r="F1" s="26" t="s">
        <v>0</v>
      </c>
      <c r="G1" s="26"/>
      <c r="H1" s="27"/>
    </row>
    <row r="2" spans="1:8" ht="12.75" customHeight="1" x14ac:dyDescent="0.3">
      <c r="A2" s="27"/>
      <c r="B2" s="27"/>
      <c r="C2" s="94"/>
      <c r="D2" s="26"/>
      <c r="E2" s="26"/>
      <c r="F2" s="26" t="s">
        <v>178</v>
      </c>
      <c r="G2" s="26"/>
      <c r="H2" s="27"/>
    </row>
    <row r="3" spans="1:8" ht="12.75" customHeight="1" x14ac:dyDescent="0.3">
      <c r="A3" s="27"/>
      <c r="B3" s="27"/>
      <c r="C3" s="94"/>
      <c r="D3" s="26"/>
      <c r="E3" s="26"/>
      <c r="F3" s="27" t="s">
        <v>1</v>
      </c>
      <c r="G3" s="27"/>
      <c r="H3" s="27"/>
    </row>
    <row r="4" spans="1:8" ht="12.75" customHeight="1" x14ac:dyDescent="0.3">
      <c r="A4" s="27"/>
      <c r="B4" s="27"/>
      <c r="C4" s="94"/>
      <c r="D4" s="26"/>
      <c r="E4" s="26"/>
      <c r="F4" s="26" t="s">
        <v>179</v>
      </c>
      <c r="G4" s="26"/>
      <c r="H4" s="27"/>
    </row>
    <row r="5" spans="1:8" ht="33.75" customHeight="1" x14ac:dyDescent="0.3">
      <c r="A5" s="96" t="s">
        <v>22</v>
      </c>
      <c r="B5" s="97"/>
      <c r="C5" s="98"/>
      <c r="D5" s="98"/>
      <c r="E5" s="97"/>
      <c r="F5" s="97"/>
      <c r="G5" s="96"/>
      <c r="H5" s="97"/>
    </row>
    <row r="6" spans="1:8" ht="27" customHeight="1" x14ac:dyDescent="0.3">
      <c r="A6" s="27"/>
      <c r="B6" s="27"/>
      <c r="C6" s="94"/>
      <c r="D6" s="94"/>
      <c r="E6" s="99"/>
      <c r="F6" s="27"/>
      <c r="G6" s="100"/>
      <c r="H6" s="101" t="s">
        <v>2</v>
      </c>
    </row>
    <row r="7" spans="1:8" s="25" customFormat="1" ht="12.75" x14ac:dyDescent="0.25">
      <c r="A7" s="102"/>
      <c r="B7" s="102"/>
      <c r="C7" s="103"/>
      <c r="D7" s="104"/>
      <c r="E7" s="105" t="s">
        <v>3</v>
      </c>
      <c r="F7" s="106"/>
      <c r="G7" s="107"/>
      <c r="H7" s="105" t="s">
        <v>3</v>
      </c>
    </row>
    <row r="8" spans="1:8" s="25" customFormat="1" ht="12.75" x14ac:dyDescent="0.25">
      <c r="A8" s="108" t="s">
        <v>4</v>
      </c>
      <c r="B8" s="108" t="s">
        <v>5</v>
      </c>
      <c r="C8" s="109" t="s">
        <v>6</v>
      </c>
      <c r="D8" s="110" t="s">
        <v>7</v>
      </c>
      <c r="E8" s="108" t="s">
        <v>8</v>
      </c>
      <c r="F8" s="111" t="s">
        <v>9</v>
      </c>
      <c r="G8" s="108" t="s">
        <v>10</v>
      </c>
      <c r="H8" s="108" t="s">
        <v>11</v>
      </c>
    </row>
    <row r="9" spans="1:8" s="25" customFormat="1" ht="2.25" customHeight="1" x14ac:dyDescent="0.25">
      <c r="A9" s="112"/>
      <c r="B9" s="112"/>
      <c r="C9" s="113"/>
      <c r="D9" s="114"/>
      <c r="E9" s="112"/>
      <c r="F9" s="115"/>
      <c r="G9" s="115"/>
      <c r="H9" s="112"/>
    </row>
    <row r="10" spans="1:8" s="25" customFormat="1" ht="17.25" customHeight="1" thickBot="1" x14ac:dyDescent="0.3">
      <c r="A10" s="116"/>
      <c r="B10" s="116"/>
      <c r="C10" s="117"/>
      <c r="D10" s="118" t="s">
        <v>46</v>
      </c>
      <c r="E10" s="119">
        <v>1330408645.45</v>
      </c>
      <c r="F10" s="119">
        <f>SUM(F11,F20,F25,)</f>
        <v>1075371.06</v>
      </c>
      <c r="G10" s="119">
        <f>SUM(G11,G20,G25,)</f>
        <v>13570</v>
      </c>
      <c r="H10" s="119">
        <f t="shared" ref="H10:H11" si="0">SUM(E10+F10-G10)</f>
        <v>1331470446.51</v>
      </c>
    </row>
    <row r="11" spans="1:8" s="25" customFormat="1" ht="15" customHeight="1" thickBot="1" x14ac:dyDescent="0.3">
      <c r="A11" s="116"/>
      <c r="B11" s="116"/>
      <c r="C11" s="117"/>
      <c r="D11" s="120" t="s">
        <v>47</v>
      </c>
      <c r="E11" s="121">
        <v>1148321939.51</v>
      </c>
      <c r="F11" s="121">
        <f>SUM(F12,F16,)</f>
        <v>944928.06</v>
      </c>
      <c r="G11" s="121">
        <f>SUM(G12,G16,)</f>
        <v>0</v>
      </c>
      <c r="H11" s="121">
        <f t="shared" si="0"/>
        <v>1149266867.5699999</v>
      </c>
    </row>
    <row r="12" spans="1:8" s="25" customFormat="1" ht="13.5" customHeight="1" thickTop="1" thickBot="1" x14ac:dyDescent="0.3">
      <c r="A12" s="122">
        <v>801</v>
      </c>
      <c r="B12" s="122"/>
      <c r="C12" s="123"/>
      <c r="D12" s="124" t="s">
        <v>42</v>
      </c>
      <c r="E12" s="121">
        <v>5131656.6900000004</v>
      </c>
      <c r="F12" s="125">
        <f t="shared" ref="F12:G12" si="1">SUM(F13)</f>
        <v>244928.06</v>
      </c>
      <c r="G12" s="125">
        <f t="shared" si="1"/>
        <v>0</v>
      </c>
      <c r="H12" s="121">
        <f>SUM(E12+F12-G12)</f>
        <v>5376584.75</v>
      </c>
    </row>
    <row r="13" spans="1:8" s="25" customFormat="1" ht="12" customHeight="1" thickTop="1" x14ac:dyDescent="0.25">
      <c r="A13" s="122"/>
      <c r="B13" s="126">
        <v>80195</v>
      </c>
      <c r="C13" s="117"/>
      <c r="D13" s="127" t="s">
        <v>26</v>
      </c>
      <c r="E13" s="128">
        <v>2514004.8800000004</v>
      </c>
      <c r="F13" s="128">
        <f>SUM(F14)</f>
        <v>244928.06</v>
      </c>
      <c r="G13" s="128">
        <f>SUM(G14)</f>
        <v>0</v>
      </c>
      <c r="H13" s="129">
        <f t="shared" ref="H13:H15" si="2">SUM(E13+F13-G13)</f>
        <v>2758932.9400000004</v>
      </c>
    </row>
    <row r="14" spans="1:8" s="25" customFormat="1" ht="21.75" customHeight="1" x14ac:dyDescent="0.25">
      <c r="A14" s="122"/>
      <c r="B14" s="130"/>
      <c r="C14" s="131"/>
      <c r="D14" s="132" t="s">
        <v>48</v>
      </c>
      <c r="E14" s="133">
        <v>0</v>
      </c>
      <c r="F14" s="134">
        <f>SUM(F15:F15)</f>
        <v>244928.06</v>
      </c>
      <c r="G14" s="134">
        <f>SUM(G15:G15)</f>
        <v>0</v>
      </c>
      <c r="H14" s="133">
        <f t="shared" si="2"/>
        <v>244928.06</v>
      </c>
    </row>
    <row r="15" spans="1:8" s="25" customFormat="1" ht="48.75" customHeight="1" x14ac:dyDescent="0.25">
      <c r="A15" s="135"/>
      <c r="B15" s="130"/>
      <c r="C15" s="136" t="s">
        <v>49</v>
      </c>
      <c r="D15" s="137" t="s">
        <v>50</v>
      </c>
      <c r="E15" s="138">
        <v>0</v>
      </c>
      <c r="F15" s="138">
        <f>89995.06+67572+87361</f>
        <v>244928.06</v>
      </c>
      <c r="G15" s="139"/>
      <c r="H15" s="138">
        <f t="shared" si="2"/>
        <v>244928.06</v>
      </c>
    </row>
    <row r="16" spans="1:8" s="25" customFormat="1" ht="12" customHeight="1" thickBot="1" x14ac:dyDescent="0.3">
      <c r="A16" s="123" t="s">
        <v>51</v>
      </c>
      <c r="B16" s="140"/>
      <c r="C16" s="123"/>
      <c r="D16" s="124" t="s">
        <v>52</v>
      </c>
      <c r="E16" s="121">
        <v>26244254.420000002</v>
      </c>
      <c r="F16" s="125">
        <f>SUM(F17,)</f>
        <v>700000</v>
      </c>
      <c r="G16" s="125">
        <f>SUM(G17,)</f>
        <v>0</v>
      </c>
      <c r="H16" s="121">
        <f t="shared" ref="H16" si="3">SUM(E16+F16-G16)</f>
        <v>26944254.420000002</v>
      </c>
    </row>
    <row r="17" spans="1:8" s="25" customFormat="1" ht="12" customHeight="1" thickTop="1" x14ac:dyDescent="0.25">
      <c r="A17" s="135"/>
      <c r="B17" s="126">
        <v>85230</v>
      </c>
      <c r="C17" s="117"/>
      <c r="D17" s="127" t="s">
        <v>53</v>
      </c>
      <c r="E17" s="129">
        <v>3357534</v>
      </c>
      <c r="F17" s="128">
        <f>SUM(F18)</f>
        <v>700000</v>
      </c>
      <c r="G17" s="128">
        <f>SUM(G18)</f>
        <v>0</v>
      </c>
      <c r="H17" s="129">
        <f>SUM(E17+F17-G17)</f>
        <v>4057534</v>
      </c>
    </row>
    <row r="18" spans="1:8" s="25" customFormat="1" ht="12" customHeight="1" x14ac:dyDescent="0.25">
      <c r="A18" s="135"/>
      <c r="B18" s="126"/>
      <c r="C18" s="141"/>
      <c r="D18" s="142" t="s">
        <v>54</v>
      </c>
      <c r="E18" s="133">
        <v>3354800</v>
      </c>
      <c r="F18" s="134">
        <f>SUM(F19:F19)</f>
        <v>700000</v>
      </c>
      <c r="G18" s="134">
        <f>SUM(G19:G19)</f>
        <v>0</v>
      </c>
      <c r="H18" s="133">
        <f>SUM(E18+F18-G18)</f>
        <v>4054800</v>
      </c>
    </row>
    <row r="19" spans="1:8" s="25" customFormat="1" ht="24.75" customHeight="1" x14ac:dyDescent="0.25">
      <c r="A19" s="135"/>
      <c r="B19" s="126"/>
      <c r="C19" s="136" t="s">
        <v>55</v>
      </c>
      <c r="D19" s="143" t="s">
        <v>56</v>
      </c>
      <c r="E19" s="138">
        <v>3354800</v>
      </c>
      <c r="F19" s="139">
        <v>700000</v>
      </c>
      <c r="G19" s="139"/>
      <c r="H19" s="138">
        <f t="shared" ref="H19:H25" si="4">SUM(E19+F19-G19)</f>
        <v>4054800</v>
      </c>
    </row>
    <row r="20" spans="1:8" s="25" customFormat="1" ht="19.5" customHeight="1" thickBot="1" x14ac:dyDescent="0.3">
      <c r="A20" s="135"/>
      <c r="B20" s="116"/>
      <c r="C20" s="117"/>
      <c r="D20" s="120" t="s">
        <v>57</v>
      </c>
      <c r="E20" s="121">
        <v>97049942.25999999</v>
      </c>
      <c r="F20" s="121">
        <f t="shared" ref="F20:G22" si="5">SUM(F21)</f>
        <v>77040</v>
      </c>
      <c r="G20" s="121">
        <f t="shared" si="5"/>
        <v>0</v>
      </c>
      <c r="H20" s="121">
        <f t="shared" si="4"/>
        <v>97126982.25999999</v>
      </c>
    </row>
    <row r="21" spans="1:8" s="25" customFormat="1" ht="15.75" customHeight="1" thickTop="1" thickBot="1" x14ac:dyDescent="0.3">
      <c r="A21" s="122">
        <v>801</v>
      </c>
      <c r="B21" s="122"/>
      <c r="C21" s="123"/>
      <c r="D21" s="124" t="s">
        <v>42</v>
      </c>
      <c r="E21" s="3">
        <v>9785747.4499999993</v>
      </c>
      <c r="F21" s="125">
        <f t="shared" si="5"/>
        <v>77040</v>
      </c>
      <c r="G21" s="125">
        <f t="shared" si="5"/>
        <v>0</v>
      </c>
      <c r="H21" s="121">
        <f t="shared" si="4"/>
        <v>9862787.4499999993</v>
      </c>
    </row>
    <row r="22" spans="1:8" s="25" customFormat="1" ht="12" customHeight="1" thickTop="1" x14ac:dyDescent="0.25">
      <c r="A22" s="122"/>
      <c r="B22" s="126">
        <v>80195</v>
      </c>
      <c r="C22" s="117"/>
      <c r="D22" s="127" t="s">
        <v>26</v>
      </c>
      <c r="E22" s="128">
        <v>8577934.4900000002</v>
      </c>
      <c r="F22" s="128">
        <f t="shared" si="5"/>
        <v>77040</v>
      </c>
      <c r="G22" s="128">
        <f t="shared" si="5"/>
        <v>0</v>
      </c>
      <c r="H22" s="129">
        <f t="shared" si="4"/>
        <v>8654974.4900000002</v>
      </c>
    </row>
    <row r="23" spans="1:8" s="25" customFormat="1" ht="22.5" customHeight="1" x14ac:dyDescent="0.25">
      <c r="A23" s="122"/>
      <c r="B23" s="130"/>
      <c r="C23" s="131"/>
      <c r="D23" s="132" t="s">
        <v>48</v>
      </c>
      <c r="E23" s="133">
        <v>0</v>
      </c>
      <c r="F23" s="134">
        <f>SUM(F24:F24)</f>
        <v>77040</v>
      </c>
      <c r="G23" s="134">
        <f>SUM(G24:G24)</f>
        <v>0</v>
      </c>
      <c r="H23" s="133">
        <f t="shared" si="4"/>
        <v>77040</v>
      </c>
    </row>
    <row r="24" spans="1:8" s="25" customFormat="1" ht="51" customHeight="1" x14ac:dyDescent="0.25">
      <c r="A24" s="135"/>
      <c r="B24" s="130"/>
      <c r="C24" s="136" t="s">
        <v>49</v>
      </c>
      <c r="D24" s="137" t="s">
        <v>50</v>
      </c>
      <c r="E24" s="138">
        <v>0</v>
      </c>
      <c r="F24" s="138">
        <f>77040</f>
        <v>77040</v>
      </c>
      <c r="G24" s="139"/>
      <c r="H24" s="138">
        <f t="shared" si="4"/>
        <v>77040</v>
      </c>
    </row>
    <row r="25" spans="1:8" s="25" customFormat="1" ht="15.75" customHeight="1" thickBot="1" x14ac:dyDescent="0.3">
      <c r="A25" s="116"/>
      <c r="B25" s="116"/>
      <c r="C25" s="117"/>
      <c r="D25" s="120" t="s">
        <v>58</v>
      </c>
      <c r="E25" s="121">
        <v>57363040.509999998</v>
      </c>
      <c r="F25" s="125">
        <f>SUM(F26,F30,)</f>
        <v>53403</v>
      </c>
      <c r="G25" s="125">
        <f>SUM(G26,G30,)</f>
        <v>13570</v>
      </c>
      <c r="H25" s="121">
        <f t="shared" si="4"/>
        <v>57402873.509999998</v>
      </c>
    </row>
    <row r="26" spans="1:8" s="25" customFormat="1" ht="15" customHeight="1" thickTop="1" thickBot="1" x14ac:dyDescent="0.3">
      <c r="A26" s="140">
        <v>852</v>
      </c>
      <c r="B26" s="140"/>
      <c r="C26" s="123"/>
      <c r="D26" s="124" t="s">
        <v>52</v>
      </c>
      <c r="E26" s="121">
        <v>6731680.6699999999</v>
      </c>
      <c r="F26" s="125">
        <f>SUM(F27)</f>
        <v>32945</v>
      </c>
      <c r="G26" s="125">
        <f>SUM(G27)</f>
        <v>0</v>
      </c>
      <c r="H26" s="125">
        <f>SUM(E26+F26-G26)</f>
        <v>6764625.6699999999</v>
      </c>
    </row>
    <row r="27" spans="1:8" s="25" customFormat="1" ht="12" customHeight="1" thickTop="1" x14ac:dyDescent="0.25">
      <c r="A27" s="140"/>
      <c r="B27" s="126">
        <v>85219</v>
      </c>
      <c r="C27" s="117"/>
      <c r="D27" s="127" t="s">
        <v>59</v>
      </c>
      <c r="E27" s="129">
        <v>145767</v>
      </c>
      <c r="F27" s="128">
        <f t="shared" ref="F27:G28" si="6">SUM(F28)</f>
        <v>32945</v>
      </c>
      <c r="G27" s="128">
        <f t="shared" si="6"/>
        <v>0</v>
      </c>
      <c r="H27" s="129">
        <f>SUM(E27+F27-G27)</f>
        <v>178712</v>
      </c>
    </row>
    <row r="28" spans="1:8" s="25" customFormat="1" ht="12" customHeight="1" x14ac:dyDescent="0.25">
      <c r="A28" s="140"/>
      <c r="B28" s="126"/>
      <c r="C28" s="117"/>
      <c r="D28" s="144" t="s">
        <v>54</v>
      </c>
      <c r="E28" s="133">
        <v>145767</v>
      </c>
      <c r="F28" s="134">
        <f t="shared" si="6"/>
        <v>32945</v>
      </c>
      <c r="G28" s="134">
        <f t="shared" si="6"/>
        <v>0</v>
      </c>
      <c r="H28" s="133">
        <f t="shared" ref="H28:H36" si="7">SUM(E28+F28-G28)</f>
        <v>178712</v>
      </c>
    </row>
    <row r="29" spans="1:8" s="25" customFormat="1" ht="36" customHeight="1" x14ac:dyDescent="0.25">
      <c r="A29" s="140"/>
      <c r="B29" s="140"/>
      <c r="C29" s="136" t="s">
        <v>60</v>
      </c>
      <c r="D29" s="145" t="s">
        <v>61</v>
      </c>
      <c r="E29" s="139">
        <v>145767</v>
      </c>
      <c r="F29" s="138">
        <v>32945</v>
      </c>
      <c r="G29" s="138"/>
      <c r="H29" s="139">
        <f t="shared" si="7"/>
        <v>178712</v>
      </c>
    </row>
    <row r="30" spans="1:8" s="25" customFormat="1" ht="12" customHeight="1" thickBot="1" x14ac:dyDescent="0.3">
      <c r="A30" s="140">
        <v>855</v>
      </c>
      <c r="B30" s="140"/>
      <c r="C30" s="123"/>
      <c r="D30" s="124" t="s">
        <v>38</v>
      </c>
      <c r="E30" s="125">
        <v>44224792</v>
      </c>
      <c r="F30" s="125">
        <f>SUM(F31,F35,)</f>
        <v>20458</v>
      </c>
      <c r="G30" s="125">
        <f>SUM(G31,G35,)</f>
        <v>13570</v>
      </c>
      <c r="H30" s="125">
        <f t="shared" si="7"/>
        <v>44231680</v>
      </c>
    </row>
    <row r="31" spans="1:8" s="25" customFormat="1" ht="36.75" customHeight="1" thickTop="1" x14ac:dyDescent="0.25">
      <c r="A31" s="140"/>
      <c r="B31" s="146">
        <v>85502</v>
      </c>
      <c r="C31" s="117"/>
      <c r="D31" s="147" t="s">
        <v>39</v>
      </c>
      <c r="E31" s="129">
        <v>43607854</v>
      </c>
      <c r="F31" s="128">
        <f t="shared" ref="F31:G31" si="8">SUM(F32)</f>
        <v>19500</v>
      </c>
      <c r="G31" s="128">
        <f t="shared" si="8"/>
        <v>13570</v>
      </c>
      <c r="H31" s="129">
        <f t="shared" si="7"/>
        <v>43613784</v>
      </c>
    </row>
    <row r="32" spans="1:8" s="25" customFormat="1" ht="12" customHeight="1" x14ac:dyDescent="0.25">
      <c r="A32" s="140"/>
      <c r="B32" s="126"/>
      <c r="C32" s="117"/>
      <c r="D32" s="144" t="s">
        <v>54</v>
      </c>
      <c r="E32" s="133">
        <v>43607854</v>
      </c>
      <c r="F32" s="134">
        <f>SUM(F33:F34)</f>
        <v>19500</v>
      </c>
      <c r="G32" s="134">
        <f>SUM(G33:G34)</f>
        <v>13570</v>
      </c>
      <c r="H32" s="133">
        <f t="shared" si="7"/>
        <v>43613784</v>
      </c>
    </row>
    <row r="33" spans="1:8" s="25" customFormat="1" ht="36" customHeight="1" x14ac:dyDescent="0.25">
      <c r="A33" s="140"/>
      <c r="B33" s="126"/>
      <c r="C33" s="136" t="s">
        <v>60</v>
      </c>
      <c r="D33" s="148" t="s">
        <v>61</v>
      </c>
      <c r="E33" s="138">
        <v>43607854</v>
      </c>
      <c r="F33" s="139"/>
      <c r="G33" s="139">
        <v>13570</v>
      </c>
      <c r="H33" s="139">
        <f t="shared" si="7"/>
        <v>43594284</v>
      </c>
    </row>
    <row r="34" spans="1:8" s="25" customFormat="1" ht="49.5" customHeight="1" x14ac:dyDescent="0.25">
      <c r="A34" s="140"/>
      <c r="B34" s="140"/>
      <c r="C34" s="136" t="s">
        <v>62</v>
      </c>
      <c r="D34" s="137" t="s">
        <v>63</v>
      </c>
      <c r="E34" s="139">
        <v>0</v>
      </c>
      <c r="F34" s="139">
        <v>19500</v>
      </c>
      <c r="G34" s="139"/>
      <c r="H34" s="139">
        <f t="shared" si="7"/>
        <v>19500</v>
      </c>
    </row>
    <row r="35" spans="1:8" s="25" customFormat="1" ht="12" customHeight="1" x14ac:dyDescent="0.25">
      <c r="A35" s="140"/>
      <c r="B35" s="149">
        <v>85503</v>
      </c>
      <c r="C35" s="126"/>
      <c r="D35" s="127" t="s">
        <v>64</v>
      </c>
      <c r="E35" s="129">
        <v>1900</v>
      </c>
      <c r="F35" s="128">
        <f t="shared" ref="F35:G36" si="9">SUM(F36)</f>
        <v>958</v>
      </c>
      <c r="G35" s="128">
        <f t="shared" si="9"/>
        <v>0</v>
      </c>
      <c r="H35" s="129">
        <f t="shared" si="7"/>
        <v>2858</v>
      </c>
    </row>
    <row r="36" spans="1:8" s="25" customFormat="1" ht="12" customHeight="1" x14ac:dyDescent="0.25">
      <c r="A36" s="140"/>
      <c r="B36" s="126"/>
      <c r="C36" s="117"/>
      <c r="D36" s="144" t="s">
        <v>54</v>
      </c>
      <c r="E36" s="133">
        <v>1900</v>
      </c>
      <c r="F36" s="134">
        <f t="shared" si="9"/>
        <v>958</v>
      </c>
      <c r="G36" s="134">
        <f t="shared" si="9"/>
        <v>0</v>
      </c>
      <c r="H36" s="133">
        <f t="shared" si="7"/>
        <v>2858</v>
      </c>
    </row>
    <row r="37" spans="1:8" s="25" customFormat="1" ht="36" customHeight="1" x14ac:dyDescent="0.25">
      <c r="A37" s="150"/>
      <c r="B37" s="150"/>
      <c r="C37" s="151" t="s">
        <v>60</v>
      </c>
      <c r="D37" s="152" t="s">
        <v>61</v>
      </c>
      <c r="E37" s="128">
        <v>1900</v>
      </c>
      <c r="F37" s="129">
        <v>958</v>
      </c>
      <c r="G37" s="129"/>
      <c r="H37" s="128">
        <f>SUM(E37+F37-G37)</f>
        <v>2858</v>
      </c>
    </row>
    <row r="38" spans="1:8" s="25" customFormat="1" ht="18" customHeight="1" thickBot="1" x14ac:dyDescent="0.3">
      <c r="A38" s="126"/>
      <c r="B38" s="126"/>
      <c r="C38" s="117"/>
      <c r="D38" s="118" t="s">
        <v>12</v>
      </c>
      <c r="E38" s="119">
        <v>1522091250.2599995</v>
      </c>
      <c r="F38" s="119">
        <f>SUM(F39,F257,F408,F428)</f>
        <v>5059782.3499999996</v>
      </c>
      <c r="G38" s="119">
        <f>SUM(G39,G257,G408,G428)</f>
        <v>3997981.29</v>
      </c>
      <c r="H38" s="119">
        <f t="shared" ref="H38:H39" si="10">SUM(E38+F38-G38)</f>
        <v>1523153051.3199995</v>
      </c>
    </row>
    <row r="39" spans="1:8" s="25" customFormat="1" ht="16.5" customHeight="1" thickBot="1" x14ac:dyDescent="0.3">
      <c r="A39" s="126"/>
      <c r="B39" s="126"/>
      <c r="C39" s="117"/>
      <c r="D39" s="120" t="s">
        <v>23</v>
      </c>
      <c r="E39" s="121">
        <v>1053149780.0999998</v>
      </c>
      <c r="F39" s="121">
        <f>SUM(F40,F49,F55,F64,F90,F94,F194,F216,F221,F226,F241,F247,)</f>
        <v>2596388.88</v>
      </c>
      <c r="G39" s="121">
        <f>SUM(G40,G49,G55,G64,G90,G94,G194,G216,G221,G226,G241,G247,)</f>
        <v>1554195.8199999998</v>
      </c>
      <c r="H39" s="121">
        <f t="shared" si="10"/>
        <v>1054191973.1599997</v>
      </c>
    </row>
    <row r="40" spans="1:8" s="25" customFormat="1" ht="16.5" customHeight="1" thickTop="1" thickBot="1" x14ac:dyDescent="0.3">
      <c r="A40" s="122">
        <v>600</v>
      </c>
      <c r="B40" s="140"/>
      <c r="C40" s="123"/>
      <c r="D40" s="124" t="s">
        <v>65</v>
      </c>
      <c r="E40" s="121">
        <v>194024783.03000003</v>
      </c>
      <c r="F40" s="121">
        <f>SUM(F41,)</f>
        <v>69000</v>
      </c>
      <c r="G40" s="121">
        <f>SUM(G41,)</f>
        <v>61000</v>
      </c>
      <c r="H40" s="121">
        <f>SUM(E40+F40-G40)</f>
        <v>194032783.03000003</v>
      </c>
    </row>
    <row r="41" spans="1:8" s="25" customFormat="1" ht="12" customHeight="1" thickTop="1" x14ac:dyDescent="0.25">
      <c r="A41" s="122"/>
      <c r="B41" s="126">
        <v>60004</v>
      </c>
      <c r="C41" s="117"/>
      <c r="D41" s="127" t="s">
        <v>66</v>
      </c>
      <c r="E41" s="129">
        <v>133778643.18000001</v>
      </c>
      <c r="F41" s="129">
        <f>SUM(F42,F45,F47)</f>
        <v>69000</v>
      </c>
      <c r="G41" s="129">
        <f>SUM(G42,G45,G47)</f>
        <v>61000</v>
      </c>
      <c r="H41" s="129">
        <f t="shared" ref="H41:H63" si="11">SUM(E41+F41-G41)</f>
        <v>133786643.18000001</v>
      </c>
    </row>
    <row r="42" spans="1:8" s="25" customFormat="1" ht="12" customHeight="1" x14ac:dyDescent="0.25">
      <c r="A42" s="122"/>
      <c r="B42" s="140"/>
      <c r="C42" s="131"/>
      <c r="D42" s="15" t="s">
        <v>67</v>
      </c>
      <c r="E42" s="134">
        <v>437187.5</v>
      </c>
      <c r="F42" s="134">
        <f>SUM(F43:F44)</f>
        <v>30000</v>
      </c>
      <c r="G42" s="134">
        <f>SUM(G43:G44)</f>
        <v>61000</v>
      </c>
      <c r="H42" s="133">
        <f t="shared" si="11"/>
        <v>406187.5</v>
      </c>
    </row>
    <row r="43" spans="1:8" s="25" customFormat="1" ht="12" customHeight="1" x14ac:dyDescent="0.25">
      <c r="A43" s="122"/>
      <c r="B43" s="140"/>
      <c r="C43" s="153">
        <v>4270</v>
      </c>
      <c r="D43" s="154" t="s">
        <v>28</v>
      </c>
      <c r="E43" s="139">
        <v>148032.5</v>
      </c>
      <c r="F43" s="139"/>
      <c r="G43" s="139">
        <v>61000</v>
      </c>
      <c r="H43" s="138">
        <f t="shared" si="11"/>
        <v>87032.5</v>
      </c>
    </row>
    <row r="44" spans="1:8" s="25" customFormat="1" ht="12" customHeight="1" x14ac:dyDescent="0.25">
      <c r="A44" s="122"/>
      <c r="B44" s="140"/>
      <c r="C44" s="153">
        <v>4300</v>
      </c>
      <c r="D44" s="154" t="s">
        <v>16</v>
      </c>
      <c r="E44" s="139">
        <v>140000</v>
      </c>
      <c r="F44" s="139">
        <v>30000</v>
      </c>
      <c r="G44" s="139"/>
      <c r="H44" s="138">
        <f t="shared" si="11"/>
        <v>170000</v>
      </c>
    </row>
    <row r="45" spans="1:8" s="25" customFormat="1" ht="36" customHeight="1" x14ac:dyDescent="0.25">
      <c r="A45" s="122"/>
      <c r="B45" s="140"/>
      <c r="C45" s="131"/>
      <c r="D45" s="16" t="s">
        <v>68</v>
      </c>
      <c r="E45" s="134">
        <v>2934391.29</v>
      </c>
      <c r="F45" s="134">
        <f>SUM(F46:F46)</f>
        <v>8000</v>
      </c>
      <c r="G45" s="134">
        <f>SUM(G46:G46)</f>
        <v>0</v>
      </c>
      <c r="H45" s="133">
        <f t="shared" si="11"/>
        <v>2942391.29</v>
      </c>
    </row>
    <row r="46" spans="1:8" s="25" customFormat="1" ht="12" customHeight="1" x14ac:dyDescent="0.25">
      <c r="A46" s="122"/>
      <c r="B46" s="140"/>
      <c r="C46" s="153">
        <v>4399</v>
      </c>
      <c r="D46" s="143" t="s">
        <v>69</v>
      </c>
      <c r="E46" s="139">
        <v>0</v>
      </c>
      <c r="F46" s="139">
        <v>8000</v>
      </c>
      <c r="G46" s="139"/>
      <c r="H46" s="138">
        <f t="shared" si="11"/>
        <v>8000</v>
      </c>
    </row>
    <row r="47" spans="1:8" s="25" customFormat="1" ht="39" customHeight="1" x14ac:dyDescent="0.25">
      <c r="A47" s="122"/>
      <c r="B47" s="140"/>
      <c r="C47" s="131"/>
      <c r="D47" s="16" t="s">
        <v>70</v>
      </c>
      <c r="E47" s="134">
        <v>15042745.940000001</v>
      </c>
      <c r="F47" s="134">
        <f>SUM(F48:F48)</f>
        <v>31000</v>
      </c>
      <c r="G47" s="134">
        <f>SUM(G48:G48)</f>
        <v>0</v>
      </c>
      <c r="H47" s="133">
        <f t="shared" si="11"/>
        <v>15073745.940000001</v>
      </c>
    </row>
    <row r="48" spans="1:8" s="25" customFormat="1" ht="12" customHeight="1" x14ac:dyDescent="0.25">
      <c r="A48" s="122"/>
      <c r="B48" s="140"/>
      <c r="C48" s="153">
        <v>4399</v>
      </c>
      <c r="D48" s="143" t="s">
        <v>69</v>
      </c>
      <c r="E48" s="139">
        <v>0</v>
      </c>
      <c r="F48" s="139">
        <v>31000</v>
      </c>
      <c r="G48" s="139"/>
      <c r="H48" s="138">
        <f t="shared" si="11"/>
        <v>31000</v>
      </c>
    </row>
    <row r="49" spans="1:8" s="25" customFormat="1" ht="12" customHeight="1" thickBot="1" x14ac:dyDescent="0.3">
      <c r="A49" s="122">
        <v>630</v>
      </c>
      <c r="B49" s="122"/>
      <c r="C49" s="123"/>
      <c r="D49" s="124" t="s">
        <v>71</v>
      </c>
      <c r="E49" s="155">
        <v>3272389.0500000003</v>
      </c>
      <c r="F49" s="125">
        <f>SUM(F50,)</f>
        <v>7000</v>
      </c>
      <c r="G49" s="125">
        <f>SUM(G50,)</f>
        <v>7000</v>
      </c>
      <c r="H49" s="155">
        <f t="shared" si="11"/>
        <v>3272389.0500000003</v>
      </c>
    </row>
    <row r="50" spans="1:8" s="25" customFormat="1" ht="12" customHeight="1" thickTop="1" x14ac:dyDescent="0.25">
      <c r="A50" s="122"/>
      <c r="B50" s="117" t="s">
        <v>72</v>
      </c>
      <c r="C50" s="149"/>
      <c r="D50" s="127" t="s">
        <v>26</v>
      </c>
      <c r="E50" s="129">
        <v>74000</v>
      </c>
      <c r="F50" s="128">
        <f>SUM(F51)</f>
        <v>7000</v>
      </c>
      <c r="G50" s="128">
        <f>SUM(G51)</f>
        <v>7000</v>
      </c>
      <c r="H50" s="129">
        <f t="shared" si="11"/>
        <v>74000</v>
      </c>
    </row>
    <row r="51" spans="1:8" s="25" customFormat="1" ht="12" customHeight="1" x14ac:dyDescent="0.25">
      <c r="A51" s="122"/>
      <c r="B51" s="122"/>
      <c r="C51" s="17"/>
      <c r="D51" s="18" t="s">
        <v>73</v>
      </c>
      <c r="E51" s="133">
        <v>74000</v>
      </c>
      <c r="F51" s="134">
        <f>SUM(F52:F54)</f>
        <v>7000</v>
      </c>
      <c r="G51" s="134">
        <f>SUM(G52:G54)</f>
        <v>7000</v>
      </c>
      <c r="H51" s="133">
        <f t="shared" si="11"/>
        <v>74000</v>
      </c>
    </row>
    <row r="52" spans="1:8" s="25" customFormat="1" ht="12" customHeight="1" x14ac:dyDescent="0.25">
      <c r="A52" s="122"/>
      <c r="B52" s="122"/>
      <c r="C52" s="153">
        <v>4110</v>
      </c>
      <c r="D52" s="154" t="s">
        <v>74</v>
      </c>
      <c r="E52" s="138">
        <v>0</v>
      </c>
      <c r="F52" s="139">
        <v>2000</v>
      </c>
      <c r="G52" s="139"/>
      <c r="H52" s="138">
        <f t="shared" si="11"/>
        <v>2000</v>
      </c>
    </row>
    <row r="53" spans="1:8" s="25" customFormat="1" ht="12" customHeight="1" x14ac:dyDescent="0.25">
      <c r="A53" s="122"/>
      <c r="B53" s="122"/>
      <c r="C53" s="153">
        <v>4170</v>
      </c>
      <c r="D53" s="154" t="s">
        <v>19</v>
      </c>
      <c r="E53" s="138">
        <v>4000</v>
      </c>
      <c r="F53" s="139">
        <v>5000</v>
      </c>
      <c r="G53" s="139"/>
      <c r="H53" s="138">
        <f t="shared" si="11"/>
        <v>9000</v>
      </c>
    </row>
    <row r="54" spans="1:8" s="25" customFormat="1" ht="12" customHeight="1" x14ac:dyDescent="0.25">
      <c r="A54" s="122"/>
      <c r="B54" s="122"/>
      <c r="C54" s="126">
        <v>4300</v>
      </c>
      <c r="D54" s="156" t="s">
        <v>16</v>
      </c>
      <c r="E54" s="138">
        <v>56000</v>
      </c>
      <c r="F54" s="139"/>
      <c r="G54" s="139">
        <v>7000</v>
      </c>
      <c r="H54" s="138">
        <f t="shared" si="11"/>
        <v>49000</v>
      </c>
    </row>
    <row r="55" spans="1:8" s="25" customFormat="1" ht="12" customHeight="1" thickBot="1" x14ac:dyDescent="0.3">
      <c r="A55" s="122">
        <v>700</v>
      </c>
      <c r="B55" s="122"/>
      <c r="C55" s="123"/>
      <c r="D55" s="124" t="s">
        <v>24</v>
      </c>
      <c r="E55" s="155">
        <v>140593185.28</v>
      </c>
      <c r="F55" s="125">
        <f>SUM(F56,F60,)</f>
        <v>60017</v>
      </c>
      <c r="G55" s="125">
        <f>SUM(G56,G60,)</f>
        <v>60017</v>
      </c>
      <c r="H55" s="155">
        <f t="shared" si="11"/>
        <v>140593185.28</v>
      </c>
    </row>
    <row r="56" spans="1:8" s="25" customFormat="1" ht="12" customHeight="1" thickTop="1" x14ac:dyDescent="0.25">
      <c r="A56" s="122"/>
      <c r="B56" s="10">
        <v>70005</v>
      </c>
      <c r="C56" s="10"/>
      <c r="D56" s="9" t="s">
        <v>25</v>
      </c>
      <c r="E56" s="129">
        <v>7089875</v>
      </c>
      <c r="F56" s="128">
        <f>SUM(F57)</f>
        <v>17</v>
      </c>
      <c r="G56" s="128">
        <f>SUM(G57)</f>
        <v>17</v>
      </c>
      <c r="H56" s="129">
        <f t="shared" si="11"/>
        <v>7089875</v>
      </c>
    </row>
    <row r="57" spans="1:8" s="25" customFormat="1" ht="12" customHeight="1" x14ac:dyDescent="0.25">
      <c r="A57" s="122"/>
      <c r="B57" s="149"/>
      <c r="C57" s="117"/>
      <c r="D57" s="18" t="s">
        <v>75</v>
      </c>
      <c r="E57" s="133">
        <v>7075375</v>
      </c>
      <c r="F57" s="133">
        <f>SUM(F58:F59)</f>
        <v>17</v>
      </c>
      <c r="G57" s="133">
        <f>SUM(G58:G59)</f>
        <v>17</v>
      </c>
      <c r="H57" s="133">
        <f>SUM(E57+F57-G57)</f>
        <v>7075375</v>
      </c>
    </row>
    <row r="58" spans="1:8" s="25" customFormat="1" ht="12" customHeight="1" x14ac:dyDescent="0.25">
      <c r="A58" s="122"/>
      <c r="B58" s="149"/>
      <c r="C58" s="153">
        <v>4510</v>
      </c>
      <c r="D58" s="154" t="s">
        <v>76</v>
      </c>
      <c r="E58" s="138">
        <v>45000</v>
      </c>
      <c r="F58" s="138"/>
      <c r="G58" s="138">
        <v>17</v>
      </c>
      <c r="H58" s="138">
        <f t="shared" ref="H58:H59" si="12">SUM(E58+F58-G58)</f>
        <v>44983</v>
      </c>
    </row>
    <row r="59" spans="1:8" s="25" customFormat="1" ht="12" customHeight="1" x14ac:dyDescent="0.25">
      <c r="A59" s="122"/>
      <c r="B59" s="149"/>
      <c r="C59" s="153">
        <v>4520</v>
      </c>
      <c r="D59" s="148" t="s">
        <v>77</v>
      </c>
      <c r="E59" s="13">
        <v>0</v>
      </c>
      <c r="F59" s="138">
        <v>17</v>
      </c>
      <c r="G59" s="138"/>
      <c r="H59" s="138">
        <f t="shared" si="12"/>
        <v>17</v>
      </c>
    </row>
    <row r="60" spans="1:8" s="25" customFormat="1" ht="12" customHeight="1" x14ac:dyDescent="0.25">
      <c r="A60" s="122"/>
      <c r="B60" s="149">
        <v>70007</v>
      </c>
      <c r="C60" s="157"/>
      <c r="D60" s="158" t="s">
        <v>78</v>
      </c>
      <c r="E60" s="129">
        <v>58048237.960000001</v>
      </c>
      <c r="F60" s="128">
        <f>SUM(F61)</f>
        <v>60000</v>
      </c>
      <c r="G60" s="128">
        <f>SUM(G61)</f>
        <v>60000</v>
      </c>
      <c r="H60" s="129">
        <f t="shared" si="11"/>
        <v>58048237.960000001</v>
      </c>
    </row>
    <row r="61" spans="1:8" s="25" customFormat="1" ht="12" customHeight="1" x14ac:dyDescent="0.25">
      <c r="A61" s="122"/>
      <c r="B61" s="122"/>
      <c r="C61" s="17"/>
      <c r="D61" s="159" t="s">
        <v>79</v>
      </c>
      <c r="E61" s="133">
        <v>55132104.259999998</v>
      </c>
      <c r="F61" s="134">
        <f>SUM(F62:F63)</f>
        <v>60000</v>
      </c>
      <c r="G61" s="134">
        <f>SUM(G62:G63)</f>
        <v>60000</v>
      </c>
      <c r="H61" s="133">
        <f t="shared" si="11"/>
        <v>55132104.259999998</v>
      </c>
    </row>
    <row r="62" spans="1:8" s="25" customFormat="1" ht="12" customHeight="1" x14ac:dyDescent="0.25">
      <c r="A62" s="122"/>
      <c r="B62" s="122"/>
      <c r="C62" s="153">
        <v>4140</v>
      </c>
      <c r="D62" s="143" t="s">
        <v>80</v>
      </c>
      <c r="E62" s="138">
        <v>117780</v>
      </c>
      <c r="F62" s="139"/>
      <c r="G62" s="139">
        <v>60000</v>
      </c>
      <c r="H62" s="138">
        <f t="shared" si="11"/>
        <v>57780</v>
      </c>
    </row>
    <row r="63" spans="1:8" s="25" customFormat="1" ht="12" customHeight="1" x14ac:dyDescent="0.25">
      <c r="A63" s="122"/>
      <c r="B63" s="122"/>
      <c r="C63" s="153">
        <v>4270</v>
      </c>
      <c r="D63" s="154" t="s">
        <v>28</v>
      </c>
      <c r="E63" s="138">
        <v>7430628.4399999995</v>
      </c>
      <c r="F63" s="139">
        <v>60000</v>
      </c>
      <c r="G63" s="139"/>
      <c r="H63" s="138">
        <f t="shared" si="11"/>
        <v>7490628.4399999995</v>
      </c>
    </row>
    <row r="64" spans="1:8" s="25" customFormat="1" ht="12" customHeight="1" thickBot="1" x14ac:dyDescent="0.3">
      <c r="A64" s="122">
        <v>750</v>
      </c>
      <c r="B64" s="140"/>
      <c r="C64" s="123"/>
      <c r="D64" s="124" t="s">
        <v>21</v>
      </c>
      <c r="E64" s="121">
        <v>92230032.120000005</v>
      </c>
      <c r="F64" s="125">
        <f>SUM(F65,F68,F74,)</f>
        <v>70236.990000000005</v>
      </c>
      <c r="G64" s="125">
        <f>SUM(G65,G68,G74,)</f>
        <v>79206.989999999991</v>
      </c>
      <c r="H64" s="121">
        <f>SUM(E64+F64-G64)</f>
        <v>92221062.120000005</v>
      </c>
    </row>
    <row r="65" spans="1:8" s="25" customFormat="1" ht="12" customHeight="1" thickTop="1" x14ac:dyDescent="0.25">
      <c r="A65" s="122"/>
      <c r="B65" s="149">
        <v>75075</v>
      </c>
      <c r="C65" s="157"/>
      <c r="D65" s="158" t="s">
        <v>30</v>
      </c>
      <c r="E65" s="129">
        <v>1045256.24</v>
      </c>
      <c r="F65" s="128">
        <f>SUM(F66)</f>
        <v>30000</v>
      </c>
      <c r="G65" s="128">
        <f>SUM(G66)</f>
        <v>0</v>
      </c>
      <c r="H65" s="129">
        <f>SUM(E65+F65-G65)</f>
        <v>1075256.24</v>
      </c>
    </row>
    <row r="66" spans="1:8" s="25" customFormat="1" ht="11.25" customHeight="1" x14ac:dyDescent="0.25">
      <c r="A66" s="122"/>
      <c r="B66" s="116"/>
      <c r="C66" s="149"/>
      <c r="D66" s="18" t="s">
        <v>73</v>
      </c>
      <c r="E66" s="133">
        <v>1030400</v>
      </c>
      <c r="F66" s="134">
        <f>SUM(F67)</f>
        <v>30000</v>
      </c>
      <c r="G66" s="134">
        <f>SUM(G67)</f>
        <v>0</v>
      </c>
      <c r="H66" s="133">
        <f>SUM(E66+F66-G66)</f>
        <v>1060400</v>
      </c>
    </row>
    <row r="67" spans="1:8" s="25" customFormat="1" ht="12" customHeight="1" x14ac:dyDescent="0.25">
      <c r="A67" s="122"/>
      <c r="B67" s="117"/>
      <c r="C67" s="149">
        <v>4300</v>
      </c>
      <c r="D67" s="156" t="s">
        <v>16</v>
      </c>
      <c r="E67" s="138">
        <v>998000</v>
      </c>
      <c r="F67" s="139">
        <v>30000</v>
      </c>
      <c r="G67" s="139"/>
      <c r="H67" s="138">
        <f t="shared" ref="H67" si="13">SUM(E67+F67-G67)</f>
        <v>1028000</v>
      </c>
    </row>
    <row r="68" spans="1:8" s="25" customFormat="1" ht="12" customHeight="1" x14ac:dyDescent="0.25">
      <c r="A68" s="122"/>
      <c r="B68" s="117" t="s">
        <v>81</v>
      </c>
      <c r="C68" s="149"/>
      <c r="D68" s="127" t="s">
        <v>82</v>
      </c>
      <c r="E68" s="129">
        <v>5268454</v>
      </c>
      <c r="F68" s="128">
        <f>SUM(F69)</f>
        <v>27500</v>
      </c>
      <c r="G68" s="128">
        <f>SUM(G69)</f>
        <v>36470</v>
      </c>
      <c r="H68" s="129">
        <f>SUM(E68+F68-G68)</f>
        <v>5259484</v>
      </c>
    </row>
    <row r="69" spans="1:8" s="25" customFormat="1" ht="12" customHeight="1" x14ac:dyDescent="0.25">
      <c r="A69" s="122"/>
      <c r="B69" s="117"/>
      <c r="C69" s="117"/>
      <c r="D69" s="160" t="s">
        <v>83</v>
      </c>
      <c r="E69" s="133">
        <v>5268454</v>
      </c>
      <c r="F69" s="134">
        <f>SUM(F70:F73)</f>
        <v>27500</v>
      </c>
      <c r="G69" s="134">
        <f>SUM(G70:G73)</f>
        <v>36470</v>
      </c>
      <c r="H69" s="133">
        <f>SUM(E69+F69-G69)</f>
        <v>5259484</v>
      </c>
    </row>
    <row r="70" spans="1:8" s="25" customFormat="1" ht="12" customHeight="1" x14ac:dyDescent="0.25">
      <c r="A70" s="122"/>
      <c r="B70" s="117"/>
      <c r="C70" s="149">
        <v>4040</v>
      </c>
      <c r="D70" s="156" t="s">
        <v>84</v>
      </c>
      <c r="E70" s="138">
        <v>478516</v>
      </c>
      <c r="F70" s="138"/>
      <c r="G70" s="138">
        <f>27500+8970</f>
        <v>36470</v>
      </c>
      <c r="H70" s="138">
        <f t="shared" ref="H70:H73" si="14">SUM(E70+F70-G70)</f>
        <v>442046</v>
      </c>
    </row>
    <row r="71" spans="1:8" s="25" customFormat="1" ht="12" customHeight="1" x14ac:dyDescent="0.25">
      <c r="A71" s="122"/>
      <c r="B71" s="117"/>
      <c r="C71" s="153">
        <v>4270</v>
      </c>
      <c r="D71" s="154" t="s">
        <v>28</v>
      </c>
      <c r="E71" s="138">
        <v>10100</v>
      </c>
      <c r="F71" s="139">
        <v>2500</v>
      </c>
      <c r="G71" s="139"/>
      <c r="H71" s="138">
        <f t="shared" si="14"/>
        <v>12600</v>
      </c>
    </row>
    <row r="72" spans="1:8" s="25" customFormat="1" ht="12" customHeight="1" x14ac:dyDescent="0.25">
      <c r="A72" s="122"/>
      <c r="B72" s="117"/>
      <c r="C72" s="153">
        <v>4300</v>
      </c>
      <c r="D72" s="154" t="s">
        <v>16</v>
      </c>
      <c r="E72" s="138">
        <v>166500</v>
      </c>
      <c r="F72" s="139">
        <v>10000</v>
      </c>
      <c r="G72" s="139"/>
      <c r="H72" s="138">
        <f t="shared" si="14"/>
        <v>176500</v>
      </c>
    </row>
    <row r="73" spans="1:8" s="25" customFormat="1" ht="12" customHeight="1" x14ac:dyDescent="0.25">
      <c r="A73" s="122"/>
      <c r="B73" s="117"/>
      <c r="C73" s="153">
        <v>4710</v>
      </c>
      <c r="D73" s="154" t="s">
        <v>85</v>
      </c>
      <c r="E73" s="138">
        <v>25056</v>
      </c>
      <c r="F73" s="139">
        <v>15000</v>
      </c>
      <c r="G73" s="139"/>
      <c r="H73" s="138">
        <f t="shared" si="14"/>
        <v>40056</v>
      </c>
    </row>
    <row r="74" spans="1:8" s="25" customFormat="1" ht="12" customHeight="1" x14ac:dyDescent="0.25">
      <c r="A74" s="126"/>
      <c r="B74" s="117" t="s">
        <v>86</v>
      </c>
      <c r="C74" s="149"/>
      <c r="D74" s="127" t="s">
        <v>26</v>
      </c>
      <c r="E74" s="129">
        <v>37529671.219999999</v>
      </c>
      <c r="F74" s="128">
        <f>SUM(F75,F77)</f>
        <v>12736.99</v>
      </c>
      <c r="G74" s="128">
        <f>SUM(G75,G77)</f>
        <v>42736.99</v>
      </c>
      <c r="H74" s="129">
        <f>SUM(E74+F74-G74)</f>
        <v>37499671.219999999</v>
      </c>
    </row>
    <row r="75" spans="1:8" s="25" customFormat="1" ht="12" customHeight="1" x14ac:dyDescent="0.25">
      <c r="A75" s="126"/>
      <c r="B75" s="117"/>
      <c r="C75" s="161"/>
      <c r="D75" s="18" t="s">
        <v>87</v>
      </c>
      <c r="E75" s="162">
        <v>500200</v>
      </c>
      <c r="F75" s="163">
        <f>SUM(F76:F76)</f>
        <v>0</v>
      </c>
      <c r="G75" s="163">
        <f>SUM(G76:G76)</f>
        <v>30000</v>
      </c>
      <c r="H75" s="162">
        <f t="shared" ref="H75:H89" si="15">SUM(E75+F75-G75)</f>
        <v>470200</v>
      </c>
    </row>
    <row r="76" spans="1:8" s="25" customFormat="1" ht="12" customHeight="1" x14ac:dyDescent="0.25">
      <c r="A76" s="126"/>
      <c r="B76" s="117"/>
      <c r="C76" s="10">
        <v>4300</v>
      </c>
      <c r="D76" s="11" t="s">
        <v>16</v>
      </c>
      <c r="E76" s="164">
        <v>486000</v>
      </c>
      <c r="F76" s="165"/>
      <c r="G76" s="165">
        <v>30000</v>
      </c>
      <c r="H76" s="166">
        <f t="shared" si="15"/>
        <v>456000</v>
      </c>
    </row>
    <row r="77" spans="1:8" s="25" customFormat="1" ht="24" customHeight="1" x14ac:dyDescent="0.25">
      <c r="A77" s="126"/>
      <c r="B77" s="117"/>
      <c r="C77" s="149"/>
      <c r="D77" s="19" t="s">
        <v>88</v>
      </c>
      <c r="E77" s="167">
        <v>14131313.640000001</v>
      </c>
      <c r="F77" s="134">
        <f>SUM(F78:F89)</f>
        <v>12736.99</v>
      </c>
      <c r="G77" s="134">
        <f>SUM(G78:G89)</f>
        <v>12736.99</v>
      </c>
      <c r="H77" s="133">
        <f t="shared" si="15"/>
        <v>14131313.640000001</v>
      </c>
    </row>
    <row r="78" spans="1:8" s="25" customFormat="1" ht="12" customHeight="1" x14ac:dyDescent="0.25">
      <c r="A78" s="126"/>
      <c r="B78" s="117"/>
      <c r="C78" s="153">
        <v>4048</v>
      </c>
      <c r="D78" s="154" t="s">
        <v>84</v>
      </c>
      <c r="E78" s="139">
        <v>0</v>
      </c>
      <c r="F78" s="139">
        <v>1322.25</v>
      </c>
      <c r="G78" s="139"/>
      <c r="H78" s="139">
        <f t="shared" si="15"/>
        <v>1322.25</v>
      </c>
    </row>
    <row r="79" spans="1:8" s="25" customFormat="1" ht="12" customHeight="1" x14ac:dyDescent="0.25">
      <c r="A79" s="126"/>
      <c r="B79" s="117"/>
      <c r="C79" s="153">
        <v>4049</v>
      </c>
      <c r="D79" s="154" t="s">
        <v>84</v>
      </c>
      <c r="E79" s="138">
        <v>0</v>
      </c>
      <c r="F79" s="138">
        <v>963.01</v>
      </c>
      <c r="G79" s="138"/>
      <c r="H79" s="139">
        <f t="shared" si="15"/>
        <v>963.01</v>
      </c>
    </row>
    <row r="80" spans="1:8" s="25" customFormat="1" ht="12" customHeight="1" x14ac:dyDescent="0.25">
      <c r="A80" s="126"/>
      <c r="B80" s="117"/>
      <c r="C80" s="10">
        <v>4118</v>
      </c>
      <c r="D80" s="11" t="s">
        <v>89</v>
      </c>
      <c r="E80" s="138">
        <v>2633.61</v>
      </c>
      <c r="F80" s="138">
        <v>223.86</v>
      </c>
      <c r="G80" s="138"/>
      <c r="H80" s="139">
        <f t="shared" si="15"/>
        <v>2857.4700000000003</v>
      </c>
    </row>
    <row r="81" spans="1:8" s="25" customFormat="1" ht="12" customHeight="1" x14ac:dyDescent="0.25">
      <c r="A81" s="126"/>
      <c r="B81" s="117"/>
      <c r="C81" s="10">
        <v>4119</v>
      </c>
      <c r="D81" s="11" t="s">
        <v>89</v>
      </c>
      <c r="E81" s="138">
        <v>1918.09</v>
      </c>
      <c r="F81" s="138">
        <v>163.03</v>
      </c>
      <c r="G81" s="138"/>
      <c r="H81" s="139">
        <f t="shared" si="15"/>
        <v>2081.12</v>
      </c>
    </row>
    <row r="82" spans="1:8" s="25" customFormat="1" ht="12" customHeight="1" x14ac:dyDescent="0.25">
      <c r="A82" s="126"/>
      <c r="B82" s="117"/>
      <c r="C82" s="10">
        <v>4128</v>
      </c>
      <c r="D82" s="11" t="s">
        <v>90</v>
      </c>
      <c r="E82" s="138">
        <v>381.12</v>
      </c>
      <c r="F82" s="138">
        <v>32.39</v>
      </c>
      <c r="G82" s="138"/>
      <c r="H82" s="139">
        <f t="shared" si="15"/>
        <v>413.51</v>
      </c>
    </row>
    <row r="83" spans="1:8" s="25" customFormat="1" ht="12" customHeight="1" x14ac:dyDescent="0.25">
      <c r="A83" s="126"/>
      <c r="B83" s="117"/>
      <c r="C83" s="10">
        <v>4129</v>
      </c>
      <c r="D83" s="11" t="s">
        <v>90</v>
      </c>
      <c r="E83" s="138">
        <v>277.57</v>
      </c>
      <c r="F83" s="138">
        <v>23.59</v>
      </c>
      <c r="G83" s="138"/>
      <c r="H83" s="139">
        <f t="shared" si="15"/>
        <v>301.15999999999997</v>
      </c>
    </row>
    <row r="84" spans="1:8" s="25" customFormat="1" ht="12" customHeight="1" x14ac:dyDescent="0.25">
      <c r="A84" s="126"/>
      <c r="B84" s="117"/>
      <c r="C84" s="10">
        <v>4308</v>
      </c>
      <c r="D84" s="11" t="s">
        <v>16</v>
      </c>
      <c r="E84" s="138">
        <v>26590.33</v>
      </c>
      <c r="F84" s="138"/>
      <c r="G84" s="138">
        <f>1583.63+5786</f>
        <v>7369.63</v>
      </c>
      <c r="H84" s="139">
        <f t="shared" si="15"/>
        <v>19220.7</v>
      </c>
    </row>
    <row r="85" spans="1:8" s="25" customFormat="1" ht="12" customHeight="1" x14ac:dyDescent="0.25">
      <c r="A85" s="126"/>
      <c r="B85" s="117"/>
      <c r="C85" s="10">
        <v>4309</v>
      </c>
      <c r="D85" s="11" t="s">
        <v>16</v>
      </c>
      <c r="E85" s="138">
        <v>19381.229999999996</v>
      </c>
      <c r="F85" s="138"/>
      <c r="G85" s="138">
        <f>1153.36+4214</f>
        <v>5367.36</v>
      </c>
      <c r="H85" s="139">
        <f t="shared" si="15"/>
        <v>14013.869999999995</v>
      </c>
    </row>
    <row r="86" spans="1:8" s="25" customFormat="1" ht="12" customHeight="1" x14ac:dyDescent="0.25">
      <c r="A86" s="126"/>
      <c r="B86" s="117"/>
      <c r="C86" s="146">
        <v>4708</v>
      </c>
      <c r="D86" s="168" t="s">
        <v>91</v>
      </c>
      <c r="E86" s="138">
        <v>0</v>
      </c>
      <c r="F86" s="138">
        <v>5786</v>
      </c>
      <c r="G86" s="138"/>
      <c r="H86" s="139">
        <f t="shared" si="15"/>
        <v>5786</v>
      </c>
    </row>
    <row r="87" spans="1:8" s="25" customFormat="1" ht="12" customHeight="1" x14ac:dyDescent="0.25">
      <c r="A87" s="126"/>
      <c r="B87" s="117"/>
      <c r="C87" s="146">
        <v>4709</v>
      </c>
      <c r="D87" s="168" t="s">
        <v>91</v>
      </c>
      <c r="E87" s="138">
        <v>0</v>
      </c>
      <c r="F87" s="138">
        <v>4214</v>
      </c>
      <c r="G87" s="138"/>
      <c r="H87" s="139">
        <f t="shared" si="15"/>
        <v>4214</v>
      </c>
    </row>
    <row r="88" spans="1:8" s="25" customFormat="1" ht="12" customHeight="1" x14ac:dyDescent="0.25">
      <c r="A88" s="126"/>
      <c r="B88" s="117"/>
      <c r="C88" s="153">
        <v>4718</v>
      </c>
      <c r="D88" s="154" t="s">
        <v>85</v>
      </c>
      <c r="E88" s="138">
        <v>60.31</v>
      </c>
      <c r="F88" s="138">
        <v>5.13</v>
      </c>
      <c r="G88" s="138"/>
      <c r="H88" s="139">
        <f t="shared" si="15"/>
        <v>65.44</v>
      </c>
    </row>
    <row r="89" spans="1:8" s="25" customFormat="1" ht="12" customHeight="1" x14ac:dyDescent="0.25">
      <c r="A89" s="158"/>
      <c r="B89" s="169"/>
      <c r="C89" s="170">
        <v>4719</v>
      </c>
      <c r="D89" s="171" t="s">
        <v>85</v>
      </c>
      <c r="E89" s="129">
        <v>43.92</v>
      </c>
      <c r="F89" s="129">
        <v>3.73</v>
      </c>
      <c r="G89" s="129"/>
      <c r="H89" s="128">
        <f t="shared" si="15"/>
        <v>47.65</v>
      </c>
    </row>
    <row r="90" spans="1:8" s="25" customFormat="1" ht="12" customHeight="1" thickBot="1" x14ac:dyDescent="0.3">
      <c r="A90" s="140">
        <v>758</v>
      </c>
      <c r="B90" s="140"/>
      <c r="C90" s="123"/>
      <c r="D90" s="124" t="s">
        <v>33</v>
      </c>
      <c r="E90" s="121">
        <v>42934416.439999998</v>
      </c>
      <c r="F90" s="125">
        <f>SUM(F91)</f>
        <v>0</v>
      </c>
      <c r="G90" s="125">
        <f>SUM(G91)</f>
        <v>568000</v>
      </c>
      <c r="H90" s="121">
        <f>SUM(E90+F90-G90)</f>
        <v>42366416.439999998</v>
      </c>
    </row>
    <row r="91" spans="1:8" s="25" customFormat="1" ht="12" customHeight="1" thickTop="1" x14ac:dyDescent="0.25">
      <c r="A91" s="116"/>
      <c r="B91" s="126">
        <v>75818</v>
      </c>
      <c r="C91" s="117"/>
      <c r="D91" s="172" t="s">
        <v>34</v>
      </c>
      <c r="E91" s="129">
        <v>42934416.439999998</v>
      </c>
      <c r="F91" s="128">
        <f>SUM(F92,)</f>
        <v>0</v>
      </c>
      <c r="G91" s="128">
        <f>SUM(G92,)</f>
        <v>568000</v>
      </c>
      <c r="H91" s="129">
        <f>SUM(E91+F91-G91)</f>
        <v>42366416.439999998</v>
      </c>
    </row>
    <row r="92" spans="1:8" s="25" customFormat="1" ht="12" customHeight="1" x14ac:dyDescent="0.25">
      <c r="A92" s="116"/>
      <c r="B92" s="126"/>
      <c r="C92" s="117" t="s">
        <v>35</v>
      </c>
      <c r="D92" s="173" t="s">
        <v>36</v>
      </c>
      <c r="E92" s="174">
        <v>42934416.439999998</v>
      </c>
      <c r="F92" s="174">
        <f>SUM(F93:F93)</f>
        <v>0</v>
      </c>
      <c r="G92" s="174">
        <f>SUM(G93:G93)</f>
        <v>568000</v>
      </c>
      <c r="H92" s="174">
        <f>SUM(E92+F92-G92)</f>
        <v>42366416.439999998</v>
      </c>
    </row>
    <row r="93" spans="1:8" s="25" customFormat="1" ht="12" customHeight="1" x14ac:dyDescent="0.25">
      <c r="A93" s="116"/>
      <c r="B93" s="126"/>
      <c r="C93" s="117"/>
      <c r="D93" s="126" t="s">
        <v>37</v>
      </c>
      <c r="E93" s="138">
        <v>38929688.439999998</v>
      </c>
      <c r="F93" s="138"/>
      <c r="G93" s="138">
        <v>568000</v>
      </c>
      <c r="H93" s="138">
        <f t="shared" ref="H93" si="16">SUM(E93+F93-G93)</f>
        <v>38361688.439999998</v>
      </c>
    </row>
    <row r="94" spans="1:8" s="25" customFormat="1" ht="12" customHeight="1" thickBot="1" x14ac:dyDescent="0.3">
      <c r="A94" s="140">
        <v>801</v>
      </c>
      <c r="B94" s="140"/>
      <c r="C94" s="123"/>
      <c r="D94" s="124" t="s">
        <v>42</v>
      </c>
      <c r="E94" s="3">
        <v>240397640.12999997</v>
      </c>
      <c r="F94" s="125">
        <f>SUM(F95,F107,F110,F128,F135,F140,F149,F159,F163,)</f>
        <v>1569558.8900000001</v>
      </c>
      <c r="G94" s="125">
        <f>SUM(G95,G107,G110,G128,G135,G140,G149,G159,G163,)</f>
        <v>650345.82999999996</v>
      </c>
      <c r="H94" s="121">
        <f>SUM(E94+F94-G94)</f>
        <v>241316853.18999994</v>
      </c>
    </row>
    <row r="95" spans="1:8" s="25" customFormat="1" ht="12" customHeight="1" thickTop="1" x14ac:dyDescent="0.25">
      <c r="A95" s="140"/>
      <c r="B95" s="126">
        <v>80101</v>
      </c>
      <c r="C95" s="117"/>
      <c r="D95" s="127" t="s">
        <v>13</v>
      </c>
      <c r="E95" s="129">
        <v>125221008.81</v>
      </c>
      <c r="F95" s="128">
        <f>SUM(F96,)</f>
        <v>102630</v>
      </c>
      <c r="G95" s="128">
        <f>SUM(G96,)</f>
        <v>61613</v>
      </c>
      <c r="H95" s="129">
        <f>SUM(E95+F95-G95)</f>
        <v>125262025.81</v>
      </c>
    </row>
    <row r="96" spans="1:8" s="25" customFormat="1" ht="12" customHeight="1" x14ac:dyDescent="0.25">
      <c r="A96" s="140"/>
      <c r="B96" s="126"/>
      <c r="C96" s="117"/>
      <c r="D96" s="160" t="s">
        <v>92</v>
      </c>
      <c r="E96" s="133">
        <v>106508424.45</v>
      </c>
      <c r="F96" s="133">
        <f>SUM(F97:F106)</f>
        <v>102630</v>
      </c>
      <c r="G96" s="133">
        <f>SUM(G97:G106)</f>
        <v>61613</v>
      </c>
      <c r="H96" s="133">
        <f>SUM(E96+F96-G96)</f>
        <v>106549441.45</v>
      </c>
    </row>
    <row r="97" spans="1:8" s="25" customFormat="1" ht="12" customHeight="1" x14ac:dyDescent="0.25">
      <c r="A97" s="140"/>
      <c r="B97" s="126"/>
      <c r="C97" s="149">
        <v>4040</v>
      </c>
      <c r="D97" s="156" t="s">
        <v>84</v>
      </c>
      <c r="E97" s="138">
        <v>1188293.52</v>
      </c>
      <c r="F97" s="138"/>
      <c r="G97" s="138">
        <f>23726+1000</f>
        <v>24726</v>
      </c>
      <c r="H97" s="138">
        <f t="shared" ref="H97:H106" si="17">SUM(E97+F97-G97)</f>
        <v>1163567.52</v>
      </c>
    </row>
    <row r="98" spans="1:8" s="25" customFormat="1" ht="12" customHeight="1" x14ac:dyDescent="0.25">
      <c r="A98" s="140"/>
      <c r="B98" s="126"/>
      <c r="C98" s="153">
        <v>4140</v>
      </c>
      <c r="D98" s="143" t="s">
        <v>80</v>
      </c>
      <c r="E98" s="138">
        <v>91902</v>
      </c>
      <c r="F98" s="138">
        <v>12000</v>
      </c>
      <c r="G98" s="138"/>
      <c r="H98" s="138">
        <f t="shared" si="17"/>
        <v>103902</v>
      </c>
    </row>
    <row r="99" spans="1:8" s="25" customFormat="1" ht="12" customHeight="1" x14ac:dyDescent="0.25">
      <c r="A99" s="140"/>
      <c r="B99" s="126"/>
      <c r="C99" s="175" t="s">
        <v>93</v>
      </c>
      <c r="D99" s="154" t="s">
        <v>94</v>
      </c>
      <c r="E99" s="139">
        <v>712023.96</v>
      </c>
      <c r="F99" s="139">
        <v>12100</v>
      </c>
      <c r="G99" s="139"/>
      <c r="H99" s="138">
        <f t="shared" si="17"/>
        <v>724123.96</v>
      </c>
    </row>
    <row r="100" spans="1:8" s="25" customFormat="1" ht="12" customHeight="1" x14ac:dyDescent="0.25">
      <c r="A100" s="140"/>
      <c r="B100" s="126"/>
      <c r="C100" s="153">
        <v>4240</v>
      </c>
      <c r="D100" s="154" t="s">
        <v>95</v>
      </c>
      <c r="E100" s="139">
        <v>274920.5</v>
      </c>
      <c r="F100" s="139">
        <f>12750</f>
        <v>12750</v>
      </c>
      <c r="G100" s="139"/>
      <c r="H100" s="138">
        <f t="shared" si="17"/>
        <v>287670.5</v>
      </c>
    </row>
    <row r="101" spans="1:8" s="25" customFormat="1" ht="12" customHeight="1" x14ac:dyDescent="0.25">
      <c r="A101" s="140"/>
      <c r="B101" s="126"/>
      <c r="C101" s="153">
        <v>4300</v>
      </c>
      <c r="D101" s="154" t="s">
        <v>16</v>
      </c>
      <c r="E101" s="139">
        <v>1136773.2</v>
      </c>
      <c r="F101" s="139">
        <v>61280</v>
      </c>
      <c r="G101" s="139"/>
      <c r="H101" s="138">
        <f t="shared" si="17"/>
        <v>1198053.2</v>
      </c>
    </row>
    <row r="102" spans="1:8" s="25" customFormat="1" ht="12" customHeight="1" x14ac:dyDescent="0.25">
      <c r="A102" s="140"/>
      <c r="B102" s="126"/>
      <c r="C102" s="153">
        <v>4360</v>
      </c>
      <c r="D102" s="154" t="s">
        <v>29</v>
      </c>
      <c r="E102" s="139">
        <v>59604</v>
      </c>
      <c r="F102" s="139">
        <v>500</v>
      </c>
      <c r="G102" s="139"/>
      <c r="H102" s="138">
        <f t="shared" si="17"/>
        <v>60104</v>
      </c>
    </row>
    <row r="103" spans="1:8" s="25" customFormat="1" ht="12" customHeight="1" x14ac:dyDescent="0.25">
      <c r="A103" s="140"/>
      <c r="B103" s="126"/>
      <c r="C103" s="153">
        <v>4410</v>
      </c>
      <c r="D103" s="154" t="s">
        <v>96</v>
      </c>
      <c r="E103" s="139">
        <v>27972</v>
      </c>
      <c r="F103" s="139">
        <v>1000</v>
      </c>
      <c r="G103" s="139"/>
      <c r="H103" s="138">
        <f t="shared" si="17"/>
        <v>28972</v>
      </c>
    </row>
    <row r="104" spans="1:8" s="25" customFormat="1" ht="12" customHeight="1" x14ac:dyDescent="0.25">
      <c r="A104" s="140"/>
      <c r="B104" s="126"/>
      <c r="C104" s="146">
        <v>4700</v>
      </c>
      <c r="D104" s="168" t="s">
        <v>91</v>
      </c>
      <c r="E104" s="139">
        <v>102386</v>
      </c>
      <c r="F104" s="139">
        <v>3000</v>
      </c>
      <c r="G104" s="139"/>
      <c r="H104" s="138">
        <f t="shared" si="17"/>
        <v>105386</v>
      </c>
    </row>
    <row r="105" spans="1:8" s="25" customFormat="1" ht="12" customHeight="1" x14ac:dyDescent="0.25">
      <c r="A105" s="140"/>
      <c r="B105" s="126"/>
      <c r="C105" s="153">
        <v>4710</v>
      </c>
      <c r="D105" s="154" t="s">
        <v>85</v>
      </c>
      <c r="E105" s="139">
        <v>289302</v>
      </c>
      <c r="F105" s="139"/>
      <c r="G105" s="139">
        <v>6322</v>
      </c>
      <c r="H105" s="138">
        <f t="shared" si="17"/>
        <v>282980</v>
      </c>
    </row>
    <row r="106" spans="1:8" s="25" customFormat="1" ht="12" customHeight="1" x14ac:dyDescent="0.25">
      <c r="A106" s="140"/>
      <c r="B106" s="126"/>
      <c r="C106" s="149">
        <v>4800</v>
      </c>
      <c r="D106" s="25" t="s">
        <v>97</v>
      </c>
      <c r="E106" s="139">
        <v>4684546.09</v>
      </c>
      <c r="F106" s="139"/>
      <c r="G106" s="139">
        <v>30565</v>
      </c>
      <c r="H106" s="138">
        <f t="shared" si="17"/>
        <v>4653981.09</v>
      </c>
    </row>
    <row r="107" spans="1:8" s="25" customFormat="1" ht="12" customHeight="1" x14ac:dyDescent="0.25">
      <c r="A107" s="140"/>
      <c r="B107" s="126">
        <v>80103</v>
      </c>
      <c r="C107" s="117"/>
      <c r="D107" s="127" t="s">
        <v>44</v>
      </c>
      <c r="E107" s="128">
        <v>586713.39</v>
      </c>
      <c r="F107" s="128">
        <f>SUM(F108)</f>
        <v>0</v>
      </c>
      <c r="G107" s="128">
        <f>SUM(G108)</f>
        <v>6400</v>
      </c>
      <c r="H107" s="129">
        <f>SUM(E107+F107-G107)</f>
        <v>580313.39</v>
      </c>
    </row>
    <row r="108" spans="1:8" s="25" customFormat="1" ht="12" customHeight="1" x14ac:dyDescent="0.25">
      <c r="A108" s="140"/>
      <c r="B108" s="126"/>
      <c r="C108" s="117"/>
      <c r="D108" s="160" t="s">
        <v>92</v>
      </c>
      <c r="E108" s="133">
        <v>388334.19</v>
      </c>
      <c r="F108" s="133">
        <f>SUM(F109:F109)</f>
        <v>0</v>
      </c>
      <c r="G108" s="133">
        <f>SUM(G109:G109)</f>
        <v>6400</v>
      </c>
      <c r="H108" s="133">
        <f>SUM(E108+F108-G108)</f>
        <v>381934.19</v>
      </c>
    </row>
    <row r="109" spans="1:8" s="25" customFormat="1" ht="12" customHeight="1" x14ac:dyDescent="0.25">
      <c r="A109" s="140"/>
      <c r="B109" s="126"/>
      <c r="C109" s="149">
        <v>4800</v>
      </c>
      <c r="D109" s="25" t="s">
        <v>97</v>
      </c>
      <c r="E109" s="138">
        <v>48071.19</v>
      </c>
      <c r="F109" s="138"/>
      <c r="G109" s="138">
        <v>6400</v>
      </c>
      <c r="H109" s="138">
        <f t="shared" ref="H109" si="18">SUM(E109+F109-G109)</f>
        <v>41671.19</v>
      </c>
    </row>
    <row r="110" spans="1:8" s="25" customFormat="1" ht="12" customHeight="1" x14ac:dyDescent="0.25">
      <c r="A110" s="126"/>
      <c r="B110" s="126">
        <v>80104</v>
      </c>
      <c r="C110" s="117"/>
      <c r="D110" s="127" t="s">
        <v>15</v>
      </c>
      <c r="E110" s="128">
        <v>59783813.730000004</v>
      </c>
      <c r="F110" s="128">
        <f>SUM(F111,)</f>
        <v>94801</v>
      </c>
      <c r="G110" s="128">
        <f>SUM(G111,)</f>
        <v>378951</v>
      </c>
      <c r="H110" s="129">
        <f>SUM(E110+F110-G110)</f>
        <v>59499663.730000004</v>
      </c>
    </row>
    <row r="111" spans="1:8" s="25" customFormat="1" ht="12" customHeight="1" x14ac:dyDescent="0.25">
      <c r="A111" s="126"/>
      <c r="B111" s="126"/>
      <c r="C111" s="117"/>
      <c r="D111" s="160" t="s">
        <v>92</v>
      </c>
      <c r="E111" s="133">
        <v>45846540.730000004</v>
      </c>
      <c r="F111" s="133">
        <f>SUM(F112:F127)</f>
        <v>94801</v>
      </c>
      <c r="G111" s="133">
        <f>SUM(G112:G127)</f>
        <v>378951</v>
      </c>
      <c r="H111" s="133">
        <f>SUM(E111+F111-G111)</f>
        <v>45562390.730000004</v>
      </c>
    </row>
    <row r="112" spans="1:8" s="25" customFormat="1" ht="11.25" customHeight="1" x14ac:dyDescent="0.25">
      <c r="A112" s="126"/>
      <c r="B112" s="126"/>
      <c r="C112" s="153">
        <v>3020</v>
      </c>
      <c r="D112" s="154" t="s">
        <v>98</v>
      </c>
      <c r="E112" s="138">
        <v>379302</v>
      </c>
      <c r="F112" s="138">
        <v>5500</v>
      </c>
      <c r="G112" s="138"/>
      <c r="H112" s="138">
        <f t="shared" ref="H112:H145" si="19">SUM(E112+F112-G112)</f>
        <v>384802</v>
      </c>
    </row>
    <row r="113" spans="1:8" s="25" customFormat="1" ht="11.25" customHeight="1" x14ac:dyDescent="0.25">
      <c r="A113" s="126"/>
      <c r="B113" s="126"/>
      <c r="C113" s="153">
        <v>4010</v>
      </c>
      <c r="D113" s="154" t="s">
        <v>99</v>
      </c>
      <c r="E113" s="138">
        <v>12383424.74</v>
      </c>
      <c r="F113" s="138"/>
      <c r="G113" s="138">
        <v>101500</v>
      </c>
      <c r="H113" s="138">
        <f t="shared" si="19"/>
        <v>12281924.74</v>
      </c>
    </row>
    <row r="114" spans="1:8" s="25" customFormat="1" ht="11.25" customHeight="1" x14ac:dyDescent="0.25">
      <c r="A114" s="126"/>
      <c r="B114" s="126"/>
      <c r="C114" s="149">
        <v>4040</v>
      </c>
      <c r="D114" s="156" t="s">
        <v>84</v>
      </c>
      <c r="E114" s="138">
        <v>1093252</v>
      </c>
      <c r="F114" s="138"/>
      <c r="G114" s="138">
        <v>23066</v>
      </c>
      <c r="H114" s="138">
        <f t="shared" si="19"/>
        <v>1070186</v>
      </c>
    </row>
    <row r="115" spans="1:8" s="25" customFormat="1" ht="11.25" customHeight="1" x14ac:dyDescent="0.25">
      <c r="A115" s="126"/>
      <c r="B115" s="126"/>
      <c r="C115" s="153">
        <v>4120</v>
      </c>
      <c r="D115" s="154" t="s">
        <v>20</v>
      </c>
      <c r="E115" s="138">
        <v>813591</v>
      </c>
      <c r="F115" s="138"/>
      <c r="G115" s="138">
        <v>1000</v>
      </c>
      <c r="H115" s="138">
        <f t="shared" si="19"/>
        <v>812591</v>
      </c>
    </row>
    <row r="116" spans="1:8" s="25" customFormat="1" ht="11.25" customHeight="1" x14ac:dyDescent="0.25">
      <c r="A116" s="126"/>
      <c r="B116" s="126"/>
      <c r="C116" s="153">
        <v>4140</v>
      </c>
      <c r="D116" s="143" t="s">
        <v>80</v>
      </c>
      <c r="E116" s="138">
        <v>15000</v>
      </c>
      <c r="F116" s="138"/>
      <c r="G116" s="138">
        <v>3000</v>
      </c>
      <c r="H116" s="138">
        <f t="shared" si="19"/>
        <v>12000</v>
      </c>
    </row>
    <row r="117" spans="1:8" s="25" customFormat="1" ht="11.25" customHeight="1" x14ac:dyDescent="0.25">
      <c r="A117" s="126"/>
      <c r="B117" s="126"/>
      <c r="C117" s="175" t="s">
        <v>93</v>
      </c>
      <c r="D117" s="154" t="s">
        <v>94</v>
      </c>
      <c r="E117" s="138">
        <v>525954.65</v>
      </c>
      <c r="F117" s="138">
        <v>38101</v>
      </c>
      <c r="G117" s="138"/>
      <c r="H117" s="138">
        <f>SUM(E117+F117-G117)</f>
        <v>564055.65</v>
      </c>
    </row>
    <row r="118" spans="1:8" s="25" customFormat="1" ht="11.25" customHeight="1" x14ac:dyDescent="0.25">
      <c r="A118" s="126"/>
      <c r="B118" s="126"/>
      <c r="C118" s="153">
        <v>4240</v>
      </c>
      <c r="D118" s="154" t="s">
        <v>95</v>
      </c>
      <c r="E118" s="138">
        <v>117896.5</v>
      </c>
      <c r="F118" s="138">
        <v>3500</v>
      </c>
      <c r="G118" s="138"/>
      <c r="H118" s="138">
        <f t="shared" si="19"/>
        <v>121396.5</v>
      </c>
    </row>
    <row r="119" spans="1:8" s="25" customFormat="1" ht="11.25" customHeight="1" x14ac:dyDescent="0.25">
      <c r="A119" s="126"/>
      <c r="B119" s="126"/>
      <c r="C119" s="153">
        <v>4260</v>
      </c>
      <c r="D119" s="154" t="s">
        <v>100</v>
      </c>
      <c r="E119" s="138">
        <v>2506371</v>
      </c>
      <c r="F119" s="138"/>
      <c r="G119" s="138">
        <v>15500</v>
      </c>
      <c r="H119" s="138">
        <f t="shared" si="19"/>
        <v>2490871</v>
      </c>
    </row>
    <row r="120" spans="1:8" s="25" customFormat="1" ht="11.25" customHeight="1" x14ac:dyDescent="0.25">
      <c r="A120" s="126"/>
      <c r="B120" s="126"/>
      <c r="C120" s="153">
        <v>4270</v>
      </c>
      <c r="D120" s="154" t="s">
        <v>28</v>
      </c>
      <c r="E120" s="138">
        <v>341260</v>
      </c>
      <c r="F120" s="138">
        <v>27700</v>
      </c>
      <c r="G120" s="138"/>
      <c r="H120" s="138">
        <f t="shared" si="19"/>
        <v>368960</v>
      </c>
    </row>
    <row r="121" spans="1:8" s="25" customFormat="1" ht="11.25" customHeight="1" x14ac:dyDescent="0.25">
      <c r="A121" s="126"/>
      <c r="B121" s="126"/>
      <c r="C121" s="153">
        <v>4300</v>
      </c>
      <c r="D121" s="154" t="s">
        <v>16</v>
      </c>
      <c r="E121" s="138">
        <v>830444</v>
      </c>
      <c r="F121" s="138">
        <v>11700</v>
      </c>
      <c r="G121" s="138"/>
      <c r="H121" s="138">
        <f t="shared" si="19"/>
        <v>842144</v>
      </c>
    </row>
    <row r="122" spans="1:8" s="25" customFormat="1" ht="11.25" customHeight="1" x14ac:dyDescent="0.25">
      <c r="A122" s="126"/>
      <c r="B122" s="126"/>
      <c r="C122" s="153">
        <v>4410</v>
      </c>
      <c r="D122" s="154" t="s">
        <v>96</v>
      </c>
      <c r="E122" s="138">
        <v>5693.16</v>
      </c>
      <c r="F122" s="138"/>
      <c r="G122" s="138">
        <v>160</v>
      </c>
      <c r="H122" s="138">
        <f t="shared" si="19"/>
        <v>5533.16</v>
      </c>
    </row>
    <row r="123" spans="1:8" s="25" customFormat="1" ht="11.25" customHeight="1" x14ac:dyDescent="0.25">
      <c r="A123" s="126"/>
      <c r="B123" s="126"/>
      <c r="C123" s="153">
        <v>4430</v>
      </c>
      <c r="D123" s="154" t="s">
        <v>101</v>
      </c>
      <c r="E123" s="138">
        <v>17909</v>
      </c>
      <c r="F123" s="138">
        <v>300</v>
      </c>
      <c r="G123" s="138"/>
      <c r="H123" s="138">
        <f t="shared" si="19"/>
        <v>18209</v>
      </c>
    </row>
    <row r="124" spans="1:8" s="25" customFormat="1" ht="11.25" customHeight="1" x14ac:dyDescent="0.25">
      <c r="A124" s="126"/>
      <c r="B124" s="126"/>
      <c r="C124" s="146">
        <v>4700</v>
      </c>
      <c r="D124" s="143" t="s">
        <v>91</v>
      </c>
      <c r="E124" s="138">
        <v>70710</v>
      </c>
      <c r="F124" s="138">
        <v>8000</v>
      </c>
      <c r="G124" s="138"/>
      <c r="H124" s="138">
        <f t="shared" si="19"/>
        <v>78710</v>
      </c>
    </row>
    <row r="125" spans="1:8" s="25" customFormat="1" ht="11.25" customHeight="1" x14ac:dyDescent="0.25">
      <c r="A125" s="126"/>
      <c r="B125" s="126"/>
      <c r="C125" s="153">
        <v>4710</v>
      </c>
      <c r="D125" s="154" t="s">
        <v>85</v>
      </c>
      <c r="E125" s="138">
        <v>187658</v>
      </c>
      <c r="F125" s="138"/>
      <c r="G125" s="138">
        <v>11512</v>
      </c>
      <c r="H125" s="138">
        <f t="shared" si="19"/>
        <v>176146</v>
      </c>
    </row>
    <row r="126" spans="1:8" s="25" customFormat="1" ht="11.25" customHeight="1" x14ac:dyDescent="0.25">
      <c r="A126" s="126"/>
      <c r="B126" s="126"/>
      <c r="C126" s="149">
        <v>4790</v>
      </c>
      <c r="D126" s="156" t="s">
        <v>102</v>
      </c>
      <c r="E126" s="138">
        <v>17412010.68</v>
      </c>
      <c r="F126" s="138"/>
      <c r="G126" s="138">
        <v>170500</v>
      </c>
      <c r="H126" s="138">
        <f t="shared" si="19"/>
        <v>17241510.68</v>
      </c>
    </row>
    <row r="127" spans="1:8" s="25" customFormat="1" ht="11.25" customHeight="1" x14ac:dyDescent="0.25">
      <c r="A127" s="126"/>
      <c r="B127" s="126"/>
      <c r="C127" s="153">
        <v>4800</v>
      </c>
      <c r="D127" s="176" t="s">
        <v>97</v>
      </c>
      <c r="E127" s="139">
        <v>1461504</v>
      </c>
      <c r="F127" s="139"/>
      <c r="G127" s="139">
        <v>52713</v>
      </c>
      <c r="H127" s="138">
        <f t="shared" si="19"/>
        <v>1408791</v>
      </c>
    </row>
    <row r="128" spans="1:8" s="25" customFormat="1" ht="12" customHeight="1" x14ac:dyDescent="0.25">
      <c r="A128" s="126"/>
      <c r="B128" s="126">
        <v>80105</v>
      </c>
      <c r="C128" s="117"/>
      <c r="D128" s="158" t="s">
        <v>103</v>
      </c>
      <c r="E128" s="129">
        <v>1610527.26</v>
      </c>
      <c r="F128" s="128">
        <f>SUM(F129,)</f>
        <v>156700</v>
      </c>
      <c r="G128" s="128">
        <f>SUM(G129,)</f>
        <v>11700</v>
      </c>
      <c r="H128" s="129">
        <f t="shared" si="19"/>
        <v>1755527.26</v>
      </c>
    </row>
    <row r="129" spans="1:8" s="25" customFormat="1" ht="12" customHeight="1" x14ac:dyDescent="0.25">
      <c r="A129" s="126"/>
      <c r="B129" s="140"/>
      <c r="C129" s="117"/>
      <c r="D129" s="160" t="s">
        <v>92</v>
      </c>
      <c r="E129" s="133">
        <v>1610527.26</v>
      </c>
      <c r="F129" s="134">
        <f>SUM(F130:F134)</f>
        <v>156700</v>
      </c>
      <c r="G129" s="134">
        <f>SUM(G130:G134)</f>
        <v>11700</v>
      </c>
      <c r="H129" s="133">
        <f t="shared" si="19"/>
        <v>1755527.26</v>
      </c>
    </row>
    <row r="130" spans="1:8" s="25" customFormat="1" ht="12" customHeight="1" x14ac:dyDescent="0.25">
      <c r="A130" s="126"/>
      <c r="B130" s="140"/>
      <c r="C130" s="153">
        <v>4010</v>
      </c>
      <c r="D130" s="154" t="s">
        <v>99</v>
      </c>
      <c r="E130" s="138">
        <v>329400</v>
      </c>
      <c r="F130" s="138">
        <v>56700</v>
      </c>
      <c r="G130" s="138"/>
      <c r="H130" s="138">
        <f t="shared" si="19"/>
        <v>386100</v>
      </c>
    </row>
    <row r="131" spans="1:8" s="25" customFormat="1" ht="12" customHeight="1" x14ac:dyDescent="0.25">
      <c r="A131" s="126"/>
      <c r="B131" s="126"/>
      <c r="C131" s="149">
        <v>4040</v>
      </c>
      <c r="D131" s="156" t="s">
        <v>84</v>
      </c>
      <c r="E131" s="138">
        <v>31300</v>
      </c>
      <c r="F131" s="138"/>
      <c r="G131" s="138">
        <v>5000</v>
      </c>
      <c r="H131" s="138">
        <f t="shared" si="19"/>
        <v>26300</v>
      </c>
    </row>
    <row r="132" spans="1:8" s="25" customFormat="1" ht="12" customHeight="1" x14ac:dyDescent="0.25">
      <c r="A132" s="126"/>
      <c r="B132" s="126"/>
      <c r="C132" s="153">
        <v>4110</v>
      </c>
      <c r="D132" s="154" t="s">
        <v>74</v>
      </c>
      <c r="E132" s="139">
        <v>202522</v>
      </c>
      <c r="F132" s="139">
        <v>50000</v>
      </c>
      <c r="G132" s="139"/>
      <c r="H132" s="138">
        <f t="shared" si="19"/>
        <v>252522</v>
      </c>
    </row>
    <row r="133" spans="1:8" s="25" customFormat="1" ht="12" customHeight="1" x14ac:dyDescent="0.25">
      <c r="A133" s="126"/>
      <c r="B133" s="126"/>
      <c r="C133" s="149">
        <v>4790</v>
      </c>
      <c r="D133" s="156" t="s">
        <v>102</v>
      </c>
      <c r="E133" s="139">
        <v>805511.26</v>
      </c>
      <c r="F133" s="139">
        <v>50000</v>
      </c>
      <c r="G133" s="139"/>
      <c r="H133" s="138">
        <f t="shared" si="19"/>
        <v>855511.26</v>
      </c>
    </row>
    <row r="134" spans="1:8" s="25" customFormat="1" ht="12" customHeight="1" x14ac:dyDescent="0.25">
      <c r="A134" s="126"/>
      <c r="B134" s="126"/>
      <c r="C134" s="153">
        <v>4800</v>
      </c>
      <c r="D134" s="176" t="s">
        <v>97</v>
      </c>
      <c r="E134" s="139">
        <v>78200</v>
      </c>
      <c r="F134" s="139"/>
      <c r="G134" s="139">
        <v>6700</v>
      </c>
      <c r="H134" s="138">
        <f t="shared" si="19"/>
        <v>71500</v>
      </c>
    </row>
    <row r="135" spans="1:8" s="25" customFormat="1" ht="12" customHeight="1" x14ac:dyDescent="0.25">
      <c r="A135" s="126"/>
      <c r="B135" s="126">
        <v>80107</v>
      </c>
      <c r="C135" s="117"/>
      <c r="D135" s="158" t="s">
        <v>104</v>
      </c>
      <c r="E135" s="129">
        <v>7542391.0599999996</v>
      </c>
      <c r="F135" s="128">
        <f>SUM(F136,)</f>
        <v>82000</v>
      </c>
      <c r="G135" s="128">
        <f>SUM(G136,)</f>
        <v>15928</v>
      </c>
      <c r="H135" s="129">
        <f t="shared" si="19"/>
        <v>7608463.0599999996</v>
      </c>
    </row>
    <row r="136" spans="1:8" s="25" customFormat="1" ht="12" customHeight="1" x14ac:dyDescent="0.25">
      <c r="A136" s="126"/>
      <c r="B136" s="140"/>
      <c r="C136" s="117"/>
      <c r="D136" s="160" t="s">
        <v>92</v>
      </c>
      <c r="E136" s="133">
        <v>7542391.0599999996</v>
      </c>
      <c r="F136" s="134">
        <f>SUM(F137:F139)</f>
        <v>82000</v>
      </c>
      <c r="G136" s="134">
        <f>SUM(G137:G139)</f>
        <v>15928</v>
      </c>
      <c r="H136" s="133">
        <f t="shared" si="19"/>
        <v>7608463.0599999996</v>
      </c>
    </row>
    <row r="137" spans="1:8" s="25" customFormat="1" ht="12" customHeight="1" x14ac:dyDescent="0.25">
      <c r="A137" s="126"/>
      <c r="B137" s="140"/>
      <c r="C137" s="153">
        <v>4110</v>
      </c>
      <c r="D137" s="154" t="s">
        <v>74</v>
      </c>
      <c r="E137" s="138">
        <v>1043670</v>
      </c>
      <c r="F137" s="139">
        <v>37000</v>
      </c>
      <c r="G137" s="139"/>
      <c r="H137" s="139">
        <f t="shared" si="19"/>
        <v>1080670</v>
      </c>
    </row>
    <row r="138" spans="1:8" s="25" customFormat="1" ht="12" customHeight="1" x14ac:dyDescent="0.25">
      <c r="A138" s="126"/>
      <c r="B138" s="140"/>
      <c r="C138" s="149">
        <v>4790</v>
      </c>
      <c r="D138" s="156" t="s">
        <v>102</v>
      </c>
      <c r="E138" s="138">
        <v>5403357</v>
      </c>
      <c r="F138" s="139">
        <v>45000</v>
      </c>
      <c r="G138" s="139"/>
      <c r="H138" s="139">
        <f t="shared" si="19"/>
        <v>5448357</v>
      </c>
    </row>
    <row r="139" spans="1:8" s="25" customFormat="1" ht="12" customHeight="1" x14ac:dyDescent="0.25">
      <c r="A139" s="126"/>
      <c r="B139" s="140"/>
      <c r="C139" s="153">
        <v>4800</v>
      </c>
      <c r="D139" s="176" t="s">
        <v>97</v>
      </c>
      <c r="E139" s="139">
        <v>452669.06</v>
      </c>
      <c r="F139" s="139"/>
      <c r="G139" s="139">
        <v>15928</v>
      </c>
      <c r="H139" s="139">
        <f t="shared" si="19"/>
        <v>436741.06</v>
      </c>
    </row>
    <row r="140" spans="1:8" s="25" customFormat="1" ht="12" customHeight="1" x14ac:dyDescent="0.25">
      <c r="A140" s="126"/>
      <c r="B140" s="126">
        <v>80148</v>
      </c>
      <c r="C140" s="117"/>
      <c r="D140" s="9" t="s">
        <v>105</v>
      </c>
      <c r="E140" s="129">
        <v>5389458.6600000001</v>
      </c>
      <c r="F140" s="128">
        <f>SUM(F141,)</f>
        <v>85100</v>
      </c>
      <c r="G140" s="128">
        <f>SUM(G141,)</f>
        <v>10061</v>
      </c>
      <c r="H140" s="129">
        <f t="shared" si="19"/>
        <v>5464497.6600000001</v>
      </c>
    </row>
    <row r="141" spans="1:8" s="25" customFormat="1" ht="12" customHeight="1" x14ac:dyDescent="0.25">
      <c r="A141" s="126"/>
      <c r="B141" s="140"/>
      <c r="C141" s="117"/>
      <c r="D141" s="160" t="s">
        <v>92</v>
      </c>
      <c r="E141" s="133">
        <v>5389458.6600000001</v>
      </c>
      <c r="F141" s="134">
        <f>SUM(F142:F145)</f>
        <v>85100</v>
      </c>
      <c r="G141" s="134">
        <f>SUM(G142:G145)</f>
        <v>10061</v>
      </c>
      <c r="H141" s="133">
        <f t="shared" si="19"/>
        <v>5464497.6600000001</v>
      </c>
    </row>
    <row r="142" spans="1:8" s="25" customFormat="1" ht="12" customHeight="1" x14ac:dyDescent="0.25">
      <c r="A142" s="126"/>
      <c r="B142" s="140"/>
      <c r="C142" s="149">
        <v>4040</v>
      </c>
      <c r="D142" s="156" t="s">
        <v>84</v>
      </c>
      <c r="E142" s="139">
        <v>329464.65999999997</v>
      </c>
      <c r="F142" s="139"/>
      <c r="G142" s="139">
        <v>1961</v>
      </c>
      <c r="H142" s="139">
        <f t="shared" si="19"/>
        <v>327503.65999999997</v>
      </c>
    </row>
    <row r="143" spans="1:8" s="25" customFormat="1" ht="12" customHeight="1" x14ac:dyDescent="0.25">
      <c r="A143" s="126"/>
      <c r="B143" s="140"/>
      <c r="C143" s="175" t="s">
        <v>93</v>
      </c>
      <c r="D143" s="154" t="s">
        <v>94</v>
      </c>
      <c r="E143" s="139">
        <v>182605</v>
      </c>
      <c r="F143" s="139">
        <f>5100+80000</f>
        <v>85100</v>
      </c>
      <c r="G143" s="139"/>
      <c r="H143" s="139">
        <f t="shared" si="19"/>
        <v>267705</v>
      </c>
    </row>
    <row r="144" spans="1:8" s="25" customFormat="1" ht="12" customHeight="1" x14ac:dyDescent="0.25">
      <c r="A144" s="126"/>
      <c r="B144" s="140"/>
      <c r="C144" s="153">
        <v>4270</v>
      </c>
      <c r="D144" s="154" t="s">
        <v>28</v>
      </c>
      <c r="E144" s="139">
        <v>80274</v>
      </c>
      <c r="F144" s="139"/>
      <c r="G144" s="139">
        <v>5100</v>
      </c>
      <c r="H144" s="139">
        <f t="shared" si="19"/>
        <v>75174</v>
      </c>
    </row>
    <row r="145" spans="1:8" s="25" customFormat="1" ht="12" customHeight="1" x14ac:dyDescent="0.25">
      <c r="A145" s="126"/>
      <c r="B145" s="140"/>
      <c r="C145" s="153">
        <v>4710</v>
      </c>
      <c r="D145" s="154" t="s">
        <v>85</v>
      </c>
      <c r="E145" s="139">
        <v>51290</v>
      </c>
      <c r="F145" s="139"/>
      <c r="G145" s="139">
        <v>3000</v>
      </c>
      <c r="H145" s="139">
        <f t="shared" si="19"/>
        <v>48290</v>
      </c>
    </row>
    <row r="146" spans="1:8" s="25" customFormat="1" ht="11.25" customHeight="1" x14ac:dyDescent="0.25">
      <c r="A146" s="126"/>
      <c r="B146" s="126">
        <v>80149</v>
      </c>
      <c r="C146" s="117"/>
      <c r="D146" s="156" t="s">
        <v>106</v>
      </c>
      <c r="E146" s="139"/>
      <c r="F146" s="139"/>
      <c r="G146" s="139"/>
      <c r="H146" s="139"/>
    </row>
    <row r="147" spans="1:8" s="25" customFormat="1" ht="11.25" customHeight="1" x14ac:dyDescent="0.25">
      <c r="A147" s="126"/>
      <c r="B147" s="126"/>
      <c r="C147" s="117"/>
      <c r="D147" s="156" t="s">
        <v>107</v>
      </c>
      <c r="E147" s="139"/>
      <c r="F147" s="139"/>
      <c r="G147" s="139"/>
      <c r="H147" s="139"/>
    </row>
    <row r="148" spans="1:8" s="25" customFormat="1" ht="11.25" customHeight="1" x14ac:dyDescent="0.25">
      <c r="A148" s="126"/>
      <c r="B148" s="126"/>
      <c r="C148" s="117"/>
      <c r="D148" s="156" t="s">
        <v>108</v>
      </c>
      <c r="E148" s="139"/>
      <c r="F148" s="139"/>
      <c r="G148" s="139"/>
      <c r="H148" s="139"/>
    </row>
    <row r="149" spans="1:8" s="25" customFormat="1" ht="11.25" customHeight="1" x14ac:dyDescent="0.25">
      <c r="A149" s="126"/>
      <c r="B149" s="126"/>
      <c r="C149" s="117"/>
      <c r="D149" s="127" t="s">
        <v>109</v>
      </c>
      <c r="E149" s="129">
        <v>9106919.9800000004</v>
      </c>
      <c r="F149" s="128">
        <f>SUM(F150)</f>
        <v>291700</v>
      </c>
      <c r="G149" s="128">
        <f>SUM(G150)</f>
        <v>8528</v>
      </c>
      <c r="H149" s="129">
        <f>SUM(E149+F149-G149)</f>
        <v>9390091.9800000004</v>
      </c>
    </row>
    <row r="150" spans="1:8" s="25" customFormat="1" ht="12" customHeight="1" x14ac:dyDescent="0.25">
      <c r="A150" s="126"/>
      <c r="B150" s="140"/>
      <c r="C150" s="117"/>
      <c r="D150" s="160" t="s">
        <v>92</v>
      </c>
      <c r="E150" s="133">
        <v>4382634.46</v>
      </c>
      <c r="F150" s="133">
        <f>SUM(F151:F156)</f>
        <v>291700</v>
      </c>
      <c r="G150" s="133">
        <f>SUM(G151:G156)</f>
        <v>8528</v>
      </c>
      <c r="H150" s="133">
        <f t="shared" ref="H150:H212" si="20">SUM(E150+F150-G150)</f>
        <v>4665806.46</v>
      </c>
    </row>
    <row r="151" spans="1:8" s="25" customFormat="1" ht="12" customHeight="1" x14ac:dyDescent="0.25">
      <c r="A151" s="158"/>
      <c r="B151" s="150"/>
      <c r="C151" s="170">
        <v>3020</v>
      </c>
      <c r="D151" s="171" t="s">
        <v>98</v>
      </c>
      <c r="E151" s="129">
        <v>2400</v>
      </c>
      <c r="F151" s="128">
        <v>1000</v>
      </c>
      <c r="G151" s="128"/>
      <c r="H151" s="128">
        <f t="shared" si="20"/>
        <v>3400</v>
      </c>
    </row>
    <row r="152" spans="1:8" s="25" customFormat="1" ht="12" customHeight="1" x14ac:dyDescent="0.25">
      <c r="A152" s="126"/>
      <c r="B152" s="140"/>
      <c r="C152" s="153">
        <v>4110</v>
      </c>
      <c r="D152" s="154" t="s">
        <v>74</v>
      </c>
      <c r="E152" s="138">
        <v>633884</v>
      </c>
      <c r="F152" s="139">
        <v>27000</v>
      </c>
      <c r="G152" s="139"/>
      <c r="H152" s="139">
        <f t="shared" si="20"/>
        <v>660884</v>
      </c>
    </row>
    <row r="153" spans="1:8" s="25" customFormat="1" ht="12" customHeight="1" x14ac:dyDescent="0.25">
      <c r="A153" s="126"/>
      <c r="B153" s="140"/>
      <c r="C153" s="153">
        <v>4120</v>
      </c>
      <c r="D153" s="154" t="s">
        <v>20</v>
      </c>
      <c r="E153" s="138">
        <v>88074</v>
      </c>
      <c r="F153" s="139">
        <v>3500</v>
      </c>
      <c r="G153" s="139"/>
      <c r="H153" s="139">
        <f t="shared" si="20"/>
        <v>91574</v>
      </c>
    </row>
    <row r="154" spans="1:8" s="25" customFormat="1" ht="12" customHeight="1" x14ac:dyDescent="0.25">
      <c r="A154" s="126"/>
      <c r="B154" s="140"/>
      <c r="C154" s="153">
        <v>4240</v>
      </c>
      <c r="D154" s="154" t="s">
        <v>95</v>
      </c>
      <c r="E154" s="138">
        <v>50140.9</v>
      </c>
      <c r="F154" s="139">
        <v>10200</v>
      </c>
      <c r="G154" s="139"/>
      <c r="H154" s="139">
        <f t="shared" si="20"/>
        <v>60340.9</v>
      </c>
    </row>
    <row r="155" spans="1:8" s="25" customFormat="1" ht="12" customHeight="1" x14ac:dyDescent="0.25">
      <c r="A155" s="126"/>
      <c r="B155" s="140"/>
      <c r="C155" s="149">
        <v>4790</v>
      </c>
      <c r="D155" s="156" t="s">
        <v>102</v>
      </c>
      <c r="E155" s="138">
        <v>2934185.74</v>
      </c>
      <c r="F155" s="139">
        <v>250000</v>
      </c>
      <c r="G155" s="139"/>
      <c r="H155" s="139">
        <f t="shared" si="20"/>
        <v>3184185.74</v>
      </c>
    </row>
    <row r="156" spans="1:8" s="25" customFormat="1" ht="12" customHeight="1" x14ac:dyDescent="0.25">
      <c r="A156" s="126"/>
      <c r="B156" s="140"/>
      <c r="C156" s="149">
        <v>4800</v>
      </c>
      <c r="D156" s="25" t="s">
        <v>97</v>
      </c>
      <c r="E156" s="138">
        <v>291794.82</v>
      </c>
      <c r="F156" s="139"/>
      <c r="G156" s="139">
        <v>8528</v>
      </c>
      <c r="H156" s="139">
        <f t="shared" si="20"/>
        <v>283266.82</v>
      </c>
    </row>
    <row r="157" spans="1:8" s="25" customFormat="1" ht="12" customHeight="1" x14ac:dyDescent="0.25">
      <c r="A157" s="126"/>
      <c r="B157" s="126">
        <v>80150</v>
      </c>
      <c r="C157" s="117"/>
      <c r="D157" s="156" t="s">
        <v>106</v>
      </c>
      <c r="E157" s="139"/>
      <c r="F157" s="139"/>
      <c r="G157" s="139"/>
      <c r="H157" s="139"/>
    </row>
    <row r="158" spans="1:8" s="25" customFormat="1" ht="12" customHeight="1" x14ac:dyDescent="0.25">
      <c r="A158" s="126"/>
      <c r="B158" s="126"/>
      <c r="C158" s="117"/>
      <c r="D158" s="156" t="s">
        <v>110</v>
      </c>
      <c r="E158" s="139"/>
      <c r="F158" s="139"/>
      <c r="G158" s="139"/>
      <c r="H158" s="139"/>
    </row>
    <row r="159" spans="1:8" s="25" customFormat="1" ht="12" customHeight="1" x14ac:dyDescent="0.25">
      <c r="A159" s="126"/>
      <c r="B159" s="126"/>
      <c r="C159" s="117"/>
      <c r="D159" s="127" t="s">
        <v>111</v>
      </c>
      <c r="E159" s="129">
        <v>18857274.370000001</v>
      </c>
      <c r="F159" s="128">
        <f>SUM(F160)</f>
        <v>486000</v>
      </c>
      <c r="G159" s="128">
        <f>SUM(G160)</f>
        <v>0</v>
      </c>
      <c r="H159" s="129">
        <f>SUM(E159+F159-G159)</f>
        <v>19343274.370000001</v>
      </c>
    </row>
    <row r="160" spans="1:8" s="25" customFormat="1" ht="12" customHeight="1" x14ac:dyDescent="0.25">
      <c r="A160" s="126"/>
      <c r="B160" s="126"/>
      <c r="C160" s="117"/>
      <c r="D160" s="160" t="s">
        <v>92</v>
      </c>
      <c r="E160" s="133">
        <v>17704206.359999999</v>
      </c>
      <c r="F160" s="133">
        <f>SUM(F161:F162)</f>
        <v>486000</v>
      </c>
      <c r="G160" s="133">
        <f>SUM(G161:G162)</f>
        <v>0</v>
      </c>
      <c r="H160" s="133">
        <f t="shared" ref="H160:H162" si="21">SUM(E160+F160-G160)</f>
        <v>18190206.359999999</v>
      </c>
    </row>
    <row r="161" spans="1:8" s="25" customFormat="1" ht="12" customHeight="1" x14ac:dyDescent="0.25">
      <c r="A161" s="126"/>
      <c r="B161" s="126"/>
      <c r="C161" s="153">
        <v>4110</v>
      </c>
      <c r="D161" s="154" t="s">
        <v>74</v>
      </c>
      <c r="E161" s="138">
        <v>2610013</v>
      </c>
      <c r="F161" s="139">
        <v>81000</v>
      </c>
      <c r="G161" s="139"/>
      <c r="H161" s="139">
        <f t="shared" si="21"/>
        <v>2691013</v>
      </c>
    </row>
    <row r="162" spans="1:8" s="25" customFormat="1" ht="12" customHeight="1" x14ac:dyDescent="0.25">
      <c r="A162" s="126"/>
      <c r="B162" s="126"/>
      <c r="C162" s="149">
        <v>4790</v>
      </c>
      <c r="D162" s="156" t="s">
        <v>102</v>
      </c>
      <c r="E162" s="138">
        <v>12419549.76</v>
      </c>
      <c r="F162" s="139">
        <v>405000</v>
      </c>
      <c r="G162" s="139"/>
      <c r="H162" s="139">
        <f t="shared" si="21"/>
        <v>12824549.76</v>
      </c>
    </row>
    <row r="163" spans="1:8" s="25" customFormat="1" ht="12" customHeight="1" x14ac:dyDescent="0.25">
      <c r="A163" s="126"/>
      <c r="B163" s="126">
        <v>80195</v>
      </c>
      <c r="C163" s="117"/>
      <c r="D163" s="9" t="s">
        <v>26</v>
      </c>
      <c r="E163" s="128">
        <v>10423801.699999999</v>
      </c>
      <c r="F163" s="128">
        <f>SUM(F164,F171,F174,F185)</f>
        <v>270627.89</v>
      </c>
      <c r="G163" s="128">
        <f>SUM(G164,G171,G174,G185)</f>
        <v>157164.82999999999</v>
      </c>
      <c r="H163" s="129">
        <f>SUM(E163+F163-G163)</f>
        <v>10537264.76</v>
      </c>
    </row>
    <row r="164" spans="1:8" s="25" customFormat="1" ht="12" customHeight="1" x14ac:dyDescent="0.25">
      <c r="A164" s="126"/>
      <c r="B164" s="126"/>
      <c r="C164" s="117"/>
      <c r="D164" s="132" t="s">
        <v>112</v>
      </c>
      <c r="E164" s="133">
        <v>1650416.41</v>
      </c>
      <c r="F164" s="133">
        <f>SUM(F165:F170)</f>
        <v>18500</v>
      </c>
      <c r="G164" s="133">
        <f>SUM(G165:G170)</f>
        <v>149965</v>
      </c>
      <c r="H164" s="133">
        <f>SUM(E164+F164-G164)</f>
        <v>1518951.41</v>
      </c>
    </row>
    <row r="165" spans="1:8" s="25" customFormat="1" ht="12" customHeight="1" x14ac:dyDescent="0.25">
      <c r="A165" s="126"/>
      <c r="B165" s="126"/>
      <c r="C165" s="153">
        <v>3040</v>
      </c>
      <c r="D165" s="143" t="s">
        <v>113</v>
      </c>
      <c r="E165" s="138">
        <v>16215</v>
      </c>
      <c r="F165" s="138"/>
      <c r="G165" s="138">
        <v>1215</v>
      </c>
      <c r="H165" s="138">
        <f t="shared" ref="H165:H170" si="22">SUM(E165+F165-G165)</f>
        <v>15000</v>
      </c>
    </row>
    <row r="166" spans="1:8" s="25" customFormat="1" ht="12" customHeight="1" x14ac:dyDescent="0.25">
      <c r="A166" s="126"/>
      <c r="B166" s="126"/>
      <c r="C166" s="175" t="s">
        <v>93</v>
      </c>
      <c r="D166" s="154" t="s">
        <v>94</v>
      </c>
      <c r="E166" s="138">
        <v>60000</v>
      </c>
      <c r="F166" s="138"/>
      <c r="G166" s="138">
        <v>3500</v>
      </c>
      <c r="H166" s="138">
        <f t="shared" si="22"/>
        <v>56500</v>
      </c>
    </row>
    <row r="167" spans="1:8" s="25" customFormat="1" ht="12" customHeight="1" x14ac:dyDescent="0.25">
      <c r="A167" s="126"/>
      <c r="B167" s="126"/>
      <c r="C167" s="153">
        <v>4240</v>
      </c>
      <c r="D167" s="154" t="s">
        <v>95</v>
      </c>
      <c r="E167" s="138">
        <v>200000</v>
      </c>
      <c r="F167" s="138"/>
      <c r="G167" s="138">
        <f>50250+80000</f>
        <v>130250</v>
      </c>
      <c r="H167" s="138">
        <f t="shared" si="22"/>
        <v>69750</v>
      </c>
    </row>
    <row r="168" spans="1:8" s="25" customFormat="1" ht="12" customHeight="1" x14ac:dyDescent="0.25">
      <c r="A168" s="126"/>
      <c r="B168" s="126"/>
      <c r="C168" s="153">
        <v>4270</v>
      </c>
      <c r="D168" s="154" t="s">
        <v>28</v>
      </c>
      <c r="E168" s="138">
        <v>230000</v>
      </c>
      <c r="F168" s="138"/>
      <c r="G168" s="138">
        <v>15000</v>
      </c>
      <c r="H168" s="138">
        <f t="shared" si="22"/>
        <v>215000</v>
      </c>
    </row>
    <row r="169" spans="1:8" s="25" customFormat="1" ht="12" customHeight="1" x14ac:dyDescent="0.25">
      <c r="A169" s="126"/>
      <c r="B169" s="126"/>
      <c r="C169" s="153">
        <v>4300</v>
      </c>
      <c r="D169" s="154" t="s">
        <v>16</v>
      </c>
      <c r="E169" s="138">
        <v>220371.97</v>
      </c>
      <c r="F169" s="138">
        <v>15000</v>
      </c>
      <c r="G169" s="138"/>
      <c r="H169" s="138">
        <f t="shared" si="22"/>
        <v>235371.97</v>
      </c>
    </row>
    <row r="170" spans="1:8" s="25" customFormat="1" ht="12" customHeight="1" x14ac:dyDescent="0.25">
      <c r="A170" s="126"/>
      <c r="B170" s="126"/>
      <c r="C170" s="146">
        <v>4700</v>
      </c>
      <c r="D170" s="168" t="s">
        <v>91</v>
      </c>
      <c r="E170" s="138">
        <v>0</v>
      </c>
      <c r="F170" s="138">
        <v>3500</v>
      </c>
      <c r="G170" s="138"/>
      <c r="H170" s="138">
        <f t="shared" si="22"/>
        <v>3500</v>
      </c>
    </row>
    <row r="171" spans="1:8" s="25" customFormat="1" ht="24.75" customHeight="1" x14ac:dyDescent="0.25">
      <c r="A171" s="126"/>
      <c r="B171" s="126"/>
      <c r="C171" s="117"/>
      <c r="D171" s="132" t="s">
        <v>114</v>
      </c>
      <c r="E171" s="133">
        <v>15400</v>
      </c>
      <c r="F171" s="133">
        <f>SUM(F172:F173)</f>
        <v>0</v>
      </c>
      <c r="G171" s="133">
        <f>SUM(G172:G173)</f>
        <v>7199.83</v>
      </c>
      <c r="H171" s="133">
        <f>SUM(E171+F171-G171)</f>
        <v>8200.17</v>
      </c>
    </row>
    <row r="172" spans="1:8" s="25" customFormat="1" ht="12" customHeight="1" x14ac:dyDescent="0.25">
      <c r="A172" s="126"/>
      <c r="B172" s="126"/>
      <c r="C172" s="153">
        <v>4247</v>
      </c>
      <c r="D172" s="154" t="s">
        <v>95</v>
      </c>
      <c r="E172" s="138">
        <v>14543.76</v>
      </c>
      <c r="F172" s="138"/>
      <c r="G172" s="138">
        <v>6800.25</v>
      </c>
      <c r="H172" s="138">
        <f t="shared" ref="H172:H173" si="23">SUM(E172+F172-G172)</f>
        <v>7743.51</v>
      </c>
    </row>
    <row r="173" spans="1:8" s="25" customFormat="1" ht="12" customHeight="1" x14ac:dyDescent="0.25">
      <c r="A173" s="126"/>
      <c r="B173" s="126"/>
      <c r="C173" s="153">
        <v>4249</v>
      </c>
      <c r="D173" s="154" t="s">
        <v>95</v>
      </c>
      <c r="E173" s="138">
        <v>856.24</v>
      </c>
      <c r="F173" s="138"/>
      <c r="G173" s="138">
        <v>399.58</v>
      </c>
      <c r="H173" s="138">
        <f t="shared" si="23"/>
        <v>456.66</v>
      </c>
    </row>
    <row r="174" spans="1:8" s="25" customFormat="1" ht="13.5" customHeight="1" x14ac:dyDescent="0.25">
      <c r="A174" s="126"/>
      <c r="B174" s="126"/>
      <c r="C174" s="117"/>
      <c r="D174" s="177" t="s">
        <v>115</v>
      </c>
      <c r="E174" s="133">
        <v>0</v>
      </c>
      <c r="F174" s="133">
        <f>SUM(F175:F184)</f>
        <v>7199.83</v>
      </c>
      <c r="G174" s="133">
        <f>SUM(G175:G184)</f>
        <v>0</v>
      </c>
      <c r="H174" s="133">
        <f>SUM(E174+F174-G174)</f>
        <v>7199.83</v>
      </c>
    </row>
    <row r="175" spans="1:8" s="25" customFormat="1" ht="12" customHeight="1" x14ac:dyDescent="0.25">
      <c r="A175" s="126"/>
      <c r="B175" s="126"/>
      <c r="C175" s="149">
        <v>4017</v>
      </c>
      <c r="D175" s="156" t="s">
        <v>99</v>
      </c>
      <c r="E175" s="138">
        <v>0</v>
      </c>
      <c r="F175" s="138">
        <v>763.16</v>
      </c>
      <c r="G175" s="138"/>
      <c r="H175" s="138">
        <f t="shared" ref="H175:H184" si="24">SUM(E175+F175-G175)</f>
        <v>763.16</v>
      </c>
    </row>
    <row r="176" spans="1:8" s="25" customFormat="1" ht="12" customHeight="1" x14ac:dyDescent="0.25">
      <c r="A176" s="126"/>
      <c r="B176" s="126"/>
      <c r="C176" s="149">
        <v>4019</v>
      </c>
      <c r="D176" s="156" t="s">
        <v>99</v>
      </c>
      <c r="E176" s="138">
        <v>0</v>
      </c>
      <c r="F176" s="138">
        <v>44.84</v>
      </c>
      <c r="G176" s="138"/>
      <c r="H176" s="138">
        <f t="shared" si="24"/>
        <v>44.84</v>
      </c>
    </row>
    <row r="177" spans="1:8" s="25" customFormat="1" ht="12" customHeight="1" x14ac:dyDescent="0.25">
      <c r="A177" s="126"/>
      <c r="B177" s="126"/>
      <c r="C177" s="10">
        <v>4117</v>
      </c>
      <c r="D177" s="20" t="s">
        <v>31</v>
      </c>
      <c r="E177" s="138">
        <v>0</v>
      </c>
      <c r="F177" s="138">
        <v>1031.7</v>
      </c>
      <c r="G177" s="138"/>
      <c r="H177" s="138">
        <f t="shared" si="24"/>
        <v>1031.7</v>
      </c>
    </row>
    <row r="178" spans="1:8" s="25" customFormat="1" ht="12" customHeight="1" x14ac:dyDescent="0.25">
      <c r="A178" s="126"/>
      <c r="B178" s="126"/>
      <c r="C178" s="10">
        <v>4119</v>
      </c>
      <c r="D178" s="20" t="s">
        <v>31</v>
      </c>
      <c r="E178" s="138">
        <v>0</v>
      </c>
      <c r="F178" s="138">
        <v>60.62</v>
      </c>
      <c r="G178" s="138"/>
      <c r="H178" s="138">
        <f t="shared" si="24"/>
        <v>60.62</v>
      </c>
    </row>
    <row r="179" spans="1:8" s="25" customFormat="1" ht="12" customHeight="1" x14ac:dyDescent="0.25">
      <c r="A179" s="126"/>
      <c r="B179" s="126"/>
      <c r="C179" s="10">
        <v>4127</v>
      </c>
      <c r="D179" s="156" t="s">
        <v>20</v>
      </c>
      <c r="E179" s="138">
        <v>0</v>
      </c>
      <c r="F179" s="138">
        <v>135.97999999999999</v>
      </c>
      <c r="G179" s="138"/>
      <c r="H179" s="138">
        <f t="shared" si="24"/>
        <v>135.97999999999999</v>
      </c>
    </row>
    <row r="180" spans="1:8" s="25" customFormat="1" ht="12" customHeight="1" x14ac:dyDescent="0.25">
      <c r="A180" s="126"/>
      <c r="B180" s="126"/>
      <c r="C180" s="10">
        <v>4129</v>
      </c>
      <c r="D180" s="156" t="s">
        <v>20</v>
      </c>
      <c r="E180" s="138">
        <v>0</v>
      </c>
      <c r="F180" s="138">
        <v>7.99</v>
      </c>
      <c r="G180" s="138"/>
      <c r="H180" s="138">
        <f t="shared" si="24"/>
        <v>7.99</v>
      </c>
    </row>
    <row r="181" spans="1:8" s="25" customFormat="1" ht="12" customHeight="1" x14ac:dyDescent="0.25">
      <c r="A181" s="126"/>
      <c r="B181" s="126"/>
      <c r="C181" s="149">
        <v>4717</v>
      </c>
      <c r="D181" s="156" t="s">
        <v>85</v>
      </c>
      <c r="E181" s="138">
        <v>0</v>
      </c>
      <c r="F181" s="138">
        <v>82.68</v>
      </c>
      <c r="G181" s="138"/>
      <c r="H181" s="138">
        <f t="shared" si="24"/>
        <v>82.68</v>
      </c>
    </row>
    <row r="182" spans="1:8" s="25" customFormat="1" ht="12" customHeight="1" x14ac:dyDescent="0.25">
      <c r="A182" s="126"/>
      <c r="B182" s="126"/>
      <c r="C182" s="149">
        <v>4719</v>
      </c>
      <c r="D182" s="156" t="s">
        <v>85</v>
      </c>
      <c r="E182" s="138">
        <v>0</v>
      </c>
      <c r="F182" s="138">
        <v>4.8600000000000003</v>
      </c>
      <c r="G182" s="138"/>
      <c r="H182" s="138">
        <f t="shared" si="24"/>
        <v>4.8600000000000003</v>
      </c>
    </row>
    <row r="183" spans="1:8" s="25" customFormat="1" ht="12" customHeight="1" x14ac:dyDescent="0.25">
      <c r="A183" s="126"/>
      <c r="B183" s="126"/>
      <c r="C183" s="10">
        <v>4797</v>
      </c>
      <c r="D183" s="11" t="s">
        <v>116</v>
      </c>
      <c r="E183" s="138">
        <v>0</v>
      </c>
      <c r="F183" s="138">
        <v>4786.7299999999996</v>
      </c>
      <c r="G183" s="138"/>
      <c r="H183" s="138">
        <f t="shared" si="24"/>
        <v>4786.7299999999996</v>
      </c>
    </row>
    <row r="184" spans="1:8" s="25" customFormat="1" ht="12" customHeight="1" x14ac:dyDescent="0.25">
      <c r="A184" s="126"/>
      <c r="B184" s="126"/>
      <c r="C184" s="10">
        <v>4799</v>
      </c>
      <c r="D184" s="11" t="s">
        <v>116</v>
      </c>
      <c r="E184" s="138">
        <v>0</v>
      </c>
      <c r="F184" s="138">
        <v>281.27</v>
      </c>
      <c r="G184" s="138"/>
      <c r="H184" s="138">
        <f t="shared" si="24"/>
        <v>281.27</v>
      </c>
    </row>
    <row r="185" spans="1:8" s="25" customFormat="1" ht="23.25" customHeight="1" x14ac:dyDescent="0.25">
      <c r="A185" s="126"/>
      <c r="B185" s="126"/>
      <c r="C185" s="117"/>
      <c r="D185" s="132" t="s">
        <v>117</v>
      </c>
      <c r="E185" s="133">
        <v>0</v>
      </c>
      <c r="F185" s="133">
        <f>SUM(F186:F193)</f>
        <v>244928.06</v>
      </c>
      <c r="G185" s="133">
        <f>SUM(G186:G193)</f>
        <v>0</v>
      </c>
      <c r="H185" s="133">
        <f>SUM(E185+F185-G185)</f>
        <v>244928.06</v>
      </c>
    </row>
    <row r="186" spans="1:8" s="25" customFormat="1" ht="12" customHeight="1" x14ac:dyDescent="0.25">
      <c r="A186" s="126"/>
      <c r="B186" s="126"/>
      <c r="C186" s="10">
        <v>4117</v>
      </c>
      <c r="D186" s="11" t="s">
        <v>31</v>
      </c>
      <c r="E186" s="138">
        <v>0</v>
      </c>
      <c r="F186" s="138">
        <f>5551.94+5020.15+7014.96</f>
        <v>17587.05</v>
      </c>
      <c r="G186" s="138"/>
      <c r="H186" s="138">
        <f t="shared" ref="H186:H193" si="25">SUM(E186+F186-G186)</f>
        <v>17587.05</v>
      </c>
    </row>
    <row r="187" spans="1:8" s="25" customFormat="1" ht="12" customHeight="1" x14ac:dyDescent="0.25">
      <c r="A187" s="126"/>
      <c r="B187" s="126"/>
      <c r="C187" s="10">
        <v>4127</v>
      </c>
      <c r="D187" s="11" t="s">
        <v>90</v>
      </c>
      <c r="E187" s="138">
        <v>0</v>
      </c>
      <c r="F187" s="138">
        <f>791.28+114.01+859.32</f>
        <v>1764.6100000000001</v>
      </c>
      <c r="G187" s="138"/>
      <c r="H187" s="138">
        <f t="shared" si="25"/>
        <v>1764.6100000000001</v>
      </c>
    </row>
    <row r="188" spans="1:8" s="25" customFormat="1" ht="12" customHeight="1" x14ac:dyDescent="0.25">
      <c r="A188" s="126"/>
      <c r="B188" s="126"/>
      <c r="C188" s="10">
        <v>4177</v>
      </c>
      <c r="D188" s="11" t="s">
        <v>19</v>
      </c>
      <c r="E188" s="138">
        <v>0</v>
      </c>
      <c r="F188" s="138">
        <f>32297.38+31003.8+45708.4</f>
        <v>109009.58</v>
      </c>
      <c r="G188" s="138"/>
      <c r="H188" s="138">
        <f t="shared" si="25"/>
        <v>109009.58</v>
      </c>
    </row>
    <row r="189" spans="1:8" s="25" customFormat="1" ht="12" customHeight="1" x14ac:dyDescent="0.25">
      <c r="A189" s="126"/>
      <c r="B189" s="126"/>
      <c r="C189" s="10">
        <v>4217</v>
      </c>
      <c r="D189" s="11" t="s">
        <v>27</v>
      </c>
      <c r="E189" s="138">
        <v>0</v>
      </c>
      <c r="F189" s="138">
        <f>9800+9760</f>
        <v>19560</v>
      </c>
      <c r="G189" s="138"/>
      <c r="H189" s="138">
        <f t="shared" si="25"/>
        <v>19560</v>
      </c>
    </row>
    <row r="190" spans="1:8" s="25" customFormat="1" ht="12" customHeight="1" x14ac:dyDescent="0.25">
      <c r="A190" s="126"/>
      <c r="B190" s="126"/>
      <c r="C190" s="10">
        <v>4227</v>
      </c>
      <c r="D190" s="156" t="s">
        <v>118</v>
      </c>
      <c r="E190" s="138">
        <v>0</v>
      </c>
      <c r="F190" s="138">
        <f>1500+912</f>
        <v>2412</v>
      </c>
      <c r="G190" s="138"/>
      <c r="H190" s="138">
        <f t="shared" ref="H190" si="26">SUM(E190+F190-G190)</f>
        <v>2412</v>
      </c>
    </row>
    <row r="191" spans="1:8" s="25" customFormat="1" ht="12" customHeight="1" x14ac:dyDescent="0.25">
      <c r="A191" s="126"/>
      <c r="B191" s="126"/>
      <c r="C191" s="10">
        <v>4247</v>
      </c>
      <c r="D191" s="11" t="s">
        <v>119</v>
      </c>
      <c r="E191" s="138">
        <v>0</v>
      </c>
      <c r="F191" s="138">
        <f>19009</f>
        <v>19009</v>
      </c>
      <c r="G191" s="138"/>
      <c r="H191" s="138">
        <f t="shared" si="25"/>
        <v>19009</v>
      </c>
    </row>
    <row r="192" spans="1:8" s="25" customFormat="1" ht="12" customHeight="1" x14ac:dyDescent="0.25">
      <c r="A192" s="126"/>
      <c r="B192" s="126"/>
      <c r="C192" s="10">
        <v>4307</v>
      </c>
      <c r="D192" s="11" t="s">
        <v>120</v>
      </c>
      <c r="E192" s="138">
        <v>0</v>
      </c>
      <c r="F192" s="138">
        <f>39570+21312+13680</f>
        <v>74562</v>
      </c>
      <c r="G192" s="138"/>
      <c r="H192" s="138">
        <f t="shared" si="25"/>
        <v>74562</v>
      </c>
    </row>
    <row r="193" spans="1:8" s="25" customFormat="1" ht="12" customHeight="1" x14ac:dyDescent="0.25">
      <c r="A193" s="126"/>
      <c r="B193" s="126"/>
      <c r="C193" s="10">
        <v>4717</v>
      </c>
      <c r="D193" s="21" t="s">
        <v>85</v>
      </c>
      <c r="E193" s="138">
        <v>0</v>
      </c>
      <c r="F193" s="138">
        <f>484.46+362.04+177.32</f>
        <v>1023.8199999999999</v>
      </c>
      <c r="G193" s="138"/>
      <c r="H193" s="138">
        <f t="shared" si="25"/>
        <v>1023.8199999999999</v>
      </c>
    </row>
    <row r="194" spans="1:8" s="25" customFormat="1" ht="12" customHeight="1" thickBot="1" x14ac:dyDescent="0.3">
      <c r="A194" s="123" t="s">
        <v>121</v>
      </c>
      <c r="B194" s="140"/>
      <c r="C194" s="123"/>
      <c r="D194" s="124" t="s">
        <v>122</v>
      </c>
      <c r="E194" s="121">
        <v>12239997.83</v>
      </c>
      <c r="F194" s="125">
        <f>SUM(F195,F199,F213,)</f>
        <v>42700</v>
      </c>
      <c r="G194" s="125">
        <f>SUM(G195,G199,G213,)</f>
        <v>42700</v>
      </c>
      <c r="H194" s="121">
        <f t="shared" si="20"/>
        <v>12239997.83</v>
      </c>
    </row>
    <row r="195" spans="1:8" s="25" customFormat="1" ht="12" customHeight="1" thickTop="1" x14ac:dyDescent="0.25">
      <c r="A195" s="123"/>
      <c r="B195" s="126">
        <v>85149</v>
      </c>
      <c r="C195" s="157"/>
      <c r="D195" s="158" t="s">
        <v>123</v>
      </c>
      <c r="E195" s="129">
        <v>413790</v>
      </c>
      <c r="F195" s="128">
        <f>SUM(F196)</f>
        <v>1500</v>
      </c>
      <c r="G195" s="128">
        <f>SUM(G196)</f>
        <v>1500</v>
      </c>
      <c r="H195" s="129">
        <f t="shared" ref="H195:H198" si="27">SUM(E195+F195-G195)</f>
        <v>413790</v>
      </c>
    </row>
    <row r="196" spans="1:8" s="25" customFormat="1" ht="12" customHeight="1" x14ac:dyDescent="0.25">
      <c r="A196" s="123"/>
      <c r="B196" s="140"/>
      <c r="C196" s="117"/>
      <c r="D196" s="160" t="s">
        <v>14</v>
      </c>
      <c r="E196" s="178">
        <v>413790</v>
      </c>
      <c r="F196" s="134">
        <f>SUM(F197:F198)</f>
        <v>1500</v>
      </c>
      <c r="G196" s="134">
        <f>SUM(G197:G198)</f>
        <v>1500</v>
      </c>
      <c r="H196" s="133">
        <f t="shared" si="27"/>
        <v>413790</v>
      </c>
    </row>
    <row r="197" spans="1:8" s="25" customFormat="1" ht="12" customHeight="1" x14ac:dyDescent="0.25">
      <c r="A197" s="123"/>
      <c r="B197" s="140"/>
      <c r="C197" s="161">
        <v>4170</v>
      </c>
      <c r="D197" s="179" t="s">
        <v>19</v>
      </c>
      <c r="E197" s="138">
        <v>15000</v>
      </c>
      <c r="F197" s="139">
        <v>1500</v>
      </c>
      <c r="G197" s="139"/>
      <c r="H197" s="139">
        <f t="shared" si="27"/>
        <v>16500</v>
      </c>
    </row>
    <row r="198" spans="1:8" s="25" customFormat="1" ht="12" customHeight="1" x14ac:dyDescent="0.25">
      <c r="A198" s="123"/>
      <c r="B198" s="140"/>
      <c r="C198" s="149">
        <v>4280</v>
      </c>
      <c r="D198" s="156" t="s">
        <v>124</v>
      </c>
      <c r="E198" s="138">
        <v>374490</v>
      </c>
      <c r="F198" s="139"/>
      <c r="G198" s="139">
        <v>1500</v>
      </c>
      <c r="H198" s="139">
        <f t="shared" si="27"/>
        <v>372990</v>
      </c>
    </row>
    <row r="199" spans="1:8" s="25" customFormat="1" ht="12" customHeight="1" x14ac:dyDescent="0.25">
      <c r="A199" s="123"/>
      <c r="B199" s="149">
        <v>85154</v>
      </c>
      <c r="C199" s="157"/>
      <c r="D199" s="158" t="s">
        <v>125</v>
      </c>
      <c r="E199" s="129">
        <v>6685952.8300000001</v>
      </c>
      <c r="F199" s="128">
        <f>SUM(F200,F204,F207,F209,)</f>
        <v>41200</v>
      </c>
      <c r="G199" s="128">
        <f>SUM(G200,G204,G207,G209,)</f>
        <v>36000</v>
      </c>
      <c r="H199" s="129">
        <f t="shared" si="20"/>
        <v>6691152.8300000001</v>
      </c>
    </row>
    <row r="200" spans="1:8" s="25" customFormat="1" ht="12" customHeight="1" x14ac:dyDescent="0.25">
      <c r="A200" s="123"/>
      <c r="B200" s="149"/>
      <c r="C200" s="117"/>
      <c r="D200" s="160" t="s">
        <v>14</v>
      </c>
      <c r="E200" s="178">
        <v>1745691.95</v>
      </c>
      <c r="F200" s="134">
        <f>SUM(F201:F203)</f>
        <v>21000</v>
      </c>
      <c r="G200" s="134">
        <f>SUM(G201:G203)</f>
        <v>21000</v>
      </c>
      <c r="H200" s="133">
        <f t="shared" ref="H200:H205" si="28">SUM(E200+F200-G200)</f>
        <v>1745691.95</v>
      </c>
    </row>
    <row r="201" spans="1:8" s="25" customFormat="1" ht="24" customHeight="1" x14ac:dyDescent="0.25">
      <c r="A201" s="123"/>
      <c r="B201" s="149"/>
      <c r="C201" s="146">
        <v>2800</v>
      </c>
      <c r="D201" s="143" t="s">
        <v>126</v>
      </c>
      <c r="E201" s="139">
        <v>120000</v>
      </c>
      <c r="F201" s="139">
        <v>20000</v>
      </c>
      <c r="G201" s="139"/>
      <c r="H201" s="138">
        <f>SUM(E201+F201-G201)</f>
        <v>140000</v>
      </c>
    </row>
    <row r="202" spans="1:8" s="25" customFormat="1" ht="12" customHeight="1" x14ac:dyDescent="0.25">
      <c r="A202" s="123"/>
      <c r="B202" s="149"/>
      <c r="C202" s="10">
        <v>4300</v>
      </c>
      <c r="D202" s="11" t="s">
        <v>16</v>
      </c>
      <c r="E202" s="138">
        <v>386841.95</v>
      </c>
      <c r="F202" s="139"/>
      <c r="G202" s="139">
        <v>21000</v>
      </c>
      <c r="H202" s="139">
        <f t="shared" si="28"/>
        <v>365841.95</v>
      </c>
    </row>
    <row r="203" spans="1:8" s="25" customFormat="1" ht="12" customHeight="1" x14ac:dyDescent="0.25">
      <c r="A203" s="123"/>
      <c r="B203" s="149"/>
      <c r="C203" s="153">
        <v>4410</v>
      </c>
      <c r="D203" s="154" t="s">
        <v>96</v>
      </c>
      <c r="E203" s="14">
        <v>500</v>
      </c>
      <c r="F203" s="139">
        <v>1000</v>
      </c>
      <c r="G203" s="139"/>
      <c r="H203" s="139">
        <f t="shared" si="28"/>
        <v>1500</v>
      </c>
    </row>
    <row r="204" spans="1:8" s="25" customFormat="1" ht="12" customHeight="1" x14ac:dyDescent="0.25">
      <c r="A204" s="123"/>
      <c r="B204" s="149"/>
      <c r="C204" s="180"/>
      <c r="D204" s="19" t="s">
        <v>127</v>
      </c>
      <c r="E204" s="181">
        <v>1571231.88</v>
      </c>
      <c r="F204" s="182">
        <f>SUM(F205:F206)</f>
        <v>5000</v>
      </c>
      <c r="G204" s="182">
        <f>SUM(G205:G206)</f>
        <v>5000</v>
      </c>
      <c r="H204" s="181">
        <f t="shared" si="28"/>
        <v>1571231.88</v>
      </c>
    </row>
    <row r="205" spans="1:8" s="25" customFormat="1" ht="12" customHeight="1" x14ac:dyDescent="0.25">
      <c r="A205" s="123"/>
      <c r="B205" s="149"/>
      <c r="C205" s="161">
        <v>4170</v>
      </c>
      <c r="D205" s="179" t="s">
        <v>19</v>
      </c>
      <c r="E205" s="183">
        <v>6000</v>
      </c>
      <c r="F205" s="166">
        <v>5000</v>
      </c>
      <c r="G205" s="166"/>
      <c r="H205" s="183">
        <f t="shared" si="28"/>
        <v>11000</v>
      </c>
    </row>
    <row r="206" spans="1:8" s="25" customFormat="1" ht="12" customHeight="1" x14ac:dyDescent="0.25">
      <c r="A206" s="123"/>
      <c r="B206" s="149"/>
      <c r="C206" s="175" t="s">
        <v>93</v>
      </c>
      <c r="D206" s="154" t="s">
        <v>94</v>
      </c>
      <c r="E206" s="183">
        <v>100130</v>
      </c>
      <c r="F206" s="166"/>
      <c r="G206" s="166">
        <v>5000</v>
      </c>
      <c r="H206" s="183">
        <f t="shared" ref="H206" si="29">SUM(E206+F206-G206)</f>
        <v>95130</v>
      </c>
    </row>
    <row r="207" spans="1:8" s="25" customFormat="1" ht="12" customHeight="1" x14ac:dyDescent="0.25">
      <c r="A207" s="123"/>
      <c r="B207" s="149"/>
      <c r="C207" s="117"/>
      <c r="D207" s="160" t="s">
        <v>128</v>
      </c>
      <c r="E207" s="133">
        <v>3175042</v>
      </c>
      <c r="F207" s="134">
        <f>SUM(F208:F208)</f>
        <v>5200</v>
      </c>
      <c r="G207" s="134">
        <f>SUM(G208:G208)</f>
        <v>0</v>
      </c>
      <c r="H207" s="133">
        <f t="shared" si="20"/>
        <v>3180242</v>
      </c>
    </row>
    <row r="208" spans="1:8" s="25" customFormat="1" ht="12" customHeight="1" x14ac:dyDescent="0.25">
      <c r="A208" s="184"/>
      <c r="B208" s="185"/>
      <c r="C208" s="186">
        <v>4170</v>
      </c>
      <c r="D208" s="187" t="s">
        <v>19</v>
      </c>
      <c r="E208" s="22">
        <v>59340</v>
      </c>
      <c r="F208" s="128">
        <v>5200</v>
      </c>
      <c r="G208" s="128"/>
      <c r="H208" s="128">
        <f t="shared" si="20"/>
        <v>64540</v>
      </c>
    </row>
    <row r="209" spans="1:8" s="25" customFormat="1" ht="12" customHeight="1" x14ac:dyDescent="0.25">
      <c r="A209" s="123"/>
      <c r="B209" s="149"/>
      <c r="C209" s="180"/>
      <c r="D209" s="18" t="s">
        <v>129</v>
      </c>
      <c r="E209" s="181">
        <v>85000</v>
      </c>
      <c r="F209" s="182">
        <f>SUM(F210:F212)</f>
        <v>10000</v>
      </c>
      <c r="G209" s="182">
        <f>SUM(G210:G212)</f>
        <v>10000</v>
      </c>
      <c r="H209" s="181">
        <f t="shared" si="20"/>
        <v>85000</v>
      </c>
    </row>
    <row r="210" spans="1:8" s="25" customFormat="1" ht="12" customHeight="1" x14ac:dyDescent="0.25">
      <c r="A210" s="123"/>
      <c r="B210" s="149"/>
      <c r="C210" s="161">
        <v>4170</v>
      </c>
      <c r="D210" s="179" t="s">
        <v>19</v>
      </c>
      <c r="E210" s="183">
        <v>25000</v>
      </c>
      <c r="F210" s="166"/>
      <c r="G210" s="166">
        <v>5000</v>
      </c>
      <c r="H210" s="183">
        <f t="shared" si="20"/>
        <v>20000</v>
      </c>
    </row>
    <row r="211" spans="1:8" s="25" customFormat="1" ht="12" customHeight="1" x14ac:dyDescent="0.25">
      <c r="A211" s="123"/>
      <c r="B211" s="149"/>
      <c r="C211" s="153">
        <v>4280</v>
      </c>
      <c r="D211" s="154" t="s">
        <v>124</v>
      </c>
      <c r="E211" s="183">
        <v>10000</v>
      </c>
      <c r="F211" s="166">
        <v>10000</v>
      </c>
      <c r="G211" s="166"/>
      <c r="H211" s="183">
        <f t="shared" si="20"/>
        <v>20000</v>
      </c>
    </row>
    <row r="212" spans="1:8" s="25" customFormat="1" ht="12" customHeight="1" x14ac:dyDescent="0.25">
      <c r="A212" s="123"/>
      <c r="B212" s="149"/>
      <c r="C212" s="10">
        <v>4300</v>
      </c>
      <c r="D212" s="11" t="s">
        <v>16</v>
      </c>
      <c r="E212" s="183">
        <v>40000</v>
      </c>
      <c r="F212" s="166"/>
      <c r="G212" s="166">
        <v>5000</v>
      </c>
      <c r="H212" s="183">
        <f t="shared" si="20"/>
        <v>35000</v>
      </c>
    </row>
    <row r="213" spans="1:8" s="25" customFormat="1" ht="12" customHeight="1" x14ac:dyDescent="0.25">
      <c r="A213" s="123"/>
      <c r="B213" s="126">
        <v>85195</v>
      </c>
      <c r="C213" s="117"/>
      <c r="D213" s="127" t="s">
        <v>26</v>
      </c>
      <c r="E213" s="129">
        <v>5079740</v>
      </c>
      <c r="F213" s="129">
        <f>SUM(F214)</f>
        <v>0</v>
      </c>
      <c r="G213" s="129">
        <f>SUM(G214)</f>
        <v>5200</v>
      </c>
      <c r="H213" s="129">
        <f>SUM(E213+F213-G213)</f>
        <v>5074540</v>
      </c>
    </row>
    <row r="214" spans="1:8" s="25" customFormat="1" ht="12" customHeight="1" x14ac:dyDescent="0.25">
      <c r="A214" s="123"/>
      <c r="B214" s="126"/>
      <c r="C214" s="131"/>
      <c r="D214" s="160" t="s">
        <v>128</v>
      </c>
      <c r="E214" s="133">
        <v>74400</v>
      </c>
      <c r="F214" s="134">
        <f>SUM(F215:F215)</f>
        <v>0</v>
      </c>
      <c r="G214" s="134">
        <f>SUM(G215:G215)</f>
        <v>5200</v>
      </c>
      <c r="H214" s="133">
        <f t="shared" ref="H214:H215" si="30">SUM(E214+F214-G214)</f>
        <v>69200</v>
      </c>
    </row>
    <row r="215" spans="1:8" s="25" customFormat="1" ht="12" customHeight="1" x14ac:dyDescent="0.25">
      <c r="A215" s="123"/>
      <c r="B215" s="126"/>
      <c r="C215" s="10">
        <v>4300</v>
      </c>
      <c r="D215" s="11" t="s">
        <v>16</v>
      </c>
      <c r="E215" s="138">
        <v>74400</v>
      </c>
      <c r="F215" s="139"/>
      <c r="G215" s="139">
        <v>5200</v>
      </c>
      <c r="H215" s="139">
        <f t="shared" si="30"/>
        <v>69200</v>
      </c>
    </row>
    <row r="216" spans="1:8" s="25" customFormat="1" ht="12" customHeight="1" thickBot="1" x14ac:dyDescent="0.3">
      <c r="A216" s="123" t="s">
        <v>51</v>
      </c>
      <c r="B216" s="140"/>
      <c r="C216" s="123"/>
      <c r="D216" s="124" t="s">
        <v>52</v>
      </c>
      <c r="E216" s="3">
        <v>89559744.420000002</v>
      </c>
      <c r="F216" s="125">
        <f>SUM(F217)</f>
        <v>700000</v>
      </c>
      <c r="G216" s="125">
        <f>SUM(G217)</f>
        <v>0</v>
      </c>
      <c r="H216" s="121">
        <f>SUM(E216+F216-G216)</f>
        <v>90259744.420000002</v>
      </c>
    </row>
    <row r="217" spans="1:8" s="25" customFormat="1" ht="12" customHeight="1" thickTop="1" x14ac:dyDescent="0.25">
      <c r="A217" s="140"/>
      <c r="B217" s="149">
        <v>85230</v>
      </c>
      <c r="C217" s="157"/>
      <c r="D217" s="158" t="s">
        <v>53</v>
      </c>
      <c r="E217" s="129">
        <v>5594067</v>
      </c>
      <c r="F217" s="128">
        <f>SUM(F218,)</f>
        <v>700000</v>
      </c>
      <c r="G217" s="128">
        <f>SUM(G218,)</f>
        <v>0</v>
      </c>
      <c r="H217" s="129">
        <f t="shared" ref="H217" si="31">SUM(E217+F217-G217)</f>
        <v>6294067</v>
      </c>
    </row>
    <row r="218" spans="1:8" s="25" customFormat="1" ht="12" customHeight="1" x14ac:dyDescent="0.25">
      <c r="A218" s="140"/>
      <c r="B218" s="149"/>
      <c r="C218" s="117"/>
      <c r="D218" s="188" t="s">
        <v>127</v>
      </c>
      <c r="E218" s="133">
        <v>5591333</v>
      </c>
      <c r="F218" s="134">
        <f>SUM(F219:F220)</f>
        <v>700000</v>
      </c>
      <c r="G218" s="134">
        <f>SUM(G219:G220)</f>
        <v>0</v>
      </c>
      <c r="H218" s="133">
        <f>SUM(E218+F218-G218)</f>
        <v>6291333</v>
      </c>
    </row>
    <row r="219" spans="1:8" s="25" customFormat="1" ht="12" customHeight="1" x14ac:dyDescent="0.25">
      <c r="A219" s="140"/>
      <c r="B219" s="149"/>
      <c r="C219" s="149">
        <v>3110</v>
      </c>
      <c r="D219" s="156" t="s">
        <v>130</v>
      </c>
      <c r="E219" s="138">
        <v>1991333</v>
      </c>
      <c r="F219" s="139">
        <v>249302</v>
      </c>
      <c r="G219" s="139"/>
      <c r="H219" s="139">
        <f t="shared" ref="H219:H225" si="32">SUM(E219+F219-G219)</f>
        <v>2240635</v>
      </c>
    </row>
    <row r="220" spans="1:8" s="25" customFormat="1" ht="12" customHeight="1" x14ac:dyDescent="0.25">
      <c r="A220" s="140"/>
      <c r="B220" s="149"/>
      <c r="C220" s="149">
        <v>4300</v>
      </c>
      <c r="D220" s="156" t="s">
        <v>16</v>
      </c>
      <c r="E220" s="138">
        <v>3600000</v>
      </c>
      <c r="F220" s="139">
        <v>450698</v>
      </c>
      <c r="G220" s="139"/>
      <c r="H220" s="139">
        <f t="shared" si="32"/>
        <v>4050698</v>
      </c>
    </row>
    <row r="221" spans="1:8" s="25" customFormat="1" ht="12" customHeight="1" thickBot="1" x14ac:dyDescent="0.3">
      <c r="A221" s="122">
        <v>853</v>
      </c>
      <c r="B221" s="140"/>
      <c r="C221" s="123"/>
      <c r="D221" s="124" t="s">
        <v>131</v>
      </c>
      <c r="E221" s="121">
        <v>9220358.8999999985</v>
      </c>
      <c r="F221" s="125">
        <f>SUM(F222)</f>
        <v>700</v>
      </c>
      <c r="G221" s="125">
        <f>SUM(G222)</f>
        <v>700</v>
      </c>
      <c r="H221" s="121">
        <f t="shared" si="32"/>
        <v>9220358.8999999985</v>
      </c>
    </row>
    <row r="222" spans="1:8" s="25" customFormat="1" ht="12" customHeight="1" thickTop="1" x14ac:dyDescent="0.25">
      <c r="A222" s="123"/>
      <c r="B222" s="126">
        <v>85395</v>
      </c>
      <c r="C222" s="117"/>
      <c r="D222" s="127" t="s">
        <v>26</v>
      </c>
      <c r="E222" s="129">
        <v>9220358.8999999985</v>
      </c>
      <c r="F222" s="129">
        <f>SUM(F223,)</f>
        <v>700</v>
      </c>
      <c r="G222" s="129">
        <f>SUM(G223,)</f>
        <v>700</v>
      </c>
      <c r="H222" s="129">
        <f t="shared" si="32"/>
        <v>9220358.8999999985</v>
      </c>
    </row>
    <row r="223" spans="1:8" s="25" customFormat="1" ht="12" customHeight="1" x14ac:dyDescent="0.25">
      <c r="A223" s="123"/>
      <c r="B223" s="126"/>
      <c r="C223" s="117"/>
      <c r="D223" s="160" t="s">
        <v>132</v>
      </c>
      <c r="E223" s="133">
        <v>6353401</v>
      </c>
      <c r="F223" s="134">
        <f>SUM(F224:F225)</f>
        <v>700</v>
      </c>
      <c r="G223" s="134">
        <f>SUM(G224:G225)</f>
        <v>700</v>
      </c>
      <c r="H223" s="133">
        <f t="shared" si="32"/>
        <v>6353401</v>
      </c>
    </row>
    <row r="224" spans="1:8" s="25" customFormat="1" ht="12" customHeight="1" x14ac:dyDescent="0.25">
      <c r="A224" s="123"/>
      <c r="B224" s="126"/>
      <c r="C224" s="153">
        <v>4220</v>
      </c>
      <c r="D224" s="154" t="s">
        <v>118</v>
      </c>
      <c r="E224" s="13">
        <v>1841900</v>
      </c>
      <c r="F224" s="139"/>
      <c r="G224" s="139">
        <v>700</v>
      </c>
      <c r="H224" s="139">
        <f t="shared" si="32"/>
        <v>1841200</v>
      </c>
    </row>
    <row r="225" spans="1:8" s="25" customFormat="1" ht="12" customHeight="1" x14ac:dyDescent="0.25">
      <c r="A225" s="123"/>
      <c r="B225" s="126"/>
      <c r="C225" s="153">
        <v>4610</v>
      </c>
      <c r="D225" s="189" t="s">
        <v>32</v>
      </c>
      <c r="E225" s="13">
        <v>0</v>
      </c>
      <c r="F225" s="139">
        <v>700</v>
      </c>
      <c r="G225" s="139"/>
      <c r="H225" s="139">
        <f t="shared" si="32"/>
        <v>700</v>
      </c>
    </row>
    <row r="226" spans="1:8" s="25" customFormat="1" ht="12" customHeight="1" thickBot="1" x14ac:dyDescent="0.3">
      <c r="A226" s="122">
        <v>854</v>
      </c>
      <c r="B226" s="140"/>
      <c r="C226" s="123"/>
      <c r="D226" s="124" t="s">
        <v>133</v>
      </c>
      <c r="E226" s="125">
        <v>1618007.5799999998</v>
      </c>
      <c r="F226" s="125">
        <f>SUM(F228)</f>
        <v>37000</v>
      </c>
      <c r="G226" s="125">
        <f>SUM(G228)</f>
        <v>45050</v>
      </c>
      <c r="H226" s="125">
        <f>SUM(E226+F226-G226)</f>
        <v>1609957.5799999998</v>
      </c>
    </row>
    <row r="227" spans="1:8" s="25" customFormat="1" ht="12" customHeight="1" thickTop="1" x14ac:dyDescent="0.25">
      <c r="A227" s="140"/>
      <c r="B227" s="149">
        <v>85412</v>
      </c>
      <c r="C227" s="126"/>
      <c r="D227" s="156" t="s">
        <v>134</v>
      </c>
      <c r="E227" s="190"/>
      <c r="F227" s="190"/>
      <c r="G227" s="190"/>
      <c r="H227" s="190"/>
    </row>
    <row r="228" spans="1:8" s="25" customFormat="1" ht="12" customHeight="1" x14ac:dyDescent="0.25">
      <c r="A228" s="140"/>
      <c r="B228" s="130"/>
      <c r="C228" s="126"/>
      <c r="D228" s="127" t="s">
        <v>135</v>
      </c>
      <c r="E228" s="129">
        <v>87340</v>
      </c>
      <c r="F228" s="129">
        <f>SUM(F229,F233)</f>
        <v>37000</v>
      </c>
      <c r="G228" s="129">
        <f>SUM(G229,G233)</f>
        <v>45050</v>
      </c>
      <c r="H228" s="129">
        <f>SUM(E228+F228-G228)</f>
        <v>79290</v>
      </c>
    </row>
    <row r="229" spans="1:8" s="25" customFormat="1" ht="12" customHeight="1" x14ac:dyDescent="0.25">
      <c r="A229" s="140"/>
      <c r="B229" s="130"/>
      <c r="C229" s="117"/>
      <c r="D229" s="160" t="s">
        <v>14</v>
      </c>
      <c r="E229" s="133">
        <v>52590</v>
      </c>
      <c r="F229" s="133">
        <f>SUM(F230:F232)</f>
        <v>0</v>
      </c>
      <c r="G229" s="133">
        <f>SUM(G230:G232)</f>
        <v>45050</v>
      </c>
      <c r="H229" s="133">
        <f>SUM(E229+F229-G229)</f>
        <v>7540</v>
      </c>
    </row>
    <row r="230" spans="1:8" s="25" customFormat="1" ht="12" customHeight="1" x14ac:dyDescent="0.25">
      <c r="A230" s="140"/>
      <c r="B230" s="130"/>
      <c r="C230" s="149">
        <v>4210</v>
      </c>
      <c r="D230" s="156" t="s">
        <v>94</v>
      </c>
      <c r="E230" s="138">
        <v>5000</v>
      </c>
      <c r="F230" s="138"/>
      <c r="G230" s="138">
        <v>5000</v>
      </c>
      <c r="H230" s="139">
        <f>SUM(E230+F230-G230)</f>
        <v>0</v>
      </c>
    </row>
    <row r="231" spans="1:8" s="25" customFormat="1" ht="12" customHeight="1" x14ac:dyDescent="0.25">
      <c r="A231" s="140"/>
      <c r="B231" s="130"/>
      <c r="C231" s="149">
        <v>4220</v>
      </c>
      <c r="D231" s="156" t="s">
        <v>118</v>
      </c>
      <c r="E231" s="138">
        <v>20000</v>
      </c>
      <c r="F231" s="138"/>
      <c r="G231" s="138">
        <f>10000+3050</f>
        <v>13050</v>
      </c>
      <c r="H231" s="139">
        <f t="shared" ref="H231:H232" si="33">SUM(E231+F231-G231)</f>
        <v>6950</v>
      </c>
    </row>
    <row r="232" spans="1:8" s="25" customFormat="1" ht="12" customHeight="1" x14ac:dyDescent="0.25">
      <c r="A232" s="140"/>
      <c r="B232" s="130"/>
      <c r="C232" s="126">
        <v>4300</v>
      </c>
      <c r="D232" s="156" t="s">
        <v>16</v>
      </c>
      <c r="E232" s="138">
        <v>27590</v>
      </c>
      <c r="F232" s="138"/>
      <c r="G232" s="138">
        <v>27000</v>
      </c>
      <c r="H232" s="139">
        <f t="shared" si="33"/>
        <v>590</v>
      </c>
    </row>
    <row r="233" spans="1:8" s="25" customFormat="1" ht="12" customHeight="1" x14ac:dyDescent="0.25">
      <c r="A233" s="140"/>
      <c r="B233" s="126"/>
      <c r="C233" s="117"/>
      <c r="D233" s="160" t="s">
        <v>92</v>
      </c>
      <c r="E233" s="133">
        <v>34750</v>
      </c>
      <c r="F233" s="133">
        <f>SUM(F234:F240)</f>
        <v>37000</v>
      </c>
      <c r="G233" s="133">
        <f>SUM(G234:G240)</f>
        <v>0</v>
      </c>
      <c r="H233" s="133">
        <f>SUM(E233+F233-G233)</f>
        <v>71750</v>
      </c>
    </row>
    <row r="234" spans="1:8" s="25" customFormat="1" ht="12" customHeight="1" x14ac:dyDescent="0.25">
      <c r="A234" s="140"/>
      <c r="B234" s="126"/>
      <c r="C234" s="149">
        <v>4110</v>
      </c>
      <c r="D234" s="156" t="s">
        <v>74</v>
      </c>
      <c r="E234" s="138">
        <v>2299.1</v>
      </c>
      <c r="F234" s="138">
        <v>2295.0700000000002</v>
      </c>
      <c r="G234" s="138"/>
      <c r="H234" s="139">
        <f>SUM(E234+F234-G234)</f>
        <v>4594.17</v>
      </c>
    </row>
    <row r="235" spans="1:8" s="25" customFormat="1" ht="12" customHeight="1" x14ac:dyDescent="0.25">
      <c r="A235" s="140"/>
      <c r="B235" s="126"/>
      <c r="C235" s="149">
        <v>4120</v>
      </c>
      <c r="D235" s="156" t="s">
        <v>20</v>
      </c>
      <c r="E235" s="138">
        <v>224.9</v>
      </c>
      <c r="F235" s="138">
        <v>248.45</v>
      </c>
      <c r="G235" s="138"/>
      <c r="H235" s="139">
        <f t="shared" ref="H235:H256" si="34">SUM(E235+F235-G235)</f>
        <v>473.35</v>
      </c>
    </row>
    <row r="236" spans="1:8" s="25" customFormat="1" ht="12" customHeight="1" x14ac:dyDescent="0.25">
      <c r="A236" s="140"/>
      <c r="B236" s="126"/>
      <c r="C236" s="117" t="s">
        <v>136</v>
      </c>
      <c r="D236" s="173" t="s">
        <v>19</v>
      </c>
      <c r="E236" s="138">
        <v>15662</v>
      </c>
      <c r="F236" s="138">
        <v>15642.48</v>
      </c>
      <c r="G236" s="138"/>
      <c r="H236" s="139">
        <f t="shared" si="34"/>
        <v>31304.48</v>
      </c>
    </row>
    <row r="237" spans="1:8" s="25" customFormat="1" ht="12" customHeight="1" x14ac:dyDescent="0.25">
      <c r="A237" s="140"/>
      <c r="B237" s="126"/>
      <c r="C237" s="149">
        <v>4210</v>
      </c>
      <c r="D237" s="156" t="s">
        <v>94</v>
      </c>
      <c r="E237" s="138">
        <v>2300</v>
      </c>
      <c r="F237" s="138">
        <v>3100</v>
      </c>
      <c r="G237" s="138"/>
      <c r="H237" s="139">
        <f t="shared" si="34"/>
        <v>5400</v>
      </c>
    </row>
    <row r="238" spans="1:8" s="25" customFormat="1" ht="12" customHeight="1" x14ac:dyDescent="0.25">
      <c r="A238" s="140"/>
      <c r="B238" s="126"/>
      <c r="C238" s="149">
        <v>4220</v>
      </c>
      <c r="D238" s="156" t="s">
        <v>118</v>
      </c>
      <c r="E238" s="138">
        <v>6000</v>
      </c>
      <c r="F238" s="138">
        <v>6000</v>
      </c>
      <c r="G238" s="138"/>
      <c r="H238" s="139">
        <f t="shared" si="34"/>
        <v>12000</v>
      </c>
    </row>
    <row r="239" spans="1:8" s="25" customFormat="1" ht="12" customHeight="1" x14ac:dyDescent="0.25">
      <c r="A239" s="140"/>
      <c r="B239" s="126"/>
      <c r="C239" s="126">
        <v>4300</v>
      </c>
      <c r="D239" s="156" t="s">
        <v>16</v>
      </c>
      <c r="E239" s="138">
        <v>8200</v>
      </c>
      <c r="F239" s="138">
        <v>9650</v>
      </c>
      <c r="G239" s="138"/>
      <c r="H239" s="139">
        <f t="shared" si="34"/>
        <v>17850</v>
      </c>
    </row>
    <row r="240" spans="1:8" s="25" customFormat="1" ht="12" customHeight="1" x14ac:dyDescent="0.25">
      <c r="A240" s="140"/>
      <c r="B240" s="126"/>
      <c r="C240" s="149">
        <v>4710</v>
      </c>
      <c r="D240" s="156" t="s">
        <v>85</v>
      </c>
      <c r="E240" s="138">
        <v>64</v>
      </c>
      <c r="F240" s="138">
        <v>64</v>
      </c>
      <c r="G240" s="138"/>
      <c r="H240" s="139">
        <f t="shared" si="34"/>
        <v>128</v>
      </c>
    </row>
    <row r="241" spans="1:8" s="25" customFormat="1" ht="12" customHeight="1" thickBot="1" x14ac:dyDescent="0.3">
      <c r="A241" s="122">
        <v>900</v>
      </c>
      <c r="B241" s="140"/>
      <c r="C241" s="123"/>
      <c r="D241" s="124" t="s">
        <v>40</v>
      </c>
      <c r="E241" s="121">
        <v>96871424.620000005</v>
      </c>
      <c r="F241" s="125">
        <f>SUM(F242,)</f>
        <v>3516</v>
      </c>
      <c r="G241" s="125">
        <f>SUM(G242,)</f>
        <v>3516</v>
      </c>
      <c r="H241" s="121">
        <f t="shared" si="34"/>
        <v>96871424.620000005</v>
      </c>
    </row>
    <row r="242" spans="1:8" s="25" customFormat="1" ht="12" customHeight="1" thickTop="1" x14ac:dyDescent="0.25">
      <c r="A242" s="122"/>
      <c r="B242" s="149">
        <v>90013</v>
      </c>
      <c r="C242" s="123"/>
      <c r="D242" s="127" t="s">
        <v>137</v>
      </c>
      <c r="E242" s="129">
        <v>2660892</v>
      </c>
      <c r="F242" s="128">
        <f>SUM(F243)</f>
        <v>3516</v>
      </c>
      <c r="G242" s="128">
        <f>SUM(G243)</f>
        <v>3516</v>
      </c>
      <c r="H242" s="129">
        <f t="shared" si="34"/>
        <v>2660892</v>
      </c>
    </row>
    <row r="243" spans="1:8" s="25" customFormat="1" ht="12" customHeight="1" x14ac:dyDescent="0.25">
      <c r="A243" s="122"/>
      <c r="B243" s="149"/>
      <c r="C243" s="149"/>
      <c r="D243" s="191" t="s">
        <v>138</v>
      </c>
      <c r="E243" s="133">
        <v>2660892</v>
      </c>
      <c r="F243" s="192">
        <f>SUM(F244:F246)</f>
        <v>3516</v>
      </c>
      <c r="G243" s="192">
        <f>SUM(G244:G246)</f>
        <v>3516</v>
      </c>
      <c r="H243" s="133">
        <f>SUM(E243+F243-G243)</f>
        <v>2660892</v>
      </c>
    </row>
    <row r="244" spans="1:8" s="25" customFormat="1" ht="12" customHeight="1" x14ac:dyDescent="0.25">
      <c r="A244" s="122"/>
      <c r="B244" s="149"/>
      <c r="C244" s="149">
        <v>4010</v>
      </c>
      <c r="D244" s="126" t="s">
        <v>99</v>
      </c>
      <c r="E244" s="138">
        <v>1362482</v>
      </c>
      <c r="F244" s="139">
        <v>3000</v>
      </c>
      <c r="G244" s="139"/>
      <c r="H244" s="139">
        <f t="shared" ref="H244:H246" si="35">SUM(E244+F244-G244)</f>
        <v>1365482</v>
      </c>
    </row>
    <row r="245" spans="1:8" s="25" customFormat="1" ht="12" customHeight="1" x14ac:dyDescent="0.25">
      <c r="A245" s="122"/>
      <c r="B245" s="149"/>
      <c r="C245" s="149">
        <v>4110</v>
      </c>
      <c r="D245" s="126" t="s">
        <v>31</v>
      </c>
      <c r="E245" s="138">
        <v>264787</v>
      </c>
      <c r="F245" s="139">
        <v>516</v>
      </c>
      <c r="G245" s="139"/>
      <c r="H245" s="139">
        <f t="shared" si="35"/>
        <v>265303</v>
      </c>
    </row>
    <row r="246" spans="1:8" s="25" customFormat="1" ht="11.25" customHeight="1" x14ac:dyDescent="0.25">
      <c r="A246" s="122"/>
      <c r="B246" s="149"/>
      <c r="C246" s="146">
        <v>4700</v>
      </c>
      <c r="D246" s="143" t="s">
        <v>91</v>
      </c>
      <c r="E246" s="138">
        <v>6849</v>
      </c>
      <c r="F246" s="139"/>
      <c r="G246" s="139">
        <v>3516</v>
      </c>
      <c r="H246" s="139">
        <f t="shared" si="35"/>
        <v>3333</v>
      </c>
    </row>
    <row r="247" spans="1:8" s="25" customFormat="1" ht="12" customHeight="1" thickBot="1" x14ac:dyDescent="0.3">
      <c r="A247" s="122">
        <v>926</v>
      </c>
      <c r="B247" s="140"/>
      <c r="C247" s="123"/>
      <c r="D247" s="124" t="s">
        <v>139</v>
      </c>
      <c r="E247" s="121">
        <v>38671503.5</v>
      </c>
      <c r="F247" s="121">
        <f>SUM(F248,F253)</f>
        <v>36660</v>
      </c>
      <c r="G247" s="121">
        <f>SUM(G248,G253)</f>
        <v>36660</v>
      </c>
      <c r="H247" s="121">
        <f t="shared" si="34"/>
        <v>38671503.5</v>
      </c>
    </row>
    <row r="248" spans="1:8" s="25" customFormat="1" ht="12" customHeight="1" thickTop="1" x14ac:dyDescent="0.25">
      <c r="A248" s="122"/>
      <c r="B248" s="10">
        <v>92601</v>
      </c>
      <c r="C248" s="2"/>
      <c r="D248" s="9" t="s">
        <v>140</v>
      </c>
      <c r="E248" s="129">
        <v>11844734</v>
      </c>
      <c r="F248" s="129">
        <f>SUM(F249)</f>
        <v>7660</v>
      </c>
      <c r="G248" s="129">
        <f>SUM(G249)</f>
        <v>7660</v>
      </c>
      <c r="H248" s="129">
        <f t="shared" si="34"/>
        <v>11844734</v>
      </c>
    </row>
    <row r="249" spans="1:8" s="25" customFormat="1" ht="12" customHeight="1" x14ac:dyDescent="0.25">
      <c r="A249" s="122"/>
      <c r="B249" s="122"/>
      <c r="C249" s="123"/>
      <c r="D249" s="160" t="s">
        <v>92</v>
      </c>
      <c r="E249" s="133">
        <v>134184</v>
      </c>
      <c r="F249" s="133">
        <f>SUM(F250:F252)</f>
        <v>7660</v>
      </c>
      <c r="G249" s="133">
        <f>SUM(G250:G252)</f>
        <v>7660</v>
      </c>
      <c r="H249" s="133">
        <f t="shared" si="34"/>
        <v>134184</v>
      </c>
    </row>
    <row r="250" spans="1:8" s="25" customFormat="1" ht="12" customHeight="1" x14ac:dyDescent="0.25">
      <c r="A250" s="122"/>
      <c r="B250" s="126"/>
      <c r="C250" s="117" t="s">
        <v>93</v>
      </c>
      <c r="D250" s="156" t="s">
        <v>94</v>
      </c>
      <c r="E250" s="14">
        <v>31132</v>
      </c>
      <c r="F250" s="138">
        <v>3000</v>
      </c>
      <c r="G250" s="138"/>
      <c r="H250" s="138">
        <f t="shared" si="34"/>
        <v>34132</v>
      </c>
    </row>
    <row r="251" spans="1:8" s="25" customFormat="1" ht="12" customHeight="1" x14ac:dyDescent="0.25">
      <c r="A251" s="122"/>
      <c r="B251" s="126"/>
      <c r="C251" s="153">
        <v>4260</v>
      </c>
      <c r="D251" s="154" t="s">
        <v>100</v>
      </c>
      <c r="E251" s="14">
        <v>70243</v>
      </c>
      <c r="F251" s="138"/>
      <c r="G251" s="138">
        <v>7660</v>
      </c>
      <c r="H251" s="138">
        <f t="shared" si="34"/>
        <v>62583</v>
      </c>
    </row>
    <row r="252" spans="1:8" s="25" customFormat="1" ht="12" customHeight="1" x14ac:dyDescent="0.25">
      <c r="A252" s="122"/>
      <c r="B252" s="126"/>
      <c r="C252" s="153">
        <v>4300</v>
      </c>
      <c r="D252" s="154" t="s">
        <v>16</v>
      </c>
      <c r="E252" s="14">
        <v>15114</v>
      </c>
      <c r="F252" s="138">
        <v>4660</v>
      </c>
      <c r="G252" s="138"/>
      <c r="H252" s="138">
        <f t="shared" si="34"/>
        <v>19774</v>
      </c>
    </row>
    <row r="253" spans="1:8" s="25" customFormat="1" ht="12" customHeight="1" x14ac:dyDescent="0.25">
      <c r="A253" s="122"/>
      <c r="B253" s="149">
        <v>92604</v>
      </c>
      <c r="C253" s="157"/>
      <c r="D253" s="127" t="s">
        <v>141</v>
      </c>
      <c r="E253" s="129">
        <v>20895488.200000003</v>
      </c>
      <c r="F253" s="129">
        <f>SUM(F254)</f>
        <v>29000</v>
      </c>
      <c r="G253" s="129">
        <f>SUM(G254)</f>
        <v>29000</v>
      </c>
      <c r="H253" s="129">
        <f t="shared" si="34"/>
        <v>20895488.200000003</v>
      </c>
    </row>
    <row r="254" spans="1:8" s="25" customFormat="1" ht="12" customHeight="1" x14ac:dyDescent="0.25">
      <c r="A254" s="122"/>
      <c r="B254" s="122"/>
      <c r="C254" s="123"/>
      <c r="D254" s="159" t="s">
        <v>142</v>
      </c>
      <c r="E254" s="133">
        <v>20895488.200000003</v>
      </c>
      <c r="F254" s="133">
        <f>SUM(F255:F256)</f>
        <v>29000</v>
      </c>
      <c r="G254" s="133">
        <f>SUM(G255:G256)</f>
        <v>29000</v>
      </c>
      <c r="H254" s="133">
        <f t="shared" si="34"/>
        <v>20895488.200000003</v>
      </c>
    </row>
    <row r="255" spans="1:8" s="25" customFormat="1" ht="12" customHeight="1" x14ac:dyDescent="0.25">
      <c r="A255" s="122"/>
      <c r="B255" s="126"/>
      <c r="C255" s="153">
        <v>4040</v>
      </c>
      <c r="D255" s="154" t="s">
        <v>84</v>
      </c>
      <c r="E255" s="14">
        <v>612743</v>
      </c>
      <c r="F255" s="138"/>
      <c r="G255" s="138">
        <v>29000</v>
      </c>
      <c r="H255" s="138">
        <f t="shared" si="34"/>
        <v>583743</v>
      </c>
    </row>
    <row r="256" spans="1:8" s="25" customFormat="1" ht="11.25" customHeight="1" x14ac:dyDescent="0.25">
      <c r="A256" s="122"/>
      <c r="B256" s="161"/>
      <c r="C256" s="153">
        <v>4140</v>
      </c>
      <c r="D256" s="143" t="s">
        <v>80</v>
      </c>
      <c r="E256" s="14">
        <v>69000</v>
      </c>
      <c r="F256" s="138">
        <v>29000</v>
      </c>
      <c r="G256" s="138"/>
      <c r="H256" s="138">
        <f t="shared" si="34"/>
        <v>98000</v>
      </c>
    </row>
    <row r="257" spans="1:8" s="25" customFormat="1" ht="19.5" customHeight="1" thickBot="1" x14ac:dyDescent="0.3">
      <c r="A257" s="122"/>
      <c r="B257" s="126"/>
      <c r="C257" s="149"/>
      <c r="D257" s="120" t="s">
        <v>41</v>
      </c>
      <c r="E257" s="121">
        <v>383904739.83000004</v>
      </c>
      <c r="F257" s="121">
        <f>SUM(F258,F268,F274,F391)</f>
        <v>2340990.9</v>
      </c>
      <c r="G257" s="121">
        <f>SUM(G258,G268,G274,G391)</f>
        <v>2361215.9000000004</v>
      </c>
      <c r="H257" s="121">
        <f>SUM(E257+F257-G257)</f>
        <v>383884514.83000004</v>
      </c>
    </row>
    <row r="258" spans="1:8" s="25" customFormat="1" ht="18" customHeight="1" thickTop="1" thickBot="1" x14ac:dyDescent="0.3">
      <c r="A258" s="122">
        <v>600</v>
      </c>
      <c r="B258" s="140"/>
      <c r="C258" s="123"/>
      <c r="D258" s="124" t="s">
        <v>65</v>
      </c>
      <c r="E258" s="121">
        <v>89407972.019999996</v>
      </c>
      <c r="F258" s="125">
        <f>SUM(F259)</f>
        <v>135917</v>
      </c>
      <c r="G258" s="125">
        <f>SUM(G259)</f>
        <v>143917</v>
      </c>
      <c r="H258" s="121">
        <f>SUM(E258+F258-G258)</f>
        <v>89399972.019999996</v>
      </c>
    </row>
    <row r="259" spans="1:8" s="25" customFormat="1" ht="12" customHeight="1" thickTop="1" x14ac:dyDescent="0.25">
      <c r="A259" s="122"/>
      <c r="B259" s="126">
        <v>60015</v>
      </c>
      <c r="C259" s="123"/>
      <c r="D259" s="172" t="s">
        <v>143</v>
      </c>
      <c r="E259" s="193">
        <v>89406672.019999996</v>
      </c>
      <c r="F259" s="193">
        <f>SUM(F260,F266,)</f>
        <v>135917</v>
      </c>
      <c r="G259" s="193">
        <f>SUM(G260,G266,)</f>
        <v>143917</v>
      </c>
      <c r="H259" s="193">
        <f>SUM(E259+F259-G259)</f>
        <v>89398672.019999996</v>
      </c>
    </row>
    <row r="260" spans="1:8" s="25" customFormat="1" ht="12" customHeight="1" x14ac:dyDescent="0.25">
      <c r="A260" s="122"/>
      <c r="B260" s="126"/>
      <c r="C260" s="117"/>
      <c r="D260" s="15" t="s">
        <v>67</v>
      </c>
      <c r="E260" s="194">
        <v>73503879.269999996</v>
      </c>
      <c r="F260" s="194">
        <f>SUM(F261:F265)</f>
        <v>104917</v>
      </c>
      <c r="G260" s="194">
        <f>SUM(G261:G265)</f>
        <v>143917</v>
      </c>
      <c r="H260" s="194">
        <f>SUM(E260+F260-G260)</f>
        <v>73464879.269999996</v>
      </c>
    </row>
    <row r="261" spans="1:8" s="25" customFormat="1" ht="12" customHeight="1" x14ac:dyDescent="0.25">
      <c r="A261" s="4"/>
      <c r="B261" s="5"/>
      <c r="C261" s="5">
        <v>4270</v>
      </c>
      <c r="D261" s="6" t="s">
        <v>28</v>
      </c>
      <c r="E261" s="195">
        <v>1776659</v>
      </c>
      <c r="F261" s="195"/>
      <c r="G261" s="195">
        <f>8000+135917</f>
        <v>143917</v>
      </c>
      <c r="H261" s="196">
        <f t="shared" ref="H261:H267" si="36">SUM(E261+F261-G261)</f>
        <v>1632742</v>
      </c>
    </row>
    <row r="262" spans="1:8" s="25" customFormat="1" ht="12" customHeight="1" x14ac:dyDescent="0.25">
      <c r="A262" s="4"/>
      <c r="B262" s="5"/>
      <c r="C262" s="153">
        <v>4300</v>
      </c>
      <c r="D262" s="154" t="s">
        <v>16</v>
      </c>
      <c r="E262" s="195">
        <v>8566497</v>
      </c>
      <c r="F262" s="195">
        <v>8000</v>
      </c>
      <c r="G262" s="195"/>
      <c r="H262" s="196">
        <f t="shared" si="36"/>
        <v>8574497</v>
      </c>
    </row>
    <row r="263" spans="1:8" s="25" customFormat="1" ht="12" customHeight="1" x14ac:dyDescent="0.25">
      <c r="A263" s="4"/>
      <c r="B263" s="5"/>
      <c r="C263" s="153">
        <v>4580</v>
      </c>
      <c r="D263" s="154" t="s">
        <v>144</v>
      </c>
      <c r="E263" s="195">
        <v>450</v>
      </c>
      <c r="F263" s="195">
        <v>52953</v>
      </c>
      <c r="G263" s="195"/>
      <c r="H263" s="196">
        <f t="shared" si="36"/>
        <v>53403</v>
      </c>
    </row>
    <row r="264" spans="1:8" s="25" customFormat="1" ht="12" customHeight="1" x14ac:dyDescent="0.25">
      <c r="A264" s="4"/>
      <c r="B264" s="5"/>
      <c r="C264" s="153">
        <v>4590</v>
      </c>
      <c r="D264" s="154" t="s">
        <v>145</v>
      </c>
      <c r="E264" s="195">
        <v>0</v>
      </c>
      <c r="F264" s="195">
        <v>30088</v>
      </c>
      <c r="G264" s="195"/>
      <c r="H264" s="196">
        <f t="shared" si="36"/>
        <v>30088</v>
      </c>
    </row>
    <row r="265" spans="1:8" s="25" customFormat="1" ht="12" customHeight="1" x14ac:dyDescent="0.25">
      <c r="A265" s="7"/>
      <c r="B265" s="8"/>
      <c r="C265" s="170">
        <v>4610</v>
      </c>
      <c r="D265" s="197" t="s">
        <v>32</v>
      </c>
      <c r="E265" s="193">
        <v>0</v>
      </c>
      <c r="F265" s="193">
        <v>13876</v>
      </c>
      <c r="G265" s="193"/>
      <c r="H265" s="198">
        <f t="shared" si="36"/>
        <v>13876</v>
      </c>
    </row>
    <row r="266" spans="1:8" s="25" customFormat="1" ht="24.75" customHeight="1" x14ac:dyDescent="0.25">
      <c r="A266" s="4"/>
      <c r="B266" s="5"/>
      <c r="C266" s="117"/>
      <c r="D266" s="19" t="s">
        <v>146</v>
      </c>
      <c r="E266" s="133">
        <v>591000</v>
      </c>
      <c r="F266" s="134">
        <f>SUM(F267:F267)</f>
        <v>31000</v>
      </c>
      <c r="G266" s="134">
        <f>SUM(G267:G267)</f>
        <v>0</v>
      </c>
      <c r="H266" s="133">
        <f t="shared" si="36"/>
        <v>622000</v>
      </c>
    </row>
    <row r="267" spans="1:8" s="25" customFormat="1" ht="12" customHeight="1" x14ac:dyDescent="0.25">
      <c r="A267" s="4"/>
      <c r="B267" s="5"/>
      <c r="C267" s="153">
        <v>4399</v>
      </c>
      <c r="D267" s="143" t="s">
        <v>69</v>
      </c>
      <c r="E267" s="196">
        <v>0</v>
      </c>
      <c r="F267" s="196">
        <v>31000</v>
      </c>
      <c r="G267" s="196"/>
      <c r="H267" s="196">
        <f t="shared" si="36"/>
        <v>31000</v>
      </c>
    </row>
    <row r="268" spans="1:8" s="25" customFormat="1" ht="12" customHeight="1" thickBot="1" x14ac:dyDescent="0.3">
      <c r="A268" s="122">
        <v>750</v>
      </c>
      <c r="B268" s="140"/>
      <c r="C268" s="123"/>
      <c r="D268" s="124" t="s">
        <v>21</v>
      </c>
      <c r="E268" s="121">
        <v>12391590</v>
      </c>
      <c r="F268" s="125">
        <f>SUM(F269,)</f>
        <v>8970</v>
      </c>
      <c r="G268" s="125">
        <f>SUM(G269,)</f>
        <v>0</v>
      </c>
      <c r="H268" s="121">
        <f>SUM(E268+F268-G268)</f>
        <v>12400560</v>
      </c>
    </row>
    <row r="269" spans="1:8" s="25" customFormat="1" ht="12" customHeight="1" thickTop="1" x14ac:dyDescent="0.25">
      <c r="A269" s="4"/>
      <c r="B269" s="117" t="s">
        <v>81</v>
      </c>
      <c r="C269" s="149"/>
      <c r="D269" s="127" t="s">
        <v>82</v>
      </c>
      <c r="E269" s="129">
        <v>4641410</v>
      </c>
      <c r="F269" s="128">
        <f>SUM(F270)</f>
        <v>8970</v>
      </c>
      <c r="G269" s="128">
        <f>SUM(G270)</f>
        <v>0</v>
      </c>
      <c r="H269" s="129">
        <f>SUM(E269+F269-G269)</f>
        <v>4650380</v>
      </c>
    </row>
    <row r="270" spans="1:8" s="25" customFormat="1" ht="12" customHeight="1" x14ac:dyDescent="0.25">
      <c r="A270" s="4"/>
      <c r="B270" s="117"/>
      <c r="C270" s="117"/>
      <c r="D270" s="160" t="s">
        <v>83</v>
      </c>
      <c r="E270" s="133">
        <v>4641410</v>
      </c>
      <c r="F270" s="134">
        <f>SUM(F271:F273)</f>
        <v>8970</v>
      </c>
      <c r="G270" s="134">
        <f>SUM(G271:G273)</f>
        <v>0</v>
      </c>
      <c r="H270" s="133">
        <f>SUM(E270+F270-G270)</f>
        <v>4650380</v>
      </c>
    </row>
    <row r="271" spans="1:8" s="25" customFormat="1" ht="12" customHeight="1" x14ac:dyDescent="0.25">
      <c r="A271" s="4"/>
      <c r="B271" s="117"/>
      <c r="C271" s="153">
        <v>4270</v>
      </c>
      <c r="D271" s="154" t="s">
        <v>28</v>
      </c>
      <c r="E271" s="138">
        <v>10100</v>
      </c>
      <c r="F271" s="139">
        <v>2500</v>
      </c>
      <c r="G271" s="139"/>
      <c r="H271" s="138">
        <f t="shared" ref="H271:H273" si="37">SUM(E271+F271-G271)</f>
        <v>12600</v>
      </c>
    </row>
    <row r="272" spans="1:8" s="25" customFormat="1" ht="12" customHeight="1" x14ac:dyDescent="0.25">
      <c r="A272" s="4"/>
      <c r="B272" s="117"/>
      <c r="C272" s="153">
        <v>4480</v>
      </c>
      <c r="D272" s="154" t="s">
        <v>147</v>
      </c>
      <c r="E272" s="138">
        <v>0</v>
      </c>
      <c r="F272" s="139">
        <v>470</v>
      </c>
      <c r="G272" s="139"/>
      <c r="H272" s="138">
        <f t="shared" si="37"/>
        <v>470</v>
      </c>
    </row>
    <row r="273" spans="1:8" s="25" customFormat="1" ht="11.25" customHeight="1" x14ac:dyDescent="0.25">
      <c r="A273" s="4"/>
      <c r="B273" s="117"/>
      <c r="C273" s="146">
        <v>4700</v>
      </c>
      <c r="D273" s="143" t="s">
        <v>91</v>
      </c>
      <c r="E273" s="138">
        <v>6600</v>
      </c>
      <c r="F273" s="139">
        <v>6000</v>
      </c>
      <c r="G273" s="139"/>
      <c r="H273" s="138">
        <f t="shared" si="37"/>
        <v>12600</v>
      </c>
    </row>
    <row r="274" spans="1:8" s="25" customFormat="1" ht="12" customHeight="1" thickBot="1" x14ac:dyDescent="0.3">
      <c r="A274" s="140">
        <v>801</v>
      </c>
      <c r="B274" s="140"/>
      <c r="C274" s="123"/>
      <c r="D274" s="124" t="s">
        <v>42</v>
      </c>
      <c r="E274" s="3">
        <v>212593148.20999992</v>
      </c>
      <c r="F274" s="125">
        <f>SUM(F275,F283,F286,F291,F295,F298,F306,F313,F317,F328,F332)</f>
        <v>2148053.9</v>
      </c>
      <c r="G274" s="125">
        <f>SUM(G275,G283,G286,G291,G295,G298,G306,G313,G317,G328,G332)</f>
        <v>2177298.9000000004</v>
      </c>
      <c r="H274" s="121">
        <f>SUM(E274+F274-G274)</f>
        <v>212563903.20999992</v>
      </c>
    </row>
    <row r="275" spans="1:8" s="25" customFormat="1" ht="12" customHeight="1" thickTop="1" x14ac:dyDescent="0.25">
      <c r="A275" s="140"/>
      <c r="B275" s="126">
        <v>80102</v>
      </c>
      <c r="C275" s="117"/>
      <c r="D275" s="127" t="s">
        <v>148</v>
      </c>
      <c r="E275" s="129">
        <v>17540732.059999999</v>
      </c>
      <c r="F275" s="128">
        <f>SUM(F276,)</f>
        <v>49000</v>
      </c>
      <c r="G275" s="128">
        <f>SUM(G276,)</f>
        <v>80000</v>
      </c>
      <c r="H275" s="129">
        <f>SUM(E275+F275-G275)</f>
        <v>17509732.059999999</v>
      </c>
    </row>
    <row r="276" spans="1:8" s="25" customFormat="1" ht="12" customHeight="1" x14ac:dyDescent="0.25">
      <c r="A276" s="140"/>
      <c r="B276" s="126"/>
      <c r="C276" s="117"/>
      <c r="D276" s="160" t="s">
        <v>92</v>
      </c>
      <c r="E276" s="133">
        <v>17540732.059999999</v>
      </c>
      <c r="F276" s="133">
        <f>SUM(F277:F282)</f>
        <v>49000</v>
      </c>
      <c r="G276" s="133">
        <f>SUM(G277:G282)</f>
        <v>80000</v>
      </c>
      <c r="H276" s="133">
        <f>SUM(E276+F276-G276)</f>
        <v>17509732.059999999</v>
      </c>
    </row>
    <row r="277" spans="1:8" s="25" customFormat="1" ht="12" customHeight="1" x14ac:dyDescent="0.25">
      <c r="A277" s="140"/>
      <c r="B277" s="126"/>
      <c r="C277" s="153">
        <v>4040</v>
      </c>
      <c r="D277" s="154" t="s">
        <v>84</v>
      </c>
      <c r="E277" s="138">
        <v>230460</v>
      </c>
      <c r="F277" s="138"/>
      <c r="G277" s="138">
        <v>14000</v>
      </c>
      <c r="H277" s="138">
        <f t="shared" ref="H277:H286" si="38">SUM(E277+F277-G277)</f>
        <v>216460</v>
      </c>
    </row>
    <row r="278" spans="1:8" s="25" customFormat="1" ht="12" customHeight="1" x14ac:dyDescent="0.25">
      <c r="A278" s="140"/>
      <c r="B278" s="126"/>
      <c r="C278" s="175" t="s">
        <v>93</v>
      </c>
      <c r="D278" s="154" t="s">
        <v>94</v>
      </c>
      <c r="E278" s="138">
        <v>41379.800000000003</v>
      </c>
      <c r="F278" s="138">
        <v>25000</v>
      </c>
      <c r="G278" s="138"/>
      <c r="H278" s="138">
        <f t="shared" si="38"/>
        <v>66379.8</v>
      </c>
    </row>
    <row r="279" spans="1:8" s="25" customFormat="1" ht="12" customHeight="1" x14ac:dyDescent="0.25">
      <c r="A279" s="140"/>
      <c r="B279" s="126"/>
      <c r="C279" s="153">
        <v>4260</v>
      </c>
      <c r="D279" s="154" t="s">
        <v>100</v>
      </c>
      <c r="E279" s="138">
        <v>217405</v>
      </c>
      <c r="F279" s="138">
        <v>14000</v>
      </c>
      <c r="G279" s="138"/>
      <c r="H279" s="138">
        <f t="shared" si="38"/>
        <v>231405</v>
      </c>
    </row>
    <row r="280" spans="1:8" s="25" customFormat="1" ht="12" customHeight="1" x14ac:dyDescent="0.25">
      <c r="A280" s="140"/>
      <c r="B280" s="126"/>
      <c r="C280" s="153">
        <v>4270</v>
      </c>
      <c r="D280" s="154" t="s">
        <v>28</v>
      </c>
      <c r="E280" s="138">
        <v>20500</v>
      </c>
      <c r="F280" s="138">
        <v>10000</v>
      </c>
      <c r="G280" s="138"/>
      <c r="H280" s="138">
        <f t="shared" si="38"/>
        <v>30500</v>
      </c>
    </row>
    <row r="281" spans="1:8" s="25" customFormat="1" ht="12" customHeight="1" x14ac:dyDescent="0.25">
      <c r="A281" s="140"/>
      <c r="B281" s="126"/>
      <c r="C281" s="153">
        <v>4390</v>
      </c>
      <c r="D281" s="143" t="s">
        <v>69</v>
      </c>
      <c r="E281" s="138">
        <v>15000</v>
      </c>
      <c r="F281" s="138"/>
      <c r="G281" s="138">
        <v>10000</v>
      </c>
      <c r="H281" s="138">
        <f t="shared" si="38"/>
        <v>5000</v>
      </c>
    </row>
    <row r="282" spans="1:8" s="25" customFormat="1" ht="12" customHeight="1" x14ac:dyDescent="0.25">
      <c r="A282" s="140"/>
      <c r="B282" s="126"/>
      <c r="C282" s="153">
        <v>4800</v>
      </c>
      <c r="D282" s="176" t="s">
        <v>97</v>
      </c>
      <c r="E282" s="138">
        <v>938750</v>
      </c>
      <c r="F282" s="138"/>
      <c r="G282" s="138">
        <f>20000+36000</f>
        <v>56000</v>
      </c>
      <c r="H282" s="138">
        <f t="shared" si="38"/>
        <v>882750</v>
      </c>
    </row>
    <row r="283" spans="1:8" s="25" customFormat="1" ht="12" customHeight="1" x14ac:dyDescent="0.25">
      <c r="A283" s="140"/>
      <c r="B283" s="126">
        <v>80107</v>
      </c>
      <c r="C283" s="117"/>
      <c r="D283" s="158" t="s">
        <v>104</v>
      </c>
      <c r="E283" s="129">
        <v>1763254</v>
      </c>
      <c r="F283" s="128">
        <f>SUM(F284,)</f>
        <v>0</v>
      </c>
      <c r="G283" s="128">
        <f>SUM(G284,)</f>
        <v>13800</v>
      </c>
      <c r="H283" s="129">
        <f t="shared" si="38"/>
        <v>1749454</v>
      </c>
    </row>
    <row r="284" spans="1:8" s="25" customFormat="1" ht="12" customHeight="1" x14ac:dyDescent="0.25">
      <c r="A284" s="140"/>
      <c r="B284" s="140"/>
      <c r="C284" s="117"/>
      <c r="D284" s="160" t="s">
        <v>92</v>
      </c>
      <c r="E284" s="133">
        <v>1763254</v>
      </c>
      <c r="F284" s="133">
        <f>SUM(F285:F285)</f>
        <v>0</v>
      </c>
      <c r="G284" s="133">
        <f>SUM(G285:G285)</f>
        <v>13800</v>
      </c>
      <c r="H284" s="133">
        <f>SUM(E284+F284-G284)</f>
        <v>1749454</v>
      </c>
    </row>
    <row r="285" spans="1:8" s="25" customFormat="1" ht="12" customHeight="1" x14ac:dyDescent="0.25">
      <c r="A285" s="140"/>
      <c r="B285" s="140"/>
      <c r="C285" s="153">
        <v>4800</v>
      </c>
      <c r="D285" s="176" t="s">
        <v>97</v>
      </c>
      <c r="E285" s="138">
        <v>95750</v>
      </c>
      <c r="F285" s="138"/>
      <c r="G285" s="138">
        <v>13800</v>
      </c>
      <c r="H285" s="138">
        <f t="shared" ref="H285" si="39">SUM(E285+F285-G285)</f>
        <v>81950</v>
      </c>
    </row>
    <row r="286" spans="1:8" s="25" customFormat="1" ht="12" customHeight="1" x14ac:dyDescent="0.25">
      <c r="A286" s="140"/>
      <c r="B286" s="126">
        <v>80113</v>
      </c>
      <c r="C286" s="117"/>
      <c r="D286" s="9" t="s">
        <v>149</v>
      </c>
      <c r="E286" s="129">
        <v>815230</v>
      </c>
      <c r="F286" s="128">
        <f>SUM(F287,)</f>
        <v>32500</v>
      </c>
      <c r="G286" s="128">
        <f>SUM(G287,)</f>
        <v>0</v>
      </c>
      <c r="H286" s="129">
        <f t="shared" si="38"/>
        <v>847730</v>
      </c>
    </row>
    <row r="287" spans="1:8" s="25" customFormat="1" ht="12" customHeight="1" x14ac:dyDescent="0.25">
      <c r="A287" s="140"/>
      <c r="B287" s="140"/>
      <c r="C287" s="117"/>
      <c r="D287" s="160" t="s">
        <v>92</v>
      </c>
      <c r="E287" s="133">
        <v>815230</v>
      </c>
      <c r="F287" s="133">
        <f>SUM(F288:F290)</f>
        <v>32500</v>
      </c>
      <c r="G287" s="133">
        <f>SUM(G288:G290)</f>
        <v>0</v>
      </c>
      <c r="H287" s="133">
        <f>SUM(E287+F287-G287)</f>
        <v>847730</v>
      </c>
    </row>
    <row r="288" spans="1:8" s="25" customFormat="1" ht="12" customHeight="1" x14ac:dyDescent="0.25">
      <c r="A288" s="140"/>
      <c r="B288" s="140"/>
      <c r="C288" s="175" t="s">
        <v>93</v>
      </c>
      <c r="D288" s="154" t="s">
        <v>94</v>
      </c>
      <c r="E288" s="138">
        <v>45000</v>
      </c>
      <c r="F288" s="138">
        <v>7700</v>
      </c>
      <c r="G288" s="138"/>
      <c r="H288" s="138">
        <f t="shared" ref="H288:H290" si="40">SUM(E288+F288-G288)</f>
        <v>52700</v>
      </c>
    </row>
    <row r="289" spans="1:8" s="25" customFormat="1" ht="12" customHeight="1" x14ac:dyDescent="0.25">
      <c r="A289" s="140"/>
      <c r="B289" s="140"/>
      <c r="C289" s="153">
        <v>4270</v>
      </c>
      <c r="D289" s="154" t="s">
        <v>28</v>
      </c>
      <c r="E289" s="138">
        <v>29690</v>
      </c>
      <c r="F289" s="138">
        <v>13800</v>
      </c>
      <c r="G289" s="138"/>
      <c r="H289" s="138">
        <f t="shared" si="40"/>
        <v>43490</v>
      </c>
    </row>
    <row r="290" spans="1:8" s="25" customFormat="1" ht="12" customHeight="1" x14ac:dyDescent="0.25">
      <c r="A290" s="140"/>
      <c r="B290" s="140"/>
      <c r="C290" s="153">
        <v>4300</v>
      </c>
      <c r="D290" s="154" t="s">
        <v>16</v>
      </c>
      <c r="E290" s="138">
        <v>27317</v>
      </c>
      <c r="F290" s="138">
        <v>11000</v>
      </c>
      <c r="G290" s="138"/>
      <c r="H290" s="138">
        <f t="shared" si="40"/>
        <v>38317</v>
      </c>
    </row>
    <row r="291" spans="1:8" s="25" customFormat="1" ht="12.75" x14ac:dyDescent="0.25">
      <c r="A291" s="126"/>
      <c r="B291" s="126">
        <v>80115</v>
      </c>
      <c r="C291" s="117"/>
      <c r="D291" s="127" t="s">
        <v>17</v>
      </c>
      <c r="E291" s="129">
        <v>65208272.119999997</v>
      </c>
      <c r="F291" s="128">
        <f>SUM(F292,)</f>
        <v>33750</v>
      </c>
      <c r="G291" s="128">
        <f>SUM(G292,)</f>
        <v>0</v>
      </c>
      <c r="H291" s="129">
        <f>SUM(E291+F291-G291)</f>
        <v>65242022.119999997</v>
      </c>
    </row>
    <row r="292" spans="1:8" s="25" customFormat="1" ht="12.75" x14ac:dyDescent="0.25">
      <c r="A292" s="126"/>
      <c r="B292" s="126"/>
      <c r="C292" s="117"/>
      <c r="D292" s="160" t="s">
        <v>92</v>
      </c>
      <c r="E292" s="133">
        <v>60951942.68</v>
      </c>
      <c r="F292" s="133">
        <f>SUM(F293:F294)</f>
        <v>33750</v>
      </c>
      <c r="G292" s="133">
        <f>SUM(G293:G294)</f>
        <v>0</v>
      </c>
      <c r="H292" s="133">
        <f>SUM(E292+F292-G292)</f>
        <v>60985692.68</v>
      </c>
    </row>
    <row r="293" spans="1:8" s="25" customFormat="1" ht="12.75" x14ac:dyDescent="0.25">
      <c r="A293" s="126"/>
      <c r="B293" s="126"/>
      <c r="C293" s="175" t="s">
        <v>93</v>
      </c>
      <c r="D293" s="154" t="s">
        <v>94</v>
      </c>
      <c r="E293" s="138">
        <v>300333.3</v>
      </c>
      <c r="F293" s="138">
        <v>12300</v>
      </c>
      <c r="G293" s="138"/>
      <c r="H293" s="138">
        <f t="shared" ref="H293:H294" si="41">SUM(E293+F293-G293)</f>
        <v>312633.3</v>
      </c>
    </row>
    <row r="294" spans="1:8" s="25" customFormat="1" ht="12.75" x14ac:dyDescent="0.25">
      <c r="A294" s="126"/>
      <c r="B294" s="126"/>
      <c r="C294" s="153">
        <v>4240</v>
      </c>
      <c r="D294" s="154" t="s">
        <v>95</v>
      </c>
      <c r="E294" s="138">
        <v>349891.65</v>
      </c>
      <c r="F294" s="138">
        <v>21450</v>
      </c>
      <c r="G294" s="138"/>
      <c r="H294" s="138">
        <f t="shared" si="41"/>
        <v>371341.65</v>
      </c>
    </row>
    <row r="295" spans="1:8" s="25" customFormat="1" ht="12.75" x14ac:dyDescent="0.25">
      <c r="A295" s="126"/>
      <c r="B295" s="126">
        <v>80118</v>
      </c>
      <c r="C295" s="117"/>
      <c r="D295" s="127" t="s">
        <v>150</v>
      </c>
      <c r="E295" s="129">
        <v>1896202</v>
      </c>
      <c r="F295" s="128">
        <f>SUM(F296)</f>
        <v>0</v>
      </c>
      <c r="G295" s="128">
        <f>SUM(G296)</f>
        <v>4000</v>
      </c>
      <c r="H295" s="129">
        <f>SUM(E295+F295-G295)</f>
        <v>1892202</v>
      </c>
    </row>
    <row r="296" spans="1:8" s="25" customFormat="1" ht="12.75" x14ac:dyDescent="0.25">
      <c r="A296" s="126"/>
      <c r="B296" s="126"/>
      <c r="C296" s="117"/>
      <c r="D296" s="160" t="s">
        <v>92</v>
      </c>
      <c r="E296" s="133">
        <v>1896202</v>
      </c>
      <c r="F296" s="133">
        <f>SUM(F297:F297)</f>
        <v>0</v>
      </c>
      <c r="G296" s="133">
        <f>SUM(G297:G297)</f>
        <v>4000</v>
      </c>
      <c r="H296" s="133">
        <f t="shared" ref="H296:H297" si="42">SUM(E296+F296-G296)</f>
        <v>1892202</v>
      </c>
    </row>
    <row r="297" spans="1:8" s="25" customFormat="1" ht="12.75" x14ac:dyDescent="0.25">
      <c r="A297" s="126"/>
      <c r="B297" s="126"/>
      <c r="C297" s="153">
        <v>4040</v>
      </c>
      <c r="D297" s="154" t="s">
        <v>84</v>
      </c>
      <c r="E297" s="138">
        <v>34000</v>
      </c>
      <c r="F297" s="138"/>
      <c r="G297" s="138">
        <v>4000</v>
      </c>
      <c r="H297" s="138">
        <f t="shared" si="42"/>
        <v>30000</v>
      </c>
    </row>
    <row r="298" spans="1:8" s="25" customFormat="1" ht="12.75" x14ac:dyDescent="0.25">
      <c r="A298" s="126"/>
      <c r="B298" s="149">
        <v>80120</v>
      </c>
      <c r="C298" s="157"/>
      <c r="D298" s="158" t="s">
        <v>18</v>
      </c>
      <c r="E298" s="129">
        <v>45726895.079999991</v>
      </c>
      <c r="F298" s="128">
        <f>SUM(F299)</f>
        <v>79300</v>
      </c>
      <c r="G298" s="128">
        <f>SUM(G299)</f>
        <v>79300</v>
      </c>
      <c r="H298" s="129">
        <f>SUM(E298+F298-G298)</f>
        <v>45726895.079999991</v>
      </c>
    </row>
    <row r="299" spans="1:8" s="25" customFormat="1" ht="12" customHeight="1" x14ac:dyDescent="0.25">
      <c r="A299" s="126"/>
      <c r="B299" s="149"/>
      <c r="C299" s="117"/>
      <c r="D299" s="160" t="s">
        <v>92</v>
      </c>
      <c r="E299" s="133">
        <v>36530835.779999994</v>
      </c>
      <c r="F299" s="133">
        <f>SUM(F300:F305)</f>
        <v>79300</v>
      </c>
      <c r="G299" s="133">
        <f>SUM(G300:G305)</f>
        <v>79300</v>
      </c>
      <c r="H299" s="133">
        <f t="shared" ref="H299" si="43">SUM(E299+F299-G299)</f>
        <v>36530835.779999994</v>
      </c>
    </row>
    <row r="300" spans="1:8" s="25" customFormat="1" ht="12.75" x14ac:dyDescent="0.25">
      <c r="A300" s="126"/>
      <c r="B300" s="149"/>
      <c r="C300" s="153">
        <v>4040</v>
      </c>
      <c r="D300" s="154" t="s">
        <v>84</v>
      </c>
      <c r="E300" s="138">
        <v>374602</v>
      </c>
      <c r="F300" s="138"/>
      <c r="G300" s="138">
        <v>15600</v>
      </c>
      <c r="H300" s="138">
        <f>SUM(E300+F300-G300)</f>
        <v>359002</v>
      </c>
    </row>
    <row r="301" spans="1:8" s="25" customFormat="1" ht="12.75" x14ac:dyDescent="0.25">
      <c r="A301" s="126"/>
      <c r="B301" s="149"/>
      <c r="C301" s="175" t="s">
        <v>93</v>
      </c>
      <c r="D301" s="154" t="s">
        <v>94</v>
      </c>
      <c r="E301" s="138">
        <v>117036.86</v>
      </c>
      <c r="F301" s="138">
        <v>75000</v>
      </c>
      <c r="G301" s="138"/>
      <c r="H301" s="138">
        <f t="shared" ref="H301:H306" si="44">SUM(E301+F301-G301)</f>
        <v>192036.86</v>
      </c>
    </row>
    <row r="302" spans="1:8" s="25" customFormat="1" ht="12.75" x14ac:dyDescent="0.25">
      <c r="A302" s="126"/>
      <c r="B302" s="149"/>
      <c r="C302" s="153">
        <v>4280</v>
      </c>
      <c r="D302" s="154" t="s">
        <v>124</v>
      </c>
      <c r="E302" s="138">
        <v>30162</v>
      </c>
      <c r="F302" s="138">
        <v>2000</v>
      </c>
      <c r="G302" s="138"/>
      <c r="H302" s="138">
        <f t="shared" si="44"/>
        <v>32162</v>
      </c>
    </row>
    <row r="303" spans="1:8" s="25" customFormat="1" ht="12.75" x14ac:dyDescent="0.25">
      <c r="A303" s="126"/>
      <c r="B303" s="149"/>
      <c r="C303" s="153">
        <v>4300</v>
      </c>
      <c r="D303" s="154" t="s">
        <v>16</v>
      </c>
      <c r="E303" s="138">
        <v>336226</v>
      </c>
      <c r="F303" s="138">
        <v>1500</v>
      </c>
      <c r="G303" s="138"/>
      <c r="H303" s="138">
        <f t="shared" si="44"/>
        <v>337726</v>
      </c>
    </row>
    <row r="304" spans="1:8" s="25" customFormat="1" ht="12.75" x14ac:dyDescent="0.25">
      <c r="A304" s="126"/>
      <c r="B304" s="149"/>
      <c r="C304" s="153">
        <v>4410</v>
      </c>
      <c r="D304" s="154" t="s">
        <v>96</v>
      </c>
      <c r="E304" s="138">
        <v>17540</v>
      </c>
      <c r="F304" s="138">
        <v>800</v>
      </c>
      <c r="G304" s="138"/>
      <c r="H304" s="138">
        <f t="shared" si="44"/>
        <v>18340</v>
      </c>
    </row>
    <row r="305" spans="1:8" s="25" customFormat="1" ht="12.75" x14ac:dyDescent="0.25">
      <c r="A305" s="126"/>
      <c r="B305" s="149"/>
      <c r="C305" s="149">
        <v>4800</v>
      </c>
      <c r="D305" s="25" t="s">
        <v>97</v>
      </c>
      <c r="E305" s="138">
        <v>1857100.12</v>
      </c>
      <c r="F305" s="138"/>
      <c r="G305" s="138">
        <v>63700</v>
      </c>
      <c r="H305" s="139">
        <f t="shared" si="44"/>
        <v>1793400.12</v>
      </c>
    </row>
    <row r="306" spans="1:8" s="25" customFormat="1" ht="12" customHeight="1" x14ac:dyDescent="0.25">
      <c r="A306" s="126"/>
      <c r="B306" s="126">
        <v>80134</v>
      </c>
      <c r="C306" s="117"/>
      <c r="D306" s="172" t="s">
        <v>151</v>
      </c>
      <c r="E306" s="129">
        <v>18132527.32</v>
      </c>
      <c r="F306" s="128">
        <f>SUM(F307)</f>
        <v>88000</v>
      </c>
      <c r="G306" s="128">
        <f>SUM(G307)</f>
        <v>220700</v>
      </c>
      <c r="H306" s="129">
        <f t="shared" si="44"/>
        <v>17999827.32</v>
      </c>
    </row>
    <row r="307" spans="1:8" s="25" customFormat="1" ht="12" customHeight="1" x14ac:dyDescent="0.25">
      <c r="A307" s="126"/>
      <c r="B307" s="126"/>
      <c r="C307" s="117"/>
      <c r="D307" s="160" t="s">
        <v>92</v>
      </c>
      <c r="E307" s="133">
        <v>17924027.32</v>
      </c>
      <c r="F307" s="133">
        <f>SUM(F308:F311)</f>
        <v>88000</v>
      </c>
      <c r="G307" s="133">
        <f>SUM(G308:G311)</f>
        <v>220700</v>
      </c>
      <c r="H307" s="133">
        <f>SUM(E307+F307-G307)</f>
        <v>17791327.32</v>
      </c>
    </row>
    <row r="308" spans="1:8" s="25" customFormat="1" ht="12" customHeight="1" x14ac:dyDescent="0.25">
      <c r="A308" s="126"/>
      <c r="B308" s="126"/>
      <c r="C308" s="149">
        <v>4010</v>
      </c>
      <c r="D308" s="156" t="s">
        <v>99</v>
      </c>
      <c r="E308" s="138">
        <v>808685.2</v>
      </c>
      <c r="F308" s="138">
        <v>88000</v>
      </c>
      <c r="G308" s="138"/>
      <c r="H308" s="138">
        <f t="shared" ref="H308:H311" si="45">SUM(E308+F308-G308)</f>
        <v>896685.2</v>
      </c>
    </row>
    <row r="309" spans="1:8" s="25" customFormat="1" ht="12" customHeight="1" x14ac:dyDescent="0.25">
      <c r="A309" s="126"/>
      <c r="B309" s="140"/>
      <c r="C309" s="153">
        <v>4040</v>
      </c>
      <c r="D309" s="154" t="s">
        <v>84</v>
      </c>
      <c r="E309" s="138">
        <v>76700</v>
      </c>
      <c r="F309" s="138"/>
      <c r="G309" s="138">
        <v>7700</v>
      </c>
      <c r="H309" s="138">
        <f t="shared" si="45"/>
        <v>69000</v>
      </c>
    </row>
    <row r="310" spans="1:8" s="25" customFormat="1" ht="12" customHeight="1" x14ac:dyDescent="0.25">
      <c r="A310" s="126"/>
      <c r="B310" s="140"/>
      <c r="C310" s="153">
        <v>4260</v>
      </c>
      <c r="D310" s="154" t="s">
        <v>100</v>
      </c>
      <c r="E310" s="138">
        <v>245401</v>
      </c>
      <c r="F310" s="138"/>
      <c r="G310" s="138">
        <v>125000</v>
      </c>
      <c r="H310" s="138">
        <f t="shared" si="45"/>
        <v>120401</v>
      </c>
    </row>
    <row r="311" spans="1:8" s="25" customFormat="1" ht="12" customHeight="1" x14ac:dyDescent="0.25">
      <c r="A311" s="126"/>
      <c r="B311" s="140"/>
      <c r="C311" s="149">
        <v>4800</v>
      </c>
      <c r="D311" s="25" t="s">
        <v>97</v>
      </c>
      <c r="E311" s="138">
        <v>850873.78</v>
      </c>
      <c r="F311" s="138"/>
      <c r="G311" s="138">
        <v>88000</v>
      </c>
      <c r="H311" s="138">
        <f t="shared" si="45"/>
        <v>762873.78</v>
      </c>
    </row>
    <row r="312" spans="1:8" s="25" customFormat="1" ht="12.75" x14ac:dyDescent="0.25">
      <c r="A312" s="126"/>
      <c r="B312" s="126">
        <v>80140</v>
      </c>
      <c r="C312" s="117"/>
      <c r="D312" s="173" t="s">
        <v>152</v>
      </c>
      <c r="E312" s="139"/>
      <c r="F312" s="138"/>
      <c r="G312" s="138"/>
      <c r="H312" s="138"/>
    </row>
    <row r="313" spans="1:8" s="25" customFormat="1" ht="12.75" x14ac:dyDescent="0.25">
      <c r="A313" s="126"/>
      <c r="B313" s="126"/>
      <c r="C313" s="117"/>
      <c r="D313" s="127" t="s">
        <v>153</v>
      </c>
      <c r="E313" s="129">
        <v>5620454.3200000003</v>
      </c>
      <c r="F313" s="128">
        <f>SUM(F314,)</f>
        <v>7750</v>
      </c>
      <c r="G313" s="128">
        <f>SUM(G314,)</f>
        <v>0</v>
      </c>
      <c r="H313" s="129">
        <f>SUM(E313+F313-G313)</f>
        <v>5628204.3200000003</v>
      </c>
    </row>
    <row r="314" spans="1:8" s="25" customFormat="1" ht="12" customHeight="1" x14ac:dyDescent="0.25">
      <c r="A314" s="126"/>
      <c r="B314" s="140"/>
      <c r="C314" s="117"/>
      <c r="D314" s="160" t="s">
        <v>92</v>
      </c>
      <c r="E314" s="133">
        <v>5620454.3200000003</v>
      </c>
      <c r="F314" s="133">
        <f>SUM(F315:F316)</f>
        <v>7750</v>
      </c>
      <c r="G314" s="133">
        <f>SUM(G315:G316)</f>
        <v>0</v>
      </c>
      <c r="H314" s="133">
        <f>SUM(E314+F314-G314)</f>
        <v>5628204.3200000003</v>
      </c>
    </row>
    <row r="315" spans="1:8" s="25" customFormat="1" ht="12.75" x14ac:dyDescent="0.25">
      <c r="A315" s="126"/>
      <c r="B315" s="140"/>
      <c r="C315" s="153">
        <v>4240</v>
      </c>
      <c r="D315" s="154" t="s">
        <v>95</v>
      </c>
      <c r="E315" s="138">
        <v>63207.9</v>
      </c>
      <c r="F315" s="138">
        <v>3750</v>
      </c>
      <c r="G315" s="138"/>
      <c r="H315" s="138">
        <f t="shared" ref="H315:H316" si="46">SUM(E315+F315-G315)</f>
        <v>66957.899999999994</v>
      </c>
    </row>
    <row r="316" spans="1:8" s="25" customFormat="1" ht="12.75" customHeight="1" x14ac:dyDescent="0.25">
      <c r="A316" s="126"/>
      <c r="B316" s="140"/>
      <c r="C316" s="146">
        <v>4700</v>
      </c>
      <c r="D316" s="143" t="s">
        <v>91</v>
      </c>
      <c r="E316" s="138">
        <v>5000</v>
      </c>
      <c r="F316" s="138">
        <v>4000</v>
      </c>
      <c r="G316" s="138"/>
      <c r="H316" s="139">
        <f t="shared" si="46"/>
        <v>9000</v>
      </c>
    </row>
    <row r="317" spans="1:8" s="25" customFormat="1" ht="12.75" x14ac:dyDescent="0.25">
      <c r="A317" s="126"/>
      <c r="B317" s="126">
        <v>80148</v>
      </c>
      <c r="C317" s="117"/>
      <c r="D317" s="9" t="s">
        <v>105</v>
      </c>
      <c r="E317" s="129">
        <v>571781</v>
      </c>
      <c r="F317" s="128">
        <f>SUM(F318,)</f>
        <v>4800</v>
      </c>
      <c r="G317" s="128">
        <f>SUM(G318,)</f>
        <v>4800</v>
      </c>
      <c r="H317" s="129">
        <f>SUM(E317+F317-G317)</f>
        <v>571781</v>
      </c>
    </row>
    <row r="318" spans="1:8" s="25" customFormat="1" ht="12.75" x14ac:dyDescent="0.25">
      <c r="A318" s="126"/>
      <c r="B318" s="140"/>
      <c r="C318" s="117"/>
      <c r="D318" s="160" t="s">
        <v>92</v>
      </c>
      <c r="E318" s="133">
        <v>571781</v>
      </c>
      <c r="F318" s="133">
        <f>SUM(F319:F320)</f>
        <v>4800</v>
      </c>
      <c r="G318" s="133">
        <f>SUM(G319:G320)</f>
        <v>4800</v>
      </c>
      <c r="H318" s="133">
        <f>SUM(E318+F318-G318)</f>
        <v>571781</v>
      </c>
    </row>
    <row r="319" spans="1:8" s="25" customFormat="1" ht="12.75" x14ac:dyDescent="0.25">
      <c r="A319" s="126"/>
      <c r="B319" s="140"/>
      <c r="C319" s="153">
        <v>4040</v>
      </c>
      <c r="D319" s="154" t="s">
        <v>84</v>
      </c>
      <c r="E319" s="138">
        <v>25700</v>
      </c>
      <c r="F319" s="138"/>
      <c r="G319" s="138">
        <v>4800</v>
      </c>
      <c r="H319" s="138">
        <f t="shared" ref="H319" si="47">SUM(E319+F319-G319)</f>
        <v>20900</v>
      </c>
    </row>
    <row r="320" spans="1:8" s="25" customFormat="1" ht="12.75" x14ac:dyDescent="0.25">
      <c r="A320" s="158"/>
      <c r="B320" s="150"/>
      <c r="C320" s="170">
        <v>4300</v>
      </c>
      <c r="D320" s="171" t="s">
        <v>16</v>
      </c>
      <c r="E320" s="129">
        <v>15000</v>
      </c>
      <c r="F320" s="129">
        <v>4800</v>
      </c>
      <c r="G320" s="129"/>
      <c r="H320" s="129">
        <f>SUM(E320+F320-G320)</f>
        <v>19800</v>
      </c>
    </row>
    <row r="321" spans="1:8" s="25" customFormat="1" ht="12.75" x14ac:dyDescent="0.25">
      <c r="A321" s="126"/>
      <c r="B321" s="126">
        <v>80152</v>
      </c>
      <c r="C321" s="117"/>
      <c r="D321" s="156" t="s">
        <v>106</v>
      </c>
      <c r="E321" s="138"/>
      <c r="F321" s="138"/>
      <c r="G321" s="138"/>
      <c r="H321" s="139"/>
    </row>
    <row r="322" spans="1:8" s="25" customFormat="1" ht="12.75" x14ac:dyDescent="0.25">
      <c r="A322" s="126"/>
      <c r="B322" s="126"/>
      <c r="C322" s="117"/>
      <c r="D322" s="156" t="s">
        <v>110</v>
      </c>
      <c r="E322" s="138"/>
      <c r="F322" s="138"/>
      <c r="G322" s="138"/>
      <c r="H322" s="139"/>
    </row>
    <row r="323" spans="1:8" s="25" customFormat="1" ht="12.75" x14ac:dyDescent="0.25">
      <c r="A323" s="126"/>
      <c r="B323" s="126"/>
      <c r="C323" s="117"/>
      <c r="D323" s="156" t="s">
        <v>154</v>
      </c>
      <c r="E323" s="138"/>
      <c r="F323" s="138"/>
      <c r="G323" s="138"/>
      <c r="H323" s="139"/>
    </row>
    <row r="324" spans="1:8" s="25" customFormat="1" ht="12.75" x14ac:dyDescent="0.25">
      <c r="A324" s="126"/>
      <c r="B324" s="126"/>
      <c r="C324" s="117"/>
      <c r="D324" s="126" t="s">
        <v>155</v>
      </c>
      <c r="E324" s="138"/>
      <c r="F324" s="138"/>
      <c r="G324" s="138"/>
      <c r="H324" s="139"/>
    </row>
    <row r="325" spans="1:8" s="25" customFormat="1" ht="12.75" x14ac:dyDescent="0.25">
      <c r="A325" s="126"/>
      <c r="B325" s="126"/>
      <c r="C325" s="117"/>
      <c r="D325" s="126" t="s">
        <v>156</v>
      </c>
      <c r="E325" s="138"/>
      <c r="F325" s="138"/>
      <c r="G325" s="138"/>
      <c r="H325" s="139"/>
    </row>
    <row r="326" spans="1:8" s="25" customFormat="1" ht="12.75" x14ac:dyDescent="0.25">
      <c r="A326" s="126"/>
      <c r="B326" s="126"/>
      <c r="C326" s="117"/>
      <c r="D326" s="156" t="s">
        <v>157</v>
      </c>
      <c r="E326" s="138"/>
      <c r="F326" s="138"/>
      <c r="G326" s="138"/>
      <c r="H326" s="139"/>
    </row>
    <row r="327" spans="1:8" s="25" customFormat="1" ht="12.75" x14ac:dyDescent="0.25">
      <c r="A327" s="126"/>
      <c r="B327" s="126"/>
      <c r="C327" s="117"/>
      <c r="D327" s="126" t="s">
        <v>158</v>
      </c>
      <c r="E327" s="138"/>
      <c r="F327" s="138"/>
      <c r="G327" s="138"/>
      <c r="H327" s="139"/>
    </row>
    <row r="328" spans="1:8" s="25" customFormat="1" ht="12.75" x14ac:dyDescent="0.25">
      <c r="A328" s="126"/>
      <c r="B328" s="126"/>
      <c r="C328" s="117"/>
      <c r="D328" s="158" t="s">
        <v>159</v>
      </c>
      <c r="E328" s="129">
        <v>8131448.4499999993</v>
      </c>
      <c r="F328" s="128">
        <f>SUM(F329)</f>
        <v>1000</v>
      </c>
      <c r="G328" s="128">
        <f>SUM(G329)</f>
        <v>1000</v>
      </c>
      <c r="H328" s="129">
        <f>SUM(E328+F328-G328)</f>
        <v>8131448.4499999993</v>
      </c>
    </row>
    <row r="329" spans="1:8" s="25" customFormat="1" ht="12.75" x14ac:dyDescent="0.25">
      <c r="A329" s="126"/>
      <c r="B329" s="122"/>
      <c r="C329" s="117"/>
      <c r="D329" s="160" t="s">
        <v>92</v>
      </c>
      <c r="E329" s="133">
        <v>6545607.7599999998</v>
      </c>
      <c r="F329" s="133">
        <f>SUM(F330:F331)</f>
        <v>1000</v>
      </c>
      <c r="G329" s="133">
        <f>SUM(G330:G331)</f>
        <v>1000</v>
      </c>
      <c r="H329" s="133">
        <f t="shared" ref="H329:H331" si="48">SUM(E329+F329-G329)</f>
        <v>6545607.7599999998</v>
      </c>
    </row>
    <row r="330" spans="1:8" s="25" customFormat="1" ht="12.75" x14ac:dyDescent="0.25">
      <c r="A330" s="126"/>
      <c r="B330" s="126"/>
      <c r="C330" s="153">
        <v>4240</v>
      </c>
      <c r="D330" s="154" t="s">
        <v>95</v>
      </c>
      <c r="E330" s="138">
        <v>33771.499999999993</v>
      </c>
      <c r="F330" s="138">
        <v>1000</v>
      </c>
      <c r="G330" s="138"/>
      <c r="H330" s="138">
        <f t="shared" si="48"/>
        <v>34771.499999999993</v>
      </c>
    </row>
    <row r="331" spans="1:8" s="25" customFormat="1" ht="12.75" x14ac:dyDescent="0.25">
      <c r="A331" s="126"/>
      <c r="B331" s="126"/>
      <c r="C331" s="149">
        <v>4800</v>
      </c>
      <c r="D331" s="25" t="s">
        <v>97</v>
      </c>
      <c r="E331" s="138">
        <v>439032</v>
      </c>
      <c r="F331" s="138"/>
      <c r="G331" s="138">
        <v>1000</v>
      </c>
      <c r="H331" s="139">
        <f t="shared" si="48"/>
        <v>438032</v>
      </c>
    </row>
    <row r="332" spans="1:8" s="25" customFormat="1" ht="12.75" x14ac:dyDescent="0.25">
      <c r="A332" s="126"/>
      <c r="B332" s="126">
        <v>80195</v>
      </c>
      <c r="C332" s="117"/>
      <c r="D332" s="9" t="s">
        <v>26</v>
      </c>
      <c r="E332" s="128">
        <v>11723658.91</v>
      </c>
      <c r="F332" s="128">
        <f>SUM(F333,F338,F340,F349,F352,F356,F365,F382)</f>
        <v>1851953.9</v>
      </c>
      <c r="G332" s="128">
        <f>SUM(G333,G338,G340,G349,G352,G356,G365,G382)</f>
        <v>1773698.9000000001</v>
      </c>
      <c r="H332" s="129">
        <f>SUM(E332+F332-G332)</f>
        <v>11801913.91</v>
      </c>
    </row>
    <row r="333" spans="1:8" s="25" customFormat="1" ht="12.75" x14ac:dyDescent="0.25">
      <c r="A333" s="126"/>
      <c r="B333" s="126"/>
      <c r="C333" s="117"/>
      <c r="D333" s="160" t="s">
        <v>92</v>
      </c>
      <c r="E333" s="133">
        <v>1189945</v>
      </c>
      <c r="F333" s="133">
        <f>SUM(F334:F337)</f>
        <v>1750</v>
      </c>
      <c r="G333" s="133">
        <f>SUM(G334:G337)</f>
        <v>1750</v>
      </c>
      <c r="H333" s="133">
        <f>SUM(E333+F333-G333)</f>
        <v>1189945</v>
      </c>
    </row>
    <row r="334" spans="1:8" s="25" customFormat="1" ht="12.75" x14ac:dyDescent="0.25">
      <c r="A334" s="126"/>
      <c r="B334" s="126"/>
      <c r="C334" s="149">
        <v>4010</v>
      </c>
      <c r="D334" s="156" t="s">
        <v>99</v>
      </c>
      <c r="E334" s="138">
        <v>17460</v>
      </c>
      <c r="F334" s="138"/>
      <c r="G334" s="138">
        <v>1500</v>
      </c>
      <c r="H334" s="138">
        <f t="shared" ref="H334:H337" si="49">SUM(E334+F334-G334)</f>
        <v>15960</v>
      </c>
    </row>
    <row r="335" spans="1:8" s="25" customFormat="1" ht="12.75" x14ac:dyDescent="0.25">
      <c r="A335" s="126"/>
      <c r="B335" s="126"/>
      <c r="C335" s="153">
        <v>4040</v>
      </c>
      <c r="D335" s="154" t="s">
        <v>84</v>
      </c>
      <c r="E335" s="138">
        <v>1650</v>
      </c>
      <c r="F335" s="138"/>
      <c r="G335" s="138">
        <v>250</v>
      </c>
      <c r="H335" s="138">
        <f t="shared" si="49"/>
        <v>1400</v>
      </c>
    </row>
    <row r="336" spans="1:8" s="25" customFormat="1" ht="12.75" x14ac:dyDescent="0.25">
      <c r="A336" s="126"/>
      <c r="B336" s="126"/>
      <c r="C336" s="153">
        <v>4110</v>
      </c>
      <c r="D336" s="154" t="s">
        <v>74</v>
      </c>
      <c r="E336" s="138">
        <v>3288</v>
      </c>
      <c r="F336" s="138">
        <v>250</v>
      </c>
      <c r="G336" s="138"/>
      <c r="H336" s="138">
        <f t="shared" si="49"/>
        <v>3538</v>
      </c>
    </row>
    <row r="337" spans="1:8" s="25" customFormat="1" ht="12.75" x14ac:dyDescent="0.25">
      <c r="A337" s="126"/>
      <c r="B337" s="126"/>
      <c r="C337" s="153">
        <v>4170</v>
      </c>
      <c r="D337" s="154" t="s">
        <v>19</v>
      </c>
      <c r="E337" s="138">
        <v>6375</v>
      </c>
      <c r="F337" s="138">
        <v>1500</v>
      </c>
      <c r="G337" s="138"/>
      <c r="H337" s="138">
        <f t="shared" si="49"/>
        <v>7875</v>
      </c>
    </row>
    <row r="338" spans="1:8" s="25" customFormat="1" ht="12.75" x14ac:dyDescent="0.25">
      <c r="A338" s="126"/>
      <c r="B338" s="126"/>
      <c r="C338" s="117"/>
      <c r="D338" s="132" t="s">
        <v>112</v>
      </c>
      <c r="E338" s="133">
        <v>625083.33000000007</v>
      </c>
      <c r="F338" s="133">
        <f>SUM(F339:F339)</f>
        <v>1215</v>
      </c>
      <c r="G338" s="133">
        <f>SUM(G339:G339)</f>
        <v>0</v>
      </c>
      <c r="H338" s="133">
        <f>SUM(E338+F338-G338)</f>
        <v>626298.33000000007</v>
      </c>
    </row>
    <row r="339" spans="1:8" s="25" customFormat="1" ht="12" customHeight="1" x14ac:dyDescent="0.25">
      <c r="A339" s="126"/>
      <c r="B339" s="126"/>
      <c r="C339" s="153">
        <v>3040</v>
      </c>
      <c r="D339" s="143" t="s">
        <v>113</v>
      </c>
      <c r="E339" s="138">
        <v>13785</v>
      </c>
      <c r="F339" s="138">
        <v>1215</v>
      </c>
      <c r="G339" s="138"/>
      <c r="H339" s="138">
        <f t="shared" ref="H339" si="50">SUM(E339+F339-G339)</f>
        <v>15000</v>
      </c>
    </row>
    <row r="340" spans="1:8" s="25" customFormat="1" ht="36" customHeight="1" x14ac:dyDescent="0.25">
      <c r="A340" s="126"/>
      <c r="B340" s="149"/>
      <c r="C340" s="117"/>
      <c r="D340" s="199" t="s">
        <v>160</v>
      </c>
      <c r="E340" s="133">
        <v>642214.38</v>
      </c>
      <c r="F340" s="133">
        <f>SUM(F341:F348)</f>
        <v>75881.34</v>
      </c>
      <c r="G340" s="133">
        <f>SUM(G341:G348)</f>
        <v>75881.34</v>
      </c>
      <c r="H340" s="133">
        <f>SUM(E340+F340-G340)</f>
        <v>642214.38</v>
      </c>
    </row>
    <row r="341" spans="1:8" s="25" customFormat="1" ht="12.75" x14ac:dyDescent="0.25">
      <c r="A341" s="126"/>
      <c r="B341" s="149"/>
      <c r="C341" s="10">
        <v>4117</v>
      </c>
      <c r="D341" s="20" t="s">
        <v>31</v>
      </c>
      <c r="E341" s="138">
        <v>55918.26999999999</v>
      </c>
      <c r="F341" s="138"/>
      <c r="G341" s="138">
        <v>20630</v>
      </c>
      <c r="H341" s="138">
        <f t="shared" ref="H341:H427" si="51">SUM(E341+F341-G341)</f>
        <v>35288.26999999999</v>
      </c>
    </row>
    <row r="342" spans="1:8" s="25" customFormat="1" ht="12.75" x14ac:dyDescent="0.25">
      <c r="A342" s="126"/>
      <c r="B342" s="149"/>
      <c r="C342" s="10">
        <v>4119</v>
      </c>
      <c r="D342" s="20" t="s">
        <v>31</v>
      </c>
      <c r="E342" s="138">
        <v>11845.02</v>
      </c>
      <c r="F342" s="138"/>
      <c r="G342" s="138">
        <v>4370</v>
      </c>
      <c r="H342" s="138">
        <f t="shared" si="51"/>
        <v>7475.02</v>
      </c>
    </row>
    <row r="343" spans="1:8" s="25" customFormat="1" ht="12.75" x14ac:dyDescent="0.25">
      <c r="A343" s="126"/>
      <c r="B343" s="149"/>
      <c r="C343" s="10">
        <v>4127</v>
      </c>
      <c r="D343" s="11" t="s">
        <v>90</v>
      </c>
      <c r="E343" s="138">
        <v>43024.2</v>
      </c>
      <c r="F343" s="138"/>
      <c r="G343" s="138">
        <v>35071</v>
      </c>
      <c r="H343" s="138">
        <f t="shared" si="51"/>
        <v>7953.1999999999971</v>
      </c>
    </row>
    <row r="344" spans="1:8" s="25" customFormat="1" ht="12.75" x14ac:dyDescent="0.25">
      <c r="A344" s="126"/>
      <c r="B344" s="149"/>
      <c r="C344" s="10">
        <v>4129</v>
      </c>
      <c r="D344" s="11" t="s">
        <v>90</v>
      </c>
      <c r="E344" s="138">
        <v>9113.7200000000012</v>
      </c>
      <c r="F344" s="138"/>
      <c r="G344" s="138">
        <v>7429</v>
      </c>
      <c r="H344" s="138">
        <f t="shared" si="51"/>
        <v>1684.7200000000012</v>
      </c>
    </row>
    <row r="345" spans="1:8" s="25" customFormat="1" ht="12.75" x14ac:dyDescent="0.25">
      <c r="A345" s="126"/>
      <c r="B345" s="149"/>
      <c r="C345" s="153">
        <v>4177</v>
      </c>
      <c r="D345" s="154" t="s">
        <v>19</v>
      </c>
      <c r="E345" s="138">
        <v>212397</v>
      </c>
      <c r="F345" s="138">
        <v>62617.29</v>
      </c>
      <c r="G345" s="138"/>
      <c r="H345" s="138">
        <f t="shared" si="51"/>
        <v>275014.28999999998</v>
      </c>
    </row>
    <row r="346" spans="1:8" s="25" customFormat="1" ht="12.75" x14ac:dyDescent="0.25">
      <c r="A346" s="126"/>
      <c r="B346" s="149"/>
      <c r="C346" s="153">
        <v>4179</v>
      </c>
      <c r="D346" s="154" t="s">
        <v>19</v>
      </c>
      <c r="E346" s="138">
        <v>44991.6</v>
      </c>
      <c r="F346" s="138">
        <v>13264.05</v>
      </c>
      <c r="G346" s="138"/>
      <c r="H346" s="138">
        <f t="shared" si="51"/>
        <v>58255.649999999994</v>
      </c>
    </row>
    <row r="347" spans="1:8" s="25" customFormat="1" ht="12.75" x14ac:dyDescent="0.25">
      <c r="A347" s="126"/>
      <c r="B347" s="149"/>
      <c r="C347" s="153">
        <v>4247</v>
      </c>
      <c r="D347" s="154" t="s">
        <v>95</v>
      </c>
      <c r="E347" s="138">
        <v>88979.38</v>
      </c>
      <c r="F347" s="138"/>
      <c r="G347" s="138">
        <v>6916.29</v>
      </c>
      <c r="H347" s="138">
        <f t="shared" si="51"/>
        <v>82063.090000000011</v>
      </c>
    </row>
    <row r="348" spans="1:8" s="25" customFormat="1" ht="12.75" x14ac:dyDescent="0.25">
      <c r="A348" s="126"/>
      <c r="B348" s="149"/>
      <c r="C348" s="153">
        <v>4249</v>
      </c>
      <c r="D348" s="154" t="s">
        <v>95</v>
      </c>
      <c r="E348" s="138">
        <v>18848.27</v>
      </c>
      <c r="F348" s="138"/>
      <c r="G348" s="138">
        <v>1465.05</v>
      </c>
      <c r="H348" s="138">
        <f t="shared" si="51"/>
        <v>17383.22</v>
      </c>
    </row>
    <row r="349" spans="1:8" s="25" customFormat="1" ht="36" customHeight="1" x14ac:dyDescent="0.25">
      <c r="A349" s="126"/>
      <c r="B349" s="149"/>
      <c r="C349" s="131"/>
      <c r="D349" s="188" t="s">
        <v>161</v>
      </c>
      <c r="E349" s="133">
        <v>288912.08</v>
      </c>
      <c r="F349" s="134">
        <f>SUM(F350:F351)</f>
        <v>554.5</v>
      </c>
      <c r="G349" s="134">
        <f>SUM(G350:G351)</f>
        <v>554.5</v>
      </c>
      <c r="H349" s="133">
        <f t="shared" si="51"/>
        <v>288912.08</v>
      </c>
    </row>
    <row r="350" spans="1:8" s="25" customFormat="1" ht="12.75" x14ac:dyDescent="0.25">
      <c r="A350" s="126"/>
      <c r="B350" s="149"/>
      <c r="C350" s="10">
        <v>4211</v>
      </c>
      <c r="D350" s="11" t="s">
        <v>27</v>
      </c>
      <c r="E350" s="138">
        <v>6619.36</v>
      </c>
      <c r="F350" s="138"/>
      <c r="G350" s="139">
        <v>554.5</v>
      </c>
      <c r="H350" s="138">
        <f t="shared" si="51"/>
        <v>6064.86</v>
      </c>
    </row>
    <row r="351" spans="1:8" s="25" customFormat="1" ht="12.75" x14ac:dyDescent="0.25">
      <c r="A351" s="126"/>
      <c r="B351" s="149"/>
      <c r="C351" s="149">
        <v>4301</v>
      </c>
      <c r="D351" s="156" t="s">
        <v>16</v>
      </c>
      <c r="E351" s="138">
        <v>193121.95</v>
      </c>
      <c r="F351" s="138">
        <v>554.5</v>
      </c>
      <c r="G351" s="139"/>
      <c r="H351" s="138">
        <f t="shared" si="51"/>
        <v>193676.45</v>
      </c>
    </row>
    <row r="352" spans="1:8" s="25" customFormat="1" ht="25.5" customHeight="1" x14ac:dyDescent="0.25">
      <c r="A352" s="126"/>
      <c r="B352" s="149"/>
      <c r="C352" s="131"/>
      <c r="D352" s="200" t="s">
        <v>162</v>
      </c>
      <c r="E352" s="133">
        <v>474746.35</v>
      </c>
      <c r="F352" s="134">
        <f>SUM(F353:F355)</f>
        <v>13800</v>
      </c>
      <c r="G352" s="134">
        <f>SUM(G353:G355)</f>
        <v>13800</v>
      </c>
      <c r="H352" s="133">
        <f t="shared" si="51"/>
        <v>474746.35</v>
      </c>
    </row>
    <row r="353" spans="1:8" s="25" customFormat="1" ht="12.75" x14ac:dyDescent="0.25">
      <c r="A353" s="126"/>
      <c r="B353" s="149"/>
      <c r="C353" s="149">
        <v>4301</v>
      </c>
      <c r="D353" s="156" t="s">
        <v>16</v>
      </c>
      <c r="E353" s="138">
        <v>319466.34999999998</v>
      </c>
      <c r="F353" s="138"/>
      <c r="G353" s="139">
        <v>13800</v>
      </c>
      <c r="H353" s="138">
        <f t="shared" si="51"/>
        <v>305666.34999999998</v>
      </c>
    </row>
    <row r="354" spans="1:8" s="25" customFormat="1" ht="12.75" x14ac:dyDescent="0.25">
      <c r="A354" s="126"/>
      <c r="B354" s="149"/>
      <c r="C354" s="201">
        <v>4411</v>
      </c>
      <c r="D354" s="202" t="s">
        <v>96</v>
      </c>
      <c r="E354" s="138">
        <v>6000</v>
      </c>
      <c r="F354" s="138">
        <v>6000</v>
      </c>
      <c r="G354" s="139"/>
      <c r="H354" s="138">
        <f t="shared" si="51"/>
        <v>12000</v>
      </c>
    </row>
    <row r="355" spans="1:8" s="25" customFormat="1" ht="12.75" x14ac:dyDescent="0.25">
      <c r="A355" s="126"/>
      <c r="B355" s="149"/>
      <c r="C355" s="201">
        <v>4431</v>
      </c>
      <c r="D355" s="202" t="s">
        <v>101</v>
      </c>
      <c r="E355" s="138">
        <v>6200</v>
      </c>
      <c r="F355" s="138">
        <v>7800</v>
      </c>
      <c r="G355" s="139"/>
      <c r="H355" s="138">
        <f t="shared" si="51"/>
        <v>14000</v>
      </c>
    </row>
    <row r="356" spans="1:8" s="25" customFormat="1" ht="25.5" x14ac:dyDescent="0.25">
      <c r="A356" s="126"/>
      <c r="B356" s="149"/>
      <c r="C356" s="117"/>
      <c r="D356" s="132" t="s">
        <v>117</v>
      </c>
      <c r="E356" s="133">
        <v>0</v>
      </c>
      <c r="F356" s="133">
        <f>SUM(F357:F364)</f>
        <v>77040</v>
      </c>
      <c r="G356" s="133">
        <f>SUM(G357:G364)</f>
        <v>0</v>
      </c>
      <c r="H356" s="133">
        <f>SUM(E356+F356-G356)</f>
        <v>77040</v>
      </c>
    </row>
    <row r="357" spans="1:8" s="25" customFormat="1" ht="12.75" x14ac:dyDescent="0.25">
      <c r="A357" s="126"/>
      <c r="B357" s="149"/>
      <c r="C357" s="10">
        <v>4117</v>
      </c>
      <c r="D357" s="11" t="s">
        <v>31</v>
      </c>
      <c r="E357" s="138">
        <v>0</v>
      </c>
      <c r="F357" s="138">
        <f>2653.57</f>
        <v>2653.57</v>
      </c>
      <c r="G357" s="138"/>
      <c r="H357" s="138">
        <f t="shared" ref="H357:H392" si="52">SUM(E357+F357-G357)</f>
        <v>2653.57</v>
      </c>
    </row>
    <row r="358" spans="1:8" s="25" customFormat="1" ht="12.75" x14ac:dyDescent="0.25">
      <c r="A358" s="126"/>
      <c r="B358" s="149"/>
      <c r="C358" s="10">
        <v>4127</v>
      </c>
      <c r="D358" s="11" t="s">
        <v>90</v>
      </c>
      <c r="E358" s="138">
        <v>0</v>
      </c>
      <c r="F358" s="138">
        <f>378.19</f>
        <v>378.19</v>
      </c>
      <c r="G358" s="138"/>
      <c r="H358" s="138">
        <f t="shared" si="52"/>
        <v>378.19</v>
      </c>
    </row>
    <row r="359" spans="1:8" s="25" customFormat="1" ht="12.75" x14ac:dyDescent="0.25">
      <c r="A359" s="126"/>
      <c r="B359" s="149"/>
      <c r="C359" s="10">
        <v>4177</v>
      </c>
      <c r="D359" s="11" t="s">
        <v>19</v>
      </c>
      <c r="E359" s="138">
        <v>0</v>
      </c>
      <c r="F359" s="138">
        <f>20436.69</f>
        <v>20436.689999999999</v>
      </c>
      <c r="G359" s="138"/>
      <c r="H359" s="138">
        <f t="shared" si="52"/>
        <v>20436.689999999999</v>
      </c>
    </row>
    <row r="360" spans="1:8" s="25" customFormat="1" ht="12.75" x14ac:dyDescent="0.25">
      <c r="A360" s="126"/>
      <c r="B360" s="149"/>
      <c r="C360" s="10">
        <v>4217</v>
      </c>
      <c r="D360" s="11" t="s">
        <v>27</v>
      </c>
      <c r="E360" s="138">
        <v>0</v>
      </c>
      <c r="F360" s="138">
        <f>2460</f>
        <v>2460</v>
      </c>
      <c r="G360" s="138"/>
      <c r="H360" s="138">
        <f t="shared" si="52"/>
        <v>2460</v>
      </c>
    </row>
    <row r="361" spans="1:8" s="25" customFormat="1" ht="12.75" x14ac:dyDescent="0.25">
      <c r="A361" s="126"/>
      <c r="B361" s="149"/>
      <c r="C361" s="10">
        <v>4227</v>
      </c>
      <c r="D361" s="156" t="s">
        <v>118</v>
      </c>
      <c r="E361" s="138">
        <v>0</v>
      </c>
      <c r="F361" s="138">
        <f>4000</f>
        <v>4000</v>
      </c>
      <c r="G361" s="138"/>
      <c r="H361" s="138">
        <f t="shared" si="52"/>
        <v>4000</v>
      </c>
    </row>
    <row r="362" spans="1:8" s="25" customFormat="1" ht="12.75" x14ac:dyDescent="0.25">
      <c r="A362" s="126"/>
      <c r="B362" s="149"/>
      <c r="C362" s="10">
        <v>4247</v>
      </c>
      <c r="D362" s="11" t="s">
        <v>119</v>
      </c>
      <c r="E362" s="138">
        <v>0</v>
      </c>
      <c r="F362" s="138">
        <f>3000</f>
        <v>3000</v>
      </c>
      <c r="G362" s="138"/>
      <c r="H362" s="138">
        <f t="shared" si="52"/>
        <v>3000</v>
      </c>
    </row>
    <row r="363" spans="1:8" s="25" customFormat="1" ht="12.75" x14ac:dyDescent="0.25">
      <c r="A363" s="126"/>
      <c r="B363" s="149"/>
      <c r="C363" s="10">
        <v>4307</v>
      </c>
      <c r="D363" s="11" t="s">
        <v>120</v>
      </c>
      <c r="E363" s="138">
        <v>0</v>
      </c>
      <c r="F363" s="138">
        <f>43880</f>
        <v>43880</v>
      </c>
      <c r="G363" s="138"/>
      <c r="H363" s="138">
        <f t="shared" si="52"/>
        <v>43880</v>
      </c>
    </row>
    <row r="364" spans="1:8" s="25" customFormat="1" ht="12.75" x14ac:dyDescent="0.25">
      <c r="A364" s="126"/>
      <c r="B364" s="149"/>
      <c r="C364" s="10">
        <v>4717</v>
      </c>
      <c r="D364" s="21" t="s">
        <v>85</v>
      </c>
      <c r="E364" s="138">
        <v>0</v>
      </c>
      <c r="F364" s="138">
        <f>231.55</f>
        <v>231.55</v>
      </c>
      <c r="G364" s="138"/>
      <c r="H364" s="138">
        <f t="shared" si="52"/>
        <v>231.55</v>
      </c>
    </row>
    <row r="365" spans="1:8" s="25" customFormat="1" ht="25.5" customHeight="1" x14ac:dyDescent="0.25">
      <c r="A365" s="126"/>
      <c r="B365" s="149"/>
      <c r="C365" s="117"/>
      <c r="D365" s="23" t="s">
        <v>163</v>
      </c>
      <c r="E365" s="133">
        <v>4664269.4399999995</v>
      </c>
      <c r="F365" s="133">
        <f>SUM(F366:F381)</f>
        <v>1681713.0599999998</v>
      </c>
      <c r="G365" s="133">
        <f>SUM(G366:G381)</f>
        <v>1261833.5900000001</v>
      </c>
      <c r="H365" s="133">
        <f>SUM(E365+F365-G365)</f>
        <v>5084148.9099999992</v>
      </c>
    </row>
    <row r="366" spans="1:8" s="25" customFormat="1" ht="38.25" x14ac:dyDescent="0.25">
      <c r="A366" s="126"/>
      <c r="B366" s="149"/>
      <c r="C366" s="146">
        <v>2837</v>
      </c>
      <c r="D366" s="148" t="s">
        <v>164</v>
      </c>
      <c r="E366" s="138">
        <v>0</v>
      </c>
      <c r="F366" s="138">
        <v>396690</v>
      </c>
      <c r="G366" s="138"/>
      <c r="H366" s="138">
        <f t="shared" ref="H366:H390" si="53">SUM(E366+F366-G366)</f>
        <v>396690</v>
      </c>
    </row>
    <row r="367" spans="1:8" s="25" customFormat="1" ht="38.25" x14ac:dyDescent="0.25">
      <c r="A367" s="158"/>
      <c r="B367" s="185"/>
      <c r="C367" s="203">
        <v>2839</v>
      </c>
      <c r="D367" s="152" t="s">
        <v>164</v>
      </c>
      <c r="E367" s="129">
        <v>0</v>
      </c>
      <c r="F367" s="129">
        <v>23310</v>
      </c>
      <c r="G367" s="129"/>
      <c r="H367" s="129">
        <f t="shared" si="53"/>
        <v>23310</v>
      </c>
    </row>
    <row r="368" spans="1:8" s="25" customFormat="1" ht="12.75" x14ac:dyDescent="0.25">
      <c r="A368" s="126"/>
      <c r="B368" s="149"/>
      <c r="C368" s="153">
        <v>3247</v>
      </c>
      <c r="D368" s="154" t="s">
        <v>165</v>
      </c>
      <c r="E368" s="138">
        <v>0</v>
      </c>
      <c r="F368" s="138">
        <v>1189163.28</v>
      </c>
      <c r="G368" s="138"/>
      <c r="H368" s="138">
        <f t="shared" si="53"/>
        <v>1189163.28</v>
      </c>
    </row>
    <row r="369" spans="1:8" s="25" customFormat="1" ht="12.75" x14ac:dyDescent="0.25">
      <c r="A369" s="126"/>
      <c r="B369" s="149"/>
      <c r="C369" s="153">
        <v>3249</v>
      </c>
      <c r="D369" s="154" t="s">
        <v>165</v>
      </c>
      <c r="E369" s="138">
        <v>0</v>
      </c>
      <c r="F369" s="138">
        <v>69876.72</v>
      </c>
      <c r="G369" s="138"/>
      <c r="H369" s="138">
        <f t="shared" si="53"/>
        <v>69876.72</v>
      </c>
    </row>
    <row r="370" spans="1:8" s="25" customFormat="1" ht="12.75" x14ac:dyDescent="0.25">
      <c r="A370" s="126"/>
      <c r="B370" s="149"/>
      <c r="C370" s="149">
        <v>4017</v>
      </c>
      <c r="D370" s="156" t="s">
        <v>99</v>
      </c>
      <c r="E370" s="138">
        <v>91805.4</v>
      </c>
      <c r="F370" s="138">
        <v>1768.25</v>
      </c>
      <c r="G370" s="138"/>
      <c r="H370" s="138">
        <f t="shared" si="53"/>
        <v>93573.65</v>
      </c>
    </row>
    <row r="371" spans="1:8" s="25" customFormat="1" ht="12.75" x14ac:dyDescent="0.25">
      <c r="A371" s="126"/>
      <c r="B371" s="149"/>
      <c r="C371" s="149">
        <v>4019</v>
      </c>
      <c r="D371" s="156" t="s">
        <v>99</v>
      </c>
      <c r="E371" s="138">
        <v>5394.6</v>
      </c>
      <c r="F371" s="138">
        <v>103.92</v>
      </c>
      <c r="G371" s="138"/>
      <c r="H371" s="138">
        <f t="shared" si="53"/>
        <v>5498.52</v>
      </c>
    </row>
    <row r="372" spans="1:8" s="25" customFormat="1" ht="12.75" x14ac:dyDescent="0.25">
      <c r="A372" s="126"/>
      <c r="B372" s="149"/>
      <c r="C372" s="10">
        <v>4117</v>
      </c>
      <c r="D372" s="20" t="s">
        <v>31</v>
      </c>
      <c r="E372" s="138">
        <v>15781.35</v>
      </c>
      <c r="F372" s="138">
        <v>756.42</v>
      </c>
      <c r="G372" s="138"/>
      <c r="H372" s="138">
        <f t="shared" si="53"/>
        <v>16537.77</v>
      </c>
    </row>
    <row r="373" spans="1:8" s="25" customFormat="1" ht="12.75" x14ac:dyDescent="0.25">
      <c r="A373" s="126"/>
      <c r="B373" s="149"/>
      <c r="C373" s="10">
        <v>4119</v>
      </c>
      <c r="D373" s="20" t="s">
        <v>31</v>
      </c>
      <c r="E373" s="138">
        <v>927.33</v>
      </c>
      <c r="F373" s="138">
        <v>44.47</v>
      </c>
      <c r="G373" s="138"/>
      <c r="H373" s="138">
        <f t="shared" si="53"/>
        <v>971.80000000000007</v>
      </c>
    </row>
    <row r="374" spans="1:8" s="25" customFormat="1" ht="12.75" x14ac:dyDescent="0.25">
      <c r="A374" s="126"/>
      <c r="B374" s="149"/>
      <c r="C374" s="10">
        <v>4127</v>
      </c>
      <c r="D374" s="156" t="s">
        <v>20</v>
      </c>
      <c r="E374" s="138">
        <v>2249.23</v>
      </c>
      <c r="F374" s="138"/>
      <c r="G374" s="138">
        <v>1399.56</v>
      </c>
      <c r="H374" s="138">
        <f t="shared" si="53"/>
        <v>849.67000000000007</v>
      </c>
    </row>
    <row r="375" spans="1:8" s="25" customFormat="1" ht="12.75" x14ac:dyDescent="0.25">
      <c r="A375" s="126"/>
      <c r="B375" s="149"/>
      <c r="C375" s="10">
        <v>4129</v>
      </c>
      <c r="D375" s="156" t="s">
        <v>20</v>
      </c>
      <c r="E375" s="138">
        <v>132.16999999999999</v>
      </c>
      <c r="F375" s="138"/>
      <c r="G375" s="138">
        <v>82.28</v>
      </c>
      <c r="H375" s="138">
        <f t="shared" si="53"/>
        <v>49.889999999999986</v>
      </c>
    </row>
    <row r="376" spans="1:8" s="25" customFormat="1" ht="12.75" x14ac:dyDescent="0.25">
      <c r="A376" s="126"/>
      <c r="B376" s="149"/>
      <c r="C376" s="10">
        <v>4177</v>
      </c>
      <c r="D376" s="11" t="s">
        <v>19</v>
      </c>
      <c r="E376" s="138">
        <v>4722.5</v>
      </c>
      <c r="F376" s="138"/>
      <c r="G376" s="138">
        <v>683.82</v>
      </c>
      <c r="H376" s="138">
        <f t="shared" si="53"/>
        <v>4038.68</v>
      </c>
    </row>
    <row r="377" spans="1:8" s="25" customFormat="1" ht="12.75" x14ac:dyDescent="0.25">
      <c r="A377" s="126"/>
      <c r="B377" s="149"/>
      <c r="C377" s="10">
        <v>4179</v>
      </c>
      <c r="D377" s="11" t="s">
        <v>19</v>
      </c>
      <c r="E377" s="138">
        <v>277.5</v>
      </c>
      <c r="F377" s="138"/>
      <c r="G377" s="138">
        <v>40.18</v>
      </c>
      <c r="H377" s="138">
        <f t="shared" si="53"/>
        <v>237.32</v>
      </c>
    </row>
    <row r="378" spans="1:8" s="25" customFormat="1" ht="12.75" x14ac:dyDescent="0.25">
      <c r="A378" s="126"/>
      <c r="B378" s="149"/>
      <c r="C378" s="153">
        <v>4247</v>
      </c>
      <c r="D378" s="154" t="s">
        <v>95</v>
      </c>
      <c r="E378" s="138">
        <v>2511340.4900000002</v>
      </c>
      <c r="F378" s="138"/>
      <c r="G378" s="138">
        <v>1189163.28</v>
      </c>
      <c r="H378" s="138">
        <f t="shared" si="53"/>
        <v>1322177.2100000002</v>
      </c>
    </row>
    <row r="379" spans="1:8" s="25" customFormat="1" ht="12.75" x14ac:dyDescent="0.25">
      <c r="A379" s="126"/>
      <c r="B379" s="149"/>
      <c r="C379" s="153">
        <v>4249</v>
      </c>
      <c r="D379" s="154" t="s">
        <v>95</v>
      </c>
      <c r="E379" s="138">
        <v>147569.51</v>
      </c>
      <c r="F379" s="138"/>
      <c r="G379" s="138">
        <v>69876.72</v>
      </c>
      <c r="H379" s="138">
        <f t="shared" si="53"/>
        <v>77692.790000000008</v>
      </c>
    </row>
    <row r="380" spans="1:8" s="25" customFormat="1" ht="12.75" x14ac:dyDescent="0.25">
      <c r="A380" s="126"/>
      <c r="B380" s="149"/>
      <c r="C380" s="149">
        <v>4717</v>
      </c>
      <c r="D380" s="156" t="s">
        <v>85</v>
      </c>
      <c r="E380" s="138">
        <v>1377.08</v>
      </c>
      <c r="F380" s="138"/>
      <c r="G380" s="138">
        <v>555.16999999999996</v>
      </c>
      <c r="H380" s="138">
        <f t="shared" si="53"/>
        <v>821.91</v>
      </c>
    </row>
    <row r="381" spans="1:8" s="25" customFormat="1" ht="12.75" x14ac:dyDescent="0.25">
      <c r="A381" s="126"/>
      <c r="B381" s="149"/>
      <c r="C381" s="149">
        <v>4719</v>
      </c>
      <c r="D381" s="156" t="s">
        <v>85</v>
      </c>
      <c r="E381" s="138">
        <v>80.92</v>
      </c>
      <c r="F381" s="138"/>
      <c r="G381" s="138">
        <v>32.58</v>
      </c>
      <c r="H381" s="138">
        <f t="shared" si="53"/>
        <v>48.34</v>
      </c>
    </row>
    <row r="382" spans="1:8" s="25" customFormat="1" ht="25.5" x14ac:dyDescent="0.25">
      <c r="A382" s="126"/>
      <c r="B382" s="149"/>
      <c r="C382" s="117"/>
      <c r="D382" s="23" t="s">
        <v>166</v>
      </c>
      <c r="E382" s="133">
        <v>1195468.0000000002</v>
      </c>
      <c r="F382" s="133">
        <f>SUM(F383:F390)</f>
        <v>0</v>
      </c>
      <c r="G382" s="133">
        <f>SUM(G383:G390)</f>
        <v>419879.47</v>
      </c>
      <c r="H382" s="133">
        <f t="shared" si="53"/>
        <v>775588.53000000026</v>
      </c>
    </row>
    <row r="383" spans="1:8" s="25" customFormat="1" ht="12.75" x14ac:dyDescent="0.25">
      <c r="A383" s="126"/>
      <c r="B383" s="149"/>
      <c r="C383" s="10">
        <v>4117</v>
      </c>
      <c r="D383" s="20" t="s">
        <v>31</v>
      </c>
      <c r="E383" s="138">
        <v>160223.37</v>
      </c>
      <c r="F383" s="138"/>
      <c r="G383" s="138">
        <v>56291.13</v>
      </c>
      <c r="H383" s="138">
        <f t="shared" si="53"/>
        <v>103932.23999999999</v>
      </c>
    </row>
    <row r="384" spans="1:8" s="25" customFormat="1" ht="12.75" x14ac:dyDescent="0.25">
      <c r="A384" s="126"/>
      <c r="B384" s="149"/>
      <c r="C384" s="10">
        <v>4119</v>
      </c>
      <c r="D384" s="20" t="s">
        <v>31</v>
      </c>
      <c r="E384" s="138">
        <v>9434.6299999999992</v>
      </c>
      <c r="F384" s="138"/>
      <c r="G384" s="138">
        <v>3307.71</v>
      </c>
      <c r="H384" s="138">
        <f t="shared" si="53"/>
        <v>6126.9199999999992</v>
      </c>
    </row>
    <row r="385" spans="1:8" s="25" customFormat="1" ht="12.75" x14ac:dyDescent="0.25">
      <c r="A385" s="126"/>
      <c r="B385" s="149"/>
      <c r="C385" s="10">
        <v>4127</v>
      </c>
      <c r="D385" s="156" t="s">
        <v>20</v>
      </c>
      <c r="E385" s="138">
        <v>22837.99</v>
      </c>
      <c r="F385" s="138"/>
      <c r="G385" s="138">
        <v>7908.96</v>
      </c>
      <c r="H385" s="138">
        <f t="shared" si="53"/>
        <v>14929.030000000002</v>
      </c>
    </row>
    <row r="386" spans="1:8" s="25" customFormat="1" ht="12.75" x14ac:dyDescent="0.25">
      <c r="A386" s="126"/>
      <c r="B386" s="149"/>
      <c r="C386" s="10">
        <v>4129</v>
      </c>
      <c r="D386" s="156" t="s">
        <v>20</v>
      </c>
      <c r="E386" s="138">
        <v>1349.01</v>
      </c>
      <c r="F386" s="138"/>
      <c r="G386" s="138">
        <v>464.8</v>
      </c>
      <c r="H386" s="138">
        <f t="shared" si="53"/>
        <v>884.21</v>
      </c>
    </row>
    <row r="387" spans="1:8" s="25" customFormat="1" ht="12.75" x14ac:dyDescent="0.25">
      <c r="A387" s="126"/>
      <c r="B387" s="149"/>
      <c r="C387" s="149">
        <v>4717</v>
      </c>
      <c r="D387" s="156" t="s">
        <v>85</v>
      </c>
      <c r="E387" s="138">
        <v>13899.5</v>
      </c>
      <c r="F387" s="138"/>
      <c r="G387" s="138">
        <v>4911.97</v>
      </c>
      <c r="H387" s="138">
        <f t="shared" si="53"/>
        <v>8987.5299999999988</v>
      </c>
    </row>
    <row r="388" spans="1:8" s="25" customFormat="1" ht="12.75" x14ac:dyDescent="0.25">
      <c r="A388" s="126"/>
      <c r="B388" s="149"/>
      <c r="C388" s="149">
        <v>4719</v>
      </c>
      <c r="D388" s="156" t="s">
        <v>85</v>
      </c>
      <c r="E388" s="138">
        <v>832.5</v>
      </c>
      <c r="F388" s="138"/>
      <c r="G388" s="138">
        <v>288.61</v>
      </c>
      <c r="H388" s="138">
        <f t="shared" si="53"/>
        <v>543.89</v>
      </c>
    </row>
    <row r="389" spans="1:8" s="25" customFormat="1" ht="12.75" x14ac:dyDescent="0.25">
      <c r="A389" s="126"/>
      <c r="B389" s="149"/>
      <c r="C389" s="117" t="s">
        <v>167</v>
      </c>
      <c r="D389" s="25" t="s">
        <v>102</v>
      </c>
      <c r="E389" s="138">
        <v>835521.68</v>
      </c>
      <c r="F389" s="138"/>
      <c r="G389" s="138">
        <v>327464.06</v>
      </c>
      <c r="H389" s="138">
        <f t="shared" si="53"/>
        <v>508057.62000000005</v>
      </c>
    </row>
    <row r="390" spans="1:8" s="25" customFormat="1" ht="12.75" x14ac:dyDescent="0.25">
      <c r="A390" s="126"/>
      <c r="B390" s="149"/>
      <c r="C390" s="117" t="s">
        <v>168</v>
      </c>
      <c r="D390" s="25" t="s">
        <v>102</v>
      </c>
      <c r="E390" s="138">
        <v>49096.32</v>
      </c>
      <c r="F390" s="138"/>
      <c r="G390" s="138">
        <v>19242.23</v>
      </c>
      <c r="H390" s="138">
        <f t="shared" si="53"/>
        <v>29854.09</v>
      </c>
    </row>
    <row r="391" spans="1:8" s="25" customFormat="1" ht="12" customHeight="1" thickBot="1" x14ac:dyDescent="0.3">
      <c r="A391" s="140">
        <v>854</v>
      </c>
      <c r="B391" s="140"/>
      <c r="C391" s="123"/>
      <c r="D391" s="124" t="s">
        <v>133</v>
      </c>
      <c r="E391" s="121">
        <v>35438102.200000003</v>
      </c>
      <c r="F391" s="125">
        <f>SUM(F392,F400)</f>
        <v>48050</v>
      </c>
      <c r="G391" s="125">
        <f>SUM(G392,G400)</f>
        <v>40000</v>
      </c>
      <c r="H391" s="121">
        <f t="shared" si="52"/>
        <v>35446152.200000003</v>
      </c>
    </row>
    <row r="392" spans="1:8" s="25" customFormat="1" ht="12" customHeight="1" thickTop="1" x14ac:dyDescent="0.25">
      <c r="A392" s="140"/>
      <c r="B392" s="204">
        <v>85406</v>
      </c>
      <c r="C392" s="117"/>
      <c r="D392" s="205" t="s">
        <v>45</v>
      </c>
      <c r="E392" s="129">
        <v>6269155.5199999996</v>
      </c>
      <c r="F392" s="128">
        <f>SUM(F393)</f>
        <v>40000</v>
      </c>
      <c r="G392" s="128">
        <f>SUM(G393)</f>
        <v>40000</v>
      </c>
      <c r="H392" s="129">
        <f t="shared" si="52"/>
        <v>6269155.5199999996</v>
      </c>
    </row>
    <row r="393" spans="1:8" s="25" customFormat="1" ht="12" customHeight="1" x14ac:dyDescent="0.25">
      <c r="A393" s="140"/>
      <c r="B393" s="149"/>
      <c r="C393" s="117"/>
      <c r="D393" s="160" t="s">
        <v>92</v>
      </c>
      <c r="E393" s="133">
        <v>6145250.5</v>
      </c>
      <c r="F393" s="133">
        <f>SUM(F394:F398)</f>
        <v>40000</v>
      </c>
      <c r="G393" s="133">
        <f>SUM(G394:G398)</f>
        <v>40000</v>
      </c>
      <c r="H393" s="133">
        <f>SUM(E393+F393-G393)</f>
        <v>6145250.5</v>
      </c>
    </row>
    <row r="394" spans="1:8" s="25" customFormat="1" ht="12" customHeight="1" x14ac:dyDescent="0.25">
      <c r="A394" s="140"/>
      <c r="B394" s="149"/>
      <c r="C394" s="153">
        <v>4040</v>
      </c>
      <c r="D394" s="154" t="s">
        <v>84</v>
      </c>
      <c r="E394" s="138">
        <v>46285</v>
      </c>
      <c r="F394" s="138"/>
      <c r="G394" s="138">
        <v>3378</v>
      </c>
      <c r="H394" s="138">
        <f t="shared" ref="H394:H398" si="54">SUM(E394+F394-G394)</f>
        <v>42907</v>
      </c>
    </row>
    <row r="395" spans="1:8" s="25" customFormat="1" ht="12" customHeight="1" x14ac:dyDescent="0.25">
      <c r="A395" s="140"/>
      <c r="B395" s="149"/>
      <c r="C395" s="153">
        <v>4140</v>
      </c>
      <c r="D395" s="143" t="s">
        <v>80</v>
      </c>
      <c r="E395" s="138">
        <v>30500</v>
      </c>
      <c r="F395" s="138">
        <v>30000</v>
      </c>
      <c r="G395" s="138"/>
      <c r="H395" s="138">
        <f t="shared" si="54"/>
        <v>60500</v>
      </c>
    </row>
    <row r="396" spans="1:8" s="25" customFormat="1" ht="12" customHeight="1" x14ac:dyDescent="0.25">
      <c r="A396" s="140"/>
      <c r="B396" s="149"/>
      <c r="C396" s="153">
        <v>4260</v>
      </c>
      <c r="D396" s="154" t="s">
        <v>100</v>
      </c>
      <c r="E396" s="138">
        <v>102416</v>
      </c>
      <c r="F396" s="138"/>
      <c r="G396" s="138">
        <v>4321</v>
      </c>
      <c r="H396" s="138">
        <f t="shared" si="54"/>
        <v>98095</v>
      </c>
    </row>
    <row r="397" spans="1:8" s="25" customFormat="1" ht="12" customHeight="1" x14ac:dyDescent="0.25">
      <c r="A397" s="140"/>
      <c r="B397" s="149"/>
      <c r="C397" s="117">
        <v>4300</v>
      </c>
      <c r="D397" s="156" t="s">
        <v>16</v>
      </c>
      <c r="E397" s="138">
        <v>56440</v>
      </c>
      <c r="F397" s="138">
        <v>10000</v>
      </c>
      <c r="G397" s="138"/>
      <c r="H397" s="138">
        <f t="shared" si="54"/>
        <v>66440</v>
      </c>
    </row>
    <row r="398" spans="1:8" s="25" customFormat="1" ht="12" customHeight="1" x14ac:dyDescent="0.25">
      <c r="A398" s="122"/>
      <c r="B398" s="116"/>
      <c r="C398" s="153">
        <v>4800</v>
      </c>
      <c r="D398" s="176" t="s">
        <v>97</v>
      </c>
      <c r="E398" s="206">
        <v>331398</v>
      </c>
      <c r="F398" s="139"/>
      <c r="G398" s="139">
        <v>32301</v>
      </c>
      <c r="H398" s="138">
        <f t="shared" si="54"/>
        <v>299097</v>
      </c>
    </row>
    <row r="399" spans="1:8" s="25" customFormat="1" ht="12" customHeight="1" x14ac:dyDescent="0.25">
      <c r="A399" s="122"/>
      <c r="B399" s="149">
        <v>85412</v>
      </c>
      <c r="C399" s="126"/>
      <c r="D399" s="156" t="s">
        <v>134</v>
      </c>
      <c r="E399" s="190"/>
      <c r="F399" s="190"/>
      <c r="G399" s="190"/>
      <c r="H399" s="190"/>
    </row>
    <row r="400" spans="1:8" s="25" customFormat="1" ht="12" customHeight="1" x14ac:dyDescent="0.25">
      <c r="A400" s="122"/>
      <c r="B400" s="130"/>
      <c r="C400" s="126"/>
      <c r="D400" s="127" t="s">
        <v>135</v>
      </c>
      <c r="E400" s="129">
        <v>7660</v>
      </c>
      <c r="F400" s="129">
        <f>SUM(F401)</f>
        <v>8050</v>
      </c>
      <c r="G400" s="129">
        <f>SUM(G401)</f>
        <v>0</v>
      </c>
      <c r="H400" s="129">
        <f>SUM(E400+F400-G400)</f>
        <v>15710</v>
      </c>
    </row>
    <row r="401" spans="1:8" s="25" customFormat="1" ht="12" customHeight="1" x14ac:dyDescent="0.25">
      <c r="A401" s="122"/>
      <c r="B401" s="126"/>
      <c r="C401" s="117"/>
      <c r="D401" s="160" t="s">
        <v>92</v>
      </c>
      <c r="E401" s="133">
        <v>7660</v>
      </c>
      <c r="F401" s="133">
        <f>SUM(F402:F407)</f>
        <v>8050</v>
      </c>
      <c r="G401" s="133">
        <f>SUM(G402:G407)</f>
        <v>0</v>
      </c>
      <c r="H401" s="133">
        <f>SUM(E401+F401-G401)</f>
        <v>15710</v>
      </c>
    </row>
    <row r="402" spans="1:8" s="25" customFormat="1" ht="12" customHeight="1" x14ac:dyDescent="0.25">
      <c r="A402" s="122"/>
      <c r="B402" s="126"/>
      <c r="C402" s="149">
        <v>4110</v>
      </c>
      <c r="D402" s="156" t="s">
        <v>74</v>
      </c>
      <c r="E402" s="138">
        <v>695</v>
      </c>
      <c r="F402" s="138">
        <v>694</v>
      </c>
      <c r="G402" s="138"/>
      <c r="H402" s="139">
        <f>SUM(E402+F402-G402)</f>
        <v>1389</v>
      </c>
    </row>
    <row r="403" spans="1:8" s="25" customFormat="1" ht="12" customHeight="1" x14ac:dyDescent="0.25">
      <c r="A403" s="122"/>
      <c r="B403" s="126"/>
      <c r="C403" s="149">
        <v>4120</v>
      </c>
      <c r="D403" s="156" t="s">
        <v>20</v>
      </c>
      <c r="E403" s="138">
        <v>47</v>
      </c>
      <c r="F403" s="138">
        <v>71</v>
      </c>
      <c r="G403" s="138"/>
      <c r="H403" s="139">
        <f t="shared" ref="H403:H407" si="55">SUM(E403+F403-G403)</f>
        <v>118</v>
      </c>
    </row>
    <row r="404" spans="1:8" s="25" customFormat="1" ht="12" customHeight="1" x14ac:dyDescent="0.25">
      <c r="A404" s="122"/>
      <c r="B404" s="126"/>
      <c r="C404" s="117" t="s">
        <v>136</v>
      </c>
      <c r="D404" s="173" t="s">
        <v>19</v>
      </c>
      <c r="E404" s="138">
        <v>4043</v>
      </c>
      <c r="F404" s="138">
        <v>4035</v>
      </c>
      <c r="G404" s="138"/>
      <c r="H404" s="139">
        <f t="shared" si="55"/>
        <v>8078</v>
      </c>
    </row>
    <row r="405" spans="1:8" s="25" customFormat="1" ht="12" customHeight="1" x14ac:dyDescent="0.25">
      <c r="A405" s="122"/>
      <c r="B405" s="126"/>
      <c r="C405" s="149">
        <v>4210</v>
      </c>
      <c r="D405" s="156" t="s">
        <v>94</v>
      </c>
      <c r="E405" s="138">
        <v>762.6</v>
      </c>
      <c r="F405" s="138">
        <v>988</v>
      </c>
      <c r="G405" s="138"/>
      <c r="H405" s="139">
        <f t="shared" si="55"/>
        <v>1750.6</v>
      </c>
    </row>
    <row r="406" spans="1:8" s="25" customFormat="1" ht="12" customHeight="1" x14ac:dyDescent="0.25">
      <c r="A406" s="122"/>
      <c r="B406" s="126"/>
      <c r="C406" s="149">
        <v>4220</v>
      </c>
      <c r="D406" s="156" t="s">
        <v>118</v>
      </c>
      <c r="E406" s="138">
        <v>1040</v>
      </c>
      <c r="F406" s="138">
        <v>1040</v>
      </c>
      <c r="G406" s="138"/>
      <c r="H406" s="139">
        <f t="shared" si="55"/>
        <v>2080</v>
      </c>
    </row>
    <row r="407" spans="1:8" s="25" customFormat="1" ht="12" customHeight="1" x14ac:dyDescent="0.25">
      <c r="A407" s="122"/>
      <c r="B407" s="126"/>
      <c r="C407" s="126">
        <v>4300</v>
      </c>
      <c r="D407" s="156" t="s">
        <v>16</v>
      </c>
      <c r="E407" s="138">
        <v>1057.4000000000001</v>
      </c>
      <c r="F407" s="138">
        <v>1222</v>
      </c>
      <c r="G407" s="138"/>
      <c r="H407" s="139">
        <f t="shared" si="55"/>
        <v>2279.4</v>
      </c>
    </row>
    <row r="408" spans="1:8" s="25" customFormat="1" ht="20.25" customHeight="1" thickBot="1" x14ac:dyDescent="0.3">
      <c r="A408" s="116"/>
      <c r="B408" s="126"/>
      <c r="C408" s="149"/>
      <c r="D408" s="120" t="s">
        <v>169</v>
      </c>
      <c r="E408" s="121">
        <v>57363007.159999996</v>
      </c>
      <c r="F408" s="121">
        <f>SUM(F409,F414)</f>
        <v>53403</v>
      </c>
      <c r="G408" s="121">
        <f>SUM(G409,G414)</f>
        <v>13570</v>
      </c>
      <c r="H408" s="121">
        <f t="shared" si="51"/>
        <v>57402840.159999996</v>
      </c>
    </row>
    <row r="409" spans="1:8" s="25" customFormat="1" ht="16.5" customHeight="1" thickTop="1" thickBot="1" x14ac:dyDescent="0.3">
      <c r="A409" s="1">
        <v>852</v>
      </c>
      <c r="B409" s="1"/>
      <c r="C409" s="10"/>
      <c r="D409" s="24" t="s">
        <v>52</v>
      </c>
      <c r="E409" s="121">
        <v>6731680.6699999999</v>
      </c>
      <c r="F409" s="121">
        <f>SUM(F410,)</f>
        <v>32945</v>
      </c>
      <c r="G409" s="121">
        <f>SUM(G410,)</f>
        <v>0</v>
      </c>
      <c r="H409" s="121">
        <f t="shared" si="51"/>
        <v>6764625.6699999999</v>
      </c>
    </row>
    <row r="410" spans="1:8" s="25" customFormat="1" ht="12" customHeight="1" thickTop="1" x14ac:dyDescent="0.25">
      <c r="A410" s="126"/>
      <c r="B410" s="126">
        <v>85219</v>
      </c>
      <c r="C410" s="117"/>
      <c r="D410" s="127" t="s">
        <v>59</v>
      </c>
      <c r="E410" s="129">
        <v>145767</v>
      </c>
      <c r="F410" s="128">
        <f>SUM(F411)</f>
        <v>32945</v>
      </c>
      <c r="G410" s="128">
        <f>SUM(G411)</f>
        <v>0</v>
      </c>
      <c r="H410" s="129">
        <f t="shared" si="51"/>
        <v>178712</v>
      </c>
    </row>
    <row r="411" spans="1:8" s="25" customFormat="1" ht="12" customHeight="1" x14ac:dyDescent="0.25">
      <c r="A411" s="126"/>
      <c r="B411" s="4"/>
      <c r="C411" s="2"/>
      <c r="D411" s="19" t="s">
        <v>170</v>
      </c>
      <c r="E411" s="178">
        <v>145767</v>
      </c>
      <c r="F411" s="134">
        <f>SUM(F412:F413)</f>
        <v>32945</v>
      </c>
      <c r="G411" s="134">
        <f>SUM(G412:G413)</f>
        <v>0</v>
      </c>
      <c r="H411" s="133">
        <f t="shared" si="51"/>
        <v>178712</v>
      </c>
    </row>
    <row r="412" spans="1:8" s="25" customFormat="1" ht="12" customHeight="1" x14ac:dyDescent="0.25">
      <c r="A412" s="126"/>
      <c r="B412" s="4"/>
      <c r="C412" s="149">
        <v>3110</v>
      </c>
      <c r="D412" s="156" t="s">
        <v>130</v>
      </c>
      <c r="E412" s="138">
        <v>143603</v>
      </c>
      <c r="F412" s="138">
        <v>32451</v>
      </c>
      <c r="G412" s="138"/>
      <c r="H412" s="139">
        <f t="shared" si="51"/>
        <v>176054</v>
      </c>
    </row>
    <row r="413" spans="1:8" s="25" customFormat="1" ht="12" customHeight="1" x14ac:dyDescent="0.25">
      <c r="A413" s="126"/>
      <c r="B413" s="126"/>
      <c r="C413" s="117" t="s">
        <v>93</v>
      </c>
      <c r="D413" s="156" t="s">
        <v>94</v>
      </c>
      <c r="E413" s="138">
        <v>2164</v>
      </c>
      <c r="F413" s="138">
        <v>494</v>
      </c>
      <c r="G413" s="138"/>
      <c r="H413" s="139">
        <f t="shared" si="51"/>
        <v>2658</v>
      </c>
    </row>
    <row r="414" spans="1:8" s="25" customFormat="1" ht="12" customHeight="1" thickBot="1" x14ac:dyDescent="0.3">
      <c r="A414" s="140">
        <v>855</v>
      </c>
      <c r="B414" s="140"/>
      <c r="C414" s="123"/>
      <c r="D414" s="124" t="s">
        <v>38</v>
      </c>
      <c r="E414" s="121">
        <v>44224792</v>
      </c>
      <c r="F414" s="121">
        <f>SUM(F415,F422)</f>
        <v>20458</v>
      </c>
      <c r="G414" s="121">
        <f>SUM(G415,G422)</f>
        <v>13570</v>
      </c>
      <c r="H414" s="121">
        <f t="shared" si="51"/>
        <v>44231680</v>
      </c>
    </row>
    <row r="415" spans="1:8" s="25" customFormat="1" ht="36.75" customHeight="1" thickTop="1" x14ac:dyDescent="0.25">
      <c r="A415" s="140"/>
      <c r="B415" s="146">
        <v>85502</v>
      </c>
      <c r="C415" s="117"/>
      <c r="D415" s="147" t="s">
        <v>39</v>
      </c>
      <c r="E415" s="129">
        <v>43607854</v>
      </c>
      <c r="F415" s="128">
        <f>SUM(F416,F418)</f>
        <v>19500</v>
      </c>
      <c r="G415" s="128">
        <f>SUM(G416,G418)</f>
        <v>13570</v>
      </c>
      <c r="H415" s="129">
        <f t="shared" si="51"/>
        <v>43613784</v>
      </c>
    </row>
    <row r="416" spans="1:8" s="25" customFormat="1" ht="12" customHeight="1" x14ac:dyDescent="0.25">
      <c r="A416" s="140"/>
      <c r="B416" s="146"/>
      <c r="C416" s="2"/>
      <c r="D416" s="19" t="s">
        <v>170</v>
      </c>
      <c r="E416" s="178">
        <v>43607854</v>
      </c>
      <c r="F416" s="134">
        <f>SUM(F417:F417)</f>
        <v>0</v>
      </c>
      <c r="G416" s="134">
        <f>SUM(G417:G417)</f>
        <v>13570</v>
      </c>
      <c r="H416" s="133">
        <f t="shared" si="51"/>
        <v>43594284</v>
      </c>
    </row>
    <row r="417" spans="1:8" s="25" customFormat="1" ht="12" customHeight="1" x14ac:dyDescent="0.25">
      <c r="A417" s="140"/>
      <c r="B417" s="146"/>
      <c r="C417" s="149">
        <v>3110</v>
      </c>
      <c r="D417" s="156" t="s">
        <v>130</v>
      </c>
      <c r="E417" s="138">
        <v>38257858</v>
      </c>
      <c r="F417" s="138"/>
      <c r="G417" s="138">
        <v>13570</v>
      </c>
      <c r="H417" s="139">
        <f t="shared" si="51"/>
        <v>38244288</v>
      </c>
    </row>
    <row r="418" spans="1:8" s="25" customFormat="1" ht="12" customHeight="1" x14ac:dyDescent="0.25">
      <c r="A418" s="126"/>
      <c r="B418" s="4"/>
      <c r="C418" s="2"/>
      <c r="D418" s="19" t="s">
        <v>171</v>
      </c>
      <c r="E418" s="133">
        <v>0</v>
      </c>
      <c r="F418" s="134">
        <f>SUM(F419:F421)</f>
        <v>19500</v>
      </c>
      <c r="G418" s="134">
        <f>SUM(G419:G421)</f>
        <v>0</v>
      </c>
      <c r="H418" s="133">
        <f t="shared" si="51"/>
        <v>19500</v>
      </c>
    </row>
    <row r="419" spans="1:8" s="25" customFormat="1" ht="12" customHeight="1" x14ac:dyDescent="0.25">
      <c r="A419" s="126"/>
      <c r="B419" s="4"/>
      <c r="C419" s="149">
        <v>3110</v>
      </c>
      <c r="D419" s="156" t="s">
        <v>130</v>
      </c>
      <c r="E419" s="138">
        <v>0</v>
      </c>
      <c r="F419" s="138">
        <v>17500</v>
      </c>
      <c r="G419" s="138"/>
      <c r="H419" s="139">
        <f t="shared" si="51"/>
        <v>17500</v>
      </c>
    </row>
    <row r="420" spans="1:8" s="25" customFormat="1" ht="12" customHeight="1" x14ac:dyDescent="0.25">
      <c r="A420" s="126"/>
      <c r="B420" s="126"/>
      <c r="C420" s="149">
        <v>4010</v>
      </c>
      <c r="D420" s="156" t="s">
        <v>99</v>
      </c>
      <c r="E420" s="138">
        <v>0</v>
      </c>
      <c r="F420" s="138">
        <v>715</v>
      </c>
      <c r="G420" s="138"/>
      <c r="H420" s="139">
        <f t="shared" si="51"/>
        <v>715</v>
      </c>
    </row>
    <row r="421" spans="1:8" s="25" customFormat="1" ht="12" customHeight="1" x14ac:dyDescent="0.25">
      <c r="A421" s="158"/>
      <c r="B421" s="158"/>
      <c r="C421" s="207" t="s">
        <v>93</v>
      </c>
      <c r="D421" s="171" t="s">
        <v>94</v>
      </c>
      <c r="E421" s="129">
        <v>0</v>
      </c>
      <c r="F421" s="129">
        <v>1285</v>
      </c>
      <c r="G421" s="129"/>
      <c r="H421" s="128">
        <f t="shared" si="51"/>
        <v>1285</v>
      </c>
    </row>
    <row r="422" spans="1:8" s="25" customFormat="1" ht="12" customHeight="1" x14ac:dyDescent="0.25">
      <c r="A422" s="123"/>
      <c r="B422" s="10">
        <v>85503</v>
      </c>
      <c r="C422" s="12"/>
      <c r="D422" s="9" t="s">
        <v>64</v>
      </c>
      <c r="E422" s="128">
        <v>1900</v>
      </c>
      <c r="F422" s="128">
        <f t="shared" ref="F422:G422" si="56">SUM(F423)</f>
        <v>958</v>
      </c>
      <c r="G422" s="128">
        <f t="shared" si="56"/>
        <v>0</v>
      </c>
      <c r="H422" s="129">
        <f t="shared" si="51"/>
        <v>2858</v>
      </c>
    </row>
    <row r="423" spans="1:8" s="25" customFormat="1" ht="12" customHeight="1" x14ac:dyDescent="0.25">
      <c r="A423" s="123"/>
      <c r="B423" s="4"/>
      <c r="C423" s="12"/>
      <c r="D423" s="160" t="s">
        <v>14</v>
      </c>
      <c r="E423" s="192">
        <v>1900</v>
      </c>
      <c r="F423" s="134">
        <f>SUM(F424:F427)</f>
        <v>958</v>
      </c>
      <c r="G423" s="134">
        <f>SUM(G424:G427)</f>
        <v>0</v>
      </c>
      <c r="H423" s="133">
        <f t="shared" si="51"/>
        <v>2858</v>
      </c>
    </row>
    <row r="424" spans="1:8" s="25" customFormat="1" ht="12" customHeight="1" x14ac:dyDescent="0.25">
      <c r="A424" s="123"/>
      <c r="B424" s="4"/>
      <c r="C424" s="149">
        <v>4010</v>
      </c>
      <c r="D424" s="156" t="s">
        <v>99</v>
      </c>
      <c r="E424" s="139">
        <v>1400</v>
      </c>
      <c r="F424" s="138">
        <v>120</v>
      </c>
      <c r="G424" s="138"/>
      <c r="H424" s="139">
        <f t="shared" si="51"/>
        <v>1520</v>
      </c>
    </row>
    <row r="425" spans="1:8" s="25" customFormat="1" ht="12" customHeight="1" x14ac:dyDescent="0.25">
      <c r="A425" s="123"/>
      <c r="B425" s="4"/>
      <c r="C425" s="149">
        <v>4110</v>
      </c>
      <c r="D425" s="156" t="s">
        <v>74</v>
      </c>
      <c r="E425" s="139">
        <v>241</v>
      </c>
      <c r="F425" s="138">
        <v>38</v>
      </c>
      <c r="G425" s="138"/>
      <c r="H425" s="139">
        <f t="shared" si="51"/>
        <v>279</v>
      </c>
    </row>
    <row r="426" spans="1:8" s="25" customFormat="1" ht="12" customHeight="1" x14ac:dyDescent="0.25">
      <c r="A426" s="123"/>
      <c r="B426" s="4"/>
      <c r="C426" s="149">
        <v>4120</v>
      </c>
      <c r="D426" s="156" t="s">
        <v>20</v>
      </c>
      <c r="E426" s="139">
        <v>35</v>
      </c>
      <c r="F426" s="138">
        <v>4</v>
      </c>
      <c r="G426" s="138"/>
      <c r="H426" s="139">
        <f t="shared" si="51"/>
        <v>39</v>
      </c>
    </row>
    <row r="427" spans="1:8" s="25" customFormat="1" ht="12" customHeight="1" x14ac:dyDescent="0.25">
      <c r="A427" s="123"/>
      <c r="B427" s="4"/>
      <c r="C427" s="117" t="s">
        <v>93</v>
      </c>
      <c r="D427" s="156" t="s">
        <v>94</v>
      </c>
      <c r="E427" s="139">
        <v>204</v>
      </c>
      <c r="F427" s="138">
        <v>796</v>
      </c>
      <c r="G427" s="138"/>
      <c r="H427" s="139">
        <f t="shared" si="51"/>
        <v>1000</v>
      </c>
    </row>
    <row r="428" spans="1:8" s="25" customFormat="1" ht="16.899999999999999" customHeight="1" thickBot="1" x14ac:dyDescent="0.3">
      <c r="A428" s="208"/>
      <c r="B428" s="126"/>
      <c r="C428" s="149"/>
      <c r="D428" s="120" t="s">
        <v>43</v>
      </c>
      <c r="E428" s="121">
        <v>27673723.169999998</v>
      </c>
      <c r="F428" s="121">
        <f>SUM(F429,)</f>
        <v>68999.570000000007</v>
      </c>
      <c r="G428" s="121">
        <f>SUM(G429,)</f>
        <v>68999.570000000007</v>
      </c>
      <c r="H428" s="121">
        <f>SUM(E428+F428-G428)</f>
        <v>27673723.169999998</v>
      </c>
    </row>
    <row r="429" spans="1:8" s="25" customFormat="1" ht="16.5" customHeight="1" thickTop="1" thickBot="1" x14ac:dyDescent="0.3">
      <c r="A429" s="140">
        <v>754</v>
      </c>
      <c r="B429" s="140"/>
      <c r="C429" s="123"/>
      <c r="D429" s="124" t="s">
        <v>172</v>
      </c>
      <c r="E429" s="121">
        <v>23576558.549999997</v>
      </c>
      <c r="F429" s="125">
        <f t="shared" ref="F429:G430" si="57">SUM(F430)</f>
        <v>68999.570000000007</v>
      </c>
      <c r="G429" s="125">
        <f t="shared" si="57"/>
        <v>68999.570000000007</v>
      </c>
      <c r="H429" s="121">
        <f>SUM(E429+F429-G429)</f>
        <v>23576558.549999997</v>
      </c>
    </row>
    <row r="430" spans="1:8" s="25" customFormat="1" ht="12" customHeight="1" thickTop="1" x14ac:dyDescent="0.25">
      <c r="A430" s="116"/>
      <c r="B430" s="149">
        <v>75411</v>
      </c>
      <c r="C430" s="157"/>
      <c r="D430" s="209" t="s">
        <v>173</v>
      </c>
      <c r="E430" s="129">
        <v>23576558.549999997</v>
      </c>
      <c r="F430" s="128">
        <f t="shared" si="57"/>
        <v>68999.570000000007</v>
      </c>
      <c r="G430" s="128">
        <f t="shared" si="57"/>
        <v>68999.570000000007</v>
      </c>
      <c r="H430" s="129">
        <f>SUM(E430+F430-G430)</f>
        <v>23576558.549999997</v>
      </c>
    </row>
    <row r="431" spans="1:8" s="25" customFormat="1" ht="12" customHeight="1" x14ac:dyDescent="0.25">
      <c r="A431" s="108"/>
      <c r="B431" s="157"/>
      <c r="C431" s="149"/>
      <c r="D431" s="210" t="s">
        <v>174</v>
      </c>
      <c r="E431" s="133">
        <v>23576558.549999997</v>
      </c>
      <c r="F431" s="133">
        <f>SUM(F432:F435)</f>
        <v>68999.570000000007</v>
      </c>
      <c r="G431" s="133">
        <f>SUM(G432:G435)</f>
        <v>68999.570000000007</v>
      </c>
      <c r="H431" s="133">
        <f>SUM(E431+F431-G431)</f>
        <v>23576558.549999997</v>
      </c>
    </row>
    <row r="432" spans="1:8" s="25" customFormat="1" ht="24" customHeight="1" x14ac:dyDescent="0.25">
      <c r="A432" s="108"/>
      <c r="B432" s="157"/>
      <c r="C432" s="146">
        <v>3070</v>
      </c>
      <c r="D432" s="143" t="s">
        <v>175</v>
      </c>
      <c r="E432" s="138">
        <v>1800855.88</v>
      </c>
      <c r="F432" s="138"/>
      <c r="G432" s="138">
        <v>35374.589999999997</v>
      </c>
      <c r="H432" s="139">
        <f t="shared" ref="H432:H435" si="58">SUM(E432+F432-G432)</f>
        <v>1765481.2899999998</v>
      </c>
    </row>
    <row r="433" spans="1:8" s="25" customFormat="1" ht="12" customHeight="1" x14ac:dyDescent="0.25">
      <c r="A433" s="108"/>
      <c r="B433" s="157"/>
      <c r="C433" s="153">
        <v>4050</v>
      </c>
      <c r="D433" s="211" t="s">
        <v>176</v>
      </c>
      <c r="E433" s="139">
        <v>15430058.470000001</v>
      </c>
      <c r="F433" s="139"/>
      <c r="G433" s="139">
        <v>33624.980000000003</v>
      </c>
      <c r="H433" s="139">
        <f t="shared" si="58"/>
        <v>15396433.49</v>
      </c>
    </row>
    <row r="434" spans="1:8" s="25" customFormat="1" ht="23.25" customHeight="1" x14ac:dyDescent="0.25">
      <c r="A434" s="108"/>
      <c r="B434" s="157"/>
      <c r="C434" s="146">
        <v>4060</v>
      </c>
      <c r="D434" s="212" t="s">
        <v>177</v>
      </c>
      <c r="E434" s="139">
        <v>458978.6</v>
      </c>
      <c r="F434" s="139">
        <v>33624.980000000003</v>
      </c>
      <c r="G434" s="139"/>
      <c r="H434" s="139">
        <f t="shared" si="58"/>
        <v>492603.57999999996</v>
      </c>
    </row>
    <row r="435" spans="1:8" s="25" customFormat="1" ht="12" customHeight="1" x14ac:dyDescent="0.25">
      <c r="A435" s="108"/>
      <c r="B435" s="157"/>
      <c r="C435" s="153">
        <v>4410</v>
      </c>
      <c r="D435" s="154" t="s">
        <v>96</v>
      </c>
      <c r="E435" s="138">
        <v>164978</v>
      </c>
      <c r="F435" s="138">
        <v>35374.589999999997</v>
      </c>
      <c r="G435" s="138"/>
      <c r="H435" s="139">
        <f t="shared" si="58"/>
        <v>200352.59</v>
      </c>
    </row>
    <row r="436" spans="1:8" s="25" customFormat="1" ht="3.75" customHeight="1" x14ac:dyDescent="0.25">
      <c r="A436" s="213"/>
      <c r="B436" s="213"/>
      <c r="C436" s="214"/>
      <c r="D436" s="215"/>
      <c r="E436" s="129"/>
      <c r="F436" s="129"/>
      <c r="G436" s="129"/>
      <c r="H436" s="129"/>
    </row>
    <row r="437" spans="1:8" s="25" customFormat="1" ht="12.95" customHeight="1" x14ac:dyDescent="0.25"/>
    <row r="438" spans="1:8" s="25" customFormat="1" ht="12.95" customHeight="1" x14ac:dyDescent="0.25"/>
    <row r="439" spans="1:8" s="25" customFormat="1" ht="12.95" customHeight="1" x14ac:dyDescent="0.25"/>
    <row r="440" spans="1:8" s="25" customFormat="1" ht="12.95" customHeight="1" x14ac:dyDescent="0.25"/>
    <row r="441" spans="1:8" s="25" customFormat="1" ht="12.95" customHeight="1" x14ac:dyDescent="0.25"/>
    <row r="442" spans="1:8" s="25" customFormat="1" ht="12.95" customHeight="1" x14ac:dyDescent="0.25"/>
    <row r="443" spans="1:8" s="25" customFormat="1" ht="12.95" customHeight="1" x14ac:dyDescent="0.25"/>
    <row r="444" spans="1:8" s="25" customFormat="1" ht="12.95" customHeight="1" x14ac:dyDescent="0.25"/>
    <row r="445" spans="1:8" s="25" customFormat="1" ht="12.95" customHeight="1" x14ac:dyDescent="0.25"/>
    <row r="446" spans="1:8" s="25" customFormat="1" ht="12.95" customHeight="1" x14ac:dyDescent="0.25"/>
    <row r="447" spans="1:8" s="25" customFormat="1" ht="12.95" customHeight="1" x14ac:dyDescent="0.25"/>
    <row r="448" spans="1:8" s="25" customFormat="1" ht="12.95" customHeight="1" x14ac:dyDescent="0.25"/>
    <row r="449" s="25" customFormat="1" ht="12.95" customHeight="1" x14ac:dyDescent="0.25"/>
    <row r="450" s="25" customFormat="1" ht="12.95" customHeight="1" x14ac:dyDescent="0.25"/>
    <row r="451" s="25" customFormat="1" ht="12.95" customHeight="1" x14ac:dyDescent="0.25"/>
    <row r="452" s="25" customFormat="1" ht="12.95" customHeight="1" x14ac:dyDescent="0.25"/>
    <row r="453" s="25" customFormat="1" ht="12.95" customHeight="1" x14ac:dyDescent="0.25"/>
    <row r="454" s="25" customFormat="1" ht="12.95" customHeight="1" x14ac:dyDescent="0.25"/>
    <row r="455" s="25" customFormat="1" ht="12.95" customHeight="1" x14ac:dyDescent="0.25"/>
    <row r="456" s="25" customFormat="1" ht="12.95" customHeight="1" x14ac:dyDescent="0.25"/>
    <row r="457" s="25" customFormat="1" ht="12.95" customHeight="1" x14ac:dyDescent="0.25"/>
    <row r="458" s="25" customFormat="1" ht="12.95" customHeight="1" x14ac:dyDescent="0.25"/>
    <row r="459" s="25" customFormat="1" ht="12.95" customHeight="1" x14ac:dyDescent="0.25"/>
    <row r="460" s="25" customFormat="1" ht="12.95" customHeight="1" x14ac:dyDescent="0.25"/>
    <row r="461" s="25" customFormat="1" ht="12.95" customHeight="1" x14ac:dyDescent="0.25"/>
    <row r="462" s="25" customFormat="1" ht="12.95" customHeight="1" x14ac:dyDescent="0.25"/>
    <row r="463" s="25" customFormat="1" ht="12.95" customHeight="1" x14ac:dyDescent="0.25"/>
    <row r="464" s="25" customFormat="1" ht="12.95" customHeight="1" x14ac:dyDescent="0.25"/>
    <row r="465" s="25" customFormat="1" ht="12.95" customHeight="1" x14ac:dyDescent="0.25"/>
    <row r="466" s="25" customFormat="1" ht="12.95" customHeight="1" x14ac:dyDescent="0.25"/>
    <row r="467" s="25" customFormat="1" ht="12.95" customHeight="1" x14ac:dyDescent="0.25"/>
    <row r="468" s="25" customFormat="1" ht="12.95" customHeight="1" x14ac:dyDescent="0.25"/>
    <row r="469" s="25" customFormat="1" ht="12.95" customHeight="1" x14ac:dyDescent="0.25"/>
    <row r="470" s="25" customFormat="1" ht="12.95" customHeight="1" x14ac:dyDescent="0.25"/>
    <row r="471" s="25" customFormat="1" ht="12.95" customHeight="1" x14ac:dyDescent="0.25"/>
    <row r="472" s="25" customFormat="1" ht="12.95" customHeight="1" x14ac:dyDescent="0.25"/>
    <row r="473" s="25" customFormat="1" ht="12.95" customHeight="1" x14ac:dyDescent="0.25"/>
    <row r="474" s="25" customFormat="1" ht="12.95" customHeight="1" x14ac:dyDescent="0.25"/>
    <row r="475" s="25" customFormat="1" ht="12.95" customHeight="1" x14ac:dyDescent="0.25"/>
    <row r="476" s="25" customFormat="1" ht="12.95" customHeight="1" x14ac:dyDescent="0.25"/>
    <row r="477" s="25" customFormat="1" ht="12.95" customHeight="1" x14ac:dyDescent="0.25"/>
    <row r="478" s="25" customFormat="1" ht="12.95" customHeight="1" x14ac:dyDescent="0.25"/>
    <row r="479" s="25" customFormat="1" ht="12.95" customHeight="1" x14ac:dyDescent="0.25"/>
    <row r="480" s="25" customFormat="1" ht="12.95" customHeight="1" x14ac:dyDescent="0.25"/>
    <row r="481" s="25" customFormat="1" ht="12.95" customHeight="1" x14ac:dyDescent="0.25"/>
    <row r="482" s="25" customFormat="1" ht="12.95" customHeight="1" x14ac:dyDescent="0.25"/>
    <row r="483" s="25" customFormat="1" ht="12.95" customHeight="1" x14ac:dyDescent="0.25"/>
    <row r="484" s="25" customFormat="1" ht="12.95" customHeight="1" x14ac:dyDescent="0.25"/>
    <row r="485" s="25" customFormat="1" ht="12.95" customHeight="1" x14ac:dyDescent="0.25"/>
    <row r="486" s="25" customFormat="1" ht="12.95" customHeight="1" x14ac:dyDescent="0.25"/>
    <row r="487" s="25" customFormat="1" ht="12.95" customHeight="1" x14ac:dyDescent="0.25"/>
    <row r="488" s="25" customFormat="1" ht="12.95" customHeight="1" x14ac:dyDescent="0.25"/>
    <row r="489" s="25" customFormat="1" ht="12.95" customHeight="1" x14ac:dyDescent="0.25"/>
    <row r="490" s="25" customFormat="1" ht="12.95" customHeight="1" x14ac:dyDescent="0.25"/>
    <row r="491" s="25" customFormat="1" ht="12.95" customHeight="1" x14ac:dyDescent="0.25"/>
    <row r="492" s="25" customFormat="1" ht="12.95" customHeight="1" x14ac:dyDescent="0.25"/>
    <row r="493" s="25" customFormat="1" ht="12.95" customHeight="1" x14ac:dyDescent="0.25"/>
    <row r="494" s="25" customFormat="1" ht="12.95" customHeight="1" x14ac:dyDescent="0.25"/>
    <row r="495" s="25" customFormat="1" ht="12.95" customHeight="1" x14ac:dyDescent="0.25"/>
    <row r="496" s="25" customFormat="1" ht="12.95" customHeight="1" x14ac:dyDescent="0.25"/>
    <row r="497" s="25" customFormat="1" ht="12.95" customHeight="1" x14ac:dyDescent="0.25"/>
    <row r="498" s="25" customFormat="1" ht="12.95" customHeight="1" x14ac:dyDescent="0.25"/>
    <row r="499" s="25" customFormat="1" ht="12.95" customHeight="1" x14ac:dyDescent="0.25"/>
    <row r="500" s="25" customFormat="1" ht="12.95" customHeight="1" x14ac:dyDescent="0.25"/>
    <row r="501" s="25" customFormat="1" ht="12.95" customHeight="1" x14ac:dyDescent="0.25"/>
    <row r="502" s="25" customFormat="1" ht="12.95" customHeight="1" x14ac:dyDescent="0.25"/>
    <row r="503" s="25" customFormat="1" ht="12.95" customHeight="1" x14ac:dyDescent="0.25"/>
    <row r="504" ht="12.95" customHeight="1" x14ac:dyDescent="0.3"/>
    <row r="505" ht="12.95" customHeight="1" x14ac:dyDescent="0.3"/>
    <row r="506" ht="12.95" customHeight="1" x14ac:dyDescent="0.3"/>
    <row r="507" ht="12.95" customHeight="1" x14ac:dyDescent="0.3"/>
    <row r="508" ht="12.95" customHeight="1" x14ac:dyDescent="0.3"/>
    <row r="509" ht="12.95" customHeight="1" x14ac:dyDescent="0.3"/>
    <row r="510" ht="12.95" customHeight="1" x14ac:dyDescent="0.3"/>
    <row r="511" ht="12.95" customHeight="1" x14ac:dyDescent="0.3"/>
    <row r="512" ht="12.95" customHeight="1" x14ac:dyDescent="0.3"/>
    <row r="513" ht="12.95" customHeight="1" x14ac:dyDescent="0.3"/>
    <row r="514" ht="12.95" customHeight="1" x14ac:dyDescent="0.3"/>
    <row r="515" ht="12.9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</sheetData>
  <pageMargins left="0.11811023622047245" right="0.11811023622047245" top="0.74803149606299213" bottom="0.74803149606299213" header="0.31496062992125984" footer="0.31496062992125984"/>
  <pageSetup paperSize="9" orientation="portrait" r:id="rId1"/>
  <headerFooter>
    <oddFooter>&amp;C&amp;"Arial,Normalny"&amp;8&amp;P</oddFooter>
  </headerFooter>
  <rowBreaks count="6" manualBreakCount="6">
    <brk id="37" max="7" man="1"/>
    <brk id="89" max="7" man="1"/>
    <brk id="208" max="7" man="1"/>
    <brk id="265" max="7" man="1"/>
    <brk id="320" max="7" man="1"/>
    <brk id="42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6DF78-9F1E-4619-B5FE-899F14CB1FA0}">
  <sheetPr>
    <pageSetUpPr fitToPage="1"/>
  </sheetPr>
  <dimension ref="A1:N67"/>
  <sheetViews>
    <sheetView zoomScale="120" zoomScaleNormal="120" workbookViewId="0">
      <pane ySplit="14" topLeftCell="A15" activePane="bottomLeft" state="frozen"/>
      <selection pane="bottomLeft" activeCell="D19" sqref="D19"/>
    </sheetView>
  </sheetViews>
  <sheetFormatPr defaultColWidth="10.28515625" defaultRowHeight="11.25" x14ac:dyDescent="0.2"/>
  <cols>
    <col min="1" max="1" width="6.42578125" style="217" customWidth="1"/>
    <col min="2" max="2" width="58.5703125" style="217" customWidth="1"/>
    <col min="3" max="3" width="10.28515625" style="217"/>
    <col min="4" max="6" width="11.42578125" style="217" customWidth="1"/>
    <col min="7" max="7" width="11.5703125" style="217" customWidth="1"/>
    <col min="8" max="8" width="11.28515625" style="217" customWidth="1"/>
    <col min="9" max="9" width="11.5703125" style="217" customWidth="1"/>
    <col min="10" max="10" width="17" style="217" customWidth="1"/>
    <col min="11" max="11" width="16.28515625" style="217" customWidth="1"/>
    <col min="12" max="256" width="10.28515625" style="217"/>
    <col min="257" max="257" width="6.42578125" style="217" customWidth="1"/>
    <col min="258" max="258" width="58.28515625" style="217" customWidth="1"/>
    <col min="259" max="259" width="10.28515625" style="217"/>
    <col min="260" max="260" width="11" style="217" customWidth="1"/>
    <col min="261" max="262" width="9.7109375" style="217" customWidth="1"/>
    <col min="263" max="263" width="10.7109375" style="217" customWidth="1"/>
    <col min="264" max="265" width="11.28515625" style="217" customWidth="1"/>
    <col min="266" max="266" width="17" style="217" customWidth="1"/>
    <col min="267" max="267" width="16.28515625" style="217" customWidth="1"/>
    <col min="268" max="512" width="10.28515625" style="217"/>
    <col min="513" max="513" width="6.42578125" style="217" customWidth="1"/>
    <col min="514" max="514" width="58.28515625" style="217" customWidth="1"/>
    <col min="515" max="515" width="10.28515625" style="217"/>
    <col min="516" max="516" width="11" style="217" customWidth="1"/>
    <col min="517" max="518" width="9.7109375" style="217" customWidth="1"/>
    <col min="519" max="519" width="10.7109375" style="217" customWidth="1"/>
    <col min="520" max="521" width="11.28515625" style="217" customWidth="1"/>
    <col min="522" max="522" width="17" style="217" customWidth="1"/>
    <col min="523" max="523" width="16.28515625" style="217" customWidth="1"/>
    <col min="524" max="768" width="10.28515625" style="217"/>
    <col min="769" max="769" width="6.42578125" style="217" customWidth="1"/>
    <col min="770" max="770" width="58.28515625" style="217" customWidth="1"/>
    <col min="771" max="771" width="10.28515625" style="217"/>
    <col min="772" max="772" width="11" style="217" customWidth="1"/>
    <col min="773" max="774" width="9.7109375" style="217" customWidth="1"/>
    <col min="775" max="775" width="10.7109375" style="217" customWidth="1"/>
    <col min="776" max="777" width="11.28515625" style="217" customWidth="1"/>
    <col min="778" max="778" width="17" style="217" customWidth="1"/>
    <col min="779" max="779" width="16.28515625" style="217" customWidth="1"/>
    <col min="780" max="1024" width="10.28515625" style="217"/>
    <col min="1025" max="1025" width="6.42578125" style="217" customWidth="1"/>
    <col min="1026" max="1026" width="58.28515625" style="217" customWidth="1"/>
    <col min="1027" max="1027" width="10.28515625" style="217"/>
    <col min="1028" max="1028" width="11" style="217" customWidth="1"/>
    <col min="1029" max="1030" width="9.7109375" style="217" customWidth="1"/>
    <col min="1031" max="1031" width="10.7109375" style="217" customWidth="1"/>
    <col min="1032" max="1033" width="11.28515625" style="217" customWidth="1"/>
    <col min="1034" max="1034" width="17" style="217" customWidth="1"/>
    <col min="1035" max="1035" width="16.28515625" style="217" customWidth="1"/>
    <col min="1036" max="1280" width="10.28515625" style="217"/>
    <col min="1281" max="1281" width="6.42578125" style="217" customWidth="1"/>
    <col min="1282" max="1282" width="58.28515625" style="217" customWidth="1"/>
    <col min="1283" max="1283" width="10.28515625" style="217"/>
    <col min="1284" max="1284" width="11" style="217" customWidth="1"/>
    <col min="1285" max="1286" width="9.7109375" style="217" customWidth="1"/>
    <col min="1287" max="1287" width="10.7109375" style="217" customWidth="1"/>
    <col min="1288" max="1289" width="11.28515625" style="217" customWidth="1"/>
    <col min="1290" max="1290" width="17" style="217" customWidth="1"/>
    <col min="1291" max="1291" width="16.28515625" style="217" customWidth="1"/>
    <col min="1292" max="1536" width="10.28515625" style="217"/>
    <col min="1537" max="1537" width="6.42578125" style="217" customWidth="1"/>
    <col min="1538" max="1538" width="58.28515625" style="217" customWidth="1"/>
    <col min="1539" max="1539" width="10.28515625" style="217"/>
    <col min="1540" max="1540" width="11" style="217" customWidth="1"/>
    <col min="1541" max="1542" width="9.7109375" style="217" customWidth="1"/>
    <col min="1543" max="1543" width="10.7109375" style="217" customWidth="1"/>
    <col min="1544" max="1545" width="11.28515625" style="217" customWidth="1"/>
    <col min="1546" max="1546" width="17" style="217" customWidth="1"/>
    <col min="1547" max="1547" width="16.28515625" style="217" customWidth="1"/>
    <col min="1548" max="1792" width="10.28515625" style="217"/>
    <col min="1793" max="1793" width="6.42578125" style="217" customWidth="1"/>
    <col min="1794" max="1794" width="58.28515625" style="217" customWidth="1"/>
    <col min="1795" max="1795" width="10.28515625" style="217"/>
    <col min="1796" max="1796" width="11" style="217" customWidth="1"/>
    <col min="1797" max="1798" width="9.7109375" style="217" customWidth="1"/>
    <col min="1799" max="1799" width="10.7109375" style="217" customWidth="1"/>
    <col min="1800" max="1801" width="11.28515625" style="217" customWidth="1"/>
    <col min="1802" max="1802" width="17" style="217" customWidth="1"/>
    <col min="1803" max="1803" width="16.28515625" style="217" customWidth="1"/>
    <col min="1804" max="2048" width="10.28515625" style="217"/>
    <col min="2049" max="2049" width="6.42578125" style="217" customWidth="1"/>
    <col min="2050" max="2050" width="58.28515625" style="217" customWidth="1"/>
    <col min="2051" max="2051" width="10.28515625" style="217"/>
    <col min="2052" max="2052" width="11" style="217" customWidth="1"/>
    <col min="2053" max="2054" width="9.7109375" style="217" customWidth="1"/>
    <col min="2055" max="2055" width="10.7109375" style="217" customWidth="1"/>
    <col min="2056" max="2057" width="11.28515625" style="217" customWidth="1"/>
    <col min="2058" max="2058" width="17" style="217" customWidth="1"/>
    <col min="2059" max="2059" width="16.28515625" style="217" customWidth="1"/>
    <col min="2060" max="2304" width="10.28515625" style="217"/>
    <col min="2305" max="2305" width="6.42578125" style="217" customWidth="1"/>
    <col min="2306" max="2306" width="58.28515625" style="217" customWidth="1"/>
    <col min="2307" max="2307" width="10.28515625" style="217"/>
    <col min="2308" max="2308" width="11" style="217" customWidth="1"/>
    <col min="2309" max="2310" width="9.7109375" style="217" customWidth="1"/>
    <col min="2311" max="2311" width="10.7109375" style="217" customWidth="1"/>
    <col min="2312" max="2313" width="11.28515625" style="217" customWidth="1"/>
    <col min="2314" max="2314" width="17" style="217" customWidth="1"/>
    <col min="2315" max="2315" width="16.28515625" style="217" customWidth="1"/>
    <col min="2316" max="2560" width="10.28515625" style="217"/>
    <col min="2561" max="2561" width="6.42578125" style="217" customWidth="1"/>
    <col min="2562" max="2562" width="58.28515625" style="217" customWidth="1"/>
    <col min="2563" max="2563" width="10.28515625" style="217"/>
    <col min="2564" max="2564" width="11" style="217" customWidth="1"/>
    <col min="2565" max="2566" width="9.7109375" style="217" customWidth="1"/>
    <col min="2567" max="2567" width="10.7109375" style="217" customWidth="1"/>
    <col min="2568" max="2569" width="11.28515625" style="217" customWidth="1"/>
    <col min="2570" max="2570" width="17" style="217" customWidth="1"/>
    <col min="2571" max="2571" width="16.28515625" style="217" customWidth="1"/>
    <col min="2572" max="2816" width="10.28515625" style="217"/>
    <col min="2817" max="2817" width="6.42578125" style="217" customWidth="1"/>
    <col min="2818" max="2818" width="58.28515625" style="217" customWidth="1"/>
    <col min="2819" max="2819" width="10.28515625" style="217"/>
    <col min="2820" max="2820" width="11" style="217" customWidth="1"/>
    <col min="2821" max="2822" width="9.7109375" style="217" customWidth="1"/>
    <col min="2823" max="2823" width="10.7109375" style="217" customWidth="1"/>
    <col min="2824" max="2825" width="11.28515625" style="217" customWidth="1"/>
    <col min="2826" max="2826" width="17" style="217" customWidth="1"/>
    <col min="2827" max="2827" width="16.28515625" style="217" customWidth="1"/>
    <col min="2828" max="3072" width="10.28515625" style="217"/>
    <col min="3073" max="3073" width="6.42578125" style="217" customWidth="1"/>
    <col min="3074" max="3074" width="58.28515625" style="217" customWidth="1"/>
    <col min="3075" max="3075" width="10.28515625" style="217"/>
    <col min="3076" max="3076" width="11" style="217" customWidth="1"/>
    <col min="3077" max="3078" width="9.7109375" style="217" customWidth="1"/>
    <col min="3079" max="3079" width="10.7109375" style="217" customWidth="1"/>
    <col min="3080" max="3081" width="11.28515625" style="217" customWidth="1"/>
    <col min="3082" max="3082" width="17" style="217" customWidth="1"/>
    <col min="3083" max="3083" width="16.28515625" style="217" customWidth="1"/>
    <col min="3084" max="3328" width="10.28515625" style="217"/>
    <col min="3329" max="3329" width="6.42578125" style="217" customWidth="1"/>
    <col min="3330" max="3330" width="58.28515625" style="217" customWidth="1"/>
    <col min="3331" max="3331" width="10.28515625" style="217"/>
    <col min="3332" max="3332" width="11" style="217" customWidth="1"/>
    <col min="3333" max="3334" width="9.7109375" style="217" customWidth="1"/>
    <col min="3335" max="3335" width="10.7109375" style="217" customWidth="1"/>
    <col min="3336" max="3337" width="11.28515625" style="217" customWidth="1"/>
    <col min="3338" max="3338" width="17" style="217" customWidth="1"/>
    <col min="3339" max="3339" width="16.28515625" style="217" customWidth="1"/>
    <col min="3340" max="3584" width="10.28515625" style="217"/>
    <col min="3585" max="3585" width="6.42578125" style="217" customWidth="1"/>
    <col min="3586" max="3586" width="58.28515625" style="217" customWidth="1"/>
    <col min="3587" max="3587" width="10.28515625" style="217"/>
    <col min="3588" max="3588" width="11" style="217" customWidth="1"/>
    <col min="3589" max="3590" width="9.7109375" style="217" customWidth="1"/>
    <col min="3591" max="3591" width="10.7109375" style="217" customWidth="1"/>
    <col min="3592" max="3593" width="11.28515625" style="217" customWidth="1"/>
    <col min="3594" max="3594" width="17" style="217" customWidth="1"/>
    <col min="3595" max="3595" width="16.28515625" style="217" customWidth="1"/>
    <col min="3596" max="3840" width="10.28515625" style="217"/>
    <col min="3841" max="3841" width="6.42578125" style="217" customWidth="1"/>
    <col min="3842" max="3842" width="58.28515625" style="217" customWidth="1"/>
    <col min="3843" max="3843" width="10.28515625" style="217"/>
    <col min="3844" max="3844" width="11" style="217" customWidth="1"/>
    <col min="3845" max="3846" width="9.7109375" style="217" customWidth="1"/>
    <col min="3847" max="3847" width="10.7109375" style="217" customWidth="1"/>
    <col min="3848" max="3849" width="11.28515625" style="217" customWidth="1"/>
    <col min="3850" max="3850" width="17" style="217" customWidth="1"/>
    <col min="3851" max="3851" width="16.28515625" style="217" customWidth="1"/>
    <col min="3852" max="4096" width="10.28515625" style="217"/>
    <col min="4097" max="4097" width="6.42578125" style="217" customWidth="1"/>
    <col min="4098" max="4098" width="58.28515625" style="217" customWidth="1"/>
    <col min="4099" max="4099" width="10.28515625" style="217"/>
    <col min="4100" max="4100" width="11" style="217" customWidth="1"/>
    <col min="4101" max="4102" width="9.7109375" style="217" customWidth="1"/>
    <col min="4103" max="4103" width="10.7109375" style="217" customWidth="1"/>
    <col min="4104" max="4105" width="11.28515625" style="217" customWidth="1"/>
    <col min="4106" max="4106" width="17" style="217" customWidth="1"/>
    <col min="4107" max="4107" width="16.28515625" style="217" customWidth="1"/>
    <col min="4108" max="4352" width="10.28515625" style="217"/>
    <col min="4353" max="4353" width="6.42578125" style="217" customWidth="1"/>
    <col min="4354" max="4354" width="58.28515625" style="217" customWidth="1"/>
    <col min="4355" max="4355" width="10.28515625" style="217"/>
    <col min="4356" max="4356" width="11" style="217" customWidth="1"/>
    <col min="4357" max="4358" width="9.7109375" style="217" customWidth="1"/>
    <col min="4359" max="4359" width="10.7109375" style="217" customWidth="1"/>
    <col min="4360" max="4361" width="11.28515625" style="217" customWidth="1"/>
    <col min="4362" max="4362" width="17" style="217" customWidth="1"/>
    <col min="4363" max="4363" width="16.28515625" style="217" customWidth="1"/>
    <col min="4364" max="4608" width="10.28515625" style="217"/>
    <col min="4609" max="4609" width="6.42578125" style="217" customWidth="1"/>
    <col min="4610" max="4610" width="58.28515625" style="217" customWidth="1"/>
    <col min="4611" max="4611" width="10.28515625" style="217"/>
    <col min="4612" max="4612" width="11" style="217" customWidth="1"/>
    <col min="4613" max="4614" width="9.7109375" style="217" customWidth="1"/>
    <col min="4615" max="4615" width="10.7109375" style="217" customWidth="1"/>
    <col min="4616" max="4617" width="11.28515625" style="217" customWidth="1"/>
    <col min="4618" max="4618" width="17" style="217" customWidth="1"/>
    <col min="4619" max="4619" width="16.28515625" style="217" customWidth="1"/>
    <col min="4620" max="4864" width="10.28515625" style="217"/>
    <col min="4865" max="4865" width="6.42578125" style="217" customWidth="1"/>
    <col min="4866" max="4866" width="58.28515625" style="217" customWidth="1"/>
    <col min="4867" max="4867" width="10.28515625" style="217"/>
    <col min="4868" max="4868" width="11" style="217" customWidth="1"/>
    <col min="4869" max="4870" width="9.7109375" style="217" customWidth="1"/>
    <col min="4871" max="4871" width="10.7109375" style="217" customWidth="1"/>
    <col min="4872" max="4873" width="11.28515625" style="217" customWidth="1"/>
    <col min="4874" max="4874" width="17" style="217" customWidth="1"/>
    <col min="4875" max="4875" width="16.28515625" style="217" customWidth="1"/>
    <col min="4876" max="5120" width="10.28515625" style="217"/>
    <col min="5121" max="5121" width="6.42578125" style="217" customWidth="1"/>
    <col min="5122" max="5122" width="58.28515625" style="217" customWidth="1"/>
    <col min="5123" max="5123" width="10.28515625" style="217"/>
    <col min="5124" max="5124" width="11" style="217" customWidth="1"/>
    <col min="5125" max="5126" width="9.7109375" style="217" customWidth="1"/>
    <col min="5127" max="5127" width="10.7109375" style="217" customWidth="1"/>
    <col min="5128" max="5129" width="11.28515625" style="217" customWidth="1"/>
    <col min="5130" max="5130" width="17" style="217" customWidth="1"/>
    <col min="5131" max="5131" width="16.28515625" style="217" customWidth="1"/>
    <col min="5132" max="5376" width="10.28515625" style="217"/>
    <col min="5377" max="5377" width="6.42578125" style="217" customWidth="1"/>
    <col min="5378" max="5378" width="58.28515625" style="217" customWidth="1"/>
    <col min="5379" max="5379" width="10.28515625" style="217"/>
    <col min="5380" max="5380" width="11" style="217" customWidth="1"/>
    <col min="5381" max="5382" width="9.7109375" style="217" customWidth="1"/>
    <col min="5383" max="5383" width="10.7109375" style="217" customWidth="1"/>
    <col min="5384" max="5385" width="11.28515625" style="217" customWidth="1"/>
    <col min="5386" max="5386" width="17" style="217" customWidth="1"/>
    <col min="5387" max="5387" width="16.28515625" style="217" customWidth="1"/>
    <col min="5388" max="5632" width="10.28515625" style="217"/>
    <col min="5633" max="5633" width="6.42578125" style="217" customWidth="1"/>
    <col min="5634" max="5634" width="58.28515625" style="217" customWidth="1"/>
    <col min="5635" max="5635" width="10.28515625" style="217"/>
    <col min="5636" max="5636" width="11" style="217" customWidth="1"/>
    <col min="5637" max="5638" width="9.7109375" style="217" customWidth="1"/>
    <col min="5639" max="5639" width="10.7109375" style="217" customWidth="1"/>
    <col min="5640" max="5641" width="11.28515625" style="217" customWidth="1"/>
    <col min="5642" max="5642" width="17" style="217" customWidth="1"/>
    <col min="5643" max="5643" width="16.28515625" style="217" customWidth="1"/>
    <col min="5644" max="5888" width="10.28515625" style="217"/>
    <col min="5889" max="5889" width="6.42578125" style="217" customWidth="1"/>
    <col min="5890" max="5890" width="58.28515625" style="217" customWidth="1"/>
    <col min="5891" max="5891" width="10.28515625" style="217"/>
    <col min="5892" max="5892" width="11" style="217" customWidth="1"/>
    <col min="5893" max="5894" width="9.7109375" style="217" customWidth="1"/>
    <col min="5895" max="5895" width="10.7109375" style="217" customWidth="1"/>
    <col min="5896" max="5897" width="11.28515625" style="217" customWidth="1"/>
    <col min="5898" max="5898" width="17" style="217" customWidth="1"/>
    <col min="5899" max="5899" width="16.28515625" style="217" customWidth="1"/>
    <col min="5900" max="6144" width="10.28515625" style="217"/>
    <col min="6145" max="6145" width="6.42578125" style="217" customWidth="1"/>
    <col min="6146" max="6146" width="58.28515625" style="217" customWidth="1"/>
    <col min="6147" max="6147" width="10.28515625" style="217"/>
    <col min="6148" max="6148" width="11" style="217" customWidth="1"/>
    <col min="6149" max="6150" width="9.7109375" style="217" customWidth="1"/>
    <col min="6151" max="6151" width="10.7109375" style="217" customWidth="1"/>
    <col min="6152" max="6153" width="11.28515625" style="217" customWidth="1"/>
    <col min="6154" max="6154" width="17" style="217" customWidth="1"/>
    <col min="6155" max="6155" width="16.28515625" style="217" customWidth="1"/>
    <col min="6156" max="6400" width="10.28515625" style="217"/>
    <col min="6401" max="6401" width="6.42578125" style="217" customWidth="1"/>
    <col min="6402" max="6402" width="58.28515625" style="217" customWidth="1"/>
    <col min="6403" max="6403" width="10.28515625" style="217"/>
    <col min="6404" max="6404" width="11" style="217" customWidth="1"/>
    <col min="6405" max="6406" width="9.7109375" style="217" customWidth="1"/>
    <col min="6407" max="6407" width="10.7109375" style="217" customWidth="1"/>
    <col min="6408" max="6409" width="11.28515625" style="217" customWidth="1"/>
    <col min="6410" max="6410" width="17" style="217" customWidth="1"/>
    <col min="6411" max="6411" width="16.28515625" style="217" customWidth="1"/>
    <col min="6412" max="6656" width="10.28515625" style="217"/>
    <col min="6657" max="6657" width="6.42578125" style="217" customWidth="1"/>
    <col min="6658" max="6658" width="58.28515625" style="217" customWidth="1"/>
    <col min="6659" max="6659" width="10.28515625" style="217"/>
    <col min="6660" max="6660" width="11" style="217" customWidth="1"/>
    <col min="6661" max="6662" width="9.7109375" style="217" customWidth="1"/>
    <col min="6663" max="6663" width="10.7109375" style="217" customWidth="1"/>
    <col min="6664" max="6665" width="11.28515625" style="217" customWidth="1"/>
    <col min="6666" max="6666" width="17" style="217" customWidth="1"/>
    <col min="6667" max="6667" width="16.28515625" style="217" customWidth="1"/>
    <col min="6668" max="6912" width="10.28515625" style="217"/>
    <col min="6913" max="6913" width="6.42578125" style="217" customWidth="1"/>
    <col min="6914" max="6914" width="58.28515625" style="217" customWidth="1"/>
    <col min="6915" max="6915" width="10.28515625" style="217"/>
    <col min="6916" max="6916" width="11" style="217" customWidth="1"/>
    <col min="6917" max="6918" width="9.7109375" style="217" customWidth="1"/>
    <col min="6919" max="6919" width="10.7109375" style="217" customWidth="1"/>
    <col min="6920" max="6921" width="11.28515625" style="217" customWidth="1"/>
    <col min="6922" max="6922" width="17" style="217" customWidth="1"/>
    <col min="6923" max="6923" width="16.28515625" style="217" customWidth="1"/>
    <col min="6924" max="7168" width="10.28515625" style="217"/>
    <col min="7169" max="7169" width="6.42578125" style="217" customWidth="1"/>
    <col min="7170" max="7170" width="58.28515625" style="217" customWidth="1"/>
    <col min="7171" max="7171" width="10.28515625" style="217"/>
    <col min="7172" max="7172" width="11" style="217" customWidth="1"/>
    <col min="7173" max="7174" width="9.7109375" style="217" customWidth="1"/>
    <col min="7175" max="7175" width="10.7109375" style="217" customWidth="1"/>
    <col min="7176" max="7177" width="11.28515625" style="217" customWidth="1"/>
    <col min="7178" max="7178" width="17" style="217" customWidth="1"/>
    <col min="7179" max="7179" width="16.28515625" style="217" customWidth="1"/>
    <col min="7180" max="7424" width="10.28515625" style="217"/>
    <col min="7425" max="7425" width="6.42578125" style="217" customWidth="1"/>
    <col min="7426" max="7426" width="58.28515625" style="217" customWidth="1"/>
    <col min="7427" max="7427" width="10.28515625" style="217"/>
    <col min="7428" max="7428" width="11" style="217" customWidth="1"/>
    <col min="7429" max="7430" width="9.7109375" style="217" customWidth="1"/>
    <col min="7431" max="7431" width="10.7109375" style="217" customWidth="1"/>
    <col min="7432" max="7433" width="11.28515625" style="217" customWidth="1"/>
    <col min="7434" max="7434" width="17" style="217" customWidth="1"/>
    <col min="7435" max="7435" width="16.28515625" style="217" customWidth="1"/>
    <col min="7436" max="7680" width="10.28515625" style="217"/>
    <col min="7681" max="7681" width="6.42578125" style="217" customWidth="1"/>
    <col min="7682" max="7682" width="58.28515625" style="217" customWidth="1"/>
    <col min="7683" max="7683" width="10.28515625" style="217"/>
    <col min="7684" max="7684" width="11" style="217" customWidth="1"/>
    <col min="7685" max="7686" width="9.7109375" style="217" customWidth="1"/>
    <col min="7687" max="7687" width="10.7109375" style="217" customWidth="1"/>
    <col min="7688" max="7689" width="11.28515625" style="217" customWidth="1"/>
    <col min="7690" max="7690" width="17" style="217" customWidth="1"/>
    <col min="7691" max="7691" width="16.28515625" style="217" customWidth="1"/>
    <col min="7692" max="7936" width="10.28515625" style="217"/>
    <col min="7937" max="7937" width="6.42578125" style="217" customWidth="1"/>
    <col min="7938" max="7938" width="58.28515625" style="217" customWidth="1"/>
    <col min="7939" max="7939" width="10.28515625" style="217"/>
    <col min="7940" max="7940" width="11" style="217" customWidth="1"/>
    <col min="7941" max="7942" width="9.7109375" style="217" customWidth="1"/>
    <col min="7943" max="7943" width="10.7109375" style="217" customWidth="1"/>
    <col min="7944" max="7945" width="11.28515625" style="217" customWidth="1"/>
    <col min="7946" max="7946" width="17" style="217" customWidth="1"/>
    <col min="7947" max="7947" width="16.28515625" style="217" customWidth="1"/>
    <col min="7948" max="8192" width="10.28515625" style="217"/>
    <col min="8193" max="8193" width="6.42578125" style="217" customWidth="1"/>
    <col min="8194" max="8194" width="58.28515625" style="217" customWidth="1"/>
    <col min="8195" max="8195" width="10.28515625" style="217"/>
    <col min="8196" max="8196" width="11" style="217" customWidth="1"/>
    <col min="8197" max="8198" width="9.7109375" style="217" customWidth="1"/>
    <col min="8199" max="8199" width="10.7109375" style="217" customWidth="1"/>
    <col min="8200" max="8201" width="11.28515625" style="217" customWidth="1"/>
    <col min="8202" max="8202" width="17" style="217" customWidth="1"/>
    <col min="8203" max="8203" width="16.28515625" style="217" customWidth="1"/>
    <col min="8204" max="8448" width="10.28515625" style="217"/>
    <col min="8449" max="8449" width="6.42578125" style="217" customWidth="1"/>
    <col min="8450" max="8450" width="58.28515625" style="217" customWidth="1"/>
    <col min="8451" max="8451" width="10.28515625" style="217"/>
    <col min="8452" max="8452" width="11" style="217" customWidth="1"/>
    <col min="8453" max="8454" width="9.7109375" style="217" customWidth="1"/>
    <col min="8455" max="8455" width="10.7109375" style="217" customWidth="1"/>
    <col min="8456" max="8457" width="11.28515625" style="217" customWidth="1"/>
    <col min="8458" max="8458" width="17" style="217" customWidth="1"/>
    <col min="8459" max="8459" width="16.28515625" style="217" customWidth="1"/>
    <col min="8460" max="8704" width="10.28515625" style="217"/>
    <col min="8705" max="8705" width="6.42578125" style="217" customWidth="1"/>
    <col min="8706" max="8706" width="58.28515625" style="217" customWidth="1"/>
    <col min="8707" max="8707" width="10.28515625" style="217"/>
    <col min="8708" max="8708" width="11" style="217" customWidth="1"/>
    <col min="8709" max="8710" width="9.7109375" style="217" customWidth="1"/>
    <col min="8711" max="8711" width="10.7109375" style="217" customWidth="1"/>
    <col min="8712" max="8713" width="11.28515625" style="217" customWidth="1"/>
    <col min="8714" max="8714" width="17" style="217" customWidth="1"/>
    <col min="8715" max="8715" width="16.28515625" style="217" customWidth="1"/>
    <col min="8716" max="8960" width="10.28515625" style="217"/>
    <col min="8961" max="8961" width="6.42578125" style="217" customWidth="1"/>
    <col min="8962" max="8962" width="58.28515625" style="217" customWidth="1"/>
    <col min="8963" max="8963" width="10.28515625" style="217"/>
    <col min="8964" max="8964" width="11" style="217" customWidth="1"/>
    <col min="8965" max="8966" width="9.7109375" style="217" customWidth="1"/>
    <col min="8967" max="8967" width="10.7109375" style="217" customWidth="1"/>
    <col min="8968" max="8969" width="11.28515625" style="217" customWidth="1"/>
    <col min="8970" max="8970" width="17" style="217" customWidth="1"/>
    <col min="8971" max="8971" width="16.28515625" style="217" customWidth="1"/>
    <col min="8972" max="9216" width="10.28515625" style="217"/>
    <col min="9217" max="9217" width="6.42578125" style="217" customWidth="1"/>
    <col min="9218" max="9218" width="58.28515625" style="217" customWidth="1"/>
    <col min="9219" max="9219" width="10.28515625" style="217"/>
    <col min="9220" max="9220" width="11" style="217" customWidth="1"/>
    <col min="9221" max="9222" width="9.7109375" style="217" customWidth="1"/>
    <col min="9223" max="9223" width="10.7109375" style="217" customWidth="1"/>
    <col min="9224" max="9225" width="11.28515625" style="217" customWidth="1"/>
    <col min="9226" max="9226" width="17" style="217" customWidth="1"/>
    <col min="9227" max="9227" width="16.28515625" style="217" customWidth="1"/>
    <col min="9228" max="9472" width="10.28515625" style="217"/>
    <col min="9473" max="9473" width="6.42578125" style="217" customWidth="1"/>
    <col min="9474" max="9474" width="58.28515625" style="217" customWidth="1"/>
    <col min="9475" max="9475" width="10.28515625" style="217"/>
    <col min="9476" max="9476" width="11" style="217" customWidth="1"/>
    <col min="9477" max="9478" width="9.7109375" style="217" customWidth="1"/>
    <col min="9479" max="9479" width="10.7109375" style="217" customWidth="1"/>
    <col min="9480" max="9481" width="11.28515625" style="217" customWidth="1"/>
    <col min="9482" max="9482" width="17" style="217" customWidth="1"/>
    <col min="9483" max="9483" width="16.28515625" style="217" customWidth="1"/>
    <col min="9484" max="9728" width="10.28515625" style="217"/>
    <col min="9729" max="9729" width="6.42578125" style="217" customWidth="1"/>
    <col min="9730" max="9730" width="58.28515625" style="217" customWidth="1"/>
    <col min="9731" max="9731" width="10.28515625" style="217"/>
    <col min="9732" max="9732" width="11" style="217" customWidth="1"/>
    <col min="9733" max="9734" width="9.7109375" style="217" customWidth="1"/>
    <col min="9735" max="9735" width="10.7109375" style="217" customWidth="1"/>
    <col min="9736" max="9737" width="11.28515625" style="217" customWidth="1"/>
    <col min="9738" max="9738" width="17" style="217" customWidth="1"/>
    <col min="9739" max="9739" width="16.28515625" style="217" customWidth="1"/>
    <col min="9740" max="9984" width="10.28515625" style="217"/>
    <col min="9985" max="9985" width="6.42578125" style="217" customWidth="1"/>
    <col min="9986" max="9986" width="58.28515625" style="217" customWidth="1"/>
    <col min="9987" max="9987" width="10.28515625" style="217"/>
    <col min="9988" max="9988" width="11" style="217" customWidth="1"/>
    <col min="9989" max="9990" width="9.7109375" style="217" customWidth="1"/>
    <col min="9991" max="9991" width="10.7109375" style="217" customWidth="1"/>
    <col min="9992" max="9993" width="11.28515625" style="217" customWidth="1"/>
    <col min="9994" max="9994" width="17" style="217" customWidth="1"/>
    <col min="9995" max="9995" width="16.28515625" style="217" customWidth="1"/>
    <col min="9996" max="10240" width="10.28515625" style="217"/>
    <col min="10241" max="10241" width="6.42578125" style="217" customWidth="1"/>
    <col min="10242" max="10242" width="58.28515625" style="217" customWidth="1"/>
    <col min="10243" max="10243" width="10.28515625" style="217"/>
    <col min="10244" max="10244" width="11" style="217" customWidth="1"/>
    <col min="10245" max="10246" width="9.7109375" style="217" customWidth="1"/>
    <col min="10247" max="10247" width="10.7109375" style="217" customWidth="1"/>
    <col min="10248" max="10249" width="11.28515625" style="217" customWidth="1"/>
    <col min="10250" max="10250" width="17" style="217" customWidth="1"/>
    <col min="10251" max="10251" width="16.28515625" style="217" customWidth="1"/>
    <col min="10252" max="10496" width="10.28515625" style="217"/>
    <col min="10497" max="10497" width="6.42578125" style="217" customWidth="1"/>
    <col min="10498" max="10498" width="58.28515625" style="217" customWidth="1"/>
    <col min="10499" max="10499" width="10.28515625" style="217"/>
    <col min="10500" max="10500" width="11" style="217" customWidth="1"/>
    <col min="10501" max="10502" width="9.7109375" style="217" customWidth="1"/>
    <col min="10503" max="10503" width="10.7109375" style="217" customWidth="1"/>
    <col min="10504" max="10505" width="11.28515625" style="217" customWidth="1"/>
    <col min="10506" max="10506" width="17" style="217" customWidth="1"/>
    <col min="10507" max="10507" width="16.28515625" style="217" customWidth="1"/>
    <col min="10508" max="10752" width="10.28515625" style="217"/>
    <col min="10753" max="10753" width="6.42578125" style="217" customWidth="1"/>
    <col min="10754" max="10754" width="58.28515625" style="217" customWidth="1"/>
    <col min="10755" max="10755" width="10.28515625" style="217"/>
    <col min="10756" max="10756" width="11" style="217" customWidth="1"/>
    <col min="10757" max="10758" width="9.7109375" style="217" customWidth="1"/>
    <col min="10759" max="10759" width="10.7109375" style="217" customWidth="1"/>
    <col min="10760" max="10761" width="11.28515625" style="217" customWidth="1"/>
    <col min="10762" max="10762" width="17" style="217" customWidth="1"/>
    <col min="10763" max="10763" width="16.28515625" style="217" customWidth="1"/>
    <col min="10764" max="11008" width="10.28515625" style="217"/>
    <col min="11009" max="11009" width="6.42578125" style="217" customWidth="1"/>
    <col min="11010" max="11010" width="58.28515625" style="217" customWidth="1"/>
    <col min="11011" max="11011" width="10.28515625" style="217"/>
    <col min="11012" max="11012" width="11" style="217" customWidth="1"/>
    <col min="11013" max="11014" width="9.7109375" style="217" customWidth="1"/>
    <col min="11015" max="11015" width="10.7109375" style="217" customWidth="1"/>
    <col min="11016" max="11017" width="11.28515625" style="217" customWidth="1"/>
    <col min="11018" max="11018" width="17" style="217" customWidth="1"/>
    <col min="11019" max="11019" width="16.28515625" style="217" customWidth="1"/>
    <col min="11020" max="11264" width="10.28515625" style="217"/>
    <col min="11265" max="11265" width="6.42578125" style="217" customWidth="1"/>
    <col min="11266" max="11266" width="58.28515625" style="217" customWidth="1"/>
    <col min="11267" max="11267" width="10.28515625" style="217"/>
    <col min="11268" max="11268" width="11" style="217" customWidth="1"/>
    <col min="11269" max="11270" width="9.7109375" style="217" customWidth="1"/>
    <col min="11271" max="11271" width="10.7109375" style="217" customWidth="1"/>
    <col min="11272" max="11273" width="11.28515625" style="217" customWidth="1"/>
    <col min="11274" max="11274" width="17" style="217" customWidth="1"/>
    <col min="11275" max="11275" width="16.28515625" style="217" customWidth="1"/>
    <col min="11276" max="11520" width="10.28515625" style="217"/>
    <col min="11521" max="11521" width="6.42578125" style="217" customWidth="1"/>
    <col min="11522" max="11522" width="58.28515625" style="217" customWidth="1"/>
    <col min="11523" max="11523" width="10.28515625" style="217"/>
    <col min="11524" max="11524" width="11" style="217" customWidth="1"/>
    <col min="11525" max="11526" width="9.7109375" style="217" customWidth="1"/>
    <col min="11527" max="11527" width="10.7109375" style="217" customWidth="1"/>
    <col min="11528" max="11529" width="11.28515625" style="217" customWidth="1"/>
    <col min="11530" max="11530" width="17" style="217" customWidth="1"/>
    <col min="11531" max="11531" width="16.28515625" style="217" customWidth="1"/>
    <col min="11532" max="11776" width="10.28515625" style="217"/>
    <col min="11777" max="11777" width="6.42578125" style="217" customWidth="1"/>
    <col min="11778" max="11778" width="58.28515625" style="217" customWidth="1"/>
    <col min="11779" max="11779" width="10.28515625" style="217"/>
    <col min="11780" max="11780" width="11" style="217" customWidth="1"/>
    <col min="11781" max="11782" width="9.7109375" style="217" customWidth="1"/>
    <col min="11783" max="11783" width="10.7109375" style="217" customWidth="1"/>
    <col min="11784" max="11785" width="11.28515625" style="217" customWidth="1"/>
    <col min="11786" max="11786" width="17" style="217" customWidth="1"/>
    <col min="11787" max="11787" width="16.28515625" style="217" customWidth="1"/>
    <col min="11788" max="12032" width="10.28515625" style="217"/>
    <col min="12033" max="12033" width="6.42578125" style="217" customWidth="1"/>
    <col min="12034" max="12034" width="58.28515625" style="217" customWidth="1"/>
    <col min="12035" max="12035" width="10.28515625" style="217"/>
    <col min="12036" max="12036" width="11" style="217" customWidth="1"/>
    <col min="12037" max="12038" width="9.7109375" style="217" customWidth="1"/>
    <col min="12039" max="12039" width="10.7109375" style="217" customWidth="1"/>
    <col min="12040" max="12041" width="11.28515625" style="217" customWidth="1"/>
    <col min="12042" max="12042" width="17" style="217" customWidth="1"/>
    <col min="12043" max="12043" width="16.28515625" style="217" customWidth="1"/>
    <col min="12044" max="12288" width="10.28515625" style="217"/>
    <col min="12289" max="12289" width="6.42578125" style="217" customWidth="1"/>
    <col min="12290" max="12290" width="58.28515625" style="217" customWidth="1"/>
    <col min="12291" max="12291" width="10.28515625" style="217"/>
    <col min="12292" max="12292" width="11" style="217" customWidth="1"/>
    <col min="12293" max="12294" width="9.7109375" style="217" customWidth="1"/>
    <col min="12295" max="12295" width="10.7109375" style="217" customWidth="1"/>
    <col min="12296" max="12297" width="11.28515625" style="217" customWidth="1"/>
    <col min="12298" max="12298" width="17" style="217" customWidth="1"/>
    <col min="12299" max="12299" width="16.28515625" style="217" customWidth="1"/>
    <col min="12300" max="12544" width="10.28515625" style="217"/>
    <col min="12545" max="12545" width="6.42578125" style="217" customWidth="1"/>
    <col min="12546" max="12546" width="58.28515625" style="217" customWidth="1"/>
    <col min="12547" max="12547" width="10.28515625" style="217"/>
    <col min="12548" max="12548" width="11" style="217" customWidth="1"/>
    <col min="12549" max="12550" width="9.7109375" style="217" customWidth="1"/>
    <col min="12551" max="12551" width="10.7109375" style="217" customWidth="1"/>
    <col min="12552" max="12553" width="11.28515625" style="217" customWidth="1"/>
    <col min="12554" max="12554" width="17" style="217" customWidth="1"/>
    <col min="12555" max="12555" width="16.28515625" style="217" customWidth="1"/>
    <col min="12556" max="12800" width="10.28515625" style="217"/>
    <col min="12801" max="12801" width="6.42578125" style="217" customWidth="1"/>
    <col min="12802" max="12802" width="58.28515625" style="217" customWidth="1"/>
    <col min="12803" max="12803" width="10.28515625" style="217"/>
    <col min="12804" max="12804" width="11" style="217" customWidth="1"/>
    <col min="12805" max="12806" width="9.7109375" style="217" customWidth="1"/>
    <col min="12807" max="12807" width="10.7109375" style="217" customWidth="1"/>
    <col min="12808" max="12809" width="11.28515625" style="217" customWidth="1"/>
    <col min="12810" max="12810" width="17" style="217" customWidth="1"/>
    <col min="12811" max="12811" width="16.28515625" style="217" customWidth="1"/>
    <col min="12812" max="13056" width="10.28515625" style="217"/>
    <col min="13057" max="13057" width="6.42578125" style="217" customWidth="1"/>
    <col min="13058" max="13058" width="58.28515625" style="217" customWidth="1"/>
    <col min="13059" max="13059" width="10.28515625" style="217"/>
    <col min="13060" max="13060" width="11" style="217" customWidth="1"/>
    <col min="13061" max="13062" width="9.7109375" style="217" customWidth="1"/>
    <col min="13063" max="13063" width="10.7109375" style="217" customWidth="1"/>
    <col min="13064" max="13065" width="11.28515625" style="217" customWidth="1"/>
    <col min="13066" max="13066" width="17" style="217" customWidth="1"/>
    <col min="13067" max="13067" width="16.28515625" style="217" customWidth="1"/>
    <col min="13068" max="13312" width="10.28515625" style="217"/>
    <col min="13313" max="13313" width="6.42578125" style="217" customWidth="1"/>
    <col min="13314" max="13314" width="58.28515625" style="217" customWidth="1"/>
    <col min="13315" max="13315" width="10.28515625" style="217"/>
    <col min="13316" max="13316" width="11" style="217" customWidth="1"/>
    <col min="13317" max="13318" width="9.7109375" style="217" customWidth="1"/>
    <col min="13319" max="13319" width="10.7109375" style="217" customWidth="1"/>
    <col min="13320" max="13321" width="11.28515625" style="217" customWidth="1"/>
    <col min="13322" max="13322" width="17" style="217" customWidth="1"/>
    <col min="13323" max="13323" width="16.28515625" style="217" customWidth="1"/>
    <col min="13324" max="13568" width="10.28515625" style="217"/>
    <col min="13569" max="13569" width="6.42578125" style="217" customWidth="1"/>
    <col min="13570" max="13570" width="58.28515625" style="217" customWidth="1"/>
    <col min="13571" max="13571" width="10.28515625" style="217"/>
    <col min="13572" max="13572" width="11" style="217" customWidth="1"/>
    <col min="13573" max="13574" width="9.7109375" style="217" customWidth="1"/>
    <col min="13575" max="13575" width="10.7109375" style="217" customWidth="1"/>
    <col min="13576" max="13577" width="11.28515625" style="217" customWidth="1"/>
    <col min="13578" max="13578" width="17" style="217" customWidth="1"/>
    <col min="13579" max="13579" width="16.28515625" style="217" customWidth="1"/>
    <col min="13580" max="13824" width="10.28515625" style="217"/>
    <col min="13825" max="13825" width="6.42578125" style="217" customWidth="1"/>
    <col min="13826" max="13826" width="58.28515625" style="217" customWidth="1"/>
    <col min="13827" max="13827" width="10.28515625" style="217"/>
    <col min="13828" max="13828" width="11" style="217" customWidth="1"/>
    <col min="13829" max="13830" width="9.7109375" style="217" customWidth="1"/>
    <col min="13831" max="13831" width="10.7109375" style="217" customWidth="1"/>
    <col min="13832" max="13833" width="11.28515625" style="217" customWidth="1"/>
    <col min="13834" max="13834" width="17" style="217" customWidth="1"/>
    <col min="13835" max="13835" width="16.28515625" style="217" customWidth="1"/>
    <col min="13836" max="14080" width="10.28515625" style="217"/>
    <col min="14081" max="14081" width="6.42578125" style="217" customWidth="1"/>
    <col min="14082" max="14082" width="58.28515625" style="217" customWidth="1"/>
    <col min="14083" max="14083" width="10.28515625" style="217"/>
    <col min="14084" max="14084" width="11" style="217" customWidth="1"/>
    <col min="14085" max="14086" width="9.7109375" style="217" customWidth="1"/>
    <col min="14087" max="14087" width="10.7109375" style="217" customWidth="1"/>
    <col min="14088" max="14089" width="11.28515625" style="217" customWidth="1"/>
    <col min="14090" max="14090" width="17" style="217" customWidth="1"/>
    <col min="14091" max="14091" width="16.28515625" style="217" customWidth="1"/>
    <col min="14092" max="14336" width="10.28515625" style="217"/>
    <col min="14337" max="14337" width="6.42578125" style="217" customWidth="1"/>
    <col min="14338" max="14338" width="58.28515625" style="217" customWidth="1"/>
    <col min="14339" max="14339" width="10.28515625" style="217"/>
    <col min="14340" max="14340" width="11" style="217" customWidth="1"/>
    <col min="14341" max="14342" width="9.7109375" style="217" customWidth="1"/>
    <col min="14343" max="14343" width="10.7109375" style="217" customWidth="1"/>
    <col min="14344" max="14345" width="11.28515625" style="217" customWidth="1"/>
    <col min="14346" max="14346" width="17" style="217" customWidth="1"/>
    <col min="14347" max="14347" width="16.28515625" style="217" customWidth="1"/>
    <col min="14348" max="14592" width="10.28515625" style="217"/>
    <col min="14593" max="14593" width="6.42578125" style="217" customWidth="1"/>
    <col min="14594" max="14594" width="58.28515625" style="217" customWidth="1"/>
    <col min="14595" max="14595" width="10.28515625" style="217"/>
    <col min="14596" max="14596" width="11" style="217" customWidth="1"/>
    <col min="14597" max="14598" width="9.7109375" style="217" customWidth="1"/>
    <col min="14599" max="14599" width="10.7109375" style="217" customWidth="1"/>
    <col min="14600" max="14601" width="11.28515625" style="217" customWidth="1"/>
    <col min="14602" max="14602" width="17" style="217" customWidth="1"/>
    <col min="14603" max="14603" width="16.28515625" style="217" customWidth="1"/>
    <col min="14604" max="14848" width="10.28515625" style="217"/>
    <col min="14849" max="14849" width="6.42578125" style="217" customWidth="1"/>
    <col min="14850" max="14850" width="58.28515625" style="217" customWidth="1"/>
    <col min="14851" max="14851" width="10.28515625" style="217"/>
    <col min="14852" max="14852" width="11" style="217" customWidth="1"/>
    <col min="14853" max="14854" width="9.7109375" style="217" customWidth="1"/>
    <col min="14855" max="14855" width="10.7109375" style="217" customWidth="1"/>
    <col min="14856" max="14857" width="11.28515625" style="217" customWidth="1"/>
    <col min="14858" max="14858" width="17" style="217" customWidth="1"/>
    <col min="14859" max="14859" width="16.28515625" style="217" customWidth="1"/>
    <col min="14860" max="15104" width="10.28515625" style="217"/>
    <col min="15105" max="15105" width="6.42578125" style="217" customWidth="1"/>
    <col min="15106" max="15106" width="58.28515625" style="217" customWidth="1"/>
    <col min="15107" max="15107" width="10.28515625" style="217"/>
    <col min="15108" max="15108" width="11" style="217" customWidth="1"/>
    <col min="15109" max="15110" width="9.7109375" style="217" customWidth="1"/>
    <col min="15111" max="15111" width="10.7109375" style="217" customWidth="1"/>
    <col min="15112" max="15113" width="11.28515625" style="217" customWidth="1"/>
    <col min="15114" max="15114" width="17" style="217" customWidth="1"/>
    <col min="15115" max="15115" width="16.28515625" style="217" customWidth="1"/>
    <col min="15116" max="15360" width="10.28515625" style="217"/>
    <col min="15361" max="15361" width="6.42578125" style="217" customWidth="1"/>
    <col min="15362" max="15362" width="58.28515625" style="217" customWidth="1"/>
    <col min="15363" max="15363" width="10.28515625" style="217"/>
    <col min="15364" max="15364" width="11" style="217" customWidth="1"/>
    <col min="15365" max="15366" width="9.7109375" style="217" customWidth="1"/>
    <col min="15367" max="15367" width="10.7109375" style="217" customWidth="1"/>
    <col min="15368" max="15369" width="11.28515625" style="217" customWidth="1"/>
    <col min="15370" max="15370" width="17" style="217" customWidth="1"/>
    <col min="15371" max="15371" width="16.28515625" style="217" customWidth="1"/>
    <col min="15372" max="15616" width="10.28515625" style="217"/>
    <col min="15617" max="15617" width="6.42578125" style="217" customWidth="1"/>
    <col min="15618" max="15618" width="58.28515625" style="217" customWidth="1"/>
    <col min="15619" max="15619" width="10.28515625" style="217"/>
    <col min="15620" max="15620" width="11" style="217" customWidth="1"/>
    <col min="15621" max="15622" width="9.7109375" style="217" customWidth="1"/>
    <col min="15623" max="15623" width="10.7109375" style="217" customWidth="1"/>
    <col min="15624" max="15625" width="11.28515625" style="217" customWidth="1"/>
    <col min="15626" max="15626" width="17" style="217" customWidth="1"/>
    <col min="15627" max="15627" width="16.28515625" style="217" customWidth="1"/>
    <col min="15628" max="15872" width="10.28515625" style="217"/>
    <col min="15873" max="15873" width="6.42578125" style="217" customWidth="1"/>
    <col min="15874" max="15874" width="58.28515625" style="217" customWidth="1"/>
    <col min="15875" max="15875" width="10.28515625" style="217"/>
    <col min="15876" max="15876" width="11" style="217" customWidth="1"/>
    <col min="15877" max="15878" width="9.7109375" style="217" customWidth="1"/>
    <col min="15879" max="15879" width="10.7109375" style="217" customWidth="1"/>
    <col min="15880" max="15881" width="11.28515625" style="217" customWidth="1"/>
    <col min="15882" max="15882" width="17" style="217" customWidth="1"/>
    <col min="15883" max="15883" width="16.28515625" style="217" customWidth="1"/>
    <col min="15884" max="16128" width="10.28515625" style="217"/>
    <col min="16129" max="16129" width="6.42578125" style="217" customWidth="1"/>
    <col min="16130" max="16130" width="58.28515625" style="217" customWidth="1"/>
    <col min="16131" max="16131" width="10.28515625" style="217"/>
    <col min="16132" max="16132" width="11" style="217" customWidth="1"/>
    <col min="16133" max="16134" width="9.7109375" style="217" customWidth="1"/>
    <col min="16135" max="16135" width="10.7109375" style="217" customWidth="1"/>
    <col min="16136" max="16137" width="11.28515625" style="217" customWidth="1"/>
    <col min="16138" max="16138" width="17" style="217" customWidth="1"/>
    <col min="16139" max="16139" width="16.28515625" style="217" customWidth="1"/>
    <col min="16140" max="16384" width="10.28515625" style="217"/>
  </cols>
  <sheetData>
    <row r="1" spans="1:14" ht="12" customHeight="1" x14ac:dyDescent="0.2">
      <c r="A1" s="216"/>
      <c r="C1" s="218"/>
      <c r="D1" s="218"/>
      <c r="E1" s="218"/>
      <c r="F1" s="218"/>
      <c r="G1" s="219" t="s">
        <v>210</v>
      </c>
      <c r="H1" s="219"/>
    </row>
    <row r="2" spans="1:14" ht="12" customHeight="1" x14ac:dyDescent="0.2">
      <c r="C2" s="218"/>
      <c r="D2" s="218"/>
      <c r="E2" s="218"/>
      <c r="F2" s="218"/>
      <c r="G2" s="219" t="s">
        <v>261</v>
      </c>
      <c r="H2" s="219"/>
    </row>
    <row r="3" spans="1:14" ht="12" customHeight="1" x14ac:dyDescent="0.2">
      <c r="C3" s="218"/>
      <c r="D3" s="218"/>
      <c r="E3" s="218"/>
      <c r="F3" s="218"/>
      <c r="G3" s="219" t="s">
        <v>1</v>
      </c>
      <c r="H3" s="219"/>
    </row>
    <row r="4" spans="1:14" ht="12" customHeight="1" x14ac:dyDescent="0.2">
      <c r="B4" s="218"/>
      <c r="C4" s="220"/>
      <c r="D4" s="218"/>
      <c r="E4" s="220"/>
      <c r="F4" s="218"/>
      <c r="G4" s="221" t="s">
        <v>179</v>
      </c>
      <c r="H4" s="221"/>
    </row>
    <row r="5" spans="1:14" ht="12" customHeight="1" x14ac:dyDescent="0.2">
      <c r="B5" s="218"/>
      <c r="C5" s="220"/>
      <c r="D5" s="218"/>
      <c r="E5" s="220"/>
      <c r="F5" s="218"/>
      <c r="G5" s="218"/>
      <c r="H5" s="218"/>
    </row>
    <row r="6" spans="1:14" ht="12.75" customHeight="1" x14ac:dyDescent="0.2">
      <c r="A6" s="222" t="s">
        <v>211</v>
      </c>
      <c r="B6" s="222"/>
      <c r="C6" s="222"/>
      <c r="D6" s="222"/>
      <c r="E6" s="222"/>
      <c r="F6" s="222"/>
      <c r="G6" s="222"/>
      <c r="H6" s="222"/>
      <c r="I6" s="222"/>
    </row>
    <row r="7" spans="1:14" ht="11.25" customHeight="1" x14ac:dyDescent="0.2">
      <c r="I7" s="217" t="s">
        <v>2</v>
      </c>
    </row>
    <row r="8" spans="1:14" ht="11.25" customHeight="1" x14ac:dyDescent="0.2">
      <c r="A8" s="223"/>
      <c r="B8" s="223"/>
      <c r="C8" s="224" t="s">
        <v>212</v>
      </c>
      <c r="D8" s="225" t="s">
        <v>213</v>
      </c>
      <c r="E8" s="226" t="s">
        <v>214</v>
      </c>
      <c r="F8" s="227"/>
      <c r="G8" s="226" t="s">
        <v>215</v>
      </c>
      <c r="H8" s="228"/>
      <c r="I8" s="227"/>
    </row>
    <row r="9" spans="1:14" ht="11.25" customHeight="1" x14ac:dyDescent="0.2">
      <c r="A9" s="229"/>
      <c r="B9" s="229"/>
      <c r="C9" s="230"/>
      <c r="D9" s="231" t="s">
        <v>216</v>
      </c>
      <c r="E9" s="224"/>
      <c r="F9" s="224"/>
      <c r="G9" s="226" t="s">
        <v>217</v>
      </c>
      <c r="H9" s="228"/>
      <c r="I9" s="227"/>
    </row>
    <row r="10" spans="1:14" ht="11.25" customHeight="1" x14ac:dyDescent="0.2">
      <c r="A10" s="229"/>
      <c r="B10" s="229"/>
      <c r="C10" s="230" t="s">
        <v>218</v>
      </c>
      <c r="D10" s="231" t="s">
        <v>219</v>
      </c>
      <c r="E10" s="230"/>
      <c r="F10" s="230"/>
      <c r="G10" s="224"/>
      <c r="H10" s="224"/>
      <c r="I10" s="224"/>
    </row>
    <row r="11" spans="1:14" ht="14.25" customHeight="1" x14ac:dyDescent="0.2">
      <c r="A11" s="229" t="s">
        <v>184</v>
      </c>
      <c r="B11" s="229" t="s">
        <v>220</v>
      </c>
      <c r="C11" s="230" t="s">
        <v>221</v>
      </c>
      <c r="D11" s="231" t="s">
        <v>222</v>
      </c>
      <c r="E11" s="230"/>
      <c r="F11" s="230"/>
      <c r="G11" s="230"/>
      <c r="H11" s="230"/>
      <c r="I11" s="230"/>
      <c r="N11" s="232"/>
    </row>
    <row r="12" spans="1:14" ht="32.25" customHeight="1" x14ac:dyDescent="0.2">
      <c r="A12" s="229"/>
      <c r="B12" s="229"/>
      <c r="C12" s="230" t="s">
        <v>223</v>
      </c>
      <c r="D12" s="231" t="s">
        <v>224</v>
      </c>
      <c r="E12" s="230" t="s">
        <v>225</v>
      </c>
      <c r="F12" s="230" t="s">
        <v>226</v>
      </c>
      <c r="G12" s="230" t="s">
        <v>227</v>
      </c>
      <c r="H12" s="230" t="s">
        <v>225</v>
      </c>
      <c r="I12" s="230" t="s">
        <v>226</v>
      </c>
      <c r="L12" s="217" t="s">
        <v>228</v>
      </c>
    </row>
    <row r="13" spans="1:14" ht="18.75" customHeight="1" x14ac:dyDescent="0.2">
      <c r="A13" s="233"/>
      <c r="B13" s="233"/>
      <c r="D13" s="234" t="s">
        <v>229</v>
      </c>
      <c r="E13" s="235"/>
      <c r="F13" s="235"/>
      <c r="G13" s="235"/>
      <c r="H13" s="235"/>
      <c r="I13" s="235"/>
    </row>
    <row r="14" spans="1:14" ht="11.25" customHeight="1" x14ac:dyDescent="0.2">
      <c r="A14" s="236">
        <v>1</v>
      </c>
      <c r="B14" s="236">
        <v>2</v>
      </c>
      <c r="C14" s="236">
        <v>3</v>
      </c>
      <c r="D14" s="236">
        <v>4</v>
      </c>
      <c r="E14" s="236">
        <v>5</v>
      </c>
      <c r="F14" s="236">
        <v>6</v>
      </c>
      <c r="G14" s="237">
        <v>7</v>
      </c>
      <c r="H14" s="236">
        <v>8</v>
      </c>
      <c r="I14" s="236">
        <v>9</v>
      </c>
    </row>
    <row r="15" spans="1:14" s="244" customFormat="1" ht="21.75" customHeight="1" x14ac:dyDescent="0.2">
      <c r="A15" s="238"/>
      <c r="B15" s="239" t="s">
        <v>230</v>
      </c>
      <c r="C15" s="240"/>
      <c r="D15" s="241">
        <v>460494012.32999992</v>
      </c>
      <c r="E15" s="241">
        <v>238542749.39000005</v>
      </c>
      <c r="F15" s="241">
        <v>221951262.94</v>
      </c>
      <c r="G15" s="241">
        <v>224292994.92000002</v>
      </c>
      <c r="H15" s="241">
        <v>60863130.919999994</v>
      </c>
      <c r="I15" s="241">
        <v>163429864</v>
      </c>
      <c r="J15" s="242"/>
      <c r="K15" s="243"/>
    </row>
    <row r="16" spans="1:14" s="244" customFormat="1" ht="12" customHeight="1" x14ac:dyDescent="0.2">
      <c r="A16" s="245"/>
      <c r="B16" s="246" t="s">
        <v>231</v>
      </c>
      <c r="C16" s="247"/>
      <c r="D16" s="248">
        <v>43342264.240000002</v>
      </c>
      <c r="E16" s="248">
        <v>8274772.3300000019</v>
      </c>
      <c r="F16" s="248">
        <v>35067491.909999996</v>
      </c>
      <c r="G16" s="248">
        <v>19894056.490000006</v>
      </c>
      <c r="H16" s="248">
        <v>2242522.8199999998</v>
      </c>
      <c r="I16" s="248">
        <v>17651533.669999994</v>
      </c>
      <c r="J16" s="249"/>
      <c r="K16" s="250"/>
      <c r="L16" s="243"/>
    </row>
    <row r="17" spans="1:12" s="244" customFormat="1" ht="12" customHeight="1" x14ac:dyDescent="0.2">
      <c r="A17" s="245"/>
      <c r="B17" s="251" t="s">
        <v>232</v>
      </c>
      <c r="C17" s="252"/>
      <c r="D17" s="253">
        <v>417151748.08999991</v>
      </c>
      <c r="E17" s="253">
        <v>230267977.06000003</v>
      </c>
      <c r="F17" s="253">
        <v>186883771.03</v>
      </c>
      <c r="G17" s="253">
        <v>204398938.43000001</v>
      </c>
      <c r="H17" s="253">
        <v>58620608.099999994</v>
      </c>
      <c r="I17" s="253">
        <v>145778330.33000001</v>
      </c>
      <c r="J17" s="249"/>
      <c r="K17" s="254"/>
    </row>
    <row r="18" spans="1:12" ht="27" customHeight="1" thickBot="1" x14ac:dyDescent="0.25">
      <c r="A18" s="255" t="s">
        <v>233</v>
      </c>
      <c r="B18" s="256" t="s">
        <v>234</v>
      </c>
      <c r="C18" s="257"/>
      <c r="D18" s="258">
        <v>143299071.04000005</v>
      </c>
      <c r="E18" s="258">
        <v>52157192.039999999</v>
      </c>
      <c r="F18" s="258">
        <v>91141879</v>
      </c>
      <c r="G18" s="258">
        <v>91256646.239999995</v>
      </c>
      <c r="H18" s="258">
        <v>28226190.969999999</v>
      </c>
      <c r="I18" s="258">
        <v>63030455.270000011</v>
      </c>
      <c r="J18" s="254"/>
    </row>
    <row r="19" spans="1:12" ht="33.75" x14ac:dyDescent="0.2">
      <c r="A19" s="259" t="s">
        <v>235</v>
      </c>
      <c r="B19" s="260" t="s">
        <v>236</v>
      </c>
      <c r="C19" s="261"/>
      <c r="D19" s="262"/>
      <c r="E19" s="261"/>
      <c r="F19" s="263"/>
      <c r="G19" s="261"/>
      <c r="H19" s="261"/>
      <c r="I19" s="263"/>
    </row>
    <row r="20" spans="1:12" ht="11.25" customHeight="1" x14ac:dyDescent="0.25">
      <c r="A20" s="264"/>
      <c r="B20" s="265" t="s">
        <v>237</v>
      </c>
      <c r="C20" s="266"/>
      <c r="D20" s="267"/>
      <c r="E20" s="266"/>
      <c r="F20" s="268"/>
      <c r="G20" s="266"/>
      <c r="H20" s="266"/>
      <c r="I20" s="268"/>
    </row>
    <row r="21" spans="1:12" x14ac:dyDescent="0.2">
      <c r="A21" s="269"/>
      <c r="B21" s="270" t="s">
        <v>231</v>
      </c>
      <c r="C21" s="271" t="s">
        <v>238</v>
      </c>
      <c r="D21" s="272">
        <v>31000</v>
      </c>
      <c r="E21" s="272">
        <v>31000</v>
      </c>
      <c r="F21" s="272"/>
      <c r="G21" s="273">
        <v>31000</v>
      </c>
      <c r="H21" s="272">
        <v>31000</v>
      </c>
      <c r="I21" s="272"/>
      <c r="J21" s="274"/>
    </row>
    <row r="22" spans="1:12" x14ac:dyDescent="0.2">
      <c r="A22" s="275"/>
      <c r="B22" s="276" t="s">
        <v>232</v>
      </c>
      <c r="C22" s="277" t="s">
        <v>239</v>
      </c>
      <c r="D22" s="272">
        <v>20512835.379999999</v>
      </c>
      <c r="E22" s="278">
        <v>3005624.41</v>
      </c>
      <c r="F22" s="278">
        <v>17507210.969999999</v>
      </c>
      <c r="G22" s="273">
        <v>15042745.940000001</v>
      </c>
      <c r="H22" s="278">
        <v>2204124.56</v>
      </c>
      <c r="I22" s="278">
        <v>12838621.380000001</v>
      </c>
      <c r="J22" s="274"/>
    </row>
    <row r="23" spans="1:12" ht="23.25" customHeight="1" x14ac:dyDescent="0.2">
      <c r="A23" s="259" t="s">
        <v>240</v>
      </c>
      <c r="B23" s="260" t="s">
        <v>241</v>
      </c>
      <c r="C23" s="261"/>
      <c r="D23" s="262"/>
      <c r="E23" s="261"/>
      <c r="F23" s="263"/>
      <c r="G23" s="261"/>
      <c r="H23" s="261"/>
      <c r="I23" s="263"/>
    </row>
    <row r="24" spans="1:12" ht="11.1" customHeight="1" x14ac:dyDescent="0.25">
      <c r="A24" s="264"/>
      <c r="B24" s="265" t="s">
        <v>237</v>
      </c>
      <c r="C24" s="266"/>
      <c r="D24" s="267"/>
      <c r="E24" s="266"/>
      <c r="F24" s="268"/>
      <c r="G24" s="266"/>
      <c r="H24" s="266"/>
      <c r="I24" s="268"/>
    </row>
    <row r="25" spans="1:12" ht="11.1" customHeight="1" x14ac:dyDescent="0.2">
      <c r="A25" s="269"/>
      <c r="B25" s="270" t="s">
        <v>231</v>
      </c>
      <c r="C25" s="271" t="s">
        <v>238</v>
      </c>
      <c r="D25" s="272">
        <v>31000</v>
      </c>
      <c r="E25" s="272">
        <v>31000</v>
      </c>
      <c r="F25" s="272"/>
      <c r="G25" s="273">
        <v>31000</v>
      </c>
      <c r="H25" s="272">
        <v>31000</v>
      </c>
      <c r="I25" s="272"/>
    </row>
    <row r="26" spans="1:12" ht="11.1" customHeight="1" x14ac:dyDescent="0.2">
      <c r="A26" s="275"/>
      <c r="B26" s="276" t="s">
        <v>232</v>
      </c>
      <c r="C26" s="277" t="s">
        <v>242</v>
      </c>
      <c r="D26" s="279">
        <v>3566000</v>
      </c>
      <c r="E26" s="278">
        <v>166000</v>
      </c>
      <c r="F26" s="278">
        <v>3400000</v>
      </c>
      <c r="G26" s="280">
        <v>591000</v>
      </c>
      <c r="H26" s="278">
        <v>166000</v>
      </c>
      <c r="I26" s="278">
        <v>425000</v>
      </c>
      <c r="J26" s="274"/>
    </row>
    <row r="27" spans="1:12" ht="22.5" customHeight="1" x14ac:dyDescent="0.2">
      <c r="A27" s="259" t="s">
        <v>243</v>
      </c>
      <c r="B27" s="260" t="s">
        <v>244</v>
      </c>
      <c r="C27" s="281"/>
      <c r="D27" s="261"/>
      <c r="E27" s="261"/>
      <c r="F27" s="263"/>
      <c r="G27" s="261"/>
      <c r="H27" s="261"/>
      <c r="I27" s="263"/>
    </row>
    <row r="28" spans="1:12" ht="11.1" customHeight="1" x14ac:dyDescent="0.25">
      <c r="A28" s="264"/>
      <c r="B28" s="265" t="s">
        <v>245</v>
      </c>
      <c r="C28" s="282"/>
      <c r="D28" s="266"/>
      <c r="E28" s="266"/>
      <c r="F28" s="268"/>
      <c r="G28" s="266"/>
      <c r="H28" s="266"/>
      <c r="I28" s="268"/>
    </row>
    <row r="29" spans="1:12" ht="11.1" customHeight="1" x14ac:dyDescent="0.2">
      <c r="A29" s="283"/>
      <c r="B29" s="270" t="s">
        <v>231</v>
      </c>
      <c r="C29" s="284" t="s">
        <v>246</v>
      </c>
      <c r="D29" s="285">
        <v>77040</v>
      </c>
      <c r="E29" s="285"/>
      <c r="F29" s="285">
        <v>77040</v>
      </c>
      <c r="G29" s="286">
        <v>77040</v>
      </c>
      <c r="H29" s="285"/>
      <c r="I29" s="285">
        <v>77040</v>
      </c>
    </row>
    <row r="30" spans="1:12" ht="11.1" customHeight="1" x14ac:dyDescent="0.2">
      <c r="A30" s="275"/>
      <c r="B30" s="276" t="s">
        <v>232</v>
      </c>
      <c r="C30" s="287" t="s">
        <v>247</v>
      </c>
      <c r="D30" s="279">
        <v>0</v>
      </c>
      <c r="E30" s="288"/>
      <c r="F30" s="289"/>
      <c r="G30" s="280">
        <v>0</v>
      </c>
      <c r="H30" s="288"/>
      <c r="I30" s="289"/>
      <c r="L30" s="217" t="s">
        <v>228</v>
      </c>
    </row>
    <row r="31" spans="1:12" ht="22.5" customHeight="1" x14ac:dyDescent="0.2">
      <c r="A31" s="259" t="s">
        <v>248</v>
      </c>
      <c r="B31" s="260" t="s">
        <v>249</v>
      </c>
      <c r="C31" s="281"/>
      <c r="D31" s="261"/>
      <c r="E31" s="261"/>
      <c r="F31" s="263"/>
      <c r="G31" s="261"/>
      <c r="H31" s="261"/>
      <c r="I31" s="263"/>
    </row>
    <row r="32" spans="1:12" ht="11.1" customHeight="1" x14ac:dyDescent="0.25">
      <c r="A32" s="264"/>
      <c r="B32" s="265" t="s">
        <v>250</v>
      </c>
      <c r="C32" s="282"/>
      <c r="D32" s="266"/>
      <c r="E32" s="266"/>
      <c r="F32" s="268"/>
      <c r="G32" s="266"/>
      <c r="H32" s="266"/>
      <c r="I32" s="268"/>
    </row>
    <row r="33" spans="1:14" ht="11.1" customHeight="1" x14ac:dyDescent="0.2">
      <c r="A33" s="283"/>
      <c r="B33" s="270" t="s">
        <v>231</v>
      </c>
      <c r="C33" s="284" t="s">
        <v>246</v>
      </c>
      <c r="D33" s="285">
        <v>87361</v>
      </c>
      <c r="E33" s="285"/>
      <c r="F33" s="285">
        <v>87361</v>
      </c>
      <c r="G33" s="286">
        <v>87361</v>
      </c>
      <c r="H33" s="285"/>
      <c r="I33" s="285">
        <v>87361</v>
      </c>
    </row>
    <row r="34" spans="1:14" ht="11.1" customHeight="1" x14ac:dyDescent="0.2">
      <c r="A34" s="275"/>
      <c r="B34" s="276" t="s">
        <v>232</v>
      </c>
      <c r="C34" s="287" t="s">
        <v>247</v>
      </c>
      <c r="D34" s="279">
        <v>0</v>
      </c>
      <c r="E34" s="288"/>
      <c r="F34" s="289"/>
      <c r="G34" s="280">
        <v>0</v>
      </c>
      <c r="H34" s="288"/>
      <c r="I34" s="289"/>
      <c r="N34" s="217" t="s">
        <v>228</v>
      </c>
    </row>
    <row r="35" spans="1:14" ht="22.5" customHeight="1" x14ac:dyDescent="0.2">
      <c r="A35" s="259" t="s">
        <v>251</v>
      </c>
      <c r="B35" s="260" t="s">
        <v>252</v>
      </c>
      <c r="C35" s="281"/>
      <c r="D35" s="261"/>
      <c r="E35" s="261"/>
      <c r="F35" s="263"/>
      <c r="G35" s="261"/>
      <c r="H35" s="261"/>
      <c r="I35" s="263"/>
      <c r="K35" s="217" t="s">
        <v>228</v>
      </c>
    </row>
    <row r="36" spans="1:14" ht="11.1" customHeight="1" x14ac:dyDescent="0.25">
      <c r="A36" s="264"/>
      <c r="B36" s="265" t="s">
        <v>253</v>
      </c>
      <c r="C36" s="282"/>
      <c r="D36" s="266"/>
      <c r="E36" s="266"/>
      <c r="F36" s="268"/>
      <c r="G36" s="266"/>
      <c r="H36" s="266"/>
      <c r="I36" s="268"/>
    </row>
    <row r="37" spans="1:14" ht="11.1" customHeight="1" x14ac:dyDescent="0.2">
      <c r="A37" s="283"/>
      <c r="B37" s="270" t="s">
        <v>231</v>
      </c>
      <c r="C37" s="284" t="s">
        <v>246</v>
      </c>
      <c r="D37" s="285">
        <v>67572</v>
      </c>
      <c r="E37" s="285"/>
      <c r="F37" s="285">
        <v>67572</v>
      </c>
      <c r="G37" s="286">
        <v>67572</v>
      </c>
      <c r="H37" s="285"/>
      <c r="I37" s="285">
        <v>67572</v>
      </c>
    </row>
    <row r="38" spans="1:14" ht="11.1" customHeight="1" x14ac:dyDescent="0.2">
      <c r="A38" s="275"/>
      <c r="B38" s="276" t="s">
        <v>232</v>
      </c>
      <c r="C38" s="287" t="s">
        <v>247</v>
      </c>
      <c r="D38" s="279">
        <v>0</v>
      </c>
      <c r="E38" s="288"/>
      <c r="F38" s="289"/>
      <c r="G38" s="280">
        <v>0</v>
      </c>
      <c r="H38" s="288"/>
      <c r="I38" s="289"/>
    </row>
    <row r="39" spans="1:14" ht="22.5" customHeight="1" x14ac:dyDescent="0.2">
      <c r="A39" s="259" t="s">
        <v>254</v>
      </c>
      <c r="B39" s="260" t="s">
        <v>255</v>
      </c>
      <c r="C39" s="281"/>
      <c r="D39" s="261"/>
      <c r="E39" s="261"/>
      <c r="F39" s="263"/>
      <c r="G39" s="261"/>
      <c r="H39" s="261"/>
      <c r="I39" s="263"/>
      <c r="L39" s="217" t="s">
        <v>228</v>
      </c>
    </row>
    <row r="40" spans="1:14" ht="11.1" customHeight="1" x14ac:dyDescent="0.25">
      <c r="A40" s="264"/>
      <c r="B40" s="265" t="s">
        <v>256</v>
      </c>
      <c r="C40" s="282"/>
      <c r="D40" s="266"/>
      <c r="E40" s="266"/>
      <c r="F40" s="268"/>
      <c r="G40" s="266"/>
      <c r="H40" s="266"/>
      <c r="I40" s="268"/>
    </row>
    <row r="41" spans="1:14" ht="11.1" customHeight="1" x14ac:dyDescent="0.2">
      <c r="A41" s="283"/>
      <c r="B41" s="270" t="s">
        <v>231</v>
      </c>
      <c r="C41" s="284" t="s">
        <v>246</v>
      </c>
      <c r="D41" s="285">
        <v>89995.06</v>
      </c>
      <c r="E41" s="285"/>
      <c r="F41" s="285">
        <v>89995.06</v>
      </c>
      <c r="G41" s="286">
        <v>89995.06</v>
      </c>
      <c r="H41" s="285"/>
      <c r="I41" s="285">
        <v>89995.06</v>
      </c>
    </row>
    <row r="42" spans="1:14" ht="11.1" customHeight="1" x14ac:dyDescent="0.2">
      <c r="A42" s="275"/>
      <c r="B42" s="276" t="s">
        <v>232</v>
      </c>
      <c r="C42" s="287" t="s">
        <v>247</v>
      </c>
      <c r="D42" s="279">
        <v>0</v>
      </c>
      <c r="E42" s="288"/>
      <c r="F42" s="289"/>
      <c r="G42" s="280">
        <v>0</v>
      </c>
      <c r="H42" s="288"/>
      <c r="I42" s="289"/>
    </row>
    <row r="43" spans="1:14" ht="20.25" customHeight="1" thickBot="1" x14ac:dyDescent="0.25">
      <c r="A43" s="290">
        <v>6</v>
      </c>
      <c r="B43" s="291" t="s">
        <v>257</v>
      </c>
      <c r="C43" s="292"/>
      <c r="D43" s="293">
        <v>91128998.5</v>
      </c>
      <c r="E43" s="293">
        <v>28247416.329999994</v>
      </c>
      <c r="F43" s="293">
        <v>62881582.170000002</v>
      </c>
      <c r="G43" s="293">
        <v>50333067.75</v>
      </c>
      <c r="H43" s="293">
        <v>12477671.429999998</v>
      </c>
      <c r="I43" s="293">
        <v>37855396.32</v>
      </c>
      <c r="J43" s="274"/>
    </row>
    <row r="44" spans="1:14" ht="21" customHeight="1" x14ac:dyDescent="0.2">
      <c r="A44" s="294" t="s">
        <v>258</v>
      </c>
      <c r="B44" s="295" t="s">
        <v>259</v>
      </c>
      <c r="C44" s="296"/>
      <c r="D44" s="297"/>
      <c r="E44" s="297"/>
      <c r="F44" s="298"/>
      <c r="G44" s="299"/>
      <c r="H44" s="297"/>
      <c r="I44" s="300"/>
      <c r="J44" s="274"/>
    </row>
    <row r="45" spans="1:14" ht="11.1" customHeight="1" x14ac:dyDescent="0.2">
      <c r="A45" s="283"/>
      <c r="B45" s="265" t="s">
        <v>237</v>
      </c>
      <c r="C45" s="301"/>
      <c r="D45" s="302"/>
      <c r="E45" s="302"/>
      <c r="F45" s="273"/>
      <c r="G45" s="303"/>
      <c r="H45" s="302"/>
      <c r="I45" s="304"/>
      <c r="J45" s="274"/>
    </row>
    <row r="46" spans="1:14" ht="11.1" customHeight="1" x14ac:dyDescent="0.2">
      <c r="A46" s="283"/>
      <c r="B46" s="270" t="s">
        <v>231</v>
      </c>
      <c r="C46" s="301" t="s">
        <v>238</v>
      </c>
      <c r="D46" s="272">
        <v>20000</v>
      </c>
      <c r="E46" s="272">
        <v>9800</v>
      </c>
      <c r="F46" s="272">
        <v>10200</v>
      </c>
      <c r="G46" s="272">
        <v>20000</v>
      </c>
      <c r="H46" s="272">
        <v>9800</v>
      </c>
      <c r="I46" s="305">
        <v>10200</v>
      </c>
      <c r="J46" s="274"/>
    </row>
    <row r="47" spans="1:14" ht="11.1" customHeight="1" x14ac:dyDescent="0.2">
      <c r="A47" s="306"/>
      <c r="B47" s="276" t="s">
        <v>232</v>
      </c>
      <c r="C47" s="307" t="s">
        <v>239</v>
      </c>
      <c r="D47" s="279">
        <v>5760000</v>
      </c>
      <c r="E47" s="279">
        <v>1841707.31</v>
      </c>
      <c r="F47" s="308">
        <v>3918292.6900000004</v>
      </c>
      <c r="G47" s="279">
        <v>2922391.29</v>
      </c>
      <c r="H47" s="279">
        <v>944316.01</v>
      </c>
      <c r="I47" s="308">
        <v>1978075.28</v>
      </c>
      <c r="J47" s="274"/>
    </row>
    <row r="48" spans="1:14" ht="11.1" customHeight="1" x14ac:dyDescent="0.2">
      <c r="A48" s="309"/>
      <c r="B48" s="310"/>
      <c r="C48" s="311"/>
      <c r="D48" s="249"/>
      <c r="E48" s="249"/>
      <c r="F48" s="249"/>
      <c r="G48" s="249"/>
      <c r="H48" s="249"/>
      <c r="I48" s="312"/>
    </row>
    <row r="49" spans="1:9" ht="15.75" customHeight="1" x14ac:dyDescent="0.2">
      <c r="A49" s="313" t="s">
        <v>260</v>
      </c>
      <c r="D49" s="254"/>
      <c r="E49" s="254"/>
      <c r="F49" s="254"/>
      <c r="G49" s="254"/>
      <c r="H49" s="254"/>
      <c r="I49" s="254"/>
    </row>
    <row r="50" spans="1:9" ht="11.1" customHeight="1" x14ac:dyDescent="0.2">
      <c r="A50" s="309"/>
      <c r="D50" s="254"/>
      <c r="E50" s="254"/>
      <c r="F50" s="254"/>
      <c r="G50" s="254"/>
      <c r="H50" s="254"/>
      <c r="I50" s="254"/>
    </row>
    <row r="51" spans="1:9" ht="11.1" customHeight="1" x14ac:dyDescent="0.2">
      <c r="A51" s="309"/>
      <c r="D51" s="254"/>
      <c r="E51" s="254"/>
      <c r="F51" s="254"/>
      <c r="G51" s="254"/>
      <c r="H51" s="254"/>
      <c r="I51" s="254"/>
    </row>
    <row r="52" spans="1:9" ht="11.1" customHeight="1" x14ac:dyDescent="0.2">
      <c r="A52" s="309"/>
      <c r="D52" s="254"/>
      <c r="E52" s="254"/>
      <c r="F52" s="254"/>
      <c r="G52" s="254"/>
      <c r="H52" s="254"/>
      <c r="I52" s="254"/>
    </row>
    <row r="53" spans="1:9" ht="11.1" customHeight="1" x14ac:dyDescent="0.2">
      <c r="A53" s="309"/>
      <c r="D53" s="254"/>
      <c r="E53" s="254"/>
      <c r="F53" s="254"/>
      <c r="G53" s="254"/>
      <c r="H53" s="254"/>
      <c r="I53" s="254"/>
    </row>
    <row r="54" spans="1:9" ht="11.1" customHeight="1" x14ac:dyDescent="0.2">
      <c r="A54" s="309"/>
      <c r="D54" s="254"/>
      <c r="E54" s="254"/>
      <c r="F54" s="254"/>
      <c r="G54" s="254"/>
      <c r="H54" s="254"/>
      <c r="I54" s="254"/>
    </row>
    <row r="55" spans="1:9" ht="11.1" customHeight="1" x14ac:dyDescent="0.2">
      <c r="A55" s="309"/>
      <c r="D55" s="254"/>
      <c r="E55" s="254"/>
      <c r="F55" s="254"/>
      <c r="G55" s="254"/>
      <c r="H55" s="254"/>
      <c r="I55" s="254"/>
    </row>
    <row r="56" spans="1:9" ht="11.1" customHeight="1" x14ac:dyDescent="0.2">
      <c r="A56" s="309"/>
      <c r="D56" s="254"/>
      <c r="E56" s="254"/>
      <c r="F56" s="254"/>
      <c r="G56" s="254"/>
      <c r="H56" s="254"/>
      <c r="I56" s="254"/>
    </row>
    <row r="57" spans="1:9" ht="11.1" customHeight="1" x14ac:dyDescent="0.2">
      <c r="A57" s="309"/>
      <c r="D57" s="254"/>
      <c r="E57" s="254"/>
      <c r="F57" s="254"/>
      <c r="G57" s="254"/>
      <c r="H57" s="254"/>
      <c r="I57" s="254"/>
    </row>
    <row r="58" spans="1:9" ht="11.1" customHeight="1" x14ac:dyDescent="0.2">
      <c r="A58" s="309"/>
      <c r="D58" s="254"/>
      <c r="E58" s="254"/>
      <c r="F58" s="254"/>
      <c r="G58" s="254"/>
      <c r="H58" s="254"/>
      <c r="I58" s="254"/>
    </row>
    <row r="59" spans="1:9" ht="11.1" customHeight="1" x14ac:dyDescent="0.2">
      <c r="A59" s="309"/>
      <c r="D59" s="254"/>
      <c r="E59" s="254"/>
      <c r="F59" s="254"/>
      <c r="G59" s="254"/>
      <c r="H59" s="254"/>
      <c r="I59" s="254"/>
    </row>
    <row r="60" spans="1:9" ht="11.1" customHeight="1" x14ac:dyDescent="0.2">
      <c r="A60" s="309"/>
      <c r="D60" s="254"/>
      <c r="E60" s="254"/>
      <c r="F60" s="254"/>
      <c r="G60" s="254"/>
      <c r="H60" s="254"/>
      <c r="I60" s="254"/>
    </row>
    <row r="61" spans="1:9" ht="11.1" customHeight="1" x14ac:dyDescent="0.2">
      <c r="A61" s="309"/>
      <c r="D61" s="254"/>
      <c r="E61" s="254"/>
      <c r="F61" s="254"/>
      <c r="G61" s="254"/>
      <c r="H61" s="254"/>
      <c r="I61" s="254"/>
    </row>
    <row r="62" spans="1:9" ht="11.1" customHeight="1" x14ac:dyDescent="0.2">
      <c r="A62" s="309"/>
      <c r="D62" s="254"/>
      <c r="E62" s="254"/>
      <c r="F62" s="254"/>
      <c r="G62" s="254"/>
      <c r="H62" s="254"/>
      <c r="I62" s="254"/>
    </row>
    <row r="63" spans="1:9" ht="11.1" customHeight="1" x14ac:dyDescent="0.2">
      <c r="A63" s="309"/>
      <c r="D63" s="254"/>
      <c r="E63" s="254"/>
      <c r="F63" s="254"/>
      <c r="G63" s="254"/>
      <c r="H63" s="254"/>
      <c r="I63" s="254"/>
    </row>
    <row r="64" spans="1:9" ht="11.1" customHeight="1" x14ac:dyDescent="0.2">
      <c r="A64" s="309"/>
      <c r="D64" s="254"/>
      <c r="E64" s="254"/>
      <c r="F64" s="254"/>
      <c r="G64" s="254"/>
      <c r="H64" s="254"/>
      <c r="I64" s="254"/>
    </row>
    <row r="65" spans="1:9" ht="12.75" customHeight="1" x14ac:dyDescent="0.2">
      <c r="A65" s="310"/>
      <c r="D65" s="249"/>
      <c r="E65" s="249"/>
      <c r="F65" s="249"/>
      <c r="G65" s="249"/>
      <c r="H65" s="249"/>
      <c r="I65" s="249"/>
    </row>
    <row r="66" spans="1:9" ht="12.75" customHeight="1" x14ac:dyDescent="0.2">
      <c r="A66" s="310"/>
    </row>
    <row r="67" spans="1:9" x14ac:dyDescent="0.2">
      <c r="A67" s="310"/>
    </row>
  </sheetData>
  <pageMargins left="0.70866141732283472" right="0.70866141732283472" top="0.74803149606299213" bottom="0.74803149606299213" header="0.31496062992125984" footer="0.31496062992125984"/>
  <pageSetup paperSize="9" scale="90" fitToHeight="0" orientation="landscape" r:id="rId1"/>
  <headerFooter>
    <oddFooter>&amp;C&amp;"Arial,Normalny"&amp;8&amp;P</oddFooter>
  </headerFooter>
  <rowBreaks count="1" manualBreakCount="1">
    <brk id="38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D4C08-8AAB-4970-8799-6E43DD3D27AB}">
  <sheetPr>
    <tabColor rgb="FF92D050"/>
    <pageSetUpPr fitToPage="1"/>
  </sheetPr>
  <dimension ref="A1:H52"/>
  <sheetViews>
    <sheetView topLeftCell="A7" zoomScale="130" zoomScaleNormal="130" workbookViewId="0"/>
  </sheetViews>
  <sheetFormatPr defaultRowHeight="13.5" x14ac:dyDescent="0.25"/>
  <cols>
    <col min="1" max="1" width="4" style="314" customWidth="1"/>
    <col min="2" max="2" width="5.28515625" style="314" customWidth="1"/>
    <col min="3" max="3" width="8.42578125" style="314" customWidth="1"/>
    <col min="4" max="4" width="8" style="315" customWidth="1"/>
    <col min="5" max="5" width="49.7109375" style="314" customWidth="1"/>
    <col min="6" max="6" width="23" style="314" customWidth="1"/>
    <col min="7" max="7" width="13" style="314" customWidth="1"/>
    <col min="8" max="8" width="10.7109375" style="314" customWidth="1"/>
    <col min="9" max="256" width="9.140625" style="314"/>
    <col min="257" max="257" width="4" style="314" customWidth="1"/>
    <col min="258" max="258" width="5.28515625" style="314" customWidth="1"/>
    <col min="259" max="259" width="8.42578125" style="314" customWidth="1"/>
    <col min="260" max="260" width="8" style="314" customWidth="1"/>
    <col min="261" max="261" width="49.7109375" style="314" customWidth="1"/>
    <col min="262" max="262" width="23" style="314" customWidth="1"/>
    <col min="263" max="263" width="13" style="314" customWidth="1"/>
    <col min="264" max="264" width="10.7109375" style="314" customWidth="1"/>
    <col min="265" max="512" width="9.140625" style="314"/>
    <col min="513" max="513" width="4" style="314" customWidth="1"/>
    <col min="514" max="514" width="5.28515625" style="314" customWidth="1"/>
    <col min="515" max="515" width="8.42578125" style="314" customWidth="1"/>
    <col min="516" max="516" width="8" style="314" customWidth="1"/>
    <col min="517" max="517" width="49.7109375" style="314" customWidth="1"/>
    <col min="518" max="518" width="23" style="314" customWidth="1"/>
    <col min="519" max="519" width="13" style="314" customWidth="1"/>
    <col min="520" max="520" width="10.7109375" style="314" customWidth="1"/>
    <col min="521" max="768" width="9.140625" style="314"/>
    <col min="769" max="769" width="4" style="314" customWidth="1"/>
    <col min="770" max="770" width="5.28515625" style="314" customWidth="1"/>
    <col min="771" max="771" width="8.42578125" style="314" customWidth="1"/>
    <col min="772" max="772" width="8" style="314" customWidth="1"/>
    <col min="773" max="773" width="49.7109375" style="314" customWidth="1"/>
    <col min="774" max="774" width="23" style="314" customWidth="1"/>
    <col min="775" max="775" width="13" style="314" customWidth="1"/>
    <col min="776" max="776" width="10.7109375" style="314" customWidth="1"/>
    <col min="777" max="1024" width="9.140625" style="314"/>
    <col min="1025" max="1025" width="4" style="314" customWidth="1"/>
    <col min="1026" max="1026" width="5.28515625" style="314" customWidth="1"/>
    <col min="1027" max="1027" width="8.42578125" style="314" customWidth="1"/>
    <col min="1028" max="1028" width="8" style="314" customWidth="1"/>
    <col min="1029" max="1029" width="49.7109375" style="314" customWidth="1"/>
    <col min="1030" max="1030" width="23" style="314" customWidth="1"/>
    <col min="1031" max="1031" width="13" style="314" customWidth="1"/>
    <col min="1032" max="1032" width="10.7109375" style="314" customWidth="1"/>
    <col min="1033" max="1280" width="9.140625" style="314"/>
    <col min="1281" max="1281" width="4" style="314" customWidth="1"/>
    <col min="1282" max="1282" width="5.28515625" style="314" customWidth="1"/>
    <col min="1283" max="1283" width="8.42578125" style="314" customWidth="1"/>
    <col min="1284" max="1284" width="8" style="314" customWidth="1"/>
    <col min="1285" max="1285" width="49.7109375" style="314" customWidth="1"/>
    <col min="1286" max="1286" width="23" style="314" customWidth="1"/>
    <col min="1287" max="1287" width="13" style="314" customWidth="1"/>
    <col min="1288" max="1288" width="10.7109375" style="314" customWidth="1"/>
    <col min="1289" max="1536" width="9.140625" style="314"/>
    <col min="1537" max="1537" width="4" style="314" customWidth="1"/>
    <col min="1538" max="1538" width="5.28515625" style="314" customWidth="1"/>
    <col min="1539" max="1539" width="8.42578125" style="314" customWidth="1"/>
    <col min="1540" max="1540" width="8" style="314" customWidth="1"/>
    <col min="1541" max="1541" width="49.7109375" style="314" customWidth="1"/>
    <col min="1542" max="1542" width="23" style="314" customWidth="1"/>
    <col min="1543" max="1543" width="13" style="314" customWidth="1"/>
    <col min="1544" max="1544" width="10.7109375" style="314" customWidth="1"/>
    <col min="1545" max="1792" width="9.140625" style="314"/>
    <col min="1793" max="1793" width="4" style="314" customWidth="1"/>
    <col min="1794" max="1794" width="5.28515625" style="314" customWidth="1"/>
    <col min="1795" max="1795" width="8.42578125" style="314" customWidth="1"/>
    <col min="1796" max="1796" width="8" style="314" customWidth="1"/>
    <col min="1797" max="1797" width="49.7109375" style="314" customWidth="1"/>
    <col min="1798" max="1798" width="23" style="314" customWidth="1"/>
    <col min="1799" max="1799" width="13" style="314" customWidth="1"/>
    <col min="1800" max="1800" width="10.7109375" style="314" customWidth="1"/>
    <col min="1801" max="2048" width="9.140625" style="314"/>
    <col min="2049" max="2049" width="4" style="314" customWidth="1"/>
    <col min="2050" max="2050" width="5.28515625" style="314" customWidth="1"/>
    <col min="2051" max="2051" width="8.42578125" style="314" customWidth="1"/>
    <col min="2052" max="2052" width="8" style="314" customWidth="1"/>
    <col min="2053" max="2053" width="49.7109375" style="314" customWidth="1"/>
    <col min="2054" max="2054" width="23" style="314" customWidth="1"/>
    <col min="2055" max="2055" width="13" style="314" customWidth="1"/>
    <col min="2056" max="2056" width="10.7109375" style="314" customWidth="1"/>
    <col min="2057" max="2304" width="9.140625" style="314"/>
    <col min="2305" max="2305" width="4" style="314" customWidth="1"/>
    <col min="2306" max="2306" width="5.28515625" style="314" customWidth="1"/>
    <col min="2307" max="2307" width="8.42578125" style="314" customWidth="1"/>
    <col min="2308" max="2308" width="8" style="314" customWidth="1"/>
    <col min="2309" max="2309" width="49.7109375" style="314" customWidth="1"/>
    <col min="2310" max="2310" width="23" style="314" customWidth="1"/>
    <col min="2311" max="2311" width="13" style="314" customWidth="1"/>
    <col min="2312" max="2312" width="10.7109375" style="314" customWidth="1"/>
    <col min="2313" max="2560" width="9.140625" style="314"/>
    <col min="2561" max="2561" width="4" style="314" customWidth="1"/>
    <col min="2562" max="2562" width="5.28515625" style="314" customWidth="1"/>
    <col min="2563" max="2563" width="8.42578125" style="314" customWidth="1"/>
    <col min="2564" max="2564" width="8" style="314" customWidth="1"/>
    <col min="2565" max="2565" width="49.7109375" style="314" customWidth="1"/>
    <col min="2566" max="2566" width="23" style="314" customWidth="1"/>
    <col min="2567" max="2567" width="13" style="314" customWidth="1"/>
    <col min="2568" max="2568" width="10.7109375" style="314" customWidth="1"/>
    <col min="2569" max="2816" width="9.140625" style="314"/>
    <col min="2817" max="2817" width="4" style="314" customWidth="1"/>
    <col min="2818" max="2818" width="5.28515625" style="314" customWidth="1"/>
    <col min="2819" max="2819" width="8.42578125" style="314" customWidth="1"/>
    <col min="2820" max="2820" width="8" style="314" customWidth="1"/>
    <col min="2821" max="2821" width="49.7109375" style="314" customWidth="1"/>
    <col min="2822" max="2822" width="23" style="314" customWidth="1"/>
    <col min="2823" max="2823" width="13" style="314" customWidth="1"/>
    <col min="2824" max="2824" width="10.7109375" style="314" customWidth="1"/>
    <col min="2825" max="3072" width="9.140625" style="314"/>
    <col min="3073" max="3073" width="4" style="314" customWidth="1"/>
    <col min="3074" max="3074" width="5.28515625" style="314" customWidth="1"/>
    <col min="3075" max="3075" width="8.42578125" style="314" customWidth="1"/>
    <col min="3076" max="3076" width="8" style="314" customWidth="1"/>
    <col min="3077" max="3077" width="49.7109375" style="314" customWidth="1"/>
    <col min="3078" max="3078" width="23" style="314" customWidth="1"/>
    <col min="3079" max="3079" width="13" style="314" customWidth="1"/>
    <col min="3080" max="3080" width="10.7109375" style="314" customWidth="1"/>
    <col min="3081" max="3328" width="9.140625" style="314"/>
    <col min="3329" max="3329" width="4" style="314" customWidth="1"/>
    <col min="3330" max="3330" width="5.28515625" style="314" customWidth="1"/>
    <col min="3331" max="3331" width="8.42578125" style="314" customWidth="1"/>
    <col min="3332" max="3332" width="8" style="314" customWidth="1"/>
    <col min="3333" max="3333" width="49.7109375" style="314" customWidth="1"/>
    <col min="3334" max="3334" width="23" style="314" customWidth="1"/>
    <col min="3335" max="3335" width="13" style="314" customWidth="1"/>
    <col min="3336" max="3336" width="10.7109375" style="314" customWidth="1"/>
    <col min="3337" max="3584" width="9.140625" style="314"/>
    <col min="3585" max="3585" width="4" style="314" customWidth="1"/>
    <col min="3586" max="3586" width="5.28515625" style="314" customWidth="1"/>
    <col min="3587" max="3587" width="8.42578125" style="314" customWidth="1"/>
    <col min="3588" max="3588" width="8" style="314" customWidth="1"/>
    <col min="3589" max="3589" width="49.7109375" style="314" customWidth="1"/>
    <col min="3590" max="3590" width="23" style="314" customWidth="1"/>
    <col min="3591" max="3591" width="13" style="314" customWidth="1"/>
    <col min="3592" max="3592" width="10.7109375" style="314" customWidth="1"/>
    <col min="3593" max="3840" width="9.140625" style="314"/>
    <col min="3841" max="3841" width="4" style="314" customWidth="1"/>
    <col min="3842" max="3842" width="5.28515625" style="314" customWidth="1"/>
    <col min="3843" max="3843" width="8.42578125" style="314" customWidth="1"/>
    <col min="3844" max="3844" width="8" style="314" customWidth="1"/>
    <col min="3845" max="3845" width="49.7109375" style="314" customWidth="1"/>
    <col min="3846" max="3846" width="23" style="314" customWidth="1"/>
    <col min="3847" max="3847" width="13" style="314" customWidth="1"/>
    <col min="3848" max="3848" width="10.7109375" style="314" customWidth="1"/>
    <col min="3849" max="4096" width="9.140625" style="314"/>
    <col min="4097" max="4097" width="4" style="314" customWidth="1"/>
    <col min="4098" max="4098" width="5.28515625" style="314" customWidth="1"/>
    <col min="4099" max="4099" width="8.42578125" style="314" customWidth="1"/>
    <col min="4100" max="4100" width="8" style="314" customWidth="1"/>
    <col min="4101" max="4101" width="49.7109375" style="314" customWidth="1"/>
    <col min="4102" max="4102" width="23" style="314" customWidth="1"/>
    <col min="4103" max="4103" width="13" style="314" customWidth="1"/>
    <col min="4104" max="4104" width="10.7109375" style="314" customWidth="1"/>
    <col min="4105" max="4352" width="9.140625" style="314"/>
    <col min="4353" max="4353" width="4" style="314" customWidth="1"/>
    <col min="4354" max="4354" width="5.28515625" style="314" customWidth="1"/>
    <col min="4355" max="4355" width="8.42578125" style="314" customWidth="1"/>
    <col min="4356" max="4356" width="8" style="314" customWidth="1"/>
    <col min="4357" max="4357" width="49.7109375" style="314" customWidth="1"/>
    <col min="4358" max="4358" width="23" style="314" customWidth="1"/>
    <col min="4359" max="4359" width="13" style="314" customWidth="1"/>
    <col min="4360" max="4360" width="10.7109375" style="314" customWidth="1"/>
    <col min="4361" max="4608" width="9.140625" style="314"/>
    <col min="4609" max="4609" width="4" style="314" customWidth="1"/>
    <col min="4610" max="4610" width="5.28515625" style="314" customWidth="1"/>
    <col min="4611" max="4611" width="8.42578125" style="314" customWidth="1"/>
    <col min="4612" max="4612" width="8" style="314" customWidth="1"/>
    <col min="4613" max="4613" width="49.7109375" style="314" customWidth="1"/>
    <col min="4614" max="4614" width="23" style="314" customWidth="1"/>
    <col min="4615" max="4615" width="13" style="314" customWidth="1"/>
    <col min="4616" max="4616" width="10.7109375" style="314" customWidth="1"/>
    <col min="4617" max="4864" width="9.140625" style="314"/>
    <col min="4865" max="4865" width="4" style="314" customWidth="1"/>
    <col min="4866" max="4866" width="5.28515625" style="314" customWidth="1"/>
    <col min="4867" max="4867" width="8.42578125" style="314" customWidth="1"/>
    <col min="4868" max="4868" width="8" style="314" customWidth="1"/>
    <col min="4869" max="4869" width="49.7109375" style="314" customWidth="1"/>
    <col min="4870" max="4870" width="23" style="314" customWidth="1"/>
    <col min="4871" max="4871" width="13" style="314" customWidth="1"/>
    <col min="4872" max="4872" width="10.7109375" style="314" customWidth="1"/>
    <col min="4873" max="5120" width="9.140625" style="314"/>
    <col min="5121" max="5121" width="4" style="314" customWidth="1"/>
    <col min="5122" max="5122" width="5.28515625" style="314" customWidth="1"/>
    <col min="5123" max="5123" width="8.42578125" style="314" customWidth="1"/>
    <col min="5124" max="5124" width="8" style="314" customWidth="1"/>
    <col min="5125" max="5125" width="49.7109375" style="314" customWidth="1"/>
    <col min="5126" max="5126" width="23" style="314" customWidth="1"/>
    <col min="5127" max="5127" width="13" style="314" customWidth="1"/>
    <col min="5128" max="5128" width="10.7109375" style="314" customWidth="1"/>
    <col min="5129" max="5376" width="9.140625" style="314"/>
    <col min="5377" max="5377" width="4" style="314" customWidth="1"/>
    <col min="5378" max="5378" width="5.28515625" style="314" customWidth="1"/>
    <col min="5379" max="5379" width="8.42578125" style="314" customWidth="1"/>
    <col min="5380" max="5380" width="8" style="314" customWidth="1"/>
    <col min="5381" max="5381" width="49.7109375" style="314" customWidth="1"/>
    <col min="5382" max="5382" width="23" style="314" customWidth="1"/>
    <col min="5383" max="5383" width="13" style="314" customWidth="1"/>
    <col min="5384" max="5384" width="10.7109375" style="314" customWidth="1"/>
    <col min="5385" max="5632" width="9.140625" style="314"/>
    <col min="5633" max="5633" width="4" style="314" customWidth="1"/>
    <col min="5634" max="5634" width="5.28515625" style="314" customWidth="1"/>
    <col min="5635" max="5635" width="8.42578125" style="314" customWidth="1"/>
    <col min="5636" max="5636" width="8" style="314" customWidth="1"/>
    <col min="5637" max="5637" width="49.7109375" style="314" customWidth="1"/>
    <col min="5638" max="5638" width="23" style="314" customWidth="1"/>
    <col min="5639" max="5639" width="13" style="314" customWidth="1"/>
    <col min="5640" max="5640" width="10.7109375" style="314" customWidth="1"/>
    <col min="5641" max="5888" width="9.140625" style="314"/>
    <col min="5889" max="5889" width="4" style="314" customWidth="1"/>
    <col min="5890" max="5890" width="5.28515625" style="314" customWidth="1"/>
    <col min="5891" max="5891" width="8.42578125" style="314" customWidth="1"/>
    <col min="5892" max="5892" width="8" style="314" customWidth="1"/>
    <col min="5893" max="5893" width="49.7109375" style="314" customWidth="1"/>
    <col min="5894" max="5894" width="23" style="314" customWidth="1"/>
    <col min="5895" max="5895" width="13" style="314" customWidth="1"/>
    <col min="5896" max="5896" width="10.7109375" style="314" customWidth="1"/>
    <col min="5897" max="6144" width="9.140625" style="314"/>
    <col min="6145" max="6145" width="4" style="314" customWidth="1"/>
    <col min="6146" max="6146" width="5.28515625" style="314" customWidth="1"/>
    <col min="6147" max="6147" width="8.42578125" style="314" customWidth="1"/>
    <col min="6148" max="6148" width="8" style="314" customWidth="1"/>
    <col min="6149" max="6149" width="49.7109375" style="314" customWidth="1"/>
    <col min="6150" max="6150" width="23" style="314" customWidth="1"/>
    <col min="6151" max="6151" width="13" style="314" customWidth="1"/>
    <col min="6152" max="6152" width="10.7109375" style="314" customWidth="1"/>
    <col min="6153" max="6400" width="9.140625" style="314"/>
    <col min="6401" max="6401" width="4" style="314" customWidth="1"/>
    <col min="6402" max="6402" width="5.28515625" style="314" customWidth="1"/>
    <col min="6403" max="6403" width="8.42578125" style="314" customWidth="1"/>
    <col min="6404" max="6404" width="8" style="314" customWidth="1"/>
    <col min="6405" max="6405" width="49.7109375" style="314" customWidth="1"/>
    <col min="6406" max="6406" width="23" style="314" customWidth="1"/>
    <col min="6407" max="6407" width="13" style="314" customWidth="1"/>
    <col min="6408" max="6408" width="10.7109375" style="314" customWidth="1"/>
    <col min="6409" max="6656" width="9.140625" style="314"/>
    <col min="6657" max="6657" width="4" style="314" customWidth="1"/>
    <col min="6658" max="6658" width="5.28515625" style="314" customWidth="1"/>
    <col min="6659" max="6659" width="8.42578125" style="314" customWidth="1"/>
    <col min="6660" max="6660" width="8" style="314" customWidth="1"/>
    <col min="6661" max="6661" width="49.7109375" style="314" customWidth="1"/>
    <col min="6662" max="6662" width="23" style="314" customWidth="1"/>
    <col min="6663" max="6663" width="13" style="314" customWidth="1"/>
    <col min="6664" max="6664" width="10.7109375" style="314" customWidth="1"/>
    <col min="6665" max="6912" width="9.140625" style="314"/>
    <col min="6913" max="6913" width="4" style="314" customWidth="1"/>
    <col min="6914" max="6914" width="5.28515625" style="314" customWidth="1"/>
    <col min="6915" max="6915" width="8.42578125" style="314" customWidth="1"/>
    <col min="6916" max="6916" width="8" style="314" customWidth="1"/>
    <col min="6917" max="6917" width="49.7109375" style="314" customWidth="1"/>
    <col min="6918" max="6918" width="23" style="314" customWidth="1"/>
    <col min="6919" max="6919" width="13" style="314" customWidth="1"/>
    <col min="6920" max="6920" width="10.7109375" style="314" customWidth="1"/>
    <col min="6921" max="7168" width="9.140625" style="314"/>
    <col min="7169" max="7169" width="4" style="314" customWidth="1"/>
    <col min="7170" max="7170" width="5.28515625" style="314" customWidth="1"/>
    <col min="7171" max="7171" width="8.42578125" style="314" customWidth="1"/>
    <col min="7172" max="7172" width="8" style="314" customWidth="1"/>
    <col min="7173" max="7173" width="49.7109375" style="314" customWidth="1"/>
    <col min="7174" max="7174" width="23" style="314" customWidth="1"/>
    <col min="7175" max="7175" width="13" style="314" customWidth="1"/>
    <col min="7176" max="7176" width="10.7109375" style="314" customWidth="1"/>
    <col min="7177" max="7424" width="9.140625" style="314"/>
    <col min="7425" max="7425" width="4" style="314" customWidth="1"/>
    <col min="7426" max="7426" width="5.28515625" style="314" customWidth="1"/>
    <col min="7427" max="7427" width="8.42578125" style="314" customWidth="1"/>
    <col min="7428" max="7428" width="8" style="314" customWidth="1"/>
    <col min="7429" max="7429" width="49.7109375" style="314" customWidth="1"/>
    <col min="7430" max="7430" width="23" style="314" customWidth="1"/>
    <col min="7431" max="7431" width="13" style="314" customWidth="1"/>
    <col min="7432" max="7432" width="10.7109375" style="314" customWidth="1"/>
    <col min="7433" max="7680" width="9.140625" style="314"/>
    <col min="7681" max="7681" width="4" style="314" customWidth="1"/>
    <col min="7682" max="7682" width="5.28515625" style="314" customWidth="1"/>
    <col min="7683" max="7683" width="8.42578125" style="314" customWidth="1"/>
    <col min="7684" max="7684" width="8" style="314" customWidth="1"/>
    <col min="7685" max="7685" width="49.7109375" style="314" customWidth="1"/>
    <col min="7686" max="7686" width="23" style="314" customWidth="1"/>
    <col min="7687" max="7687" width="13" style="314" customWidth="1"/>
    <col min="7688" max="7688" width="10.7109375" style="314" customWidth="1"/>
    <col min="7689" max="7936" width="9.140625" style="314"/>
    <col min="7937" max="7937" width="4" style="314" customWidth="1"/>
    <col min="7938" max="7938" width="5.28515625" style="314" customWidth="1"/>
    <col min="7939" max="7939" width="8.42578125" style="314" customWidth="1"/>
    <col min="7940" max="7940" width="8" style="314" customWidth="1"/>
    <col min="7941" max="7941" width="49.7109375" style="314" customWidth="1"/>
    <col min="7942" max="7942" width="23" style="314" customWidth="1"/>
    <col min="7943" max="7943" width="13" style="314" customWidth="1"/>
    <col min="7944" max="7944" width="10.7109375" style="314" customWidth="1"/>
    <col min="7945" max="8192" width="9.140625" style="314"/>
    <col min="8193" max="8193" width="4" style="314" customWidth="1"/>
    <col min="8194" max="8194" width="5.28515625" style="314" customWidth="1"/>
    <col min="8195" max="8195" width="8.42578125" style="314" customWidth="1"/>
    <col min="8196" max="8196" width="8" style="314" customWidth="1"/>
    <col min="8197" max="8197" width="49.7109375" style="314" customWidth="1"/>
    <col min="8198" max="8198" width="23" style="314" customWidth="1"/>
    <col min="8199" max="8199" width="13" style="314" customWidth="1"/>
    <col min="8200" max="8200" width="10.7109375" style="314" customWidth="1"/>
    <col min="8201" max="8448" width="9.140625" style="314"/>
    <col min="8449" max="8449" width="4" style="314" customWidth="1"/>
    <col min="8450" max="8450" width="5.28515625" style="314" customWidth="1"/>
    <col min="8451" max="8451" width="8.42578125" style="314" customWidth="1"/>
    <col min="8452" max="8452" width="8" style="314" customWidth="1"/>
    <col min="8453" max="8453" width="49.7109375" style="314" customWidth="1"/>
    <col min="8454" max="8454" width="23" style="314" customWidth="1"/>
    <col min="8455" max="8455" width="13" style="314" customWidth="1"/>
    <col min="8456" max="8456" width="10.7109375" style="314" customWidth="1"/>
    <col min="8457" max="8704" width="9.140625" style="314"/>
    <col min="8705" max="8705" width="4" style="314" customWidth="1"/>
    <col min="8706" max="8706" width="5.28515625" style="314" customWidth="1"/>
    <col min="8707" max="8707" width="8.42578125" style="314" customWidth="1"/>
    <col min="8708" max="8708" width="8" style="314" customWidth="1"/>
    <col min="8709" max="8709" width="49.7109375" style="314" customWidth="1"/>
    <col min="8710" max="8710" width="23" style="314" customWidth="1"/>
    <col min="8711" max="8711" width="13" style="314" customWidth="1"/>
    <col min="8712" max="8712" width="10.7109375" style="314" customWidth="1"/>
    <col min="8713" max="8960" width="9.140625" style="314"/>
    <col min="8961" max="8961" width="4" style="314" customWidth="1"/>
    <col min="8962" max="8962" width="5.28515625" style="314" customWidth="1"/>
    <col min="8963" max="8963" width="8.42578125" style="314" customWidth="1"/>
    <col min="8964" max="8964" width="8" style="314" customWidth="1"/>
    <col min="8965" max="8965" width="49.7109375" style="314" customWidth="1"/>
    <col min="8966" max="8966" width="23" style="314" customWidth="1"/>
    <col min="8967" max="8967" width="13" style="314" customWidth="1"/>
    <col min="8968" max="8968" width="10.7109375" style="314" customWidth="1"/>
    <col min="8969" max="9216" width="9.140625" style="314"/>
    <col min="9217" max="9217" width="4" style="314" customWidth="1"/>
    <col min="9218" max="9218" width="5.28515625" style="314" customWidth="1"/>
    <col min="9219" max="9219" width="8.42578125" style="314" customWidth="1"/>
    <col min="9220" max="9220" width="8" style="314" customWidth="1"/>
    <col min="9221" max="9221" width="49.7109375" style="314" customWidth="1"/>
    <col min="9222" max="9222" width="23" style="314" customWidth="1"/>
    <col min="9223" max="9223" width="13" style="314" customWidth="1"/>
    <col min="9224" max="9224" width="10.7109375" style="314" customWidth="1"/>
    <col min="9225" max="9472" width="9.140625" style="314"/>
    <col min="9473" max="9473" width="4" style="314" customWidth="1"/>
    <col min="9474" max="9474" width="5.28515625" style="314" customWidth="1"/>
    <col min="9475" max="9475" width="8.42578125" style="314" customWidth="1"/>
    <col min="9476" max="9476" width="8" style="314" customWidth="1"/>
    <col min="9477" max="9477" width="49.7109375" style="314" customWidth="1"/>
    <col min="9478" max="9478" width="23" style="314" customWidth="1"/>
    <col min="9479" max="9479" width="13" style="314" customWidth="1"/>
    <col min="9480" max="9480" width="10.7109375" style="314" customWidth="1"/>
    <col min="9481" max="9728" width="9.140625" style="314"/>
    <col min="9729" max="9729" width="4" style="314" customWidth="1"/>
    <col min="9730" max="9730" width="5.28515625" style="314" customWidth="1"/>
    <col min="9731" max="9731" width="8.42578125" style="314" customWidth="1"/>
    <col min="9732" max="9732" width="8" style="314" customWidth="1"/>
    <col min="9733" max="9733" width="49.7109375" style="314" customWidth="1"/>
    <col min="9734" max="9734" width="23" style="314" customWidth="1"/>
    <col min="9735" max="9735" width="13" style="314" customWidth="1"/>
    <col min="9736" max="9736" width="10.7109375" style="314" customWidth="1"/>
    <col min="9737" max="9984" width="9.140625" style="314"/>
    <col min="9985" max="9985" width="4" style="314" customWidth="1"/>
    <col min="9986" max="9986" width="5.28515625" style="314" customWidth="1"/>
    <col min="9987" max="9987" width="8.42578125" style="314" customWidth="1"/>
    <col min="9988" max="9988" width="8" style="314" customWidth="1"/>
    <col min="9989" max="9989" width="49.7109375" style="314" customWidth="1"/>
    <col min="9990" max="9990" width="23" style="314" customWidth="1"/>
    <col min="9991" max="9991" width="13" style="314" customWidth="1"/>
    <col min="9992" max="9992" width="10.7109375" style="314" customWidth="1"/>
    <col min="9993" max="10240" width="9.140625" style="314"/>
    <col min="10241" max="10241" width="4" style="314" customWidth="1"/>
    <col min="10242" max="10242" width="5.28515625" style="314" customWidth="1"/>
    <col min="10243" max="10243" width="8.42578125" style="314" customWidth="1"/>
    <col min="10244" max="10244" width="8" style="314" customWidth="1"/>
    <col min="10245" max="10245" width="49.7109375" style="314" customWidth="1"/>
    <col min="10246" max="10246" width="23" style="314" customWidth="1"/>
    <col min="10247" max="10247" width="13" style="314" customWidth="1"/>
    <col min="10248" max="10248" width="10.7109375" style="314" customWidth="1"/>
    <col min="10249" max="10496" width="9.140625" style="314"/>
    <col min="10497" max="10497" width="4" style="314" customWidth="1"/>
    <col min="10498" max="10498" width="5.28515625" style="314" customWidth="1"/>
    <col min="10499" max="10499" width="8.42578125" style="314" customWidth="1"/>
    <col min="10500" max="10500" width="8" style="314" customWidth="1"/>
    <col min="10501" max="10501" width="49.7109375" style="314" customWidth="1"/>
    <col min="10502" max="10502" width="23" style="314" customWidth="1"/>
    <col min="10503" max="10503" width="13" style="314" customWidth="1"/>
    <col min="10504" max="10504" width="10.7109375" style="314" customWidth="1"/>
    <col min="10505" max="10752" width="9.140625" style="314"/>
    <col min="10753" max="10753" width="4" style="314" customWidth="1"/>
    <col min="10754" max="10754" width="5.28515625" style="314" customWidth="1"/>
    <col min="10755" max="10755" width="8.42578125" style="314" customWidth="1"/>
    <col min="10756" max="10756" width="8" style="314" customWidth="1"/>
    <col min="10757" max="10757" width="49.7109375" style="314" customWidth="1"/>
    <col min="10758" max="10758" width="23" style="314" customWidth="1"/>
    <col min="10759" max="10759" width="13" style="314" customWidth="1"/>
    <col min="10760" max="10760" width="10.7109375" style="314" customWidth="1"/>
    <col min="10761" max="11008" width="9.140625" style="314"/>
    <col min="11009" max="11009" width="4" style="314" customWidth="1"/>
    <col min="11010" max="11010" width="5.28515625" style="314" customWidth="1"/>
    <col min="11011" max="11011" width="8.42578125" style="314" customWidth="1"/>
    <col min="11012" max="11012" width="8" style="314" customWidth="1"/>
    <col min="11013" max="11013" width="49.7109375" style="314" customWidth="1"/>
    <col min="11014" max="11014" width="23" style="314" customWidth="1"/>
    <col min="11015" max="11015" width="13" style="314" customWidth="1"/>
    <col min="11016" max="11016" width="10.7109375" style="314" customWidth="1"/>
    <col min="11017" max="11264" width="9.140625" style="314"/>
    <col min="11265" max="11265" width="4" style="314" customWidth="1"/>
    <col min="11266" max="11266" width="5.28515625" style="314" customWidth="1"/>
    <col min="11267" max="11267" width="8.42578125" style="314" customWidth="1"/>
    <col min="11268" max="11268" width="8" style="314" customWidth="1"/>
    <col min="11269" max="11269" width="49.7109375" style="314" customWidth="1"/>
    <col min="11270" max="11270" width="23" style="314" customWidth="1"/>
    <col min="11271" max="11271" width="13" style="314" customWidth="1"/>
    <col min="11272" max="11272" width="10.7109375" style="314" customWidth="1"/>
    <col min="11273" max="11520" width="9.140625" style="314"/>
    <col min="11521" max="11521" width="4" style="314" customWidth="1"/>
    <col min="11522" max="11522" width="5.28515625" style="314" customWidth="1"/>
    <col min="11523" max="11523" width="8.42578125" style="314" customWidth="1"/>
    <col min="11524" max="11524" width="8" style="314" customWidth="1"/>
    <col min="11525" max="11525" width="49.7109375" style="314" customWidth="1"/>
    <col min="11526" max="11526" width="23" style="314" customWidth="1"/>
    <col min="11527" max="11527" width="13" style="314" customWidth="1"/>
    <col min="11528" max="11528" width="10.7109375" style="314" customWidth="1"/>
    <col min="11529" max="11776" width="9.140625" style="314"/>
    <col min="11777" max="11777" width="4" style="314" customWidth="1"/>
    <col min="11778" max="11778" width="5.28515625" style="314" customWidth="1"/>
    <col min="11779" max="11779" width="8.42578125" style="314" customWidth="1"/>
    <col min="11780" max="11780" width="8" style="314" customWidth="1"/>
    <col min="11781" max="11781" width="49.7109375" style="314" customWidth="1"/>
    <col min="11782" max="11782" width="23" style="314" customWidth="1"/>
    <col min="11783" max="11783" width="13" style="314" customWidth="1"/>
    <col min="11784" max="11784" width="10.7109375" style="314" customWidth="1"/>
    <col min="11785" max="12032" width="9.140625" style="314"/>
    <col min="12033" max="12033" width="4" style="314" customWidth="1"/>
    <col min="12034" max="12034" width="5.28515625" style="314" customWidth="1"/>
    <col min="12035" max="12035" width="8.42578125" style="314" customWidth="1"/>
    <col min="12036" max="12036" width="8" style="314" customWidth="1"/>
    <col min="12037" max="12037" width="49.7109375" style="314" customWidth="1"/>
    <col min="12038" max="12038" width="23" style="314" customWidth="1"/>
    <col min="12039" max="12039" width="13" style="314" customWidth="1"/>
    <col min="12040" max="12040" width="10.7109375" style="314" customWidth="1"/>
    <col min="12041" max="12288" width="9.140625" style="314"/>
    <col min="12289" max="12289" width="4" style="314" customWidth="1"/>
    <col min="12290" max="12290" width="5.28515625" style="314" customWidth="1"/>
    <col min="12291" max="12291" width="8.42578125" style="314" customWidth="1"/>
    <col min="12292" max="12292" width="8" style="314" customWidth="1"/>
    <col min="12293" max="12293" width="49.7109375" style="314" customWidth="1"/>
    <col min="12294" max="12294" width="23" style="314" customWidth="1"/>
    <col min="12295" max="12295" width="13" style="314" customWidth="1"/>
    <col min="12296" max="12296" width="10.7109375" style="314" customWidth="1"/>
    <col min="12297" max="12544" width="9.140625" style="314"/>
    <col min="12545" max="12545" width="4" style="314" customWidth="1"/>
    <col min="12546" max="12546" width="5.28515625" style="314" customWidth="1"/>
    <col min="12547" max="12547" width="8.42578125" style="314" customWidth="1"/>
    <col min="12548" max="12548" width="8" style="314" customWidth="1"/>
    <col min="12549" max="12549" width="49.7109375" style="314" customWidth="1"/>
    <col min="12550" max="12550" width="23" style="314" customWidth="1"/>
    <col min="12551" max="12551" width="13" style="314" customWidth="1"/>
    <col min="12552" max="12552" width="10.7109375" style="314" customWidth="1"/>
    <col min="12553" max="12800" width="9.140625" style="314"/>
    <col min="12801" max="12801" width="4" style="314" customWidth="1"/>
    <col min="12802" max="12802" width="5.28515625" style="314" customWidth="1"/>
    <col min="12803" max="12803" width="8.42578125" style="314" customWidth="1"/>
    <col min="12804" max="12804" width="8" style="314" customWidth="1"/>
    <col min="12805" max="12805" width="49.7109375" style="314" customWidth="1"/>
    <col min="12806" max="12806" width="23" style="314" customWidth="1"/>
    <col min="12807" max="12807" width="13" style="314" customWidth="1"/>
    <col min="12808" max="12808" width="10.7109375" style="314" customWidth="1"/>
    <col min="12809" max="13056" width="9.140625" style="314"/>
    <col min="13057" max="13057" width="4" style="314" customWidth="1"/>
    <col min="13058" max="13058" width="5.28515625" style="314" customWidth="1"/>
    <col min="13059" max="13059" width="8.42578125" style="314" customWidth="1"/>
    <col min="13060" max="13060" width="8" style="314" customWidth="1"/>
    <col min="13061" max="13061" width="49.7109375" style="314" customWidth="1"/>
    <col min="13062" max="13062" width="23" style="314" customWidth="1"/>
    <col min="13063" max="13063" width="13" style="314" customWidth="1"/>
    <col min="13064" max="13064" width="10.7109375" style="314" customWidth="1"/>
    <col min="13065" max="13312" width="9.140625" style="314"/>
    <col min="13313" max="13313" width="4" style="314" customWidth="1"/>
    <col min="13314" max="13314" width="5.28515625" style="314" customWidth="1"/>
    <col min="13315" max="13315" width="8.42578125" style="314" customWidth="1"/>
    <col min="13316" max="13316" width="8" style="314" customWidth="1"/>
    <col min="13317" max="13317" width="49.7109375" style="314" customWidth="1"/>
    <col min="13318" max="13318" width="23" style="314" customWidth="1"/>
    <col min="13319" max="13319" width="13" style="314" customWidth="1"/>
    <col min="13320" max="13320" width="10.7109375" style="314" customWidth="1"/>
    <col min="13321" max="13568" width="9.140625" style="314"/>
    <col min="13569" max="13569" width="4" style="314" customWidth="1"/>
    <col min="13570" max="13570" width="5.28515625" style="314" customWidth="1"/>
    <col min="13571" max="13571" width="8.42578125" style="314" customWidth="1"/>
    <col min="13572" max="13572" width="8" style="314" customWidth="1"/>
    <col min="13573" max="13573" width="49.7109375" style="314" customWidth="1"/>
    <col min="13574" max="13574" width="23" style="314" customWidth="1"/>
    <col min="13575" max="13575" width="13" style="314" customWidth="1"/>
    <col min="13576" max="13576" width="10.7109375" style="314" customWidth="1"/>
    <col min="13577" max="13824" width="9.140625" style="314"/>
    <col min="13825" max="13825" width="4" style="314" customWidth="1"/>
    <col min="13826" max="13826" width="5.28515625" style="314" customWidth="1"/>
    <col min="13827" max="13827" width="8.42578125" style="314" customWidth="1"/>
    <col min="13828" max="13828" width="8" style="314" customWidth="1"/>
    <col min="13829" max="13829" width="49.7109375" style="314" customWidth="1"/>
    <col min="13830" max="13830" width="23" style="314" customWidth="1"/>
    <col min="13831" max="13831" width="13" style="314" customWidth="1"/>
    <col min="13832" max="13832" width="10.7109375" style="314" customWidth="1"/>
    <col min="13833" max="14080" width="9.140625" style="314"/>
    <col min="14081" max="14081" width="4" style="314" customWidth="1"/>
    <col min="14082" max="14082" width="5.28515625" style="314" customWidth="1"/>
    <col min="14083" max="14083" width="8.42578125" style="314" customWidth="1"/>
    <col min="14084" max="14084" width="8" style="314" customWidth="1"/>
    <col min="14085" max="14085" width="49.7109375" style="314" customWidth="1"/>
    <col min="14086" max="14086" width="23" style="314" customWidth="1"/>
    <col min="14087" max="14087" width="13" style="314" customWidth="1"/>
    <col min="14088" max="14088" width="10.7109375" style="314" customWidth="1"/>
    <col min="14089" max="14336" width="9.140625" style="314"/>
    <col min="14337" max="14337" width="4" style="314" customWidth="1"/>
    <col min="14338" max="14338" width="5.28515625" style="314" customWidth="1"/>
    <col min="14339" max="14339" width="8.42578125" style="314" customWidth="1"/>
    <col min="14340" max="14340" width="8" style="314" customWidth="1"/>
    <col min="14341" max="14341" width="49.7109375" style="314" customWidth="1"/>
    <col min="14342" max="14342" width="23" style="314" customWidth="1"/>
    <col min="14343" max="14343" width="13" style="314" customWidth="1"/>
    <col min="14344" max="14344" width="10.7109375" style="314" customWidth="1"/>
    <col min="14345" max="14592" width="9.140625" style="314"/>
    <col min="14593" max="14593" width="4" style="314" customWidth="1"/>
    <col min="14594" max="14594" width="5.28515625" style="314" customWidth="1"/>
    <col min="14595" max="14595" width="8.42578125" style="314" customWidth="1"/>
    <col min="14596" max="14596" width="8" style="314" customWidth="1"/>
    <col min="14597" max="14597" width="49.7109375" style="314" customWidth="1"/>
    <col min="14598" max="14598" width="23" style="314" customWidth="1"/>
    <col min="14599" max="14599" width="13" style="314" customWidth="1"/>
    <col min="14600" max="14600" width="10.7109375" style="314" customWidth="1"/>
    <col min="14601" max="14848" width="9.140625" style="314"/>
    <col min="14849" max="14849" width="4" style="314" customWidth="1"/>
    <col min="14850" max="14850" width="5.28515625" style="314" customWidth="1"/>
    <col min="14851" max="14851" width="8.42578125" style="314" customWidth="1"/>
    <col min="14852" max="14852" width="8" style="314" customWidth="1"/>
    <col min="14853" max="14853" width="49.7109375" style="314" customWidth="1"/>
    <col min="14854" max="14854" width="23" style="314" customWidth="1"/>
    <col min="14855" max="14855" width="13" style="314" customWidth="1"/>
    <col min="14856" max="14856" width="10.7109375" style="314" customWidth="1"/>
    <col min="14857" max="15104" width="9.140625" style="314"/>
    <col min="15105" max="15105" width="4" style="314" customWidth="1"/>
    <col min="15106" max="15106" width="5.28515625" style="314" customWidth="1"/>
    <col min="15107" max="15107" width="8.42578125" style="314" customWidth="1"/>
    <col min="15108" max="15108" width="8" style="314" customWidth="1"/>
    <col min="15109" max="15109" width="49.7109375" style="314" customWidth="1"/>
    <col min="15110" max="15110" width="23" style="314" customWidth="1"/>
    <col min="15111" max="15111" width="13" style="314" customWidth="1"/>
    <col min="15112" max="15112" width="10.7109375" style="314" customWidth="1"/>
    <col min="15113" max="15360" width="9.140625" style="314"/>
    <col min="15361" max="15361" width="4" style="314" customWidth="1"/>
    <col min="15362" max="15362" width="5.28515625" style="314" customWidth="1"/>
    <col min="15363" max="15363" width="8.42578125" style="314" customWidth="1"/>
    <col min="15364" max="15364" width="8" style="314" customWidth="1"/>
    <col min="15365" max="15365" width="49.7109375" style="314" customWidth="1"/>
    <col min="15366" max="15366" width="23" style="314" customWidth="1"/>
    <col min="15367" max="15367" width="13" style="314" customWidth="1"/>
    <col min="15368" max="15368" width="10.7109375" style="314" customWidth="1"/>
    <col min="15369" max="15616" width="9.140625" style="314"/>
    <col min="15617" max="15617" width="4" style="314" customWidth="1"/>
    <col min="15618" max="15618" width="5.28515625" style="314" customWidth="1"/>
    <col min="15619" max="15619" width="8.42578125" style="314" customWidth="1"/>
    <col min="15620" max="15620" width="8" style="314" customWidth="1"/>
    <col min="15621" max="15621" width="49.7109375" style="314" customWidth="1"/>
    <col min="15622" max="15622" width="23" style="314" customWidth="1"/>
    <col min="15623" max="15623" width="13" style="314" customWidth="1"/>
    <col min="15624" max="15624" width="10.7109375" style="314" customWidth="1"/>
    <col min="15625" max="15872" width="9.140625" style="314"/>
    <col min="15873" max="15873" width="4" style="314" customWidth="1"/>
    <col min="15874" max="15874" width="5.28515625" style="314" customWidth="1"/>
    <col min="15875" max="15875" width="8.42578125" style="314" customWidth="1"/>
    <col min="15876" max="15876" width="8" style="314" customWidth="1"/>
    <col min="15877" max="15877" width="49.7109375" style="314" customWidth="1"/>
    <col min="15878" max="15878" width="23" style="314" customWidth="1"/>
    <col min="15879" max="15879" width="13" style="314" customWidth="1"/>
    <col min="15880" max="15880" width="10.7109375" style="314" customWidth="1"/>
    <col min="15881" max="16128" width="9.140625" style="314"/>
    <col min="16129" max="16129" width="4" style="314" customWidth="1"/>
    <col min="16130" max="16130" width="5.28515625" style="314" customWidth="1"/>
    <col min="16131" max="16131" width="8.42578125" style="314" customWidth="1"/>
    <col min="16132" max="16132" width="8" style="314" customWidth="1"/>
    <col min="16133" max="16133" width="49.7109375" style="314" customWidth="1"/>
    <col min="16134" max="16134" width="23" style="314" customWidth="1"/>
    <col min="16135" max="16135" width="13" style="314" customWidth="1"/>
    <col min="16136" max="16136" width="10.7109375" style="314" customWidth="1"/>
    <col min="16137" max="16384" width="9.140625" style="314"/>
  </cols>
  <sheetData>
    <row r="1" spans="1:8" ht="12" customHeight="1" x14ac:dyDescent="0.25">
      <c r="F1" s="316" t="s">
        <v>262</v>
      </c>
    </row>
    <row r="2" spans="1:8" ht="12" customHeight="1" x14ac:dyDescent="0.25">
      <c r="E2" s="317"/>
      <c r="F2" s="316" t="s">
        <v>178</v>
      </c>
    </row>
    <row r="3" spans="1:8" ht="12" customHeight="1" x14ac:dyDescent="0.25">
      <c r="E3" s="317"/>
      <c r="F3" s="318" t="s">
        <v>1</v>
      </c>
    </row>
    <row r="4" spans="1:8" ht="12" customHeight="1" x14ac:dyDescent="0.25">
      <c r="E4" s="317"/>
      <c r="F4" s="316" t="s">
        <v>179</v>
      </c>
    </row>
    <row r="5" spans="1:8" x14ac:dyDescent="0.25">
      <c r="E5" s="317"/>
      <c r="F5" s="317"/>
    </row>
    <row r="6" spans="1:8" ht="15" customHeight="1" x14ac:dyDescent="0.25">
      <c r="A6" s="510" t="s">
        <v>263</v>
      </c>
      <c r="B6" s="510"/>
      <c r="C6" s="510"/>
      <c r="D6" s="510"/>
      <c r="E6" s="510"/>
      <c r="F6" s="510"/>
    </row>
    <row r="7" spans="1:8" ht="15" customHeight="1" x14ac:dyDescent="0.25">
      <c r="A7" s="510" t="s">
        <v>264</v>
      </c>
      <c r="B7" s="510"/>
      <c r="C7" s="510"/>
      <c r="D7" s="510"/>
      <c r="E7" s="510"/>
      <c r="F7" s="510"/>
    </row>
    <row r="8" spans="1:8" ht="13.9" customHeight="1" x14ac:dyDescent="0.25">
      <c r="E8" s="319"/>
      <c r="F8" s="319"/>
    </row>
    <row r="9" spans="1:8" ht="12" customHeight="1" x14ac:dyDescent="0.25">
      <c r="E9" s="320"/>
      <c r="F9" s="321" t="s">
        <v>2</v>
      </c>
    </row>
    <row r="10" spans="1:8" ht="19.5" customHeight="1" x14ac:dyDescent="0.25">
      <c r="A10" s="322" t="s">
        <v>184</v>
      </c>
      <c r="B10" s="323" t="s">
        <v>265</v>
      </c>
      <c r="C10" s="323" t="s">
        <v>266</v>
      </c>
      <c r="D10" s="322" t="s">
        <v>267</v>
      </c>
      <c r="E10" s="323" t="s">
        <v>268</v>
      </c>
      <c r="F10" s="323" t="s">
        <v>269</v>
      </c>
    </row>
    <row r="11" spans="1:8" s="326" customFormat="1" ht="9.75" customHeight="1" x14ac:dyDescent="0.25">
      <c r="A11" s="324">
        <v>1</v>
      </c>
      <c r="B11" s="324">
        <v>2</v>
      </c>
      <c r="C11" s="324">
        <v>3</v>
      </c>
      <c r="D11" s="325">
        <v>4</v>
      </c>
      <c r="E11" s="324">
        <v>5</v>
      </c>
      <c r="F11" s="324">
        <v>6</v>
      </c>
    </row>
    <row r="12" spans="1:8" ht="18" customHeight="1" x14ac:dyDescent="0.25">
      <c r="A12" s="327" t="s">
        <v>270</v>
      </c>
      <c r="B12" s="328"/>
      <c r="C12" s="328"/>
      <c r="D12" s="329"/>
      <c r="E12" s="328"/>
      <c r="F12" s="330"/>
    </row>
    <row r="13" spans="1:8" ht="15" customHeight="1" x14ac:dyDescent="0.25">
      <c r="A13" s="331">
        <v>1</v>
      </c>
      <c r="B13" s="331">
        <v>801</v>
      </c>
      <c r="C13" s="331">
        <v>80104</v>
      </c>
      <c r="D13" s="331">
        <v>2310</v>
      </c>
      <c r="E13" s="332" t="s">
        <v>15</v>
      </c>
      <c r="F13" s="333">
        <v>500000</v>
      </c>
      <c r="H13" s="334"/>
    </row>
    <row r="14" spans="1:8" ht="16.5" customHeight="1" x14ac:dyDescent="0.25">
      <c r="A14" s="331">
        <v>2</v>
      </c>
      <c r="B14" s="335">
        <v>851</v>
      </c>
      <c r="C14" s="335">
        <v>85149</v>
      </c>
      <c r="D14" s="335">
        <v>2780</v>
      </c>
      <c r="E14" s="332" t="s">
        <v>271</v>
      </c>
      <c r="F14" s="333">
        <v>21000</v>
      </c>
      <c r="G14" s="336"/>
      <c r="H14" s="334"/>
    </row>
    <row r="15" spans="1:8" ht="17.25" customHeight="1" x14ac:dyDescent="0.25">
      <c r="A15" s="335">
        <v>3</v>
      </c>
      <c r="B15" s="331">
        <v>851</v>
      </c>
      <c r="C15" s="331">
        <v>85154</v>
      </c>
      <c r="D15" s="331">
        <v>2330</v>
      </c>
      <c r="E15" s="332" t="s">
        <v>272</v>
      </c>
      <c r="F15" s="333">
        <v>5000</v>
      </c>
    </row>
    <row r="16" spans="1:8" ht="24" customHeight="1" x14ac:dyDescent="0.25">
      <c r="A16" s="335">
        <v>4</v>
      </c>
      <c r="B16" s="331">
        <v>851</v>
      </c>
      <c r="C16" s="331">
        <v>85154</v>
      </c>
      <c r="D16" s="331">
        <v>2800</v>
      </c>
      <c r="E16" s="332" t="s">
        <v>273</v>
      </c>
      <c r="F16" s="333">
        <f>0+100000+20000+20000</f>
        <v>140000</v>
      </c>
    </row>
    <row r="17" spans="1:6" ht="38.25" customHeight="1" x14ac:dyDescent="0.25">
      <c r="A17" s="335">
        <v>5</v>
      </c>
      <c r="B17" s="335">
        <v>851</v>
      </c>
      <c r="C17" s="335">
        <v>85195</v>
      </c>
      <c r="D17" s="337" t="s">
        <v>274</v>
      </c>
      <c r="E17" s="332" t="s">
        <v>275</v>
      </c>
      <c r="F17" s="333">
        <f>689557.5+3907492.5</f>
        <v>4597050</v>
      </c>
    </row>
    <row r="18" spans="1:6" ht="14.25" customHeight="1" x14ac:dyDescent="0.25">
      <c r="A18" s="335">
        <v>6</v>
      </c>
      <c r="B18" s="335">
        <v>852</v>
      </c>
      <c r="C18" s="335">
        <v>85203</v>
      </c>
      <c r="D18" s="335">
        <v>2320</v>
      </c>
      <c r="E18" s="338" t="s">
        <v>276</v>
      </c>
      <c r="F18" s="333">
        <v>12000</v>
      </c>
    </row>
    <row r="19" spans="1:6" ht="14.25" customHeight="1" x14ac:dyDescent="0.25">
      <c r="A19" s="335">
        <v>7</v>
      </c>
      <c r="B19" s="335">
        <v>853</v>
      </c>
      <c r="C19" s="335">
        <v>85333</v>
      </c>
      <c r="D19" s="335">
        <v>2320</v>
      </c>
      <c r="E19" s="338" t="s">
        <v>277</v>
      </c>
      <c r="F19" s="333">
        <f>5090084</f>
        <v>5090084</v>
      </c>
    </row>
    <row r="20" spans="1:6" ht="25.5" customHeight="1" x14ac:dyDescent="0.25">
      <c r="A20" s="339">
        <v>8</v>
      </c>
      <c r="B20" s="340">
        <v>853</v>
      </c>
      <c r="C20" s="340">
        <v>85395</v>
      </c>
      <c r="D20" s="341">
        <v>2800</v>
      </c>
      <c r="E20" s="342" t="s">
        <v>278</v>
      </c>
      <c r="F20" s="333">
        <v>90000</v>
      </c>
    </row>
    <row r="21" spans="1:6" ht="16.899999999999999" customHeight="1" x14ac:dyDescent="0.25">
      <c r="A21" s="335">
        <v>9</v>
      </c>
      <c r="B21" s="331">
        <v>921</v>
      </c>
      <c r="C21" s="331">
        <v>92110</v>
      </c>
      <c r="D21" s="331">
        <v>6229</v>
      </c>
      <c r="E21" s="338" t="s">
        <v>279</v>
      </c>
      <c r="F21" s="333">
        <f>F22</f>
        <v>5156.78</v>
      </c>
    </row>
    <row r="22" spans="1:6" s="318" customFormat="1" ht="12.75" customHeight="1" x14ac:dyDescent="0.25">
      <c r="A22" s="343"/>
      <c r="B22" s="344"/>
      <c r="C22" s="345"/>
      <c r="D22" s="346"/>
      <c r="E22" s="347" t="s">
        <v>280</v>
      </c>
      <c r="F22" s="348">
        <v>5156.78</v>
      </c>
    </row>
    <row r="23" spans="1:6" s="318" customFormat="1" ht="16.5" customHeight="1" x14ac:dyDescent="0.25">
      <c r="A23" s="335">
        <v>10</v>
      </c>
      <c r="B23" s="331">
        <v>921</v>
      </c>
      <c r="C23" s="331">
        <v>92110</v>
      </c>
      <c r="D23" s="331">
        <v>2800</v>
      </c>
      <c r="E23" s="338" t="s">
        <v>281</v>
      </c>
      <c r="F23" s="333">
        <f>F24</f>
        <v>28000</v>
      </c>
    </row>
    <row r="24" spans="1:6" s="318" customFormat="1" ht="12.75" customHeight="1" x14ac:dyDescent="0.25">
      <c r="A24" s="343"/>
      <c r="B24" s="344"/>
      <c r="C24" s="345"/>
      <c r="D24" s="346"/>
      <c r="E24" s="347" t="s">
        <v>280</v>
      </c>
      <c r="F24" s="348">
        <v>28000</v>
      </c>
    </row>
    <row r="25" spans="1:6" ht="15.75" customHeight="1" x14ac:dyDescent="0.25">
      <c r="A25" s="331">
        <v>11</v>
      </c>
      <c r="B25" s="331">
        <v>921</v>
      </c>
      <c r="C25" s="331">
        <v>92113</v>
      </c>
      <c r="D25" s="331">
        <v>2800</v>
      </c>
      <c r="E25" s="349" t="s">
        <v>282</v>
      </c>
      <c r="F25" s="350">
        <f>F26</f>
        <v>263000</v>
      </c>
    </row>
    <row r="26" spans="1:6" s="318" customFormat="1" ht="12.75" customHeight="1" x14ac:dyDescent="0.25">
      <c r="A26" s="351"/>
      <c r="B26" s="352"/>
      <c r="C26" s="353"/>
      <c r="D26" s="354"/>
      <c r="E26" s="355" t="s">
        <v>283</v>
      </c>
      <c r="F26" s="356">
        <f>240000+23000</f>
        <v>263000</v>
      </c>
    </row>
    <row r="27" spans="1:6" s="318" customFormat="1" ht="16.5" customHeight="1" x14ac:dyDescent="0.25">
      <c r="A27" s="331">
        <v>12</v>
      </c>
      <c r="B27" s="331">
        <v>921</v>
      </c>
      <c r="C27" s="331">
        <v>92113</v>
      </c>
      <c r="D27" s="331">
        <v>6229</v>
      </c>
      <c r="E27" s="349" t="s">
        <v>284</v>
      </c>
      <c r="F27" s="350">
        <f>F28</f>
        <v>25880.37</v>
      </c>
    </row>
    <row r="28" spans="1:6" s="318" customFormat="1" ht="12.75" customHeight="1" x14ac:dyDescent="0.25">
      <c r="A28" s="351"/>
      <c r="B28" s="352"/>
      <c r="C28" s="353"/>
      <c r="D28" s="354"/>
      <c r="E28" s="355" t="s">
        <v>283</v>
      </c>
      <c r="F28" s="356">
        <v>25880.37</v>
      </c>
    </row>
    <row r="29" spans="1:6" s="318" customFormat="1" ht="16.899999999999999" customHeight="1" x14ac:dyDescent="0.25">
      <c r="A29" s="331">
        <v>13</v>
      </c>
      <c r="B29" s="331">
        <v>921</v>
      </c>
      <c r="C29" s="331">
        <v>92114</v>
      </c>
      <c r="D29" s="331">
        <v>6229</v>
      </c>
      <c r="E29" s="338" t="s">
        <v>285</v>
      </c>
      <c r="F29" s="333">
        <f>F30</f>
        <v>8856.59</v>
      </c>
    </row>
    <row r="30" spans="1:6" s="318" customFormat="1" ht="12.75" customHeight="1" x14ac:dyDescent="0.25">
      <c r="A30" s="351"/>
      <c r="B30" s="352"/>
      <c r="C30" s="352"/>
      <c r="D30" s="357"/>
      <c r="E30" s="358" t="s">
        <v>286</v>
      </c>
      <c r="F30" s="359">
        <v>8856.59</v>
      </c>
    </row>
    <row r="31" spans="1:6" ht="16.899999999999999" customHeight="1" x14ac:dyDescent="0.25">
      <c r="A31" s="331">
        <v>14</v>
      </c>
      <c r="B31" s="331">
        <v>921</v>
      </c>
      <c r="C31" s="331">
        <v>92116</v>
      </c>
      <c r="D31" s="331">
        <v>2800</v>
      </c>
      <c r="E31" s="338" t="s">
        <v>287</v>
      </c>
      <c r="F31" s="333">
        <f>F32</f>
        <v>50000</v>
      </c>
    </row>
    <row r="32" spans="1:6" s="318" customFormat="1" ht="12.75" customHeight="1" x14ac:dyDescent="0.25">
      <c r="A32" s="351"/>
      <c r="B32" s="352"/>
      <c r="C32" s="352"/>
      <c r="D32" s="357"/>
      <c r="E32" s="360" t="s">
        <v>288</v>
      </c>
      <c r="F32" s="359">
        <v>50000</v>
      </c>
    </row>
    <row r="33" spans="1:6" s="318" customFormat="1" ht="16.5" customHeight="1" x14ac:dyDescent="0.25">
      <c r="A33" s="331">
        <v>15</v>
      </c>
      <c r="B33" s="331">
        <v>921</v>
      </c>
      <c r="C33" s="331">
        <v>92116</v>
      </c>
      <c r="D33" s="331">
        <v>6229</v>
      </c>
      <c r="E33" s="338" t="s">
        <v>289</v>
      </c>
      <c r="F33" s="333">
        <f>F34</f>
        <v>37139.85</v>
      </c>
    </row>
    <row r="34" spans="1:6" s="318" customFormat="1" ht="12.75" customHeight="1" x14ac:dyDescent="0.25">
      <c r="A34" s="351"/>
      <c r="B34" s="352"/>
      <c r="C34" s="352"/>
      <c r="D34" s="357"/>
      <c r="E34" s="360" t="s">
        <v>288</v>
      </c>
      <c r="F34" s="359">
        <v>37139.85</v>
      </c>
    </row>
    <row r="35" spans="1:6" s="366" customFormat="1" ht="17.25" customHeight="1" x14ac:dyDescent="0.25">
      <c r="A35" s="361"/>
      <c r="B35" s="362"/>
      <c r="C35" s="362"/>
      <c r="D35" s="363"/>
      <c r="E35" s="364" t="s">
        <v>290</v>
      </c>
      <c r="F35" s="365">
        <f>SUM(F13,F14,F15,F16,F17,F18,F19,F20,F21,F23,F25,F27,F29,F31,F33)</f>
        <v>10873167.589999998</v>
      </c>
    </row>
    <row r="36" spans="1:6" ht="15.75" customHeight="1" x14ac:dyDescent="0.25">
      <c r="A36" s="327" t="s">
        <v>291</v>
      </c>
      <c r="B36" s="328"/>
      <c r="C36" s="328"/>
      <c r="D36" s="329"/>
      <c r="E36" s="328"/>
      <c r="F36" s="330"/>
    </row>
    <row r="37" spans="1:6" ht="16.899999999999999" customHeight="1" x14ac:dyDescent="0.25">
      <c r="A37" s="331">
        <v>1</v>
      </c>
      <c r="B37" s="331">
        <v>853</v>
      </c>
      <c r="C37" s="331">
        <v>85395</v>
      </c>
      <c r="D37" s="331">
        <v>2510</v>
      </c>
      <c r="E37" s="338" t="s">
        <v>26</v>
      </c>
      <c r="F37" s="333">
        <f>F38</f>
        <v>1361864.22</v>
      </c>
    </row>
    <row r="38" spans="1:6" s="318" customFormat="1" ht="12.75" customHeight="1" x14ac:dyDescent="0.25">
      <c r="A38" s="351"/>
      <c r="B38" s="352"/>
      <c r="C38" s="353"/>
      <c r="D38" s="354"/>
      <c r="E38" s="367" t="s">
        <v>292</v>
      </c>
      <c r="F38" s="368">
        <f>1186180+175684.22</f>
        <v>1361864.22</v>
      </c>
    </row>
    <row r="39" spans="1:6" ht="16.899999999999999" customHeight="1" x14ac:dyDescent="0.25">
      <c r="A39" s="331">
        <v>2</v>
      </c>
      <c r="B39" s="331">
        <v>921</v>
      </c>
      <c r="C39" s="331">
        <v>92110</v>
      </c>
      <c r="D39" s="331">
        <v>2480</v>
      </c>
      <c r="E39" s="338" t="s">
        <v>293</v>
      </c>
      <c r="F39" s="369">
        <f>F40</f>
        <v>1433385.72</v>
      </c>
    </row>
    <row r="40" spans="1:6" s="318" customFormat="1" ht="12.75" customHeight="1" x14ac:dyDescent="0.25">
      <c r="A40" s="351"/>
      <c r="B40" s="352"/>
      <c r="C40" s="353"/>
      <c r="D40" s="370"/>
      <c r="E40" s="371" t="s">
        <v>280</v>
      </c>
      <c r="F40" s="368">
        <f>1380000+53385.72</f>
        <v>1433385.72</v>
      </c>
    </row>
    <row r="41" spans="1:6" ht="16.899999999999999" customHeight="1" x14ac:dyDescent="0.25">
      <c r="A41" s="331">
        <v>3</v>
      </c>
      <c r="B41" s="331">
        <v>921</v>
      </c>
      <c r="C41" s="331">
        <v>92113</v>
      </c>
      <c r="D41" s="331">
        <v>2480</v>
      </c>
      <c r="E41" s="338" t="s">
        <v>282</v>
      </c>
      <c r="F41" s="369">
        <f>F42</f>
        <v>10740385.220000001</v>
      </c>
    </row>
    <row r="42" spans="1:6" s="318" customFormat="1" ht="12" customHeight="1" x14ac:dyDescent="0.25">
      <c r="A42" s="372"/>
      <c r="B42" s="353"/>
      <c r="C42" s="353"/>
      <c r="D42" s="353"/>
      <c r="E42" s="358" t="s">
        <v>294</v>
      </c>
      <c r="F42" s="373">
        <f>10500000+240385.22</f>
        <v>10740385.220000001</v>
      </c>
    </row>
    <row r="43" spans="1:6" ht="16.899999999999999" customHeight="1" x14ac:dyDescent="0.25">
      <c r="A43" s="331">
        <v>4</v>
      </c>
      <c r="B43" s="331">
        <v>921</v>
      </c>
      <c r="C43" s="331">
        <v>92114</v>
      </c>
      <c r="D43" s="331">
        <v>2480</v>
      </c>
      <c r="E43" s="338" t="s">
        <v>295</v>
      </c>
      <c r="F43" s="369">
        <f>F44</f>
        <v>2279414.83</v>
      </c>
    </row>
    <row r="44" spans="1:6" s="318" customFormat="1" ht="12.75" customHeight="1" x14ac:dyDescent="0.25">
      <c r="A44" s="351"/>
      <c r="B44" s="352"/>
      <c r="C44" s="352"/>
      <c r="D44" s="352"/>
      <c r="E44" s="358" t="s">
        <v>286</v>
      </c>
      <c r="F44" s="368">
        <f>2220000+59414.83</f>
        <v>2279414.83</v>
      </c>
    </row>
    <row r="45" spans="1:6" ht="16.899999999999999" customHeight="1" x14ac:dyDescent="0.25">
      <c r="A45" s="331">
        <v>5</v>
      </c>
      <c r="B45" s="331">
        <v>921</v>
      </c>
      <c r="C45" s="331">
        <v>92116</v>
      </c>
      <c r="D45" s="331">
        <v>2480</v>
      </c>
      <c r="E45" s="338" t="s">
        <v>287</v>
      </c>
      <c r="F45" s="333">
        <f>F46</f>
        <v>6622578.7199999997</v>
      </c>
    </row>
    <row r="46" spans="1:6" s="318" customFormat="1" ht="12.75" customHeight="1" x14ac:dyDescent="0.25">
      <c r="A46" s="351"/>
      <c r="B46" s="374"/>
      <c r="C46" s="374"/>
      <c r="D46" s="357"/>
      <c r="E46" s="358" t="s">
        <v>288</v>
      </c>
      <c r="F46" s="368">
        <f>6400000+222578.72</f>
        <v>6622578.7199999997</v>
      </c>
    </row>
    <row r="47" spans="1:6" s="366" customFormat="1" ht="18" customHeight="1" x14ac:dyDescent="0.25">
      <c r="A47" s="361"/>
      <c r="B47" s="362"/>
      <c r="C47" s="362"/>
      <c r="D47" s="363"/>
      <c r="E47" s="364" t="s">
        <v>290</v>
      </c>
      <c r="F47" s="365">
        <f>SUM(F37,F39,F41,F43,F45)</f>
        <v>22437628.710000001</v>
      </c>
    </row>
    <row r="48" spans="1:6" s="366" customFormat="1" ht="22.5" customHeight="1" x14ac:dyDescent="0.25">
      <c r="A48" s="375"/>
      <c r="B48" s="376"/>
      <c r="C48" s="376"/>
      <c r="D48" s="377"/>
      <c r="E48" s="378" t="s">
        <v>296</v>
      </c>
      <c r="F48" s="379">
        <f>SUM(F35,F47)</f>
        <v>33310796.299999997</v>
      </c>
    </row>
    <row r="50" spans="1:6" x14ac:dyDescent="0.25">
      <c r="A50" s="380"/>
      <c r="F50" s="334"/>
    </row>
    <row r="51" spans="1:6" x14ac:dyDescent="0.25">
      <c r="A51" s="326"/>
      <c r="F51" s="334"/>
    </row>
    <row r="52" spans="1:6" x14ac:dyDescent="0.25">
      <c r="A52" s="326"/>
    </row>
  </sheetData>
  <mergeCells count="2">
    <mergeCell ref="A6:F6"/>
    <mergeCell ref="A7:F7"/>
  </mergeCells>
  <printOptions horizontalCentered="1"/>
  <pageMargins left="0.59055118110236227" right="0.59055118110236227" top="0.74803149606299213" bottom="0.62992125984251968" header="0.31496062992125984" footer="0.31496062992125984"/>
  <pageSetup paperSize="9" scale="93" firstPageNumber="65" orientation="portrait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B92D7-B58D-4F5E-8961-93D247AE7CBE}">
  <sheetPr>
    <tabColor rgb="FF00B0F0"/>
  </sheetPr>
  <dimension ref="A1:H151"/>
  <sheetViews>
    <sheetView topLeftCell="A7" zoomScale="130" zoomScaleNormal="130" workbookViewId="0">
      <selection activeCell="F14" sqref="F14"/>
    </sheetView>
  </sheetViews>
  <sheetFormatPr defaultRowHeight="13.5" x14ac:dyDescent="0.25"/>
  <cols>
    <col min="1" max="1" width="4.42578125" style="314" customWidth="1"/>
    <col min="2" max="2" width="5.7109375" style="314" customWidth="1"/>
    <col min="3" max="3" width="7.140625" style="314" customWidth="1"/>
    <col min="4" max="4" width="6.140625" style="381" customWidth="1"/>
    <col min="5" max="5" width="46.42578125" style="314" customWidth="1"/>
    <col min="6" max="6" width="22.28515625" style="314" customWidth="1"/>
    <col min="7" max="7" width="9.140625" style="314" customWidth="1"/>
    <col min="8" max="8" width="12.28515625" style="314" customWidth="1"/>
    <col min="9" max="256" width="9.140625" style="314"/>
    <col min="257" max="257" width="4.42578125" style="314" customWidth="1"/>
    <col min="258" max="258" width="5.7109375" style="314" customWidth="1"/>
    <col min="259" max="259" width="7.5703125" style="314" customWidth="1"/>
    <col min="260" max="260" width="6.5703125" style="314" customWidth="1"/>
    <col min="261" max="261" width="47.42578125" style="314" customWidth="1"/>
    <col min="262" max="262" width="22.28515625" style="314" customWidth="1"/>
    <col min="263" max="263" width="9.140625" style="314"/>
    <col min="264" max="264" width="12.28515625" style="314" customWidth="1"/>
    <col min="265" max="512" width="9.140625" style="314"/>
    <col min="513" max="513" width="4.42578125" style="314" customWidth="1"/>
    <col min="514" max="514" width="5.7109375" style="314" customWidth="1"/>
    <col min="515" max="515" width="7.5703125" style="314" customWidth="1"/>
    <col min="516" max="516" width="6.5703125" style="314" customWidth="1"/>
    <col min="517" max="517" width="47.42578125" style="314" customWidth="1"/>
    <col min="518" max="518" width="22.28515625" style="314" customWidth="1"/>
    <col min="519" max="519" width="9.140625" style="314"/>
    <col min="520" max="520" width="12.28515625" style="314" customWidth="1"/>
    <col min="521" max="768" width="9.140625" style="314"/>
    <col min="769" max="769" width="4.42578125" style="314" customWidth="1"/>
    <col min="770" max="770" width="5.7109375" style="314" customWidth="1"/>
    <col min="771" max="771" width="7.5703125" style="314" customWidth="1"/>
    <col min="772" max="772" width="6.5703125" style="314" customWidth="1"/>
    <col min="773" max="773" width="47.42578125" style="314" customWidth="1"/>
    <col min="774" max="774" width="22.28515625" style="314" customWidth="1"/>
    <col min="775" max="775" width="9.140625" style="314"/>
    <col min="776" max="776" width="12.28515625" style="314" customWidth="1"/>
    <col min="777" max="1024" width="9.140625" style="314"/>
    <col min="1025" max="1025" width="4.42578125" style="314" customWidth="1"/>
    <col min="1026" max="1026" width="5.7109375" style="314" customWidth="1"/>
    <col min="1027" max="1027" width="7.5703125" style="314" customWidth="1"/>
    <col min="1028" max="1028" width="6.5703125" style="314" customWidth="1"/>
    <col min="1029" max="1029" width="47.42578125" style="314" customWidth="1"/>
    <col min="1030" max="1030" width="22.28515625" style="314" customWidth="1"/>
    <col min="1031" max="1031" width="9.140625" style="314"/>
    <col min="1032" max="1032" width="12.28515625" style="314" customWidth="1"/>
    <col min="1033" max="1280" width="9.140625" style="314"/>
    <col min="1281" max="1281" width="4.42578125" style="314" customWidth="1"/>
    <col min="1282" max="1282" width="5.7109375" style="314" customWidth="1"/>
    <col min="1283" max="1283" width="7.5703125" style="314" customWidth="1"/>
    <col min="1284" max="1284" width="6.5703125" style="314" customWidth="1"/>
    <col min="1285" max="1285" width="47.42578125" style="314" customWidth="1"/>
    <col min="1286" max="1286" width="22.28515625" style="314" customWidth="1"/>
    <col min="1287" max="1287" width="9.140625" style="314"/>
    <col min="1288" max="1288" width="12.28515625" style="314" customWidth="1"/>
    <col min="1289" max="1536" width="9.140625" style="314"/>
    <col min="1537" max="1537" width="4.42578125" style="314" customWidth="1"/>
    <col min="1538" max="1538" width="5.7109375" style="314" customWidth="1"/>
    <col min="1539" max="1539" width="7.5703125" style="314" customWidth="1"/>
    <col min="1540" max="1540" width="6.5703125" style="314" customWidth="1"/>
    <col min="1541" max="1541" width="47.42578125" style="314" customWidth="1"/>
    <col min="1542" max="1542" width="22.28515625" style="314" customWidth="1"/>
    <col min="1543" max="1543" width="9.140625" style="314"/>
    <col min="1544" max="1544" width="12.28515625" style="314" customWidth="1"/>
    <col min="1545" max="1792" width="9.140625" style="314"/>
    <col min="1793" max="1793" width="4.42578125" style="314" customWidth="1"/>
    <col min="1794" max="1794" width="5.7109375" style="314" customWidth="1"/>
    <col min="1795" max="1795" width="7.5703125" style="314" customWidth="1"/>
    <col min="1796" max="1796" width="6.5703125" style="314" customWidth="1"/>
    <col min="1797" max="1797" width="47.42578125" style="314" customWidth="1"/>
    <col min="1798" max="1798" width="22.28515625" style="314" customWidth="1"/>
    <col min="1799" max="1799" width="9.140625" style="314"/>
    <col min="1800" max="1800" width="12.28515625" style="314" customWidth="1"/>
    <col min="1801" max="2048" width="9.140625" style="314"/>
    <col min="2049" max="2049" width="4.42578125" style="314" customWidth="1"/>
    <col min="2050" max="2050" width="5.7109375" style="314" customWidth="1"/>
    <col min="2051" max="2051" width="7.5703125" style="314" customWidth="1"/>
    <col min="2052" max="2052" width="6.5703125" style="314" customWidth="1"/>
    <col min="2053" max="2053" width="47.42578125" style="314" customWidth="1"/>
    <col min="2054" max="2054" width="22.28515625" style="314" customWidth="1"/>
    <col min="2055" max="2055" width="9.140625" style="314"/>
    <col min="2056" max="2056" width="12.28515625" style="314" customWidth="1"/>
    <col min="2057" max="2304" width="9.140625" style="314"/>
    <col min="2305" max="2305" width="4.42578125" style="314" customWidth="1"/>
    <col min="2306" max="2306" width="5.7109375" style="314" customWidth="1"/>
    <col min="2307" max="2307" width="7.5703125" style="314" customWidth="1"/>
    <col min="2308" max="2308" width="6.5703125" style="314" customWidth="1"/>
    <col min="2309" max="2309" width="47.42578125" style="314" customWidth="1"/>
    <col min="2310" max="2310" width="22.28515625" style="314" customWidth="1"/>
    <col min="2311" max="2311" width="9.140625" style="314"/>
    <col min="2312" max="2312" width="12.28515625" style="314" customWidth="1"/>
    <col min="2313" max="2560" width="9.140625" style="314"/>
    <col min="2561" max="2561" width="4.42578125" style="314" customWidth="1"/>
    <col min="2562" max="2562" width="5.7109375" style="314" customWidth="1"/>
    <col min="2563" max="2563" width="7.5703125" style="314" customWidth="1"/>
    <col min="2564" max="2564" width="6.5703125" style="314" customWidth="1"/>
    <col min="2565" max="2565" width="47.42578125" style="314" customWidth="1"/>
    <col min="2566" max="2566" width="22.28515625" style="314" customWidth="1"/>
    <col min="2567" max="2567" width="9.140625" style="314"/>
    <col min="2568" max="2568" width="12.28515625" style="314" customWidth="1"/>
    <col min="2569" max="2816" width="9.140625" style="314"/>
    <col min="2817" max="2817" width="4.42578125" style="314" customWidth="1"/>
    <col min="2818" max="2818" width="5.7109375" style="314" customWidth="1"/>
    <col min="2819" max="2819" width="7.5703125" style="314" customWidth="1"/>
    <col min="2820" max="2820" width="6.5703125" style="314" customWidth="1"/>
    <col min="2821" max="2821" width="47.42578125" style="314" customWidth="1"/>
    <col min="2822" max="2822" width="22.28515625" style="314" customWidth="1"/>
    <col min="2823" max="2823" width="9.140625" style="314"/>
    <col min="2824" max="2824" width="12.28515625" style="314" customWidth="1"/>
    <col min="2825" max="3072" width="9.140625" style="314"/>
    <col min="3073" max="3073" width="4.42578125" style="314" customWidth="1"/>
    <col min="3074" max="3074" width="5.7109375" style="314" customWidth="1"/>
    <col min="3075" max="3075" width="7.5703125" style="314" customWidth="1"/>
    <col min="3076" max="3076" width="6.5703125" style="314" customWidth="1"/>
    <col min="3077" max="3077" width="47.42578125" style="314" customWidth="1"/>
    <col min="3078" max="3078" width="22.28515625" style="314" customWidth="1"/>
    <col min="3079" max="3079" width="9.140625" style="314"/>
    <col min="3080" max="3080" width="12.28515625" style="314" customWidth="1"/>
    <col min="3081" max="3328" width="9.140625" style="314"/>
    <col min="3329" max="3329" width="4.42578125" style="314" customWidth="1"/>
    <col min="3330" max="3330" width="5.7109375" style="314" customWidth="1"/>
    <col min="3331" max="3331" width="7.5703125" style="314" customWidth="1"/>
    <col min="3332" max="3332" width="6.5703125" style="314" customWidth="1"/>
    <col min="3333" max="3333" width="47.42578125" style="314" customWidth="1"/>
    <col min="3334" max="3334" width="22.28515625" style="314" customWidth="1"/>
    <col min="3335" max="3335" width="9.140625" style="314"/>
    <col min="3336" max="3336" width="12.28515625" style="314" customWidth="1"/>
    <col min="3337" max="3584" width="9.140625" style="314"/>
    <col min="3585" max="3585" width="4.42578125" style="314" customWidth="1"/>
    <col min="3586" max="3586" width="5.7109375" style="314" customWidth="1"/>
    <col min="3587" max="3587" width="7.5703125" style="314" customWidth="1"/>
    <col min="3588" max="3588" width="6.5703125" style="314" customWidth="1"/>
    <col min="3589" max="3589" width="47.42578125" style="314" customWidth="1"/>
    <col min="3590" max="3590" width="22.28515625" style="314" customWidth="1"/>
    <col min="3591" max="3591" width="9.140625" style="314"/>
    <col min="3592" max="3592" width="12.28515625" style="314" customWidth="1"/>
    <col min="3593" max="3840" width="9.140625" style="314"/>
    <col min="3841" max="3841" width="4.42578125" style="314" customWidth="1"/>
    <col min="3842" max="3842" width="5.7109375" style="314" customWidth="1"/>
    <col min="3843" max="3843" width="7.5703125" style="314" customWidth="1"/>
    <col min="3844" max="3844" width="6.5703125" style="314" customWidth="1"/>
    <col min="3845" max="3845" width="47.42578125" style="314" customWidth="1"/>
    <col min="3846" max="3846" width="22.28515625" style="314" customWidth="1"/>
    <col min="3847" max="3847" width="9.140625" style="314"/>
    <col min="3848" max="3848" width="12.28515625" style="314" customWidth="1"/>
    <col min="3849" max="4096" width="9.140625" style="314"/>
    <col min="4097" max="4097" width="4.42578125" style="314" customWidth="1"/>
    <col min="4098" max="4098" width="5.7109375" style="314" customWidth="1"/>
    <col min="4099" max="4099" width="7.5703125" style="314" customWidth="1"/>
    <col min="4100" max="4100" width="6.5703125" style="314" customWidth="1"/>
    <col min="4101" max="4101" width="47.42578125" style="314" customWidth="1"/>
    <col min="4102" max="4102" width="22.28515625" style="314" customWidth="1"/>
    <col min="4103" max="4103" width="9.140625" style="314"/>
    <col min="4104" max="4104" width="12.28515625" style="314" customWidth="1"/>
    <col min="4105" max="4352" width="9.140625" style="314"/>
    <col min="4353" max="4353" width="4.42578125" style="314" customWidth="1"/>
    <col min="4354" max="4354" width="5.7109375" style="314" customWidth="1"/>
    <col min="4355" max="4355" width="7.5703125" style="314" customWidth="1"/>
    <col min="4356" max="4356" width="6.5703125" style="314" customWidth="1"/>
    <col min="4357" max="4357" width="47.42578125" style="314" customWidth="1"/>
    <col min="4358" max="4358" width="22.28515625" style="314" customWidth="1"/>
    <col min="4359" max="4359" width="9.140625" style="314"/>
    <col min="4360" max="4360" width="12.28515625" style="314" customWidth="1"/>
    <col min="4361" max="4608" width="9.140625" style="314"/>
    <col min="4609" max="4609" width="4.42578125" style="314" customWidth="1"/>
    <col min="4610" max="4610" width="5.7109375" style="314" customWidth="1"/>
    <col min="4611" max="4611" width="7.5703125" style="314" customWidth="1"/>
    <col min="4612" max="4612" width="6.5703125" style="314" customWidth="1"/>
    <col min="4613" max="4613" width="47.42578125" style="314" customWidth="1"/>
    <col min="4614" max="4614" width="22.28515625" style="314" customWidth="1"/>
    <col min="4615" max="4615" width="9.140625" style="314"/>
    <col min="4616" max="4616" width="12.28515625" style="314" customWidth="1"/>
    <col min="4617" max="4864" width="9.140625" style="314"/>
    <col min="4865" max="4865" width="4.42578125" style="314" customWidth="1"/>
    <col min="4866" max="4866" width="5.7109375" style="314" customWidth="1"/>
    <col min="4867" max="4867" width="7.5703125" style="314" customWidth="1"/>
    <col min="4868" max="4868" width="6.5703125" style="314" customWidth="1"/>
    <col min="4869" max="4869" width="47.42578125" style="314" customWidth="1"/>
    <col min="4870" max="4870" width="22.28515625" style="314" customWidth="1"/>
    <col min="4871" max="4871" width="9.140625" style="314"/>
    <col min="4872" max="4872" width="12.28515625" style="314" customWidth="1"/>
    <col min="4873" max="5120" width="9.140625" style="314"/>
    <col min="5121" max="5121" width="4.42578125" style="314" customWidth="1"/>
    <col min="5122" max="5122" width="5.7109375" style="314" customWidth="1"/>
    <col min="5123" max="5123" width="7.5703125" style="314" customWidth="1"/>
    <col min="5124" max="5124" width="6.5703125" style="314" customWidth="1"/>
    <col min="5125" max="5125" width="47.42578125" style="314" customWidth="1"/>
    <col min="5126" max="5126" width="22.28515625" style="314" customWidth="1"/>
    <col min="5127" max="5127" width="9.140625" style="314"/>
    <col min="5128" max="5128" width="12.28515625" style="314" customWidth="1"/>
    <col min="5129" max="5376" width="9.140625" style="314"/>
    <col min="5377" max="5377" width="4.42578125" style="314" customWidth="1"/>
    <col min="5378" max="5378" width="5.7109375" style="314" customWidth="1"/>
    <col min="5379" max="5379" width="7.5703125" style="314" customWidth="1"/>
    <col min="5380" max="5380" width="6.5703125" style="314" customWidth="1"/>
    <col min="5381" max="5381" width="47.42578125" style="314" customWidth="1"/>
    <col min="5382" max="5382" width="22.28515625" style="314" customWidth="1"/>
    <col min="5383" max="5383" width="9.140625" style="314"/>
    <col min="5384" max="5384" width="12.28515625" style="314" customWidth="1"/>
    <col min="5385" max="5632" width="9.140625" style="314"/>
    <col min="5633" max="5633" width="4.42578125" style="314" customWidth="1"/>
    <col min="5634" max="5634" width="5.7109375" style="314" customWidth="1"/>
    <col min="5635" max="5635" width="7.5703125" style="314" customWidth="1"/>
    <col min="5636" max="5636" width="6.5703125" style="314" customWidth="1"/>
    <col min="5637" max="5637" width="47.42578125" style="314" customWidth="1"/>
    <col min="5638" max="5638" width="22.28515625" style="314" customWidth="1"/>
    <col min="5639" max="5639" width="9.140625" style="314"/>
    <col min="5640" max="5640" width="12.28515625" style="314" customWidth="1"/>
    <col min="5641" max="5888" width="9.140625" style="314"/>
    <col min="5889" max="5889" width="4.42578125" style="314" customWidth="1"/>
    <col min="5890" max="5890" width="5.7109375" style="314" customWidth="1"/>
    <col min="5891" max="5891" width="7.5703125" style="314" customWidth="1"/>
    <col min="5892" max="5892" width="6.5703125" style="314" customWidth="1"/>
    <col min="5893" max="5893" width="47.42578125" style="314" customWidth="1"/>
    <col min="5894" max="5894" width="22.28515625" style="314" customWidth="1"/>
    <col min="5895" max="5895" width="9.140625" style="314"/>
    <col min="5896" max="5896" width="12.28515625" style="314" customWidth="1"/>
    <col min="5897" max="6144" width="9.140625" style="314"/>
    <col min="6145" max="6145" width="4.42578125" style="314" customWidth="1"/>
    <col min="6146" max="6146" width="5.7109375" style="314" customWidth="1"/>
    <col min="6147" max="6147" width="7.5703125" style="314" customWidth="1"/>
    <col min="6148" max="6148" width="6.5703125" style="314" customWidth="1"/>
    <col min="6149" max="6149" width="47.42578125" style="314" customWidth="1"/>
    <col min="6150" max="6150" width="22.28515625" style="314" customWidth="1"/>
    <col min="6151" max="6151" width="9.140625" style="314"/>
    <col min="6152" max="6152" width="12.28515625" style="314" customWidth="1"/>
    <col min="6153" max="6400" width="9.140625" style="314"/>
    <col min="6401" max="6401" width="4.42578125" style="314" customWidth="1"/>
    <col min="6402" max="6402" width="5.7109375" style="314" customWidth="1"/>
    <col min="6403" max="6403" width="7.5703125" style="314" customWidth="1"/>
    <col min="6404" max="6404" width="6.5703125" style="314" customWidth="1"/>
    <col min="6405" max="6405" width="47.42578125" style="314" customWidth="1"/>
    <col min="6406" max="6406" width="22.28515625" style="314" customWidth="1"/>
    <col min="6407" max="6407" width="9.140625" style="314"/>
    <col min="6408" max="6408" width="12.28515625" style="314" customWidth="1"/>
    <col min="6409" max="6656" width="9.140625" style="314"/>
    <col min="6657" max="6657" width="4.42578125" style="314" customWidth="1"/>
    <col min="6658" max="6658" width="5.7109375" style="314" customWidth="1"/>
    <col min="6659" max="6659" width="7.5703125" style="314" customWidth="1"/>
    <col min="6660" max="6660" width="6.5703125" style="314" customWidth="1"/>
    <col min="6661" max="6661" width="47.42578125" style="314" customWidth="1"/>
    <col min="6662" max="6662" width="22.28515625" style="314" customWidth="1"/>
    <col min="6663" max="6663" width="9.140625" style="314"/>
    <col min="6664" max="6664" width="12.28515625" style="314" customWidth="1"/>
    <col min="6665" max="6912" width="9.140625" style="314"/>
    <col min="6913" max="6913" width="4.42578125" style="314" customWidth="1"/>
    <col min="6914" max="6914" width="5.7109375" style="314" customWidth="1"/>
    <col min="6915" max="6915" width="7.5703125" style="314" customWidth="1"/>
    <col min="6916" max="6916" width="6.5703125" style="314" customWidth="1"/>
    <col min="6917" max="6917" width="47.42578125" style="314" customWidth="1"/>
    <col min="6918" max="6918" width="22.28515625" style="314" customWidth="1"/>
    <col min="6919" max="6919" width="9.140625" style="314"/>
    <col min="6920" max="6920" width="12.28515625" style="314" customWidth="1"/>
    <col min="6921" max="7168" width="9.140625" style="314"/>
    <col min="7169" max="7169" width="4.42578125" style="314" customWidth="1"/>
    <col min="7170" max="7170" width="5.7109375" style="314" customWidth="1"/>
    <col min="7171" max="7171" width="7.5703125" style="314" customWidth="1"/>
    <col min="7172" max="7172" width="6.5703125" style="314" customWidth="1"/>
    <col min="7173" max="7173" width="47.42578125" style="314" customWidth="1"/>
    <col min="7174" max="7174" width="22.28515625" style="314" customWidth="1"/>
    <col min="7175" max="7175" width="9.140625" style="314"/>
    <col min="7176" max="7176" width="12.28515625" style="314" customWidth="1"/>
    <col min="7177" max="7424" width="9.140625" style="314"/>
    <col min="7425" max="7425" width="4.42578125" style="314" customWidth="1"/>
    <col min="7426" max="7426" width="5.7109375" style="314" customWidth="1"/>
    <col min="7427" max="7427" width="7.5703125" style="314" customWidth="1"/>
    <col min="7428" max="7428" width="6.5703125" style="314" customWidth="1"/>
    <col min="7429" max="7429" width="47.42578125" style="314" customWidth="1"/>
    <col min="7430" max="7430" width="22.28515625" style="314" customWidth="1"/>
    <col min="7431" max="7431" width="9.140625" style="314"/>
    <col min="7432" max="7432" width="12.28515625" style="314" customWidth="1"/>
    <col min="7433" max="7680" width="9.140625" style="314"/>
    <col min="7681" max="7681" width="4.42578125" style="314" customWidth="1"/>
    <col min="7682" max="7682" width="5.7109375" style="314" customWidth="1"/>
    <col min="7683" max="7683" width="7.5703125" style="314" customWidth="1"/>
    <col min="7684" max="7684" width="6.5703125" style="314" customWidth="1"/>
    <col min="7685" max="7685" width="47.42578125" style="314" customWidth="1"/>
    <col min="7686" max="7686" width="22.28515625" style="314" customWidth="1"/>
    <col min="7687" max="7687" width="9.140625" style="314"/>
    <col min="7688" max="7688" width="12.28515625" style="314" customWidth="1"/>
    <col min="7689" max="7936" width="9.140625" style="314"/>
    <col min="7937" max="7937" width="4.42578125" style="314" customWidth="1"/>
    <col min="7938" max="7938" width="5.7109375" style="314" customWidth="1"/>
    <col min="7939" max="7939" width="7.5703125" style="314" customWidth="1"/>
    <col min="7940" max="7940" width="6.5703125" style="314" customWidth="1"/>
    <col min="7941" max="7941" width="47.42578125" style="314" customWidth="1"/>
    <col min="7942" max="7942" width="22.28515625" style="314" customWidth="1"/>
    <col min="7943" max="7943" width="9.140625" style="314"/>
    <col min="7944" max="7944" width="12.28515625" style="314" customWidth="1"/>
    <col min="7945" max="8192" width="9.140625" style="314"/>
    <col min="8193" max="8193" width="4.42578125" style="314" customWidth="1"/>
    <col min="8194" max="8194" width="5.7109375" style="314" customWidth="1"/>
    <col min="8195" max="8195" width="7.5703125" style="314" customWidth="1"/>
    <col min="8196" max="8196" width="6.5703125" style="314" customWidth="1"/>
    <col min="8197" max="8197" width="47.42578125" style="314" customWidth="1"/>
    <col min="8198" max="8198" width="22.28515625" style="314" customWidth="1"/>
    <col min="8199" max="8199" width="9.140625" style="314"/>
    <col min="8200" max="8200" width="12.28515625" style="314" customWidth="1"/>
    <col min="8201" max="8448" width="9.140625" style="314"/>
    <col min="8449" max="8449" width="4.42578125" style="314" customWidth="1"/>
    <col min="8450" max="8450" width="5.7109375" style="314" customWidth="1"/>
    <col min="8451" max="8451" width="7.5703125" style="314" customWidth="1"/>
    <col min="8452" max="8452" width="6.5703125" style="314" customWidth="1"/>
    <col min="8453" max="8453" width="47.42578125" style="314" customWidth="1"/>
    <col min="8454" max="8454" width="22.28515625" style="314" customWidth="1"/>
    <col min="8455" max="8455" width="9.140625" style="314"/>
    <col min="8456" max="8456" width="12.28515625" style="314" customWidth="1"/>
    <col min="8457" max="8704" width="9.140625" style="314"/>
    <col min="8705" max="8705" width="4.42578125" style="314" customWidth="1"/>
    <col min="8706" max="8706" width="5.7109375" style="314" customWidth="1"/>
    <col min="8707" max="8707" width="7.5703125" style="314" customWidth="1"/>
    <col min="8708" max="8708" width="6.5703125" style="314" customWidth="1"/>
    <col min="8709" max="8709" width="47.42578125" style="314" customWidth="1"/>
    <col min="8710" max="8710" width="22.28515625" style="314" customWidth="1"/>
    <col min="8711" max="8711" width="9.140625" style="314"/>
    <col min="8712" max="8712" width="12.28515625" style="314" customWidth="1"/>
    <col min="8713" max="8960" width="9.140625" style="314"/>
    <col min="8961" max="8961" width="4.42578125" style="314" customWidth="1"/>
    <col min="8962" max="8962" width="5.7109375" style="314" customWidth="1"/>
    <col min="8963" max="8963" width="7.5703125" style="314" customWidth="1"/>
    <col min="8964" max="8964" width="6.5703125" style="314" customWidth="1"/>
    <col min="8965" max="8965" width="47.42578125" style="314" customWidth="1"/>
    <col min="8966" max="8966" width="22.28515625" style="314" customWidth="1"/>
    <col min="8967" max="8967" width="9.140625" style="314"/>
    <col min="8968" max="8968" width="12.28515625" style="314" customWidth="1"/>
    <col min="8969" max="9216" width="9.140625" style="314"/>
    <col min="9217" max="9217" width="4.42578125" style="314" customWidth="1"/>
    <col min="9218" max="9218" width="5.7109375" style="314" customWidth="1"/>
    <col min="9219" max="9219" width="7.5703125" style="314" customWidth="1"/>
    <col min="9220" max="9220" width="6.5703125" style="314" customWidth="1"/>
    <col min="9221" max="9221" width="47.42578125" style="314" customWidth="1"/>
    <col min="9222" max="9222" width="22.28515625" style="314" customWidth="1"/>
    <col min="9223" max="9223" width="9.140625" style="314"/>
    <col min="9224" max="9224" width="12.28515625" style="314" customWidth="1"/>
    <col min="9225" max="9472" width="9.140625" style="314"/>
    <col min="9473" max="9473" width="4.42578125" style="314" customWidth="1"/>
    <col min="9474" max="9474" width="5.7109375" style="314" customWidth="1"/>
    <col min="9475" max="9475" width="7.5703125" style="314" customWidth="1"/>
    <col min="9476" max="9476" width="6.5703125" style="314" customWidth="1"/>
    <col min="9477" max="9477" width="47.42578125" style="314" customWidth="1"/>
    <col min="9478" max="9478" width="22.28515625" style="314" customWidth="1"/>
    <col min="9479" max="9479" width="9.140625" style="314"/>
    <col min="9480" max="9480" width="12.28515625" style="314" customWidth="1"/>
    <col min="9481" max="9728" width="9.140625" style="314"/>
    <col min="9729" max="9729" width="4.42578125" style="314" customWidth="1"/>
    <col min="9730" max="9730" width="5.7109375" style="314" customWidth="1"/>
    <col min="9731" max="9731" width="7.5703125" style="314" customWidth="1"/>
    <col min="9732" max="9732" width="6.5703125" style="314" customWidth="1"/>
    <col min="9733" max="9733" width="47.42578125" style="314" customWidth="1"/>
    <col min="9734" max="9734" width="22.28515625" style="314" customWidth="1"/>
    <col min="9735" max="9735" width="9.140625" style="314"/>
    <col min="9736" max="9736" width="12.28515625" style="314" customWidth="1"/>
    <col min="9737" max="9984" width="9.140625" style="314"/>
    <col min="9985" max="9985" width="4.42578125" style="314" customWidth="1"/>
    <col min="9986" max="9986" width="5.7109375" style="314" customWidth="1"/>
    <col min="9987" max="9987" width="7.5703125" style="314" customWidth="1"/>
    <col min="9988" max="9988" width="6.5703125" style="314" customWidth="1"/>
    <col min="9989" max="9989" width="47.42578125" style="314" customWidth="1"/>
    <col min="9990" max="9990" width="22.28515625" style="314" customWidth="1"/>
    <col min="9991" max="9991" width="9.140625" style="314"/>
    <col min="9992" max="9992" width="12.28515625" style="314" customWidth="1"/>
    <col min="9993" max="10240" width="9.140625" style="314"/>
    <col min="10241" max="10241" width="4.42578125" style="314" customWidth="1"/>
    <col min="10242" max="10242" width="5.7109375" style="314" customWidth="1"/>
    <col min="10243" max="10243" width="7.5703125" style="314" customWidth="1"/>
    <col min="10244" max="10244" width="6.5703125" style="314" customWidth="1"/>
    <col min="10245" max="10245" width="47.42578125" style="314" customWidth="1"/>
    <col min="10246" max="10246" width="22.28515625" style="314" customWidth="1"/>
    <col min="10247" max="10247" width="9.140625" style="314"/>
    <col min="10248" max="10248" width="12.28515625" style="314" customWidth="1"/>
    <col min="10249" max="10496" width="9.140625" style="314"/>
    <col min="10497" max="10497" width="4.42578125" style="314" customWidth="1"/>
    <col min="10498" max="10498" width="5.7109375" style="314" customWidth="1"/>
    <col min="10499" max="10499" width="7.5703125" style="314" customWidth="1"/>
    <col min="10500" max="10500" width="6.5703125" style="314" customWidth="1"/>
    <col min="10501" max="10501" width="47.42578125" style="314" customWidth="1"/>
    <col min="10502" max="10502" width="22.28515625" style="314" customWidth="1"/>
    <col min="10503" max="10503" width="9.140625" style="314"/>
    <col min="10504" max="10504" width="12.28515625" style="314" customWidth="1"/>
    <col min="10505" max="10752" width="9.140625" style="314"/>
    <col min="10753" max="10753" width="4.42578125" style="314" customWidth="1"/>
    <col min="10754" max="10754" width="5.7109375" style="314" customWidth="1"/>
    <col min="10755" max="10755" width="7.5703125" style="314" customWidth="1"/>
    <col min="10756" max="10756" width="6.5703125" style="314" customWidth="1"/>
    <col min="10757" max="10757" width="47.42578125" style="314" customWidth="1"/>
    <col min="10758" max="10758" width="22.28515625" style="314" customWidth="1"/>
    <col min="10759" max="10759" width="9.140625" style="314"/>
    <col min="10760" max="10760" width="12.28515625" style="314" customWidth="1"/>
    <col min="10761" max="11008" width="9.140625" style="314"/>
    <col min="11009" max="11009" width="4.42578125" style="314" customWidth="1"/>
    <col min="11010" max="11010" width="5.7109375" style="314" customWidth="1"/>
    <col min="11011" max="11011" width="7.5703125" style="314" customWidth="1"/>
    <col min="11012" max="11012" width="6.5703125" style="314" customWidth="1"/>
    <col min="11013" max="11013" width="47.42578125" style="314" customWidth="1"/>
    <col min="11014" max="11014" width="22.28515625" style="314" customWidth="1"/>
    <col min="11015" max="11015" width="9.140625" style="314"/>
    <col min="11016" max="11016" width="12.28515625" style="314" customWidth="1"/>
    <col min="11017" max="11264" width="9.140625" style="314"/>
    <col min="11265" max="11265" width="4.42578125" style="314" customWidth="1"/>
    <col min="11266" max="11266" width="5.7109375" style="314" customWidth="1"/>
    <col min="11267" max="11267" width="7.5703125" style="314" customWidth="1"/>
    <col min="11268" max="11268" width="6.5703125" style="314" customWidth="1"/>
    <col min="11269" max="11269" width="47.42578125" style="314" customWidth="1"/>
    <col min="11270" max="11270" width="22.28515625" style="314" customWidth="1"/>
    <col min="11271" max="11271" width="9.140625" style="314"/>
    <col min="11272" max="11272" width="12.28515625" style="314" customWidth="1"/>
    <col min="11273" max="11520" width="9.140625" style="314"/>
    <col min="11521" max="11521" width="4.42578125" style="314" customWidth="1"/>
    <col min="11522" max="11522" width="5.7109375" style="314" customWidth="1"/>
    <col min="11523" max="11523" width="7.5703125" style="314" customWidth="1"/>
    <col min="11524" max="11524" width="6.5703125" style="314" customWidth="1"/>
    <col min="11525" max="11525" width="47.42578125" style="314" customWidth="1"/>
    <col min="11526" max="11526" width="22.28515625" style="314" customWidth="1"/>
    <col min="11527" max="11527" width="9.140625" style="314"/>
    <col min="11528" max="11528" width="12.28515625" style="314" customWidth="1"/>
    <col min="11529" max="11776" width="9.140625" style="314"/>
    <col min="11777" max="11777" width="4.42578125" style="314" customWidth="1"/>
    <col min="11778" max="11778" width="5.7109375" style="314" customWidth="1"/>
    <col min="11779" max="11779" width="7.5703125" style="314" customWidth="1"/>
    <col min="11780" max="11780" width="6.5703125" style="314" customWidth="1"/>
    <col min="11781" max="11781" width="47.42578125" style="314" customWidth="1"/>
    <col min="11782" max="11782" width="22.28515625" style="314" customWidth="1"/>
    <col min="11783" max="11783" width="9.140625" style="314"/>
    <col min="11784" max="11784" width="12.28515625" style="314" customWidth="1"/>
    <col min="11785" max="12032" width="9.140625" style="314"/>
    <col min="12033" max="12033" width="4.42578125" style="314" customWidth="1"/>
    <col min="12034" max="12034" width="5.7109375" style="314" customWidth="1"/>
    <col min="12035" max="12035" width="7.5703125" style="314" customWidth="1"/>
    <col min="12036" max="12036" width="6.5703125" style="314" customWidth="1"/>
    <col min="12037" max="12037" width="47.42578125" style="314" customWidth="1"/>
    <col min="12038" max="12038" width="22.28515625" style="314" customWidth="1"/>
    <col min="12039" max="12039" width="9.140625" style="314"/>
    <col min="12040" max="12040" width="12.28515625" style="314" customWidth="1"/>
    <col min="12041" max="12288" width="9.140625" style="314"/>
    <col min="12289" max="12289" width="4.42578125" style="314" customWidth="1"/>
    <col min="12290" max="12290" width="5.7109375" style="314" customWidth="1"/>
    <col min="12291" max="12291" width="7.5703125" style="314" customWidth="1"/>
    <col min="12292" max="12292" width="6.5703125" style="314" customWidth="1"/>
    <col min="12293" max="12293" width="47.42578125" style="314" customWidth="1"/>
    <col min="12294" max="12294" width="22.28515625" style="314" customWidth="1"/>
    <col min="12295" max="12295" width="9.140625" style="314"/>
    <col min="12296" max="12296" width="12.28515625" style="314" customWidth="1"/>
    <col min="12297" max="12544" width="9.140625" style="314"/>
    <col min="12545" max="12545" width="4.42578125" style="314" customWidth="1"/>
    <col min="12546" max="12546" width="5.7109375" style="314" customWidth="1"/>
    <col min="12547" max="12547" width="7.5703125" style="314" customWidth="1"/>
    <col min="12548" max="12548" width="6.5703125" style="314" customWidth="1"/>
    <col min="12549" max="12549" width="47.42578125" style="314" customWidth="1"/>
    <col min="12550" max="12550" width="22.28515625" style="314" customWidth="1"/>
    <col min="12551" max="12551" width="9.140625" style="314"/>
    <col min="12552" max="12552" width="12.28515625" style="314" customWidth="1"/>
    <col min="12553" max="12800" width="9.140625" style="314"/>
    <col min="12801" max="12801" width="4.42578125" style="314" customWidth="1"/>
    <col min="12802" max="12802" width="5.7109375" style="314" customWidth="1"/>
    <col min="12803" max="12803" width="7.5703125" style="314" customWidth="1"/>
    <col min="12804" max="12804" width="6.5703125" style="314" customWidth="1"/>
    <col min="12805" max="12805" width="47.42578125" style="314" customWidth="1"/>
    <col min="12806" max="12806" width="22.28515625" style="314" customWidth="1"/>
    <col min="12807" max="12807" width="9.140625" style="314"/>
    <col min="12808" max="12808" width="12.28515625" style="314" customWidth="1"/>
    <col min="12809" max="13056" width="9.140625" style="314"/>
    <col min="13057" max="13057" width="4.42578125" style="314" customWidth="1"/>
    <col min="13058" max="13058" width="5.7109375" style="314" customWidth="1"/>
    <col min="13059" max="13059" width="7.5703125" style="314" customWidth="1"/>
    <col min="13060" max="13060" width="6.5703125" style="314" customWidth="1"/>
    <col min="13061" max="13061" width="47.42578125" style="314" customWidth="1"/>
    <col min="13062" max="13062" width="22.28515625" style="314" customWidth="1"/>
    <col min="13063" max="13063" width="9.140625" style="314"/>
    <col min="13064" max="13064" width="12.28515625" style="314" customWidth="1"/>
    <col min="13065" max="13312" width="9.140625" style="314"/>
    <col min="13313" max="13313" width="4.42578125" style="314" customWidth="1"/>
    <col min="13314" max="13314" width="5.7109375" style="314" customWidth="1"/>
    <col min="13315" max="13315" width="7.5703125" style="314" customWidth="1"/>
    <col min="13316" max="13316" width="6.5703125" style="314" customWidth="1"/>
    <col min="13317" max="13317" width="47.42578125" style="314" customWidth="1"/>
    <col min="13318" max="13318" width="22.28515625" style="314" customWidth="1"/>
    <col min="13319" max="13319" width="9.140625" style="314"/>
    <col min="13320" max="13320" width="12.28515625" style="314" customWidth="1"/>
    <col min="13321" max="13568" width="9.140625" style="314"/>
    <col min="13569" max="13569" width="4.42578125" style="314" customWidth="1"/>
    <col min="13570" max="13570" width="5.7109375" style="314" customWidth="1"/>
    <col min="13571" max="13571" width="7.5703125" style="314" customWidth="1"/>
    <col min="13572" max="13572" width="6.5703125" style="314" customWidth="1"/>
    <col min="13573" max="13573" width="47.42578125" style="314" customWidth="1"/>
    <col min="13574" max="13574" width="22.28515625" style="314" customWidth="1"/>
    <col min="13575" max="13575" width="9.140625" style="314"/>
    <col min="13576" max="13576" width="12.28515625" style="314" customWidth="1"/>
    <col min="13577" max="13824" width="9.140625" style="314"/>
    <col min="13825" max="13825" width="4.42578125" style="314" customWidth="1"/>
    <col min="13826" max="13826" width="5.7109375" style="314" customWidth="1"/>
    <col min="13827" max="13827" width="7.5703125" style="314" customWidth="1"/>
    <col min="13828" max="13828" width="6.5703125" style="314" customWidth="1"/>
    <col min="13829" max="13829" width="47.42578125" style="314" customWidth="1"/>
    <col min="13830" max="13830" width="22.28515625" style="314" customWidth="1"/>
    <col min="13831" max="13831" width="9.140625" style="314"/>
    <col min="13832" max="13832" width="12.28515625" style="314" customWidth="1"/>
    <col min="13833" max="14080" width="9.140625" style="314"/>
    <col min="14081" max="14081" width="4.42578125" style="314" customWidth="1"/>
    <col min="14082" max="14082" width="5.7109375" style="314" customWidth="1"/>
    <col min="14083" max="14083" width="7.5703125" style="314" customWidth="1"/>
    <col min="14084" max="14084" width="6.5703125" style="314" customWidth="1"/>
    <col min="14085" max="14085" width="47.42578125" style="314" customWidth="1"/>
    <col min="14086" max="14086" width="22.28515625" style="314" customWidth="1"/>
    <col min="14087" max="14087" width="9.140625" style="314"/>
    <col min="14088" max="14088" width="12.28515625" style="314" customWidth="1"/>
    <col min="14089" max="14336" width="9.140625" style="314"/>
    <col min="14337" max="14337" width="4.42578125" style="314" customWidth="1"/>
    <col min="14338" max="14338" width="5.7109375" style="314" customWidth="1"/>
    <col min="14339" max="14339" width="7.5703125" style="314" customWidth="1"/>
    <col min="14340" max="14340" width="6.5703125" style="314" customWidth="1"/>
    <col min="14341" max="14341" width="47.42578125" style="314" customWidth="1"/>
    <col min="14342" max="14342" width="22.28515625" style="314" customWidth="1"/>
    <col min="14343" max="14343" width="9.140625" style="314"/>
    <col min="14344" max="14344" width="12.28515625" style="314" customWidth="1"/>
    <col min="14345" max="14592" width="9.140625" style="314"/>
    <col min="14593" max="14593" width="4.42578125" style="314" customWidth="1"/>
    <col min="14594" max="14594" width="5.7109375" style="314" customWidth="1"/>
    <col min="14595" max="14595" width="7.5703125" style="314" customWidth="1"/>
    <col min="14596" max="14596" width="6.5703125" style="314" customWidth="1"/>
    <col min="14597" max="14597" width="47.42578125" style="314" customWidth="1"/>
    <col min="14598" max="14598" width="22.28515625" style="314" customWidth="1"/>
    <col min="14599" max="14599" width="9.140625" style="314"/>
    <col min="14600" max="14600" width="12.28515625" style="314" customWidth="1"/>
    <col min="14601" max="14848" width="9.140625" style="314"/>
    <col min="14849" max="14849" width="4.42578125" style="314" customWidth="1"/>
    <col min="14850" max="14850" width="5.7109375" style="314" customWidth="1"/>
    <col min="14851" max="14851" width="7.5703125" style="314" customWidth="1"/>
    <col min="14852" max="14852" width="6.5703125" style="314" customWidth="1"/>
    <col min="14853" max="14853" width="47.42578125" style="314" customWidth="1"/>
    <col min="14854" max="14854" width="22.28515625" style="314" customWidth="1"/>
    <col min="14855" max="14855" width="9.140625" style="314"/>
    <col min="14856" max="14856" width="12.28515625" style="314" customWidth="1"/>
    <col min="14857" max="15104" width="9.140625" style="314"/>
    <col min="15105" max="15105" width="4.42578125" style="314" customWidth="1"/>
    <col min="15106" max="15106" width="5.7109375" style="314" customWidth="1"/>
    <col min="15107" max="15107" width="7.5703125" style="314" customWidth="1"/>
    <col min="15108" max="15108" width="6.5703125" style="314" customWidth="1"/>
    <col min="15109" max="15109" width="47.42578125" style="314" customWidth="1"/>
    <col min="15110" max="15110" width="22.28515625" style="314" customWidth="1"/>
    <col min="15111" max="15111" width="9.140625" style="314"/>
    <col min="15112" max="15112" width="12.28515625" style="314" customWidth="1"/>
    <col min="15113" max="15360" width="9.140625" style="314"/>
    <col min="15361" max="15361" width="4.42578125" style="314" customWidth="1"/>
    <col min="15362" max="15362" width="5.7109375" style="314" customWidth="1"/>
    <col min="15363" max="15363" width="7.5703125" style="314" customWidth="1"/>
    <col min="15364" max="15364" width="6.5703125" style="314" customWidth="1"/>
    <col min="15365" max="15365" width="47.42578125" style="314" customWidth="1"/>
    <col min="15366" max="15366" width="22.28515625" style="314" customWidth="1"/>
    <col min="15367" max="15367" width="9.140625" style="314"/>
    <col min="15368" max="15368" width="12.28515625" style="314" customWidth="1"/>
    <col min="15369" max="15616" width="9.140625" style="314"/>
    <col min="15617" max="15617" width="4.42578125" style="314" customWidth="1"/>
    <col min="15618" max="15618" width="5.7109375" style="314" customWidth="1"/>
    <col min="15619" max="15619" width="7.5703125" style="314" customWidth="1"/>
    <col min="15620" max="15620" width="6.5703125" style="314" customWidth="1"/>
    <col min="15621" max="15621" width="47.42578125" style="314" customWidth="1"/>
    <col min="15622" max="15622" width="22.28515625" style="314" customWidth="1"/>
    <col min="15623" max="15623" width="9.140625" style="314"/>
    <col min="15624" max="15624" width="12.28515625" style="314" customWidth="1"/>
    <col min="15625" max="15872" width="9.140625" style="314"/>
    <col min="15873" max="15873" width="4.42578125" style="314" customWidth="1"/>
    <col min="15874" max="15874" width="5.7109375" style="314" customWidth="1"/>
    <col min="15875" max="15875" width="7.5703125" style="314" customWidth="1"/>
    <col min="15876" max="15876" width="6.5703125" style="314" customWidth="1"/>
    <col min="15877" max="15877" width="47.42578125" style="314" customWidth="1"/>
    <col min="15878" max="15878" width="22.28515625" style="314" customWidth="1"/>
    <col min="15879" max="15879" width="9.140625" style="314"/>
    <col min="15880" max="15880" width="12.28515625" style="314" customWidth="1"/>
    <col min="15881" max="16128" width="9.140625" style="314"/>
    <col min="16129" max="16129" width="4.42578125" style="314" customWidth="1"/>
    <col min="16130" max="16130" width="5.7109375" style="314" customWidth="1"/>
    <col min="16131" max="16131" width="7.5703125" style="314" customWidth="1"/>
    <col min="16132" max="16132" width="6.5703125" style="314" customWidth="1"/>
    <col min="16133" max="16133" width="47.42578125" style="314" customWidth="1"/>
    <col min="16134" max="16134" width="22.28515625" style="314" customWidth="1"/>
    <col min="16135" max="16135" width="9.140625" style="314"/>
    <col min="16136" max="16136" width="12.28515625" style="314" customWidth="1"/>
    <col min="16137" max="16384" width="9.140625" style="314"/>
  </cols>
  <sheetData>
    <row r="1" spans="1:8" ht="12.95" customHeight="1" x14ac:dyDescent="0.25">
      <c r="F1" s="318" t="s">
        <v>297</v>
      </c>
    </row>
    <row r="2" spans="1:8" ht="12.95" customHeight="1" x14ac:dyDescent="0.25">
      <c r="F2" s="316" t="s">
        <v>178</v>
      </c>
    </row>
    <row r="3" spans="1:8" ht="12.95" customHeight="1" x14ac:dyDescent="0.25">
      <c r="F3" s="318" t="s">
        <v>1</v>
      </c>
    </row>
    <row r="4" spans="1:8" ht="12.75" customHeight="1" x14ac:dyDescent="0.25">
      <c r="F4" s="316" t="s">
        <v>179</v>
      </c>
    </row>
    <row r="5" spans="1:8" ht="26.25" customHeight="1" x14ac:dyDescent="0.25">
      <c r="A5" s="382" t="s">
        <v>263</v>
      </c>
      <c r="B5" s="382"/>
      <c r="C5" s="382"/>
      <c r="D5" s="383"/>
      <c r="E5" s="382"/>
      <c r="F5" s="382"/>
    </row>
    <row r="6" spans="1:8" ht="15.75" customHeight="1" x14ac:dyDescent="0.25">
      <c r="A6" s="382" t="s">
        <v>298</v>
      </c>
      <c r="B6" s="382"/>
      <c r="C6" s="382"/>
      <c r="D6" s="383"/>
      <c r="E6" s="382"/>
      <c r="F6" s="382"/>
    </row>
    <row r="7" spans="1:8" ht="24.75" customHeight="1" x14ac:dyDescent="0.25">
      <c r="F7" s="321" t="s">
        <v>2</v>
      </c>
    </row>
    <row r="8" spans="1:8" ht="20.25" customHeight="1" x14ac:dyDescent="0.25">
      <c r="A8" s="384" t="s">
        <v>184</v>
      </c>
      <c r="B8" s="384" t="s">
        <v>265</v>
      </c>
      <c r="C8" s="384" t="s">
        <v>266</v>
      </c>
      <c r="D8" s="341" t="s">
        <v>267</v>
      </c>
      <c r="E8" s="385" t="s">
        <v>268</v>
      </c>
      <c r="F8" s="384" t="s">
        <v>269</v>
      </c>
    </row>
    <row r="9" spans="1:8" s="389" customFormat="1" ht="10.5" customHeight="1" x14ac:dyDescent="0.3">
      <c r="A9" s="386">
        <v>1</v>
      </c>
      <c r="B9" s="386">
        <v>2</v>
      </c>
      <c r="C9" s="386">
        <v>3</v>
      </c>
      <c r="D9" s="387">
        <v>4</v>
      </c>
      <c r="E9" s="388">
        <v>5</v>
      </c>
      <c r="F9" s="386">
        <v>6</v>
      </c>
    </row>
    <row r="10" spans="1:8" ht="17.25" customHeight="1" x14ac:dyDescent="0.25">
      <c r="A10" s="375" t="s">
        <v>270</v>
      </c>
      <c r="B10" s="390"/>
      <c r="C10" s="390"/>
      <c r="D10" s="391"/>
      <c r="E10" s="390"/>
      <c r="F10" s="392"/>
    </row>
    <row r="11" spans="1:8" ht="15" customHeight="1" x14ac:dyDescent="0.25">
      <c r="A11" s="338">
        <v>1</v>
      </c>
      <c r="B11" s="393">
        <v>630</v>
      </c>
      <c r="C11" s="393">
        <v>63003</v>
      </c>
      <c r="D11" s="341">
        <v>2360</v>
      </c>
      <c r="E11" s="332" t="s">
        <v>299</v>
      </c>
      <c r="F11" s="333">
        <f>35000</f>
        <v>35000</v>
      </c>
    </row>
    <row r="12" spans="1:8" ht="26.25" customHeight="1" x14ac:dyDescent="0.25">
      <c r="A12" s="338">
        <v>2</v>
      </c>
      <c r="B12" s="394">
        <v>700</v>
      </c>
      <c r="C12" s="394">
        <v>70095</v>
      </c>
      <c r="D12" s="395">
        <v>6230</v>
      </c>
      <c r="E12" s="396" t="s">
        <v>300</v>
      </c>
      <c r="F12" s="333">
        <f>1500000</f>
        <v>1500000</v>
      </c>
      <c r="G12" s="336"/>
    </row>
    <row r="13" spans="1:8" ht="26.25" customHeight="1" x14ac:dyDescent="0.25">
      <c r="A13" s="338">
        <v>3</v>
      </c>
      <c r="B13" s="394">
        <v>750</v>
      </c>
      <c r="C13" s="394">
        <v>75095</v>
      </c>
      <c r="D13" s="341">
        <v>2360</v>
      </c>
      <c r="E13" s="397" t="s">
        <v>301</v>
      </c>
      <c r="F13" s="333">
        <f>200000</f>
        <v>200000</v>
      </c>
      <c r="H13" s="334"/>
    </row>
    <row r="14" spans="1:8" ht="15" customHeight="1" x14ac:dyDescent="0.25">
      <c r="A14" s="338">
        <v>4</v>
      </c>
      <c r="B14" s="394">
        <v>755</v>
      </c>
      <c r="C14" s="394">
        <v>75515</v>
      </c>
      <c r="D14" s="341">
        <v>2360</v>
      </c>
      <c r="E14" s="398" t="s">
        <v>302</v>
      </c>
      <c r="F14" s="399">
        <f>146896.8</f>
        <v>146896.79999999999</v>
      </c>
      <c r="H14" s="334"/>
    </row>
    <row r="15" spans="1:8" ht="27" customHeight="1" x14ac:dyDescent="0.25">
      <c r="A15" s="338">
        <v>5</v>
      </c>
      <c r="B15" s="394">
        <v>801</v>
      </c>
      <c r="C15" s="394">
        <v>80195</v>
      </c>
      <c r="D15" s="400" t="s">
        <v>303</v>
      </c>
      <c r="E15" s="401" t="s">
        <v>304</v>
      </c>
      <c r="F15" s="402">
        <f>18864+1109</f>
        <v>19973</v>
      </c>
      <c r="H15" s="334"/>
    </row>
    <row r="16" spans="1:8" ht="28.9" customHeight="1" x14ac:dyDescent="0.25">
      <c r="A16" s="338">
        <v>6</v>
      </c>
      <c r="B16" s="394">
        <v>801</v>
      </c>
      <c r="C16" s="394">
        <v>80195</v>
      </c>
      <c r="D16" s="400" t="s">
        <v>303</v>
      </c>
      <c r="E16" s="401" t="s">
        <v>305</v>
      </c>
      <c r="F16" s="402">
        <f>144716.29+8503.71</f>
        <v>153220</v>
      </c>
      <c r="H16" s="334"/>
    </row>
    <row r="17" spans="1:8" ht="28.9" customHeight="1" x14ac:dyDescent="0.25">
      <c r="A17" s="338">
        <v>7</v>
      </c>
      <c r="B17" s="394">
        <v>801</v>
      </c>
      <c r="C17" s="394">
        <v>80195</v>
      </c>
      <c r="D17" s="400" t="s">
        <v>303</v>
      </c>
      <c r="E17" s="401" t="s">
        <v>306</v>
      </c>
      <c r="F17" s="402">
        <f>396690+23310</f>
        <v>420000</v>
      </c>
      <c r="H17" s="334"/>
    </row>
    <row r="18" spans="1:8" ht="15" customHeight="1" x14ac:dyDescent="0.25">
      <c r="A18" s="338">
        <v>8</v>
      </c>
      <c r="B18" s="394">
        <v>851</v>
      </c>
      <c r="C18" s="394">
        <v>85153</v>
      </c>
      <c r="D18" s="403">
        <v>2360</v>
      </c>
      <c r="E18" s="404" t="s">
        <v>307</v>
      </c>
      <c r="F18" s="402">
        <f>48765</f>
        <v>48765</v>
      </c>
      <c r="H18" s="334"/>
    </row>
    <row r="19" spans="1:8" ht="27" customHeight="1" x14ac:dyDescent="0.25">
      <c r="A19" s="338">
        <v>9</v>
      </c>
      <c r="B19" s="394">
        <v>851</v>
      </c>
      <c r="C19" s="394">
        <v>85154</v>
      </c>
      <c r="D19" s="341">
        <v>2360</v>
      </c>
      <c r="E19" s="397" t="s">
        <v>308</v>
      </c>
      <c r="F19" s="333">
        <f>615000+235000+41482</f>
        <v>891482</v>
      </c>
    </row>
    <row r="20" spans="1:8" ht="24.75" customHeight="1" x14ac:dyDescent="0.25">
      <c r="A20" s="405">
        <v>10</v>
      </c>
      <c r="B20" s="406">
        <v>851</v>
      </c>
      <c r="C20" s="407">
        <v>85195</v>
      </c>
      <c r="D20" s="408">
        <v>2360</v>
      </c>
      <c r="E20" s="409" t="s">
        <v>309</v>
      </c>
      <c r="F20" s="333">
        <f>122500</f>
        <v>122500</v>
      </c>
    </row>
    <row r="21" spans="1:8" ht="24.75" customHeight="1" x14ac:dyDescent="0.25">
      <c r="A21" s="405">
        <v>11</v>
      </c>
      <c r="B21" s="406">
        <v>851</v>
      </c>
      <c r="C21" s="407">
        <v>85195</v>
      </c>
      <c r="D21" s="408">
        <v>2360</v>
      </c>
      <c r="E21" s="409" t="s">
        <v>310</v>
      </c>
      <c r="F21" s="333">
        <v>125000</v>
      </c>
    </row>
    <row r="22" spans="1:8" ht="38.25" customHeight="1" x14ac:dyDescent="0.25">
      <c r="A22" s="405">
        <v>12</v>
      </c>
      <c r="B22" s="338">
        <v>852</v>
      </c>
      <c r="C22" s="338">
        <v>85219</v>
      </c>
      <c r="D22" s="410">
        <v>2830</v>
      </c>
      <c r="E22" s="411" t="s">
        <v>311</v>
      </c>
      <c r="F22" s="333">
        <f>171894</f>
        <v>171894</v>
      </c>
    </row>
    <row r="23" spans="1:8" ht="24.75" customHeight="1" x14ac:dyDescent="0.25">
      <c r="A23" s="405">
        <v>13</v>
      </c>
      <c r="B23" s="412">
        <v>852</v>
      </c>
      <c r="C23" s="413">
        <v>85228</v>
      </c>
      <c r="D23" s="408">
        <v>2360</v>
      </c>
      <c r="E23" s="414" t="s">
        <v>312</v>
      </c>
      <c r="F23" s="333">
        <f>F24+F25</f>
        <v>13764558.119999999</v>
      </c>
    </row>
    <row r="24" spans="1:8" s="318" customFormat="1" ht="13.5" customHeight="1" x14ac:dyDescent="0.25">
      <c r="A24" s="415" t="s">
        <v>313</v>
      </c>
      <c r="B24" s="416"/>
      <c r="C24" s="417"/>
      <c r="D24" s="418"/>
      <c r="E24" s="419" t="s">
        <v>314</v>
      </c>
      <c r="F24" s="348">
        <f>8905485.52-12000+144403.6-27500</f>
        <v>9010389.1199999992</v>
      </c>
    </row>
    <row r="25" spans="1:8" s="318" customFormat="1" ht="13.5" customHeight="1" x14ac:dyDescent="0.25">
      <c r="A25" s="415" t="s">
        <v>315</v>
      </c>
      <c r="B25" s="416"/>
      <c r="C25" s="417"/>
      <c r="D25" s="418"/>
      <c r="E25" s="419" t="s">
        <v>316</v>
      </c>
      <c r="F25" s="348">
        <f>4754169</f>
        <v>4754169</v>
      </c>
    </row>
    <row r="26" spans="1:8" ht="15" customHeight="1" x14ac:dyDescent="0.25">
      <c r="A26" s="420">
        <v>14</v>
      </c>
      <c r="B26" s="421">
        <v>852</v>
      </c>
      <c r="C26" s="421">
        <v>85295</v>
      </c>
      <c r="D26" s="422">
        <v>2360</v>
      </c>
      <c r="E26" s="414" t="s">
        <v>317</v>
      </c>
      <c r="F26" s="423">
        <f>2691864</f>
        <v>2691864</v>
      </c>
    </row>
    <row r="27" spans="1:8" ht="38.25" customHeight="1" x14ac:dyDescent="0.25">
      <c r="A27" s="338">
        <v>15</v>
      </c>
      <c r="B27" s="394">
        <v>853</v>
      </c>
      <c r="C27" s="394">
        <v>85395</v>
      </c>
      <c r="D27" s="341">
        <v>2360</v>
      </c>
      <c r="E27" s="397" t="s">
        <v>318</v>
      </c>
      <c r="F27" s="333">
        <f>19000</f>
        <v>19000</v>
      </c>
    </row>
    <row r="28" spans="1:8" ht="24.75" customHeight="1" x14ac:dyDescent="0.25">
      <c r="A28" s="338">
        <v>16</v>
      </c>
      <c r="B28" s="394">
        <v>855</v>
      </c>
      <c r="C28" s="394">
        <v>85510</v>
      </c>
      <c r="D28" s="424" t="s">
        <v>319</v>
      </c>
      <c r="E28" s="398" t="s">
        <v>320</v>
      </c>
      <c r="F28" s="333">
        <f>2830580+188620</f>
        <v>3019200</v>
      </c>
    </row>
    <row r="29" spans="1:8" ht="24.75" customHeight="1" x14ac:dyDescent="0.25">
      <c r="A29" s="338">
        <v>17</v>
      </c>
      <c r="B29" s="394">
        <v>900</v>
      </c>
      <c r="C29" s="394">
        <v>90001</v>
      </c>
      <c r="D29" s="341">
        <v>6230</v>
      </c>
      <c r="E29" s="425" t="s">
        <v>321</v>
      </c>
      <c r="F29" s="333">
        <v>5000</v>
      </c>
    </row>
    <row r="30" spans="1:8" ht="26.25" customHeight="1" x14ac:dyDescent="0.25">
      <c r="A30" s="426">
        <v>18</v>
      </c>
      <c r="B30" s="394">
        <v>900</v>
      </c>
      <c r="C30" s="394">
        <v>90005</v>
      </c>
      <c r="D30" s="341">
        <v>2360</v>
      </c>
      <c r="E30" s="427" t="s">
        <v>322</v>
      </c>
      <c r="F30" s="350">
        <v>100000</v>
      </c>
      <c r="G30" s="428"/>
    </row>
    <row r="31" spans="1:8" ht="28.5" customHeight="1" x14ac:dyDescent="0.25">
      <c r="A31" s="426">
        <v>19</v>
      </c>
      <c r="B31" s="394">
        <v>900</v>
      </c>
      <c r="C31" s="394">
        <v>90095</v>
      </c>
      <c r="D31" s="400" t="s">
        <v>323</v>
      </c>
      <c r="E31" s="401" t="s">
        <v>324</v>
      </c>
      <c r="F31" s="402">
        <f>14643+82977</f>
        <v>97620</v>
      </c>
      <c r="G31" s="428"/>
    </row>
    <row r="32" spans="1:8" s="318" customFormat="1" ht="15" customHeight="1" x14ac:dyDescent="0.25">
      <c r="A32" s="338">
        <v>20</v>
      </c>
      <c r="B32" s="394">
        <v>921</v>
      </c>
      <c r="C32" s="394">
        <v>92120</v>
      </c>
      <c r="D32" s="341">
        <v>2720</v>
      </c>
      <c r="E32" s="429" t="s">
        <v>325</v>
      </c>
      <c r="F32" s="350">
        <f>750000</f>
        <v>750000</v>
      </c>
    </row>
    <row r="33" spans="1:8" ht="38.25" customHeight="1" x14ac:dyDescent="0.25">
      <c r="A33" s="338">
        <v>21</v>
      </c>
      <c r="B33" s="394">
        <v>921</v>
      </c>
      <c r="C33" s="394">
        <v>92195</v>
      </c>
      <c r="D33" s="430">
        <v>2360</v>
      </c>
      <c r="E33" s="397" t="s">
        <v>326</v>
      </c>
      <c r="F33" s="350">
        <v>950000</v>
      </c>
    </row>
    <row r="34" spans="1:8" ht="15.6" customHeight="1" x14ac:dyDescent="0.25">
      <c r="A34" s="338">
        <v>22</v>
      </c>
      <c r="B34" s="394">
        <v>926</v>
      </c>
      <c r="C34" s="394">
        <v>92605</v>
      </c>
      <c r="D34" s="430">
        <v>2360</v>
      </c>
      <c r="E34" s="398" t="s">
        <v>327</v>
      </c>
      <c r="F34" s="333">
        <f>5000000</f>
        <v>5000000</v>
      </c>
    </row>
    <row r="35" spans="1:8" s="320" customFormat="1" ht="18" customHeight="1" x14ac:dyDescent="0.25">
      <c r="A35" s="431"/>
      <c r="B35" s="432"/>
      <c r="C35" s="432"/>
      <c r="D35" s="433"/>
      <c r="E35" s="432" t="s">
        <v>328</v>
      </c>
      <c r="F35" s="434">
        <f>SUM(F11,F12,F13,F14,F15,F16,F17,F18,F19,F20,F21,F22,F23,F29,F26,F27,F28,F30,F31,F32,F33,F34)</f>
        <v>30231972.919999998</v>
      </c>
      <c r="H35" s="435"/>
    </row>
    <row r="36" spans="1:8" ht="17.25" customHeight="1" x14ac:dyDescent="0.25">
      <c r="A36" s="375" t="s">
        <v>291</v>
      </c>
      <c r="B36" s="390"/>
      <c r="C36" s="390"/>
      <c r="D36" s="391"/>
      <c r="E36" s="390"/>
      <c r="F36" s="392"/>
    </row>
    <row r="37" spans="1:8" ht="17.25" customHeight="1" x14ac:dyDescent="0.25">
      <c r="A37" s="384" t="s">
        <v>184</v>
      </c>
      <c r="B37" s="384" t="s">
        <v>265</v>
      </c>
      <c r="C37" s="384" t="s">
        <v>266</v>
      </c>
      <c r="D37" s="436"/>
      <c r="E37" s="385" t="s">
        <v>329</v>
      </c>
      <c r="F37" s="322" t="s">
        <v>269</v>
      </c>
    </row>
    <row r="38" spans="1:8" ht="24" customHeight="1" x14ac:dyDescent="0.25">
      <c r="A38" s="394">
        <v>1</v>
      </c>
      <c r="B38" s="394">
        <v>801</v>
      </c>
      <c r="C38" s="394">
        <v>80101</v>
      </c>
      <c r="D38" s="430" t="s">
        <v>330</v>
      </c>
      <c r="E38" s="429" t="s">
        <v>13</v>
      </c>
      <c r="F38" s="333">
        <f>3611632.2+9720952.16-550000</f>
        <v>12782584.359999999</v>
      </c>
    </row>
    <row r="39" spans="1:8" s="318" customFormat="1" ht="13.5" customHeight="1" x14ac:dyDescent="0.25">
      <c r="A39" s="437"/>
      <c r="B39" s="438"/>
      <c r="C39" s="367"/>
      <c r="D39" s="439"/>
      <c r="E39" s="440" t="s">
        <v>331</v>
      </c>
      <c r="F39" s="441"/>
    </row>
    <row r="40" spans="1:8" s="318" customFormat="1" ht="13.5" customHeight="1" x14ac:dyDescent="0.25">
      <c r="A40" s="442"/>
      <c r="C40" s="443"/>
      <c r="D40" s="444"/>
      <c r="E40" s="445" t="s">
        <v>332</v>
      </c>
      <c r="F40" s="446"/>
      <c r="G40" s="447"/>
    </row>
    <row r="41" spans="1:8" s="318" customFormat="1" ht="14.25" customHeight="1" x14ac:dyDescent="0.25">
      <c r="A41" s="442"/>
      <c r="C41" s="443"/>
      <c r="D41" s="448"/>
      <c r="E41" s="449" t="s">
        <v>333</v>
      </c>
      <c r="F41" s="446"/>
    </row>
    <row r="42" spans="1:8" s="318" customFormat="1" ht="25.5" customHeight="1" x14ac:dyDescent="0.25">
      <c r="A42" s="442"/>
      <c r="C42" s="443"/>
      <c r="D42" s="448"/>
      <c r="E42" s="450" t="s">
        <v>334</v>
      </c>
      <c r="F42" s="451"/>
    </row>
    <row r="43" spans="1:8" s="318" customFormat="1" ht="13.5" customHeight="1" x14ac:dyDescent="0.25">
      <c r="A43" s="452"/>
      <c r="B43" s="374"/>
      <c r="C43" s="371"/>
      <c r="D43" s="453"/>
      <c r="E43" s="454" t="s">
        <v>335</v>
      </c>
      <c r="F43" s="455"/>
    </row>
    <row r="44" spans="1:8" ht="13.9" customHeight="1" x14ac:dyDescent="0.25">
      <c r="A44" s="421">
        <v>2</v>
      </c>
      <c r="B44" s="421">
        <v>801</v>
      </c>
      <c r="C44" s="421">
        <v>80103</v>
      </c>
      <c r="D44" s="422">
        <v>2540</v>
      </c>
      <c r="E44" s="456" t="s">
        <v>44</v>
      </c>
      <c r="F44" s="423">
        <f>198379.2</f>
        <v>198379.2</v>
      </c>
    </row>
    <row r="45" spans="1:8" s="318" customFormat="1" ht="13.5" customHeight="1" x14ac:dyDescent="0.25">
      <c r="A45" s="442"/>
      <c r="C45" s="443"/>
      <c r="D45" s="448"/>
      <c r="E45" s="457" t="s">
        <v>333</v>
      </c>
      <c r="F45" s="458"/>
    </row>
    <row r="46" spans="1:8" ht="24" customHeight="1" x14ac:dyDescent="0.25">
      <c r="A46" s="394">
        <v>3</v>
      </c>
      <c r="B46" s="394">
        <v>801</v>
      </c>
      <c r="C46" s="394">
        <v>80104</v>
      </c>
      <c r="D46" s="430" t="s">
        <v>330</v>
      </c>
      <c r="E46" s="429" t="s">
        <v>15</v>
      </c>
      <c r="F46" s="333">
        <f>9183881.2+3891938.8</f>
        <v>13075820</v>
      </c>
    </row>
    <row r="47" spans="1:8" s="318" customFormat="1" ht="13.5" customHeight="1" x14ac:dyDescent="0.25">
      <c r="A47" s="459"/>
      <c r="B47" s="460"/>
      <c r="C47" s="461"/>
      <c r="D47" s="462"/>
      <c r="E47" s="463" t="s">
        <v>336</v>
      </c>
      <c r="F47" s="458"/>
    </row>
    <row r="48" spans="1:8" s="318" customFormat="1" ht="13.5" customHeight="1" x14ac:dyDescent="0.25">
      <c r="A48" s="442"/>
      <c r="C48" s="443"/>
      <c r="D48" s="448"/>
      <c r="E48" s="464" t="s">
        <v>337</v>
      </c>
      <c r="F48" s="451"/>
    </row>
    <row r="49" spans="1:6" s="318" customFormat="1" ht="13.5" customHeight="1" x14ac:dyDescent="0.25">
      <c r="A49" s="442"/>
      <c r="C49" s="443"/>
      <c r="D49" s="448"/>
      <c r="E49" s="464" t="s">
        <v>338</v>
      </c>
      <c r="F49" s="451"/>
    </row>
    <row r="50" spans="1:6" s="318" customFormat="1" ht="13.5" customHeight="1" x14ac:dyDescent="0.25">
      <c r="A50" s="442"/>
      <c r="C50" s="443"/>
      <c r="D50" s="448"/>
      <c r="E50" s="464" t="s">
        <v>339</v>
      </c>
      <c r="F50" s="451"/>
    </row>
    <row r="51" spans="1:6" s="318" customFormat="1" ht="13.5" customHeight="1" x14ac:dyDescent="0.25">
      <c r="A51" s="442"/>
      <c r="C51" s="443"/>
      <c r="D51" s="448"/>
      <c r="E51" s="450" t="s">
        <v>340</v>
      </c>
      <c r="F51" s="451"/>
    </row>
    <row r="52" spans="1:6" s="318" customFormat="1" ht="13.5" customHeight="1" x14ac:dyDescent="0.25">
      <c r="A52" s="442"/>
      <c r="C52" s="443"/>
      <c r="D52" s="448"/>
      <c r="E52" s="450" t="s">
        <v>341</v>
      </c>
      <c r="F52" s="451"/>
    </row>
    <row r="53" spans="1:6" s="318" customFormat="1" ht="13.5" customHeight="1" x14ac:dyDescent="0.25">
      <c r="A53" s="442"/>
      <c r="C53" s="443"/>
      <c r="D53" s="448"/>
      <c r="E53" s="464" t="s">
        <v>342</v>
      </c>
      <c r="F53" s="451"/>
    </row>
    <row r="54" spans="1:6" s="318" customFormat="1" ht="13.5" customHeight="1" x14ac:dyDescent="0.25">
      <c r="A54" s="442"/>
      <c r="C54" s="443"/>
      <c r="D54" s="448"/>
      <c r="E54" s="464" t="s">
        <v>343</v>
      </c>
      <c r="F54" s="451"/>
    </row>
    <row r="55" spans="1:6" s="318" customFormat="1" ht="13.5" customHeight="1" x14ac:dyDescent="0.25">
      <c r="A55" s="442"/>
      <c r="C55" s="443"/>
      <c r="D55" s="448"/>
      <c r="E55" s="450" t="s">
        <v>344</v>
      </c>
      <c r="F55" s="451"/>
    </row>
    <row r="56" spans="1:6" s="318" customFormat="1" ht="13.5" customHeight="1" x14ac:dyDescent="0.25">
      <c r="A56" s="442"/>
      <c r="C56" s="443"/>
      <c r="D56" s="448"/>
      <c r="E56" s="465" t="s">
        <v>345</v>
      </c>
      <c r="F56" s="451"/>
    </row>
    <row r="57" spans="1:6" s="318" customFormat="1" ht="13.5" customHeight="1" x14ac:dyDescent="0.25">
      <c r="A57" s="442"/>
      <c r="C57" s="443"/>
      <c r="D57" s="448"/>
      <c r="E57" s="450" t="s">
        <v>346</v>
      </c>
      <c r="F57" s="451"/>
    </row>
    <row r="58" spans="1:6" s="318" customFormat="1" ht="13.5" customHeight="1" x14ac:dyDescent="0.25">
      <c r="A58" s="442"/>
      <c r="C58" s="443"/>
      <c r="D58" s="448"/>
      <c r="E58" s="465" t="s">
        <v>347</v>
      </c>
      <c r="F58" s="451"/>
    </row>
    <row r="59" spans="1:6" s="318" customFormat="1" ht="13.5" customHeight="1" x14ac:dyDescent="0.25">
      <c r="A59" s="442"/>
      <c r="C59" s="443"/>
      <c r="D59" s="448"/>
      <c r="E59" s="465" t="s">
        <v>348</v>
      </c>
      <c r="F59" s="451"/>
    </row>
    <row r="60" spans="1:6" s="318" customFormat="1" ht="13.5" customHeight="1" x14ac:dyDescent="0.25">
      <c r="A60" s="452"/>
      <c r="B60" s="374"/>
      <c r="C60" s="371"/>
      <c r="D60" s="453"/>
      <c r="E60" s="466" t="s">
        <v>349</v>
      </c>
      <c r="F60" s="455"/>
    </row>
    <row r="61" spans="1:6" ht="22.5" customHeight="1" x14ac:dyDescent="0.25">
      <c r="A61" s="394">
        <v>4</v>
      </c>
      <c r="B61" s="394">
        <v>801</v>
      </c>
      <c r="C61" s="394">
        <v>80106</v>
      </c>
      <c r="D61" s="341">
        <v>2540</v>
      </c>
      <c r="E61" s="398" t="s">
        <v>350</v>
      </c>
      <c r="F61" s="333">
        <f>158564</f>
        <v>158564</v>
      </c>
    </row>
    <row r="62" spans="1:6" s="318" customFormat="1" ht="13.5" customHeight="1" x14ac:dyDescent="0.25">
      <c r="A62" s="442"/>
      <c r="C62" s="443"/>
      <c r="D62" s="467"/>
      <c r="E62" s="468" t="s">
        <v>351</v>
      </c>
      <c r="F62" s="469"/>
    </row>
    <row r="63" spans="1:6" ht="13.5" customHeight="1" x14ac:dyDescent="0.25">
      <c r="A63" s="421">
        <v>5</v>
      </c>
      <c r="B63" s="421">
        <v>801</v>
      </c>
      <c r="C63" s="421">
        <v>80115</v>
      </c>
      <c r="D63" s="470">
        <v>2540</v>
      </c>
      <c r="E63" s="471" t="s">
        <v>17</v>
      </c>
      <c r="F63" s="423">
        <f>3756329.44</f>
        <v>3756329.44</v>
      </c>
    </row>
    <row r="64" spans="1:6" s="318" customFormat="1" ht="12.75" customHeight="1" x14ac:dyDescent="0.25">
      <c r="A64" s="437"/>
      <c r="B64" s="438"/>
      <c r="C64" s="367"/>
      <c r="D64" s="472"/>
      <c r="E64" s="473" t="s">
        <v>352</v>
      </c>
      <c r="F64" s="441"/>
    </row>
    <row r="65" spans="1:6" ht="23.25" customHeight="1" x14ac:dyDescent="0.25">
      <c r="A65" s="394">
        <v>6</v>
      </c>
      <c r="B65" s="394">
        <v>801</v>
      </c>
      <c r="C65" s="394">
        <v>80116</v>
      </c>
      <c r="D65" s="474" t="s">
        <v>330</v>
      </c>
      <c r="E65" s="475" t="s">
        <v>353</v>
      </c>
      <c r="F65" s="423">
        <f>9078519.3+650000+300000</f>
        <v>10028519.300000001</v>
      </c>
    </row>
    <row r="66" spans="1:6" s="318" customFormat="1" ht="13.5" customHeight="1" x14ac:dyDescent="0.25">
      <c r="A66" s="459"/>
      <c r="B66" s="460"/>
      <c r="C66" s="461"/>
      <c r="D66" s="462"/>
      <c r="E66" s="476" t="s">
        <v>354</v>
      </c>
      <c r="F66" s="458"/>
    </row>
    <row r="67" spans="1:6" s="318" customFormat="1" ht="25.5" customHeight="1" x14ac:dyDescent="0.25">
      <c r="A67" s="442"/>
      <c r="C67" s="443"/>
      <c r="D67" s="448"/>
      <c r="E67" s="477" t="s">
        <v>355</v>
      </c>
      <c r="F67" s="451"/>
    </row>
    <row r="68" spans="1:6" s="318" customFormat="1" ht="13.5" customHeight="1" x14ac:dyDescent="0.25">
      <c r="A68" s="442"/>
      <c r="C68" s="443"/>
      <c r="D68" s="448"/>
      <c r="E68" s="465" t="s">
        <v>356</v>
      </c>
      <c r="F68" s="451"/>
    </row>
    <row r="69" spans="1:6" s="318" customFormat="1" ht="13.5" customHeight="1" x14ac:dyDescent="0.25">
      <c r="A69" s="442"/>
      <c r="C69" s="443"/>
      <c r="D69" s="448"/>
      <c r="E69" s="477" t="s">
        <v>357</v>
      </c>
      <c r="F69" s="451"/>
    </row>
    <row r="70" spans="1:6" s="318" customFormat="1" ht="13.5" customHeight="1" x14ac:dyDescent="0.25">
      <c r="A70" s="442"/>
      <c r="C70" s="443"/>
      <c r="D70" s="448"/>
      <c r="E70" s="465" t="s">
        <v>358</v>
      </c>
      <c r="F70" s="451"/>
    </row>
    <row r="71" spans="1:6" s="318" customFormat="1" ht="13.5" customHeight="1" x14ac:dyDescent="0.25">
      <c r="A71" s="442"/>
      <c r="C71" s="443"/>
      <c r="D71" s="448"/>
      <c r="E71" s="465" t="s">
        <v>359</v>
      </c>
      <c r="F71" s="451"/>
    </row>
    <row r="72" spans="1:6" s="318" customFormat="1" ht="13.5" customHeight="1" x14ac:dyDescent="0.25">
      <c r="A72" s="442"/>
      <c r="C72" s="443"/>
      <c r="D72" s="478"/>
      <c r="E72" s="479" t="s">
        <v>360</v>
      </c>
      <c r="F72" s="446"/>
    </row>
    <row r="73" spans="1:6" s="318" customFormat="1" ht="13.5" customHeight="1" x14ac:dyDescent="0.25">
      <c r="A73" s="442"/>
      <c r="C73" s="443"/>
      <c r="D73" s="478"/>
      <c r="E73" s="465" t="s">
        <v>361</v>
      </c>
      <c r="F73" s="451"/>
    </row>
    <row r="74" spans="1:6" s="318" customFormat="1" ht="13.5" customHeight="1" x14ac:dyDescent="0.25">
      <c r="A74" s="442"/>
      <c r="C74" s="443"/>
      <c r="D74" s="480"/>
      <c r="E74" s="479" t="s">
        <v>362</v>
      </c>
      <c r="F74" s="446"/>
    </row>
    <row r="75" spans="1:6" s="318" customFormat="1" ht="13.5" customHeight="1" x14ac:dyDescent="0.25">
      <c r="A75" s="452"/>
      <c r="B75" s="374"/>
      <c r="C75" s="371"/>
      <c r="D75" s="453"/>
      <c r="E75" s="454" t="s">
        <v>363</v>
      </c>
      <c r="F75" s="455"/>
    </row>
    <row r="76" spans="1:6" ht="24" customHeight="1" x14ac:dyDescent="0.25">
      <c r="A76" s="338">
        <v>7</v>
      </c>
      <c r="B76" s="338">
        <v>801</v>
      </c>
      <c r="C76" s="338">
        <v>80117</v>
      </c>
      <c r="D76" s="481" t="s">
        <v>330</v>
      </c>
      <c r="E76" s="429" t="s">
        <v>364</v>
      </c>
      <c r="F76" s="333">
        <f>2677774+1983634.18</f>
        <v>4661408.18</v>
      </c>
    </row>
    <row r="77" spans="1:6" s="318" customFormat="1" ht="13.5" customHeight="1" x14ac:dyDescent="0.25">
      <c r="A77" s="442"/>
      <c r="C77" s="443"/>
      <c r="D77" s="448"/>
      <c r="E77" s="445" t="s">
        <v>365</v>
      </c>
      <c r="F77" s="446"/>
    </row>
    <row r="78" spans="1:6" s="318" customFormat="1" ht="24" customHeight="1" x14ac:dyDescent="0.25">
      <c r="A78" s="452"/>
      <c r="B78" s="374"/>
      <c r="C78" s="371"/>
      <c r="D78" s="453"/>
      <c r="E78" s="454" t="s">
        <v>366</v>
      </c>
      <c r="F78" s="455"/>
    </row>
    <row r="79" spans="1:6" ht="24" customHeight="1" x14ac:dyDescent="0.25">
      <c r="A79" s="338">
        <v>8</v>
      </c>
      <c r="B79" s="338">
        <v>801</v>
      </c>
      <c r="C79" s="338">
        <v>80120</v>
      </c>
      <c r="D79" s="481" t="s">
        <v>330</v>
      </c>
      <c r="E79" s="429" t="s">
        <v>18</v>
      </c>
      <c r="F79" s="333">
        <f>3471265.85+4785976.45-430423</f>
        <v>7826819.3000000007</v>
      </c>
    </row>
    <row r="80" spans="1:6" s="318" customFormat="1" ht="25.5" customHeight="1" x14ac:dyDescent="0.25">
      <c r="A80" s="442"/>
      <c r="C80" s="443"/>
      <c r="D80" s="448"/>
      <c r="E80" s="450" t="s">
        <v>367</v>
      </c>
      <c r="F80" s="451"/>
    </row>
    <row r="81" spans="1:7" s="318" customFormat="1" ht="24.75" customHeight="1" x14ac:dyDescent="0.25">
      <c r="A81" s="452"/>
      <c r="B81" s="374"/>
      <c r="C81" s="371"/>
      <c r="D81" s="453"/>
      <c r="E81" s="482" t="s">
        <v>368</v>
      </c>
      <c r="F81" s="483"/>
    </row>
    <row r="82" spans="1:7" s="318" customFormat="1" ht="13.5" customHeight="1" x14ac:dyDescent="0.25">
      <c r="A82" s="442"/>
      <c r="C82" s="443"/>
      <c r="D82" s="448"/>
      <c r="E82" s="479" t="s">
        <v>369</v>
      </c>
      <c r="F82" s="446"/>
    </row>
    <row r="83" spans="1:7" s="318" customFormat="1" ht="13.5" customHeight="1" x14ac:dyDescent="0.25">
      <c r="A83" s="452"/>
      <c r="B83" s="374"/>
      <c r="C83" s="371"/>
      <c r="D83" s="453"/>
      <c r="E83" s="466" t="s">
        <v>370</v>
      </c>
      <c r="F83" s="455"/>
    </row>
    <row r="84" spans="1:7" ht="26.25" customHeight="1" x14ac:dyDescent="0.25">
      <c r="A84" s="338">
        <v>9</v>
      </c>
      <c r="B84" s="338">
        <v>801</v>
      </c>
      <c r="C84" s="338">
        <v>80122</v>
      </c>
      <c r="D84" s="481" t="s">
        <v>330</v>
      </c>
      <c r="E84" s="429" t="s">
        <v>371</v>
      </c>
      <c r="F84" s="333">
        <f>395800+902460-100000</f>
        <v>1198260</v>
      </c>
    </row>
    <row r="85" spans="1:7" s="318" customFormat="1" ht="12.75" customHeight="1" x14ac:dyDescent="0.25">
      <c r="A85" s="459"/>
      <c r="B85" s="460"/>
      <c r="C85" s="461"/>
      <c r="D85" s="462"/>
      <c r="E85" s="484" t="s">
        <v>372</v>
      </c>
      <c r="F85" s="458"/>
    </row>
    <row r="86" spans="1:7" s="318" customFormat="1" ht="13.5" customHeight="1" x14ac:dyDescent="0.25">
      <c r="A86" s="442"/>
      <c r="C86" s="443"/>
      <c r="D86" s="478"/>
      <c r="E86" s="485" t="s">
        <v>373</v>
      </c>
      <c r="F86" s="446"/>
    </row>
    <row r="87" spans="1:7" s="318" customFormat="1" ht="13.5" customHeight="1" x14ac:dyDescent="0.25">
      <c r="A87" s="442"/>
      <c r="C87" s="443"/>
      <c r="D87" s="448"/>
      <c r="E87" s="477" t="s">
        <v>374</v>
      </c>
      <c r="F87" s="451"/>
      <c r="G87" s="486"/>
    </row>
    <row r="88" spans="1:7" s="318" customFormat="1" ht="13.5" customHeight="1" x14ac:dyDescent="0.25">
      <c r="A88" s="442"/>
      <c r="C88" s="443"/>
      <c r="D88" s="448"/>
      <c r="E88" s="464" t="s">
        <v>375</v>
      </c>
      <c r="F88" s="451"/>
    </row>
    <row r="89" spans="1:7" s="318" customFormat="1" ht="13.5" customHeight="1" x14ac:dyDescent="0.25">
      <c r="A89" s="442"/>
      <c r="C89" s="443"/>
      <c r="D89" s="448"/>
      <c r="E89" s="464" t="s">
        <v>376</v>
      </c>
      <c r="F89" s="451"/>
    </row>
    <row r="90" spans="1:7" s="318" customFormat="1" ht="13.5" customHeight="1" x14ac:dyDescent="0.25">
      <c r="A90" s="442"/>
      <c r="C90" s="443"/>
      <c r="D90" s="448"/>
      <c r="E90" s="465" t="s">
        <v>377</v>
      </c>
      <c r="F90" s="451"/>
    </row>
    <row r="91" spans="1:7" ht="51.75" customHeight="1" x14ac:dyDescent="0.25">
      <c r="A91" s="394">
        <v>10</v>
      </c>
      <c r="B91" s="394">
        <v>801</v>
      </c>
      <c r="C91" s="394">
        <v>80149</v>
      </c>
      <c r="D91" s="430" t="s">
        <v>330</v>
      </c>
      <c r="E91" s="398" t="s">
        <v>378</v>
      </c>
      <c r="F91" s="333">
        <f>5113118.41+55575.11-444408-100000+100000</f>
        <v>4724285.5200000005</v>
      </c>
    </row>
    <row r="92" spans="1:7" s="318" customFormat="1" ht="13.5" customHeight="1" x14ac:dyDescent="0.25">
      <c r="A92" s="442"/>
      <c r="C92" s="443"/>
      <c r="D92" s="448"/>
      <c r="E92" s="450" t="s">
        <v>345</v>
      </c>
      <c r="F92" s="451"/>
    </row>
    <row r="93" spans="1:7" s="318" customFormat="1" ht="13.5" customHeight="1" x14ac:dyDescent="0.25">
      <c r="A93" s="442"/>
      <c r="C93" s="443"/>
      <c r="D93" s="448"/>
      <c r="E93" s="450" t="s">
        <v>379</v>
      </c>
      <c r="F93" s="451"/>
    </row>
    <row r="94" spans="1:7" s="318" customFormat="1" ht="13.5" customHeight="1" x14ac:dyDescent="0.25">
      <c r="A94" s="442"/>
      <c r="C94" s="443"/>
      <c r="D94" s="448"/>
      <c r="E94" s="487" t="s">
        <v>336</v>
      </c>
      <c r="F94" s="446"/>
    </row>
    <row r="95" spans="1:7" s="318" customFormat="1" ht="13.5" customHeight="1" x14ac:dyDescent="0.25">
      <c r="A95" s="442"/>
      <c r="C95" s="443"/>
      <c r="D95" s="448"/>
      <c r="E95" s="464" t="s">
        <v>338</v>
      </c>
      <c r="F95" s="451"/>
    </row>
    <row r="96" spans="1:7" s="318" customFormat="1" ht="13.5" customHeight="1" x14ac:dyDescent="0.25">
      <c r="A96" s="442"/>
      <c r="C96" s="443"/>
      <c r="D96" s="448"/>
      <c r="E96" s="450" t="s">
        <v>380</v>
      </c>
      <c r="F96" s="451"/>
    </row>
    <row r="97" spans="1:7" s="318" customFormat="1" ht="13.5" customHeight="1" x14ac:dyDescent="0.25">
      <c r="A97" s="442"/>
      <c r="C97" s="443"/>
      <c r="D97" s="448"/>
      <c r="E97" s="450" t="s">
        <v>381</v>
      </c>
      <c r="F97" s="451"/>
    </row>
    <row r="98" spans="1:7" s="318" customFormat="1" ht="13.5" customHeight="1" x14ac:dyDescent="0.25">
      <c r="A98" s="442"/>
      <c r="C98" s="443"/>
      <c r="D98" s="448"/>
      <c r="E98" s="450" t="s">
        <v>346</v>
      </c>
      <c r="F98" s="451"/>
    </row>
    <row r="99" spans="1:7" s="318" customFormat="1" ht="13.5" customHeight="1" x14ac:dyDescent="0.25">
      <c r="A99" s="442"/>
      <c r="C99" s="443"/>
      <c r="D99" s="448"/>
      <c r="E99" s="450" t="s">
        <v>341</v>
      </c>
      <c r="F99" s="451"/>
    </row>
    <row r="100" spans="1:7" s="318" customFormat="1" ht="13.5" customHeight="1" x14ac:dyDescent="0.25">
      <c r="A100" s="442"/>
      <c r="C100" s="443"/>
      <c r="D100" s="444"/>
      <c r="E100" s="464" t="s">
        <v>337</v>
      </c>
      <c r="F100" s="451"/>
    </row>
    <row r="101" spans="1:7" s="318" customFormat="1" ht="13.5" customHeight="1" x14ac:dyDescent="0.25">
      <c r="A101" s="442"/>
      <c r="C101" s="443"/>
      <c r="D101" s="448"/>
      <c r="E101" s="464" t="s">
        <v>344</v>
      </c>
      <c r="F101" s="451"/>
    </row>
    <row r="102" spans="1:7" s="318" customFormat="1" ht="13.5" customHeight="1" x14ac:dyDescent="0.25">
      <c r="A102" s="442"/>
      <c r="C102" s="443"/>
      <c r="D102" s="448"/>
      <c r="E102" s="464" t="s">
        <v>340</v>
      </c>
      <c r="F102" s="451"/>
    </row>
    <row r="103" spans="1:7" s="318" customFormat="1" ht="13.5" customHeight="1" x14ac:dyDescent="0.25">
      <c r="A103" s="442"/>
      <c r="C103" s="443"/>
      <c r="D103" s="448"/>
      <c r="E103" s="487" t="s">
        <v>347</v>
      </c>
      <c r="F103" s="446"/>
    </row>
    <row r="104" spans="1:7" s="318" customFormat="1" ht="13.5" customHeight="1" x14ac:dyDescent="0.25">
      <c r="A104" s="442"/>
      <c r="C104" s="443"/>
      <c r="D104" s="448"/>
      <c r="E104" s="449" t="s">
        <v>349</v>
      </c>
      <c r="F104" s="446"/>
    </row>
    <row r="105" spans="1:7" s="318" customFormat="1" ht="13.5" customHeight="1" x14ac:dyDescent="0.25">
      <c r="A105" s="452"/>
      <c r="B105" s="374"/>
      <c r="C105" s="371"/>
      <c r="D105" s="453"/>
      <c r="E105" s="488" t="s">
        <v>348</v>
      </c>
      <c r="F105" s="455"/>
    </row>
    <row r="106" spans="1:7" ht="30" customHeight="1" x14ac:dyDescent="0.25">
      <c r="A106" s="338">
        <v>11</v>
      </c>
      <c r="B106" s="338">
        <v>801</v>
      </c>
      <c r="C106" s="338">
        <v>80150</v>
      </c>
      <c r="D106" s="481" t="s">
        <v>330</v>
      </c>
      <c r="E106" s="411" t="s">
        <v>382</v>
      </c>
      <c r="F106" s="333">
        <f>434541.03+548526.98+170000</f>
        <v>1153068.01</v>
      </c>
    </row>
    <row r="107" spans="1:7" s="318" customFormat="1" ht="13.5" customHeight="1" x14ac:dyDescent="0.25">
      <c r="A107" s="442"/>
      <c r="C107" s="443"/>
      <c r="D107" s="448"/>
      <c r="E107" s="477" t="s">
        <v>383</v>
      </c>
      <c r="F107" s="451"/>
    </row>
    <row r="108" spans="1:7" s="318" customFormat="1" ht="25.9" customHeight="1" x14ac:dyDescent="0.25">
      <c r="A108" s="442"/>
      <c r="C108" s="443"/>
      <c r="D108" s="448"/>
      <c r="E108" s="450" t="s">
        <v>334</v>
      </c>
      <c r="F108" s="451"/>
    </row>
    <row r="109" spans="1:7" s="318" customFormat="1" ht="14.25" customHeight="1" x14ac:dyDescent="0.25">
      <c r="A109" s="442"/>
      <c r="C109" s="443"/>
      <c r="D109" s="448"/>
      <c r="E109" s="449" t="s">
        <v>333</v>
      </c>
      <c r="F109" s="451"/>
    </row>
    <row r="110" spans="1:7" s="318" customFormat="1" ht="13.5" customHeight="1" x14ac:dyDescent="0.25">
      <c r="A110" s="442"/>
      <c r="C110" s="443"/>
      <c r="D110" s="448"/>
      <c r="E110" s="450" t="s">
        <v>331</v>
      </c>
      <c r="F110" s="451"/>
    </row>
    <row r="111" spans="1:7" s="318" customFormat="1" ht="13.5" customHeight="1" x14ac:dyDescent="0.25">
      <c r="A111" s="452"/>
      <c r="B111" s="374"/>
      <c r="C111" s="371"/>
      <c r="D111" s="453"/>
      <c r="E111" s="454" t="s">
        <v>332</v>
      </c>
      <c r="F111" s="455"/>
      <c r="G111" s="447"/>
    </row>
    <row r="112" spans="1:7" ht="13.5" customHeight="1" x14ac:dyDescent="0.25">
      <c r="A112" s="420">
        <v>12</v>
      </c>
      <c r="B112" s="420">
        <v>801</v>
      </c>
      <c r="C112" s="420">
        <v>80151</v>
      </c>
      <c r="D112" s="489">
        <v>2540</v>
      </c>
      <c r="E112" s="471" t="s">
        <v>384</v>
      </c>
      <c r="F112" s="423">
        <f>54992.29</f>
        <v>54992.29</v>
      </c>
    </row>
    <row r="113" spans="1:6" s="318" customFormat="1" ht="13.5" customHeight="1" x14ac:dyDescent="0.25">
      <c r="A113" s="459"/>
      <c r="B113" s="460"/>
      <c r="C113" s="461"/>
      <c r="D113" s="490"/>
      <c r="E113" s="476" t="s">
        <v>385</v>
      </c>
      <c r="F113" s="458"/>
    </row>
    <row r="114" spans="1:6" s="318" customFormat="1" ht="13.5" customHeight="1" x14ac:dyDescent="0.25">
      <c r="A114" s="452"/>
      <c r="B114" s="374"/>
      <c r="C114" s="371"/>
      <c r="D114" s="491"/>
      <c r="E114" s="466" t="s">
        <v>359</v>
      </c>
      <c r="F114" s="455"/>
    </row>
    <row r="115" spans="1:6" ht="78.75" customHeight="1" x14ac:dyDescent="0.25">
      <c r="A115" s="338">
        <v>13</v>
      </c>
      <c r="B115" s="338">
        <v>801</v>
      </c>
      <c r="C115" s="338">
        <v>80152</v>
      </c>
      <c r="D115" s="481" t="s">
        <v>330</v>
      </c>
      <c r="E115" s="398" t="s">
        <v>386</v>
      </c>
      <c r="F115" s="333">
        <f>944760.81+461079.88+180000</f>
        <v>1585840.69</v>
      </c>
    </row>
    <row r="116" spans="1:6" s="318" customFormat="1" ht="13.5" customHeight="1" x14ac:dyDescent="0.25">
      <c r="A116" s="442"/>
      <c r="C116" s="443"/>
      <c r="D116" s="448"/>
      <c r="E116" s="445" t="s">
        <v>365</v>
      </c>
      <c r="F116" s="446"/>
    </row>
    <row r="117" spans="1:6" s="318" customFormat="1" ht="13.5" customHeight="1" x14ac:dyDescent="0.25">
      <c r="A117" s="442"/>
      <c r="C117" s="443"/>
      <c r="D117" s="448"/>
      <c r="E117" s="464" t="s">
        <v>370</v>
      </c>
      <c r="F117" s="451"/>
    </row>
    <row r="118" spans="1:6" s="318" customFormat="1" ht="13.5" customHeight="1" x14ac:dyDescent="0.25">
      <c r="A118" s="442"/>
      <c r="C118" s="443"/>
      <c r="D118" s="444"/>
      <c r="E118" s="492" t="s">
        <v>352</v>
      </c>
      <c r="F118" s="446"/>
    </row>
    <row r="119" spans="1:6" s="318" customFormat="1" ht="22.9" customHeight="1" x14ac:dyDescent="0.25">
      <c r="A119" s="442"/>
      <c r="C119" s="443"/>
      <c r="D119" s="448"/>
      <c r="E119" s="450" t="s">
        <v>367</v>
      </c>
      <c r="F119" s="446"/>
    </row>
    <row r="120" spans="1:6" s="318" customFormat="1" ht="24.75" customHeight="1" x14ac:dyDescent="0.25">
      <c r="A120" s="442"/>
      <c r="C120" s="443"/>
      <c r="D120" s="448"/>
      <c r="E120" s="450" t="s">
        <v>368</v>
      </c>
      <c r="F120" s="451"/>
    </row>
    <row r="121" spans="1:6" s="318" customFormat="1" ht="13.5" customHeight="1" x14ac:dyDescent="0.25">
      <c r="A121" s="442"/>
      <c r="C121" s="443"/>
      <c r="D121" s="448"/>
      <c r="E121" s="464" t="s">
        <v>369</v>
      </c>
      <c r="F121" s="451"/>
    </row>
    <row r="122" spans="1:6" s="318" customFormat="1" ht="24" customHeight="1" x14ac:dyDescent="0.25">
      <c r="A122" s="452"/>
      <c r="B122" s="374"/>
      <c r="C122" s="371"/>
      <c r="D122" s="453"/>
      <c r="E122" s="454" t="s">
        <v>366</v>
      </c>
      <c r="F122" s="455"/>
    </row>
    <row r="123" spans="1:6" ht="15.75" customHeight="1" x14ac:dyDescent="0.25">
      <c r="A123" s="493">
        <v>14</v>
      </c>
      <c r="B123" s="493">
        <v>853</v>
      </c>
      <c r="C123" s="493">
        <v>85311</v>
      </c>
      <c r="D123" s="494">
        <v>2580</v>
      </c>
      <c r="E123" s="495" t="s">
        <v>387</v>
      </c>
      <c r="F123" s="399">
        <f>293325+27500</f>
        <v>320825</v>
      </c>
    </row>
    <row r="124" spans="1:6" s="318" customFormat="1" ht="13.5" customHeight="1" x14ac:dyDescent="0.25">
      <c r="A124" s="437"/>
      <c r="B124" s="438"/>
      <c r="C124" s="371"/>
      <c r="D124" s="496"/>
      <c r="E124" s="374" t="s">
        <v>388</v>
      </c>
      <c r="F124" s="455"/>
    </row>
    <row r="125" spans="1:6" ht="15.75" customHeight="1" x14ac:dyDescent="0.25">
      <c r="A125" s="420">
        <v>15</v>
      </c>
      <c r="B125" s="420">
        <v>854</v>
      </c>
      <c r="C125" s="420">
        <v>85402</v>
      </c>
      <c r="D125" s="494">
        <v>2540</v>
      </c>
      <c r="E125" s="471" t="s">
        <v>389</v>
      </c>
      <c r="F125" s="423">
        <f>1138913.09</f>
        <v>1138913.0900000001</v>
      </c>
    </row>
    <row r="126" spans="1:6" s="318" customFormat="1" ht="13.5" customHeight="1" x14ac:dyDescent="0.25">
      <c r="A126" s="437"/>
      <c r="B126" s="438"/>
      <c r="C126" s="367"/>
      <c r="D126" s="472"/>
      <c r="E126" s="497" t="s">
        <v>390</v>
      </c>
      <c r="F126" s="441"/>
    </row>
    <row r="127" spans="1:6" ht="25.5" customHeight="1" x14ac:dyDescent="0.25">
      <c r="A127" s="338">
        <v>16</v>
      </c>
      <c r="B127" s="338">
        <v>854</v>
      </c>
      <c r="C127" s="338">
        <v>85404</v>
      </c>
      <c r="D127" s="498" t="s">
        <v>330</v>
      </c>
      <c r="E127" s="475" t="s">
        <v>391</v>
      </c>
      <c r="F127" s="333">
        <f>1189786.53+20000</f>
        <v>1209786.53</v>
      </c>
    </row>
    <row r="128" spans="1:6" s="318" customFormat="1" ht="13.5" customHeight="1" x14ac:dyDescent="0.25">
      <c r="A128" s="442"/>
      <c r="C128" s="443"/>
      <c r="D128" s="448"/>
      <c r="E128" s="465" t="s">
        <v>347</v>
      </c>
      <c r="F128" s="446"/>
    </row>
    <row r="129" spans="1:6" s="318" customFormat="1" ht="13.5" customHeight="1" x14ac:dyDescent="0.25">
      <c r="A129" s="442"/>
      <c r="C129" s="443"/>
      <c r="D129" s="448"/>
      <c r="E129" s="499" t="s">
        <v>338</v>
      </c>
      <c r="F129" s="451"/>
    </row>
    <row r="130" spans="1:6" s="318" customFormat="1" ht="13.5" customHeight="1" x14ac:dyDescent="0.25">
      <c r="A130" s="442"/>
      <c r="C130" s="443"/>
      <c r="D130" s="448"/>
      <c r="E130" s="450" t="s">
        <v>379</v>
      </c>
      <c r="F130" s="451"/>
    </row>
    <row r="131" spans="1:6" s="318" customFormat="1" ht="13.5" customHeight="1" x14ac:dyDescent="0.25">
      <c r="A131" s="442"/>
      <c r="C131" s="443"/>
      <c r="D131" s="448"/>
      <c r="E131" s="450" t="s">
        <v>346</v>
      </c>
      <c r="F131" s="451"/>
    </row>
    <row r="132" spans="1:6" s="318" customFormat="1" ht="13.5" customHeight="1" x14ac:dyDescent="0.25">
      <c r="A132" s="442"/>
      <c r="C132" s="443"/>
      <c r="D132" s="448"/>
      <c r="E132" s="464" t="s">
        <v>342</v>
      </c>
      <c r="F132" s="451"/>
    </row>
    <row r="133" spans="1:6" s="318" customFormat="1" ht="13.5" customHeight="1" x14ac:dyDescent="0.25">
      <c r="A133" s="442"/>
      <c r="C133" s="443"/>
      <c r="D133" s="448"/>
      <c r="E133" s="450" t="s">
        <v>380</v>
      </c>
      <c r="F133" s="451"/>
    </row>
    <row r="134" spans="1:6" s="318" customFormat="1" ht="13.5" customHeight="1" x14ac:dyDescent="0.25">
      <c r="A134" s="442"/>
      <c r="C134" s="443"/>
      <c r="D134" s="448"/>
      <c r="E134" s="450" t="s">
        <v>341</v>
      </c>
      <c r="F134" s="451"/>
    </row>
    <row r="135" spans="1:6" s="318" customFormat="1" ht="13.5" customHeight="1" x14ac:dyDescent="0.25">
      <c r="A135" s="442"/>
      <c r="C135" s="443"/>
      <c r="D135" s="448"/>
      <c r="E135" s="487" t="s">
        <v>336</v>
      </c>
      <c r="F135" s="446"/>
    </row>
    <row r="136" spans="1:6" s="318" customFormat="1" ht="13.5" customHeight="1" x14ac:dyDescent="0.25">
      <c r="A136" s="452"/>
      <c r="B136" s="374"/>
      <c r="C136" s="371"/>
      <c r="D136" s="448"/>
      <c r="E136" s="449" t="s">
        <v>349</v>
      </c>
      <c r="F136" s="500"/>
    </row>
    <row r="137" spans="1:6" ht="25.5" customHeight="1" x14ac:dyDescent="0.25">
      <c r="A137" s="501">
        <v>17</v>
      </c>
      <c r="B137" s="501">
        <v>854</v>
      </c>
      <c r="C137" s="501">
        <v>85406</v>
      </c>
      <c r="D137" s="502">
        <v>2540</v>
      </c>
      <c r="E137" s="503" t="s">
        <v>45</v>
      </c>
      <c r="F137" s="333">
        <f>123905.02</f>
        <v>123905.02</v>
      </c>
    </row>
    <row r="138" spans="1:6" s="318" customFormat="1" ht="13.5" customHeight="1" x14ac:dyDescent="0.25">
      <c r="A138" s="459"/>
      <c r="B138" s="460"/>
      <c r="C138" s="461"/>
      <c r="D138" s="467"/>
      <c r="E138" s="504" t="s">
        <v>392</v>
      </c>
      <c r="F138" s="458"/>
    </row>
    <row r="139" spans="1:6" ht="14.25" customHeight="1" x14ac:dyDescent="0.25">
      <c r="A139" s="420">
        <v>18</v>
      </c>
      <c r="B139" s="420">
        <v>854</v>
      </c>
      <c r="C139" s="420">
        <v>85410</v>
      </c>
      <c r="D139" s="494">
        <v>2590</v>
      </c>
      <c r="E139" s="471" t="s">
        <v>205</v>
      </c>
      <c r="F139" s="423">
        <f>1565082.91</f>
        <v>1565082.91</v>
      </c>
    </row>
    <row r="140" spans="1:6" s="318" customFormat="1" ht="13.5" customHeight="1" x14ac:dyDescent="0.25">
      <c r="A140" s="437"/>
      <c r="B140" s="438"/>
      <c r="C140" s="367"/>
      <c r="D140" s="496"/>
      <c r="E140" s="374" t="s">
        <v>393</v>
      </c>
      <c r="F140" s="505"/>
    </row>
    <row r="141" spans="1:6" ht="14.25" customHeight="1" x14ac:dyDescent="0.25">
      <c r="A141" s="506"/>
      <c r="B141" s="364"/>
      <c r="C141" s="364"/>
      <c r="D141" s="391"/>
      <c r="E141" s="364" t="s">
        <v>328</v>
      </c>
      <c r="F141" s="365">
        <f>SUM(F38:F140)</f>
        <v>65563382.840000004</v>
      </c>
    </row>
    <row r="142" spans="1:6" ht="15.75" customHeight="1" x14ac:dyDescent="0.25">
      <c r="A142" s="507"/>
      <c r="B142" s="508"/>
      <c r="C142" s="508"/>
      <c r="D142" s="391"/>
      <c r="E142" s="508" t="s">
        <v>296</v>
      </c>
      <c r="F142" s="509">
        <f>SUM(F35,F141)</f>
        <v>95795355.760000005</v>
      </c>
    </row>
    <row r="144" spans="1:6" ht="12.6" customHeight="1" x14ac:dyDescent="0.25">
      <c r="A144" s="380"/>
      <c r="F144" s="334"/>
    </row>
    <row r="145" spans="6:7" x14ac:dyDescent="0.25">
      <c r="F145" s="334"/>
      <c r="G145" s="318"/>
    </row>
    <row r="146" spans="6:7" x14ac:dyDescent="0.25">
      <c r="F146" s="334"/>
      <c r="G146" s="318"/>
    </row>
    <row r="147" spans="6:7" x14ac:dyDescent="0.25">
      <c r="F147" s="334"/>
    </row>
    <row r="148" spans="6:7" x14ac:dyDescent="0.25">
      <c r="F148" s="334"/>
    </row>
    <row r="149" spans="6:7" x14ac:dyDescent="0.25">
      <c r="F149" s="334"/>
    </row>
    <row r="150" spans="6:7" x14ac:dyDescent="0.25">
      <c r="F150" s="334"/>
    </row>
    <row r="151" spans="6:7" x14ac:dyDescent="0.25">
      <c r="F151" s="334"/>
    </row>
  </sheetData>
  <pageMargins left="0.51181102362204722" right="0.51181102362204722" top="0.70866141732283472" bottom="0.74803149606299213" header="0.31496062992125984" footer="0.31496062992125984"/>
  <pageSetup paperSize="9" firstPageNumber="66" orientation="portrait" r:id="rId1"/>
  <headerFooter>
    <oddFooter>&amp;C&amp;"Arial Narrow,Normalny"&amp;8&amp;P</oddFooter>
  </headerFooter>
  <rowBreaks count="1" manualBreakCount="1">
    <brk id="3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3F67F-847C-4977-8C5B-D11D9B5BFD4B}">
  <sheetPr>
    <tabColor rgb="FFFFFF00"/>
  </sheetPr>
  <dimension ref="A1:G41"/>
  <sheetViews>
    <sheetView zoomScale="140" zoomScaleNormal="140" workbookViewId="0">
      <selection activeCell="C22" sqref="C22"/>
    </sheetView>
  </sheetViews>
  <sheetFormatPr defaultRowHeight="15" x14ac:dyDescent="0.25"/>
  <cols>
    <col min="1" max="1" width="4.42578125" style="34" customWidth="1"/>
    <col min="2" max="2" width="7.5703125" style="34" customWidth="1"/>
    <col min="3" max="3" width="50.85546875" style="34" customWidth="1"/>
    <col min="4" max="4" width="14.85546875" style="34" customWidth="1"/>
    <col min="5" max="5" width="14" style="34" customWidth="1"/>
    <col min="6" max="6" width="14.140625" style="34" customWidth="1"/>
    <col min="7" max="7" width="14.7109375" style="34" customWidth="1"/>
    <col min="8" max="256" width="9.140625" style="34"/>
    <col min="257" max="257" width="4.42578125" style="34" customWidth="1"/>
    <col min="258" max="258" width="7.5703125" style="34" customWidth="1"/>
    <col min="259" max="259" width="47.42578125" style="34" customWidth="1"/>
    <col min="260" max="260" width="14.85546875" style="34" customWidth="1"/>
    <col min="261" max="261" width="14" style="34" customWidth="1"/>
    <col min="262" max="262" width="14.140625" style="34" customWidth="1"/>
    <col min="263" max="263" width="14.7109375" style="34" customWidth="1"/>
    <col min="264" max="512" width="9.140625" style="34"/>
    <col min="513" max="513" width="4.42578125" style="34" customWidth="1"/>
    <col min="514" max="514" width="7.5703125" style="34" customWidth="1"/>
    <col min="515" max="515" width="47.42578125" style="34" customWidth="1"/>
    <col min="516" max="516" width="14.85546875" style="34" customWidth="1"/>
    <col min="517" max="517" width="14" style="34" customWidth="1"/>
    <col min="518" max="518" width="14.140625" style="34" customWidth="1"/>
    <col min="519" max="519" width="14.7109375" style="34" customWidth="1"/>
    <col min="520" max="768" width="9.140625" style="34"/>
    <col min="769" max="769" width="4.42578125" style="34" customWidth="1"/>
    <col min="770" max="770" width="7.5703125" style="34" customWidth="1"/>
    <col min="771" max="771" width="47.42578125" style="34" customWidth="1"/>
    <col min="772" max="772" width="14.85546875" style="34" customWidth="1"/>
    <col min="773" max="773" width="14" style="34" customWidth="1"/>
    <col min="774" max="774" width="14.140625" style="34" customWidth="1"/>
    <col min="775" max="775" width="14.7109375" style="34" customWidth="1"/>
    <col min="776" max="1024" width="9.140625" style="34"/>
    <col min="1025" max="1025" width="4.42578125" style="34" customWidth="1"/>
    <col min="1026" max="1026" width="7.5703125" style="34" customWidth="1"/>
    <col min="1027" max="1027" width="47.42578125" style="34" customWidth="1"/>
    <col min="1028" max="1028" width="14.85546875" style="34" customWidth="1"/>
    <col min="1029" max="1029" width="14" style="34" customWidth="1"/>
    <col min="1030" max="1030" width="14.140625" style="34" customWidth="1"/>
    <col min="1031" max="1031" width="14.7109375" style="34" customWidth="1"/>
    <col min="1032" max="1280" width="9.140625" style="34"/>
    <col min="1281" max="1281" width="4.42578125" style="34" customWidth="1"/>
    <col min="1282" max="1282" width="7.5703125" style="34" customWidth="1"/>
    <col min="1283" max="1283" width="47.42578125" style="34" customWidth="1"/>
    <col min="1284" max="1284" width="14.85546875" style="34" customWidth="1"/>
    <col min="1285" max="1285" width="14" style="34" customWidth="1"/>
    <col min="1286" max="1286" width="14.140625" style="34" customWidth="1"/>
    <col min="1287" max="1287" width="14.7109375" style="34" customWidth="1"/>
    <col min="1288" max="1536" width="9.140625" style="34"/>
    <col min="1537" max="1537" width="4.42578125" style="34" customWidth="1"/>
    <col min="1538" max="1538" width="7.5703125" style="34" customWidth="1"/>
    <col min="1539" max="1539" width="47.42578125" style="34" customWidth="1"/>
    <col min="1540" max="1540" width="14.85546875" style="34" customWidth="1"/>
    <col min="1541" max="1541" width="14" style="34" customWidth="1"/>
    <col min="1542" max="1542" width="14.140625" style="34" customWidth="1"/>
    <col min="1543" max="1543" width="14.7109375" style="34" customWidth="1"/>
    <col min="1544" max="1792" width="9.140625" style="34"/>
    <col min="1793" max="1793" width="4.42578125" style="34" customWidth="1"/>
    <col min="1794" max="1794" width="7.5703125" style="34" customWidth="1"/>
    <col min="1795" max="1795" width="47.42578125" style="34" customWidth="1"/>
    <col min="1796" max="1796" width="14.85546875" style="34" customWidth="1"/>
    <col min="1797" max="1797" width="14" style="34" customWidth="1"/>
    <col min="1798" max="1798" width="14.140625" style="34" customWidth="1"/>
    <col min="1799" max="1799" width="14.7109375" style="34" customWidth="1"/>
    <col min="1800" max="2048" width="9.140625" style="34"/>
    <col min="2049" max="2049" width="4.42578125" style="34" customWidth="1"/>
    <col min="2050" max="2050" width="7.5703125" style="34" customWidth="1"/>
    <col min="2051" max="2051" width="47.42578125" style="34" customWidth="1"/>
    <col min="2052" max="2052" width="14.85546875" style="34" customWidth="1"/>
    <col min="2053" max="2053" width="14" style="34" customWidth="1"/>
    <col min="2054" max="2054" width="14.140625" style="34" customWidth="1"/>
    <col min="2055" max="2055" width="14.7109375" style="34" customWidth="1"/>
    <col min="2056" max="2304" width="9.140625" style="34"/>
    <col min="2305" max="2305" width="4.42578125" style="34" customWidth="1"/>
    <col min="2306" max="2306" width="7.5703125" style="34" customWidth="1"/>
    <col min="2307" max="2307" width="47.42578125" style="34" customWidth="1"/>
    <col min="2308" max="2308" width="14.85546875" style="34" customWidth="1"/>
    <col min="2309" max="2309" width="14" style="34" customWidth="1"/>
    <col min="2310" max="2310" width="14.140625" style="34" customWidth="1"/>
    <col min="2311" max="2311" width="14.7109375" style="34" customWidth="1"/>
    <col min="2312" max="2560" width="9.140625" style="34"/>
    <col min="2561" max="2561" width="4.42578125" style="34" customWidth="1"/>
    <col min="2562" max="2562" width="7.5703125" style="34" customWidth="1"/>
    <col min="2563" max="2563" width="47.42578125" style="34" customWidth="1"/>
    <col min="2564" max="2564" width="14.85546875" style="34" customWidth="1"/>
    <col min="2565" max="2565" width="14" style="34" customWidth="1"/>
    <col min="2566" max="2566" width="14.140625" style="34" customWidth="1"/>
    <col min="2567" max="2567" width="14.7109375" style="34" customWidth="1"/>
    <col min="2568" max="2816" width="9.140625" style="34"/>
    <col min="2817" max="2817" width="4.42578125" style="34" customWidth="1"/>
    <col min="2818" max="2818" width="7.5703125" style="34" customWidth="1"/>
    <col min="2819" max="2819" width="47.42578125" style="34" customWidth="1"/>
    <col min="2820" max="2820" width="14.85546875" style="34" customWidth="1"/>
    <col min="2821" max="2821" width="14" style="34" customWidth="1"/>
    <col min="2822" max="2822" width="14.140625" style="34" customWidth="1"/>
    <col min="2823" max="2823" width="14.7109375" style="34" customWidth="1"/>
    <col min="2824" max="3072" width="9.140625" style="34"/>
    <col min="3073" max="3073" width="4.42578125" style="34" customWidth="1"/>
    <col min="3074" max="3074" width="7.5703125" style="34" customWidth="1"/>
    <col min="3075" max="3075" width="47.42578125" style="34" customWidth="1"/>
    <col min="3076" max="3076" width="14.85546875" style="34" customWidth="1"/>
    <col min="3077" max="3077" width="14" style="34" customWidth="1"/>
    <col min="3078" max="3078" width="14.140625" style="34" customWidth="1"/>
    <col min="3079" max="3079" width="14.7109375" style="34" customWidth="1"/>
    <col min="3080" max="3328" width="9.140625" style="34"/>
    <col min="3329" max="3329" width="4.42578125" style="34" customWidth="1"/>
    <col min="3330" max="3330" width="7.5703125" style="34" customWidth="1"/>
    <col min="3331" max="3331" width="47.42578125" style="34" customWidth="1"/>
    <col min="3332" max="3332" width="14.85546875" style="34" customWidth="1"/>
    <col min="3333" max="3333" width="14" style="34" customWidth="1"/>
    <col min="3334" max="3334" width="14.140625" style="34" customWidth="1"/>
    <col min="3335" max="3335" width="14.7109375" style="34" customWidth="1"/>
    <col min="3336" max="3584" width="9.140625" style="34"/>
    <col min="3585" max="3585" width="4.42578125" style="34" customWidth="1"/>
    <col min="3586" max="3586" width="7.5703125" style="34" customWidth="1"/>
    <col min="3587" max="3587" width="47.42578125" style="34" customWidth="1"/>
    <col min="3588" max="3588" width="14.85546875" style="34" customWidth="1"/>
    <col min="3589" max="3589" width="14" style="34" customWidth="1"/>
    <col min="3590" max="3590" width="14.140625" style="34" customWidth="1"/>
    <col min="3591" max="3591" width="14.7109375" style="34" customWidth="1"/>
    <col min="3592" max="3840" width="9.140625" style="34"/>
    <col min="3841" max="3841" width="4.42578125" style="34" customWidth="1"/>
    <col min="3842" max="3842" width="7.5703125" style="34" customWidth="1"/>
    <col min="3843" max="3843" width="47.42578125" style="34" customWidth="1"/>
    <col min="3844" max="3844" width="14.85546875" style="34" customWidth="1"/>
    <col min="3845" max="3845" width="14" style="34" customWidth="1"/>
    <col min="3846" max="3846" width="14.140625" style="34" customWidth="1"/>
    <col min="3847" max="3847" width="14.7109375" style="34" customWidth="1"/>
    <col min="3848" max="4096" width="9.140625" style="34"/>
    <col min="4097" max="4097" width="4.42578125" style="34" customWidth="1"/>
    <col min="4098" max="4098" width="7.5703125" style="34" customWidth="1"/>
    <col min="4099" max="4099" width="47.42578125" style="34" customWidth="1"/>
    <col min="4100" max="4100" width="14.85546875" style="34" customWidth="1"/>
    <col min="4101" max="4101" width="14" style="34" customWidth="1"/>
    <col min="4102" max="4102" width="14.140625" style="34" customWidth="1"/>
    <col min="4103" max="4103" width="14.7109375" style="34" customWidth="1"/>
    <col min="4104" max="4352" width="9.140625" style="34"/>
    <col min="4353" max="4353" width="4.42578125" style="34" customWidth="1"/>
    <col min="4354" max="4354" width="7.5703125" style="34" customWidth="1"/>
    <col min="4355" max="4355" width="47.42578125" style="34" customWidth="1"/>
    <col min="4356" max="4356" width="14.85546875" style="34" customWidth="1"/>
    <col min="4357" max="4357" width="14" style="34" customWidth="1"/>
    <col min="4358" max="4358" width="14.140625" style="34" customWidth="1"/>
    <col min="4359" max="4359" width="14.7109375" style="34" customWidth="1"/>
    <col min="4360" max="4608" width="9.140625" style="34"/>
    <col min="4609" max="4609" width="4.42578125" style="34" customWidth="1"/>
    <col min="4610" max="4610" width="7.5703125" style="34" customWidth="1"/>
    <col min="4611" max="4611" width="47.42578125" style="34" customWidth="1"/>
    <col min="4612" max="4612" width="14.85546875" style="34" customWidth="1"/>
    <col min="4613" max="4613" width="14" style="34" customWidth="1"/>
    <col min="4614" max="4614" width="14.140625" style="34" customWidth="1"/>
    <col min="4615" max="4615" width="14.7109375" style="34" customWidth="1"/>
    <col min="4616" max="4864" width="9.140625" style="34"/>
    <col min="4865" max="4865" width="4.42578125" style="34" customWidth="1"/>
    <col min="4866" max="4866" width="7.5703125" style="34" customWidth="1"/>
    <col min="4867" max="4867" width="47.42578125" style="34" customWidth="1"/>
    <col min="4868" max="4868" width="14.85546875" style="34" customWidth="1"/>
    <col min="4869" max="4869" width="14" style="34" customWidth="1"/>
    <col min="4870" max="4870" width="14.140625" style="34" customWidth="1"/>
    <col min="4871" max="4871" width="14.7109375" style="34" customWidth="1"/>
    <col min="4872" max="5120" width="9.140625" style="34"/>
    <col min="5121" max="5121" width="4.42578125" style="34" customWidth="1"/>
    <col min="5122" max="5122" width="7.5703125" style="34" customWidth="1"/>
    <col min="5123" max="5123" width="47.42578125" style="34" customWidth="1"/>
    <col min="5124" max="5124" width="14.85546875" style="34" customWidth="1"/>
    <col min="5125" max="5125" width="14" style="34" customWidth="1"/>
    <col min="5126" max="5126" width="14.140625" style="34" customWidth="1"/>
    <col min="5127" max="5127" width="14.7109375" style="34" customWidth="1"/>
    <col min="5128" max="5376" width="9.140625" style="34"/>
    <col min="5377" max="5377" width="4.42578125" style="34" customWidth="1"/>
    <col min="5378" max="5378" width="7.5703125" style="34" customWidth="1"/>
    <col min="5379" max="5379" width="47.42578125" style="34" customWidth="1"/>
    <col min="5380" max="5380" width="14.85546875" style="34" customWidth="1"/>
    <col min="5381" max="5381" width="14" style="34" customWidth="1"/>
    <col min="5382" max="5382" width="14.140625" style="34" customWidth="1"/>
    <col min="5383" max="5383" width="14.7109375" style="34" customWidth="1"/>
    <col min="5384" max="5632" width="9.140625" style="34"/>
    <col min="5633" max="5633" width="4.42578125" style="34" customWidth="1"/>
    <col min="5634" max="5634" width="7.5703125" style="34" customWidth="1"/>
    <col min="5635" max="5635" width="47.42578125" style="34" customWidth="1"/>
    <col min="5636" max="5636" width="14.85546875" style="34" customWidth="1"/>
    <col min="5637" max="5637" width="14" style="34" customWidth="1"/>
    <col min="5638" max="5638" width="14.140625" style="34" customWidth="1"/>
    <col min="5639" max="5639" width="14.7109375" style="34" customWidth="1"/>
    <col min="5640" max="5888" width="9.140625" style="34"/>
    <col min="5889" max="5889" width="4.42578125" style="34" customWidth="1"/>
    <col min="5890" max="5890" width="7.5703125" style="34" customWidth="1"/>
    <col min="5891" max="5891" width="47.42578125" style="34" customWidth="1"/>
    <col min="5892" max="5892" width="14.85546875" style="34" customWidth="1"/>
    <col min="5893" max="5893" width="14" style="34" customWidth="1"/>
    <col min="5894" max="5894" width="14.140625" style="34" customWidth="1"/>
    <col min="5895" max="5895" width="14.7109375" style="34" customWidth="1"/>
    <col min="5896" max="6144" width="9.140625" style="34"/>
    <col min="6145" max="6145" width="4.42578125" style="34" customWidth="1"/>
    <col min="6146" max="6146" width="7.5703125" style="34" customWidth="1"/>
    <col min="6147" max="6147" width="47.42578125" style="34" customWidth="1"/>
    <col min="6148" max="6148" width="14.85546875" style="34" customWidth="1"/>
    <col min="6149" max="6149" width="14" style="34" customWidth="1"/>
    <col min="6150" max="6150" width="14.140625" style="34" customWidth="1"/>
    <col min="6151" max="6151" width="14.7109375" style="34" customWidth="1"/>
    <col min="6152" max="6400" width="9.140625" style="34"/>
    <col min="6401" max="6401" width="4.42578125" style="34" customWidth="1"/>
    <col min="6402" max="6402" width="7.5703125" style="34" customWidth="1"/>
    <col min="6403" max="6403" width="47.42578125" style="34" customWidth="1"/>
    <col min="6404" max="6404" width="14.85546875" style="34" customWidth="1"/>
    <col min="6405" max="6405" width="14" style="34" customWidth="1"/>
    <col min="6406" max="6406" width="14.140625" style="34" customWidth="1"/>
    <col min="6407" max="6407" width="14.7109375" style="34" customWidth="1"/>
    <col min="6408" max="6656" width="9.140625" style="34"/>
    <col min="6657" max="6657" width="4.42578125" style="34" customWidth="1"/>
    <col min="6658" max="6658" width="7.5703125" style="34" customWidth="1"/>
    <col min="6659" max="6659" width="47.42578125" style="34" customWidth="1"/>
    <col min="6660" max="6660" width="14.85546875" style="34" customWidth="1"/>
    <col min="6661" max="6661" width="14" style="34" customWidth="1"/>
    <col min="6662" max="6662" width="14.140625" style="34" customWidth="1"/>
    <col min="6663" max="6663" width="14.7109375" style="34" customWidth="1"/>
    <col min="6664" max="6912" width="9.140625" style="34"/>
    <col min="6913" max="6913" width="4.42578125" style="34" customWidth="1"/>
    <col min="6914" max="6914" width="7.5703125" style="34" customWidth="1"/>
    <col min="6915" max="6915" width="47.42578125" style="34" customWidth="1"/>
    <col min="6916" max="6916" width="14.85546875" style="34" customWidth="1"/>
    <col min="6917" max="6917" width="14" style="34" customWidth="1"/>
    <col min="6918" max="6918" width="14.140625" style="34" customWidth="1"/>
    <col min="6919" max="6919" width="14.7109375" style="34" customWidth="1"/>
    <col min="6920" max="7168" width="9.140625" style="34"/>
    <col min="7169" max="7169" width="4.42578125" style="34" customWidth="1"/>
    <col min="7170" max="7170" width="7.5703125" style="34" customWidth="1"/>
    <col min="7171" max="7171" width="47.42578125" style="34" customWidth="1"/>
    <col min="7172" max="7172" width="14.85546875" style="34" customWidth="1"/>
    <col min="7173" max="7173" width="14" style="34" customWidth="1"/>
    <col min="7174" max="7174" width="14.140625" style="34" customWidth="1"/>
    <col min="7175" max="7175" width="14.7109375" style="34" customWidth="1"/>
    <col min="7176" max="7424" width="9.140625" style="34"/>
    <col min="7425" max="7425" width="4.42578125" style="34" customWidth="1"/>
    <col min="7426" max="7426" width="7.5703125" style="34" customWidth="1"/>
    <col min="7427" max="7427" width="47.42578125" style="34" customWidth="1"/>
    <col min="7428" max="7428" width="14.85546875" style="34" customWidth="1"/>
    <col min="7429" max="7429" width="14" style="34" customWidth="1"/>
    <col min="7430" max="7430" width="14.140625" style="34" customWidth="1"/>
    <col min="7431" max="7431" width="14.7109375" style="34" customWidth="1"/>
    <col min="7432" max="7680" width="9.140625" style="34"/>
    <col min="7681" max="7681" width="4.42578125" style="34" customWidth="1"/>
    <col min="7682" max="7682" width="7.5703125" style="34" customWidth="1"/>
    <col min="7683" max="7683" width="47.42578125" style="34" customWidth="1"/>
    <col min="7684" max="7684" width="14.85546875" style="34" customWidth="1"/>
    <col min="7685" max="7685" width="14" style="34" customWidth="1"/>
    <col min="7686" max="7686" width="14.140625" style="34" customWidth="1"/>
    <col min="7687" max="7687" width="14.7109375" style="34" customWidth="1"/>
    <col min="7688" max="7936" width="9.140625" style="34"/>
    <col min="7937" max="7937" width="4.42578125" style="34" customWidth="1"/>
    <col min="7938" max="7938" width="7.5703125" style="34" customWidth="1"/>
    <col min="7939" max="7939" width="47.42578125" style="34" customWidth="1"/>
    <col min="7940" max="7940" width="14.85546875" style="34" customWidth="1"/>
    <col min="7941" max="7941" width="14" style="34" customWidth="1"/>
    <col min="7942" max="7942" width="14.140625" style="34" customWidth="1"/>
    <col min="7943" max="7943" width="14.7109375" style="34" customWidth="1"/>
    <col min="7944" max="8192" width="9.140625" style="34"/>
    <col min="8193" max="8193" width="4.42578125" style="34" customWidth="1"/>
    <col min="8194" max="8194" width="7.5703125" style="34" customWidth="1"/>
    <col min="8195" max="8195" width="47.42578125" style="34" customWidth="1"/>
    <col min="8196" max="8196" width="14.85546875" style="34" customWidth="1"/>
    <col min="8197" max="8197" width="14" style="34" customWidth="1"/>
    <col min="8198" max="8198" width="14.140625" style="34" customWidth="1"/>
    <col min="8199" max="8199" width="14.7109375" style="34" customWidth="1"/>
    <col min="8200" max="8448" width="9.140625" style="34"/>
    <col min="8449" max="8449" width="4.42578125" style="34" customWidth="1"/>
    <col min="8450" max="8450" width="7.5703125" style="34" customWidth="1"/>
    <col min="8451" max="8451" width="47.42578125" style="34" customWidth="1"/>
    <col min="8452" max="8452" width="14.85546875" style="34" customWidth="1"/>
    <col min="8453" max="8453" width="14" style="34" customWidth="1"/>
    <col min="8454" max="8454" width="14.140625" style="34" customWidth="1"/>
    <col min="8455" max="8455" width="14.7109375" style="34" customWidth="1"/>
    <col min="8456" max="8704" width="9.140625" style="34"/>
    <col min="8705" max="8705" width="4.42578125" style="34" customWidth="1"/>
    <col min="8706" max="8706" width="7.5703125" style="34" customWidth="1"/>
    <col min="8707" max="8707" width="47.42578125" style="34" customWidth="1"/>
    <col min="8708" max="8708" width="14.85546875" style="34" customWidth="1"/>
    <col min="8709" max="8709" width="14" style="34" customWidth="1"/>
    <col min="8710" max="8710" width="14.140625" style="34" customWidth="1"/>
    <col min="8711" max="8711" width="14.7109375" style="34" customWidth="1"/>
    <col min="8712" max="8960" width="9.140625" style="34"/>
    <col min="8961" max="8961" width="4.42578125" style="34" customWidth="1"/>
    <col min="8962" max="8962" width="7.5703125" style="34" customWidth="1"/>
    <col min="8963" max="8963" width="47.42578125" style="34" customWidth="1"/>
    <col min="8964" max="8964" width="14.85546875" style="34" customWidth="1"/>
    <col min="8965" max="8965" width="14" style="34" customWidth="1"/>
    <col min="8966" max="8966" width="14.140625" style="34" customWidth="1"/>
    <col min="8967" max="8967" width="14.7109375" style="34" customWidth="1"/>
    <col min="8968" max="9216" width="9.140625" style="34"/>
    <col min="9217" max="9217" width="4.42578125" style="34" customWidth="1"/>
    <col min="9218" max="9218" width="7.5703125" style="34" customWidth="1"/>
    <col min="9219" max="9219" width="47.42578125" style="34" customWidth="1"/>
    <col min="9220" max="9220" width="14.85546875" style="34" customWidth="1"/>
    <col min="9221" max="9221" width="14" style="34" customWidth="1"/>
    <col min="9222" max="9222" width="14.140625" style="34" customWidth="1"/>
    <col min="9223" max="9223" width="14.7109375" style="34" customWidth="1"/>
    <col min="9224" max="9472" width="9.140625" style="34"/>
    <col min="9473" max="9473" width="4.42578125" style="34" customWidth="1"/>
    <col min="9474" max="9474" width="7.5703125" style="34" customWidth="1"/>
    <col min="9475" max="9475" width="47.42578125" style="34" customWidth="1"/>
    <col min="9476" max="9476" width="14.85546875" style="34" customWidth="1"/>
    <col min="9477" max="9477" width="14" style="34" customWidth="1"/>
    <col min="9478" max="9478" width="14.140625" style="34" customWidth="1"/>
    <col min="9479" max="9479" width="14.7109375" style="34" customWidth="1"/>
    <col min="9480" max="9728" width="9.140625" style="34"/>
    <col min="9729" max="9729" width="4.42578125" style="34" customWidth="1"/>
    <col min="9730" max="9730" width="7.5703125" style="34" customWidth="1"/>
    <col min="9731" max="9731" width="47.42578125" style="34" customWidth="1"/>
    <col min="9732" max="9732" width="14.85546875" style="34" customWidth="1"/>
    <col min="9733" max="9733" width="14" style="34" customWidth="1"/>
    <col min="9734" max="9734" width="14.140625" style="34" customWidth="1"/>
    <col min="9735" max="9735" width="14.7109375" style="34" customWidth="1"/>
    <col min="9736" max="9984" width="9.140625" style="34"/>
    <col min="9985" max="9985" width="4.42578125" style="34" customWidth="1"/>
    <col min="9986" max="9986" width="7.5703125" style="34" customWidth="1"/>
    <col min="9987" max="9987" width="47.42578125" style="34" customWidth="1"/>
    <col min="9988" max="9988" width="14.85546875" style="34" customWidth="1"/>
    <col min="9989" max="9989" width="14" style="34" customWidth="1"/>
    <col min="9990" max="9990" width="14.140625" style="34" customWidth="1"/>
    <col min="9991" max="9991" width="14.7109375" style="34" customWidth="1"/>
    <col min="9992" max="10240" width="9.140625" style="34"/>
    <col min="10241" max="10241" width="4.42578125" style="34" customWidth="1"/>
    <col min="10242" max="10242" width="7.5703125" style="34" customWidth="1"/>
    <col min="10243" max="10243" width="47.42578125" style="34" customWidth="1"/>
    <col min="10244" max="10244" width="14.85546875" style="34" customWidth="1"/>
    <col min="10245" max="10245" width="14" style="34" customWidth="1"/>
    <col min="10246" max="10246" width="14.140625" style="34" customWidth="1"/>
    <col min="10247" max="10247" width="14.7109375" style="34" customWidth="1"/>
    <col min="10248" max="10496" width="9.140625" style="34"/>
    <col min="10497" max="10497" width="4.42578125" style="34" customWidth="1"/>
    <col min="10498" max="10498" width="7.5703125" style="34" customWidth="1"/>
    <col min="10499" max="10499" width="47.42578125" style="34" customWidth="1"/>
    <col min="10500" max="10500" width="14.85546875" style="34" customWidth="1"/>
    <col min="10501" max="10501" width="14" style="34" customWidth="1"/>
    <col min="10502" max="10502" width="14.140625" style="34" customWidth="1"/>
    <col min="10503" max="10503" width="14.7109375" style="34" customWidth="1"/>
    <col min="10504" max="10752" width="9.140625" style="34"/>
    <col min="10753" max="10753" width="4.42578125" style="34" customWidth="1"/>
    <col min="10754" max="10754" width="7.5703125" style="34" customWidth="1"/>
    <col min="10755" max="10755" width="47.42578125" style="34" customWidth="1"/>
    <col min="10756" max="10756" width="14.85546875" style="34" customWidth="1"/>
    <col min="10757" max="10757" width="14" style="34" customWidth="1"/>
    <col min="10758" max="10758" width="14.140625" style="34" customWidth="1"/>
    <col min="10759" max="10759" width="14.7109375" style="34" customWidth="1"/>
    <col min="10760" max="11008" width="9.140625" style="34"/>
    <col min="11009" max="11009" width="4.42578125" style="34" customWidth="1"/>
    <col min="11010" max="11010" width="7.5703125" style="34" customWidth="1"/>
    <col min="11011" max="11011" width="47.42578125" style="34" customWidth="1"/>
    <col min="11012" max="11012" width="14.85546875" style="34" customWidth="1"/>
    <col min="11013" max="11013" width="14" style="34" customWidth="1"/>
    <col min="11014" max="11014" width="14.140625" style="34" customWidth="1"/>
    <col min="11015" max="11015" width="14.7109375" style="34" customWidth="1"/>
    <col min="11016" max="11264" width="9.140625" style="34"/>
    <col min="11265" max="11265" width="4.42578125" style="34" customWidth="1"/>
    <col min="11266" max="11266" width="7.5703125" style="34" customWidth="1"/>
    <col min="11267" max="11267" width="47.42578125" style="34" customWidth="1"/>
    <col min="11268" max="11268" width="14.85546875" style="34" customWidth="1"/>
    <col min="11269" max="11269" width="14" style="34" customWidth="1"/>
    <col min="11270" max="11270" width="14.140625" style="34" customWidth="1"/>
    <col min="11271" max="11271" width="14.7109375" style="34" customWidth="1"/>
    <col min="11272" max="11520" width="9.140625" style="34"/>
    <col min="11521" max="11521" width="4.42578125" style="34" customWidth="1"/>
    <col min="11522" max="11522" width="7.5703125" style="34" customWidth="1"/>
    <col min="11523" max="11523" width="47.42578125" style="34" customWidth="1"/>
    <col min="11524" max="11524" width="14.85546875" style="34" customWidth="1"/>
    <col min="11525" max="11525" width="14" style="34" customWidth="1"/>
    <col min="11526" max="11526" width="14.140625" style="34" customWidth="1"/>
    <col min="11527" max="11527" width="14.7109375" style="34" customWidth="1"/>
    <col min="11528" max="11776" width="9.140625" style="34"/>
    <col min="11777" max="11777" width="4.42578125" style="34" customWidth="1"/>
    <col min="11778" max="11778" width="7.5703125" style="34" customWidth="1"/>
    <col min="11779" max="11779" width="47.42578125" style="34" customWidth="1"/>
    <col min="11780" max="11780" width="14.85546875" style="34" customWidth="1"/>
    <col min="11781" max="11781" width="14" style="34" customWidth="1"/>
    <col min="11782" max="11782" width="14.140625" style="34" customWidth="1"/>
    <col min="11783" max="11783" width="14.7109375" style="34" customWidth="1"/>
    <col min="11784" max="12032" width="9.140625" style="34"/>
    <col min="12033" max="12033" width="4.42578125" style="34" customWidth="1"/>
    <col min="12034" max="12034" width="7.5703125" style="34" customWidth="1"/>
    <col min="12035" max="12035" width="47.42578125" style="34" customWidth="1"/>
    <col min="12036" max="12036" width="14.85546875" style="34" customWidth="1"/>
    <col min="12037" max="12037" width="14" style="34" customWidth="1"/>
    <col min="12038" max="12038" width="14.140625" style="34" customWidth="1"/>
    <col min="12039" max="12039" width="14.7109375" style="34" customWidth="1"/>
    <col min="12040" max="12288" width="9.140625" style="34"/>
    <col min="12289" max="12289" width="4.42578125" style="34" customWidth="1"/>
    <col min="12290" max="12290" width="7.5703125" style="34" customWidth="1"/>
    <col min="12291" max="12291" width="47.42578125" style="34" customWidth="1"/>
    <col min="12292" max="12292" width="14.85546875" style="34" customWidth="1"/>
    <col min="12293" max="12293" width="14" style="34" customWidth="1"/>
    <col min="12294" max="12294" width="14.140625" style="34" customWidth="1"/>
    <col min="12295" max="12295" width="14.7109375" style="34" customWidth="1"/>
    <col min="12296" max="12544" width="9.140625" style="34"/>
    <col min="12545" max="12545" width="4.42578125" style="34" customWidth="1"/>
    <col min="12546" max="12546" width="7.5703125" style="34" customWidth="1"/>
    <col min="12547" max="12547" width="47.42578125" style="34" customWidth="1"/>
    <col min="12548" max="12548" width="14.85546875" style="34" customWidth="1"/>
    <col min="12549" max="12549" width="14" style="34" customWidth="1"/>
    <col min="12550" max="12550" width="14.140625" style="34" customWidth="1"/>
    <col min="12551" max="12551" width="14.7109375" style="34" customWidth="1"/>
    <col min="12552" max="12800" width="9.140625" style="34"/>
    <col min="12801" max="12801" width="4.42578125" style="34" customWidth="1"/>
    <col min="12802" max="12802" width="7.5703125" style="34" customWidth="1"/>
    <col min="12803" max="12803" width="47.42578125" style="34" customWidth="1"/>
    <col min="12804" max="12804" width="14.85546875" style="34" customWidth="1"/>
    <col min="12805" max="12805" width="14" style="34" customWidth="1"/>
    <col min="12806" max="12806" width="14.140625" style="34" customWidth="1"/>
    <col min="12807" max="12807" width="14.7109375" style="34" customWidth="1"/>
    <col min="12808" max="13056" width="9.140625" style="34"/>
    <col min="13057" max="13057" width="4.42578125" style="34" customWidth="1"/>
    <col min="13058" max="13058" width="7.5703125" style="34" customWidth="1"/>
    <col min="13059" max="13059" width="47.42578125" style="34" customWidth="1"/>
    <col min="13060" max="13060" width="14.85546875" style="34" customWidth="1"/>
    <col min="13061" max="13061" width="14" style="34" customWidth="1"/>
    <col min="13062" max="13062" width="14.140625" style="34" customWidth="1"/>
    <col min="13063" max="13063" width="14.7109375" style="34" customWidth="1"/>
    <col min="13064" max="13312" width="9.140625" style="34"/>
    <col min="13313" max="13313" width="4.42578125" style="34" customWidth="1"/>
    <col min="13314" max="13314" width="7.5703125" style="34" customWidth="1"/>
    <col min="13315" max="13315" width="47.42578125" style="34" customWidth="1"/>
    <col min="13316" max="13316" width="14.85546875" style="34" customWidth="1"/>
    <col min="13317" max="13317" width="14" style="34" customWidth="1"/>
    <col min="13318" max="13318" width="14.140625" style="34" customWidth="1"/>
    <col min="13319" max="13319" width="14.7109375" style="34" customWidth="1"/>
    <col min="13320" max="13568" width="9.140625" style="34"/>
    <col min="13569" max="13569" width="4.42578125" style="34" customWidth="1"/>
    <col min="13570" max="13570" width="7.5703125" style="34" customWidth="1"/>
    <col min="13571" max="13571" width="47.42578125" style="34" customWidth="1"/>
    <col min="13572" max="13572" width="14.85546875" style="34" customWidth="1"/>
    <col min="13573" max="13573" width="14" style="34" customWidth="1"/>
    <col min="13574" max="13574" width="14.140625" style="34" customWidth="1"/>
    <col min="13575" max="13575" width="14.7109375" style="34" customWidth="1"/>
    <col min="13576" max="13824" width="9.140625" style="34"/>
    <col min="13825" max="13825" width="4.42578125" style="34" customWidth="1"/>
    <col min="13826" max="13826" width="7.5703125" style="34" customWidth="1"/>
    <col min="13827" max="13827" width="47.42578125" style="34" customWidth="1"/>
    <col min="13828" max="13828" width="14.85546875" style="34" customWidth="1"/>
    <col min="13829" max="13829" width="14" style="34" customWidth="1"/>
    <col min="13830" max="13830" width="14.140625" style="34" customWidth="1"/>
    <col min="13831" max="13831" width="14.7109375" style="34" customWidth="1"/>
    <col min="13832" max="14080" width="9.140625" style="34"/>
    <col min="14081" max="14081" width="4.42578125" style="34" customWidth="1"/>
    <col min="14082" max="14082" width="7.5703125" style="34" customWidth="1"/>
    <col min="14083" max="14083" width="47.42578125" style="34" customWidth="1"/>
    <col min="14084" max="14084" width="14.85546875" style="34" customWidth="1"/>
    <col min="14085" max="14085" width="14" style="34" customWidth="1"/>
    <col min="14086" max="14086" width="14.140625" style="34" customWidth="1"/>
    <col min="14087" max="14087" width="14.7109375" style="34" customWidth="1"/>
    <col min="14088" max="14336" width="9.140625" style="34"/>
    <col min="14337" max="14337" width="4.42578125" style="34" customWidth="1"/>
    <col min="14338" max="14338" width="7.5703125" style="34" customWidth="1"/>
    <col min="14339" max="14339" width="47.42578125" style="34" customWidth="1"/>
    <col min="14340" max="14340" width="14.85546875" style="34" customWidth="1"/>
    <col min="14341" max="14341" width="14" style="34" customWidth="1"/>
    <col min="14342" max="14342" width="14.140625" style="34" customWidth="1"/>
    <col min="14343" max="14343" width="14.7109375" style="34" customWidth="1"/>
    <col min="14344" max="14592" width="9.140625" style="34"/>
    <col min="14593" max="14593" width="4.42578125" style="34" customWidth="1"/>
    <col min="14594" max="14594" width="7.5703125" style="34" customWidth="1"/>
    <col min="14595" max="14595" width="47.42578125" style="34" customWidth="1"/>
    <col min="14596" max="14596" width="14.85546875" style="34" customWidth="1"/>
    <col min="14597" max="14597" width="14" style="34" customWidth="1"/>
    <col min="14598" max="14598" width="14.140625" style="34" customWidth="1"/>
    <col min="14599" max="14599" width="14.7109375" style="34" customWidth="1"/>
    <col min="14600" max="14848" width="9.140625" style="34"/>
    <col min="14849" max="14849" width="4.42578125" style="34" customWidth="1"/>
    <col min="14850" max="14850" width="7.5703125" style="34" customWidth="1"/>
    <col min="14851" max="14851" width="47.42578125" style="34" customWidth="1"/>
    <col min="14852" max="14852" width="14.85546875" style="34" customWidth="1"/>
    <col min="14853" max="14853" width="14" style="34" customWidth="1"/>
    <col min="14854" max="14854" width="14.140625" style="34" customWidth="1"/>
    <col min="14855" max="14855" width="14.7109375" style="34" customWidth="1"/>
    <col min="14856" max="15104" width="9.140625" style="34"/>
    <col min="15105" max="15105" width="4.42578125" style="34" customWidth="1"/>
    <col min="15106" max="15106" width="7.5703125" style="34" customWidth="1"/>
    <col min="15107" max="15107" width="47.42578125" style="34" customWidth="1"/>
    <col min="15108" max="15108" width="14.85546875" style="34" customWidth="1"/>
    <col min="15109" max="15109" width="14" style="34" customWidth="1"/>
    <col min="15110" max="15110" width="14.140625" style="34" customWidth="1"/>
    <col min="15111" max="15111" width="14.7109375" style="34" customWidth="1"/>
    <col min="15112" max="15360" width="9.140625" style="34"/>
    <col min="15361" max="15361" width="4.42578125" style="34" customWidth="1"/>
    <col min="15362" max="15362" width="7.5703125" style="34" customWidth="1"/>
    <col min="15363" max="15363" width="47.42578125" style="34" customWidth="1"/>
    <col min="15364" max="15364" width="14.85546875" style="34" customWidth="1"/>
    <col min="15365" max="15365" width="14" style="34" customWidth="1"/>
    <col min="15366" max="15366" width="14.140625" style="34" customWidth="1"/>
    <col min="15367" max="15367" width="14.7109375" style="34" customWidth="1"/>
    <col min="15368" max="15616" width="9.140625" style="34"/>
    <col min="15617" max="15617" width="4.42578125" style="34" customWidth="1"/>
    <col min="15618" max="15618" width="7.5703125" style="34" customWidth="1"/>
    <col min="15619" max="15619" width="47.42578125" style="34" customWidth="1"/>
    <col min="15620" max="15620" width="14.85546875" style="34" customWidth="1"/>
    <col min="15621" max="15621" width="14" style="34" customWidth="1"/>
    <col min="15622" max="15622" width="14.140625" style="34" customWidth="1"/>
    <col min="15623" max="15623" width="14.7109375" style="34" customWidth="1"/>
    <col min="15624" max="15872" width="9.140625" style="34"/>
    <col min="15873" max="15873" width="4.42578125" style="34" customWidth="1"/>
    <col min="15874" max="15874" width="7.5703125" style="34" customWidth="1"/>
    <col min="15875" max="15875" width="47.42578125" style="34" customWidth="1"/>
    <col min="15876" max="15876" width="14.85546875" style="34" customWidth="1"/>
    <col min="15877" max="15877" width="14" style="34" customWidth="1"/>
    <col min="15878" max="15878" width="14.140625" style="34" customWidth="1"/>
    <col min="15879" max="15879" width="14.7109375" style="34" customWidth="1"/>
    <col min="15880" max="16128" width="9.140625" style="34"/>
    <col min="16129" max="16129" width="4.42578125" style="34" customWidth="1"/>
    <col min="16130" max="16130" width="7.5703125" style="34" customWidth="1"/>
    <col min="16131" max="16131" width="47.42578125" style="34" customWidth="1"/>
    <col min="16132" max="16132" width="14.85546875" style="34" customWidth="1"/>
    <col min="16133" max="16133" width="14" style="34" customWidth="1"/>
    <col min="16134" max="16134" width="14.140625" style="34" customWidth="1"/>
    <col min="16135" max="16135" width="14.7109375" style="34" customWidth="1"/>
    <col min="16136" max="16384" width="9.140625" style="34"/>
  </cols>
  <sheetData>
    <row r="1" spans="1:7" s="25" customFormat="1" ht="12.75" x14ac:dyDescent="0.25">
      <c r="F1" s="26" t="s">
        <v>180</v>
      </c>
    </row>
    <row r="2" spans="1:7" s="25" customFormat="1" ht="12.75" x14ac:dyDescent="0.25">
      <c r="F2" s="27" t="s">
        <v>178</v>
      </c>
    </row>
    <row r="3" spans="1:7" s="25" customFormat="1" ht="12.75" x14ac:dyDescent="0.25">
      <c r="F3" s="27" t="s">
        <v>1</v>
      </c>
    </row>
    <row r="4" spans="1:7" s="25" customFormat="1" ht="12.75" x14ac:dyDescent="0.25">
      <c r="F4" s="27" t="s">
        <v>179</v>
      </c>
    </row>
    <row r="5" spans="1:7" s="28" customFormat="1" ht="25.5" customHeight="1" x14ac:dyDescent="0.2">
      <c r="A5" s="511" t="s">
        <v>181</v>
      </c>
      <c r="B5" s="511"/>
      <c r="C5" s="511"/>
      <c r="D5" s="511"/>
      <c r="E5" s="511"/>
      <c r="F5" s="511"/>
      <c r="G5" s="511"/>
    </row>
    <row r="6" spans="1:7" s="28" customFormat="1" ht="12" x14ac:dyDescent="0.2">
      <c r="A6" s="29" t="s">
        <v>182</v>
      </c>
      <c r="B6" s="29"/>
      <c r="C6" s="29"/>
      <c r="D6" s="29"/>
      <c r="E6" s="29"/>
      <c r="F6" s="29"/>
      <c r="G6" s="29"/>
    </row>
    <row r="7" spans="1:7" s="30" customFormat="1" ht="12" x14ac:dyDescent="0.2">
      <c r="A7" s="512" t="s">
        <v>183</v>
      </c>
      <c r="B7" s="512"/>
      <c r="C7" s="512"/>
      <c r="D7" s="512"/>
      <c r="E7" s="512"/>
      <c r="F7" s="512"/>
      <c r="G7" s="512"/>
    </row>
    <row r="8" spans="1:7" x14ac:dyDescent="0.25">
      <c r="A8" s="31"/>
      <c r="B8" s="31"/>
      <c r="C8" s="32"/>
      <c r="D8" s="31"/>
      <c r="E8" s="31"/>
      <c r="F8" s="31"/>
      <c r="G8" s="33"/>
    </row>
    <row r="9" spans="1:7" x14ac:dyDescent="0.25">
      <c r="A9" s="513" t="s">
        <v>184</v>
      </c>
      <c r="B9" s="35"/>
      <c r="C9" s="513" t="s">
        <v>185</v>
      </c>
      <c r="D9" s="516" t="s">
        <v>186</v>
      </c>
      <c r="E9" s="36"/>
      <c r="F9" s="37"/>
      <c r="G9" s="516" t="s">
        <v>187</v>
      </c>
    </row>
    <row r="10" spans="1:7" ht="9.75" customHeight="1" x14ac:dyDescent="0.25">
      <c r="A10" s="514"/>
      <c r="B10" s="38" t="s">
        <v>4</v>
      </c>
      <c r="C10" s="514"/>
      <c r="D10" s="517"/>
      <c r="E10" s="517" t="s">
        <v>188</v>
      </c>
      <c r="F10" s="517" t="s">
        <v>189</v>
      </c>
      <c r="G10" s="517"/>
    </row>
    <row r="11" spans="1:7" ht="3.75" customHeight="1" x14ac:dyDescent="0.25">
      <c r="A11" s="514"/>
      <c r="B11" s="39"/>
      <c r="C11" s="514"/>
      <c r="D11" s="517"/>
      <c r="E11" s="517"/>
      <c r="F11" s="517"/>
      <c r="G11" s="517"/>
    </row>
    <row r="12" spans="1:7" ht="13.5" customHeight="1" x14ac:dyDescent="0.25">
      <c r="A12" s="515"/>
      <c r="B12" s="39" t="s">
        <v>5</v>
      </c>
      <c r="C12" s="515"/>
      <c r="D12" s="518"/>
      <c r="E12" s="518"/>
      <c r="F12" s="518"/>
      <c r="G12" s="518"/>
    </row>
    <row r="13" spans="1:7" x14ac:dyDescent="0.25">
      <c r="A13" s="40">
        <v>1</v>
      </c>
      <c r="B13" s="40">
        <v>2</v>
      </c>
      <c r="C13" s="40">
        <v>3</v>
      </c>
      <c r="D13" s="40">
        <v>4</v>
      </c>
      <c r="E13" s="40">
        <v>5</v>
      </c>
      <c r="F13" s="40">
        <v>6</v>
      </c>
      <c r="G13" s="40">
        <v>7</v>
      </c>
    </row>
    <row r="14" spans="1:7" s="31" customFormat="1" ht="12" customHeight="1" x14ac:dyDescent="0.25">
      <c r="A14" s="41"/>
      <c r="B14" s="42">
        <v>801</v>
      </c>
      <c r="C14" s="43"/>
      <c r="D14" s="44"/>
      <c r="E14" s="44"/>
      <c r="F14" s="44"/>
      <c r="G14" s="44"/>
    </row>
    <row r="15" spans="1:7" ht="12" customHeight="1" x14ac:dyDescent="0.25">
      <c r="A15" s="45" t="s">
        <v>190</v>
      </c>
      <c r="B15" s="46">
        <v>80101</v>
      </c>
      <c r="C15" s="47" t="s">
        <v>13</v>
      </c>
      <c r="D15" s="48">
        <v>333</v>
      </c>
      <c r="E15" s="48">
        <v>835422.84</v>
      </c>
      <c r="F15" s="48">
        <v>835755.84</v>
      </c>
      <c r="G15" s="48">
        <v>0</v>
      </c>
    </row>
    <row r="16" spans="1:7" ht="12" customHeight="1" x14ac:dyDescent="0.25">
      <c r="A16" s="45" t="s">
        <v>191</v>
      </c>
      <c r="B16" s="46">
        <v>80104</v>
      </c>
      <c r="C16" s="49" t="s">
        <v>15</v>
      </c>
      <c r="D16" s="50">
        <v>2644.19</v>
      </c>
      <c r="E16" s="50">
        <v>5578632</v>
      </c>
      <c r="F16" s="50">
        <v>5581276.1900000004</v>
      </c>
      <c r="G16" s="50">
        <v>0</v>
      </c>
    </row>
    <row r="17" spans="1:7" ht="12" customHeight="1" x14ac:dyDescent="0.25">
      <c r="A17" s="51" t="s">
        <v>192</v>
      </c>
      <c r="B17" s="52">
        <v>80148</v>
      </c>
      <c r="C17" s="53" t="s">
        <v>105</v>
      </c>
      <c r="D17" s="54">
        <v>215.62</v>
      </c>
      <c r="E17" s="54">
        <v>3299009</v>
      </c>
      <c r="F17" s="54">
        <v>3299224.62</v>
      </c>
      <c r="G17" s="54">
        <v>0</v>
      </c>
    </row>
    <row r="18" spans="1:7" ht="12" customHeight="1" x14ac:dyDescent="0.25">
      <c r="A18" s="55"/>
      <c r="B18" s="56">
        <v>854</v>
      </c>
      <c r="C18" s="57"/>
      <c r="D18" s="58"/>
      <c r="E18" s="58"/>
      <c r="F18" s="58"/>
      <c r="G18" s="54"/>
    </row>
    <row r="19" spans="1:7" ht="23.25" customHeight="1" x14ac:dyDescent="0.25">
      <c r="A19" s="59" t="s">
        <v>190</v>
      </c>
      <c r="B19" s="60">
        <v>85412</v>
      </c>
      <c r="C19" s="61" t="s">
        <v>193</v>
      </c>
      <c r="D19" s="62">
        <v>0</v>
      </c>
      <c r="E19" s="62">
        <v>15000</v>
      </c>
      <c r="F19" s="62">
        <v>15000</v>
      </c>
      <c r="G19" s="63">
        <v>0</v>
      </c>
    </row>
    <row r="20" spans="1:7" x14ac:dyDescent="0.25">
      <c r="A20" s="64"/>
      <c r="B20" s="65"/>
      <c r="C20" s="66" t="s">
        <v>194</v>
      </c>
      <c r="D20" s="67">
        <f>SUM(D15:D17)+D19</f>
        <v>3192.81</v>
      </c>
      <c r="E20" s="67">
        <f t="shared" ref="E20:G20" si="0">SUM(E15:E17)+E19</f>
        <v>9728063.8399999999</v>
      </c>
      <c r="F20" s="67">
        <f t="shared" si="0"/>
        <v>9731256.6500000004</v>
      </c>
      <c r="G20" s="68">
        <f t="shared" si="0"/>
        <v>0</v>
      </c>
    </row>
    <row r="21" spans="1:7" ht="9" customHeight="1" x14ac:dyDescent="0.25">
      <c r="A21" s="69"/>
      <c r="B21" s="70"/>
      <c r="C21" s="71"/>
      <c r="D21" s="72"/>
      <c r="E21" s="72"/>
      <c r="F21" s="72"/>
      <c r="G21" s="72"/>
    </row>
    <row r="22" spans="1:7" x14ac:dyDescent="0.25">
      <c r="A22" s="56"/>
      <c r="B22" s="56">
        <v>801</v>
      </c>
      <c r="C22" s="73"/>
      <c r="D22" s="74"/>
      <c r="E22" s="74"/>
      <c r="F22" s="74"/>
      <c r="G22" s="74"/>
    </row>
    <row r="23" spans="1:7" ht="12" customHeight="1" x14ac:dyDescent="0.25">
      <c r="A23" s="75" t="s">
        <v>190</v>
      </c>
      <c r="B23" s="76">
        <v>80102</v>
      </c>
      <c r="C23" s="47" t="s">
        <v>148</v>
      </c>
      <c r="D23" s="48">
        <v>5.54</v>
      </c>
      <c r="E23" s="48">
        <v>14400</v>
      </c>
      <c r="F23" s="48">
        <v>14405.54</v>
      </c>
      <c r="G23" s="48">
        <v>0</v>
      </c>
    </row>
    <row r="24" spans="1:7" ht="12" customHeight="1" x14ac:dyDescent="0.25">
      <c r="A24" s="45" t="s">
        <v>191</v>
      </c>
      <c r="B24" s="46">
        <v>80115</v>
      </c>
      <c r="C24" s="49" t="s">
        <v>17</v>
      </c>
      <c r="D24" s="50">
        <v>373.99</v>
      </c>
      <c r="E24" s="50">
        <v>1134651</v>
      </c>
      <c r="F24" s="50">
        <v>1135024.99</v>
      </c>
      <c r="G24" s="50">
        <v>0</v>
      </c>
    </row>
    <row r="25" spans="1:7" ht="12" customHeight="1" x14ac:dyDescent="0.25">
      <c r="A25" s="45" t="s">
        <v>192</v>
      </c>
      <c r="B25" s="46">
        <v>80120</v>
      </c>
      <c r="C25" s="49" t="s">
        <v>18</v>
      </c>
      <c r="D25" s="77">
        <v>305.43</v>
      </c>
      <c r="E25" s="50">
        <v>278650</v>
      </c>
      <c r="F25" s="50">
        <v>278955.43</v>
      </c>
      <c r="G25" s="50">
        <v>0</v>
      </c>
    </row>
    <row r="26" spans="1:7" ht="12" customHeight="1" x14ac:dyDescent="0.25">
      <c r="A26" s="45" t="s">
        <v>195</v>
      </c>
      <c r="B26" s="46">
        <v>80132</v>
      </c>
      <c r="C26" s="49" t="s">
        <v>196</v>
      </c>
      <c r="D26" s="50">
        <v>0</v>
      </c>
      <c r="E26" s="50">
        <v>97791</v>
      </c>
      <c r="F26" s="50">
        <v>97791</v>
      </c>
      <c r="G26" s="78">
        <v>0</v>
      </c>
    </row>
    <row r="27" spans="1:7" ht="12" customHeight="1" x14ac:dyDescent="0.25">
      <c r="A27" s="79" t="s">
        <v>197</v>
      </c>
      <c r="B27" s="60">
        <v>80140</v>
      </c>
      <c r="C27" s="80" t="s">
        <v>198</v>
      </c>
      <c r="D27" s="81">
        <v>0</v>
      </c>
      <c r="E27" s="81">
        <v>150000</v>
      </c>
      <c r="F27" s="81">
        <v>150000</v>
      </c>
      <c r="G27" s="81">
        <v>0</v>
      </c>
    </row>
    <row r="28" spans="1:7" ht="12" customHeight="1" x14ac:dyDescent="0.25">
      <c r="A28" s="45" t="s">
        <v>199</v>
      </c>
      <c r="B28" s="60">
        <v>80142</v>
      </c>
      <c r="C28" s="80" t="s">
        <v>200</v>
      </c>
      <c r="D28" s="50">
        <v>0</v>
      </c>
      <c r="E28" s="50">
        <v>200000</v>
      </c>
      <c r="F28" s="50">
        <v>200000</v>
      </c>
      <c r="G28" s="50">
        <v>0</v>
      </c>
    </row>
    <row r="29" spans="1:7" ht="12" customHeight="1" x14ac:dyDescent="0.25">
      <c r="A29" s="45" t="s">
        <v>201</v>
      </c>
      <c r="B29" s="60">
        <v>80144</v>
      </c>
      <c r="C29" s="80" t="s">
        <v>202</v>
      </c>
      <c r="D29" s="50">
        <v>0</v>
      </c>
      <c r="E29" s="50">
        <v>100000</v>
      </c>
      <c r="F29" s="50">
        <v>100000</v>
      </c>
      <c r="G29" s="50">
        <v>0</v>
      </c>
    </row>
    <row r="30" spans="1:7" ht="12" customHeight="1" x14ac:dyDescent="0.25">
      <c r="A30" s="51" t="s">
        <v>203</v>
      </c>
      <c r="B30" s="52">
        <v>80148</v>
      </c>
      <c r="C30" s="53" t="s">
        <v>105</v>
      </c>
      <c r="D30" s="54">
        <v>0</v>
      </c>
      <c r="E30" s="54">
        <v>220315</v>
      </c>
      <c r="F30" s="54">
        <v>220315</v>
      </c>
      <c r="G30" s="54">
        <v>0</v>
      </c>
    </row>
    <row r="31" spans="1:7" ht="14.25" customHeight="1" x14ac:dyDescent="0.25">
      <c r="A31" s="82"/>
      <c r="B31" s="56">
        <v>854</v>
      </c>
      <c r="C31" s="83"/>
      <c r="D31" s="84"/>
      <c r="E31" s="84"/>
      <c r="F31" s="84"/>
      <c r="G31" s="84"/>
    </row>
    <row r="32" spans="1:7" ht="14.25" customHeight="1" x14ac:dyDescent="0.25">
      <c r="A32" s="60" t="s">
        <v>190</v>
      </c>
      <c r="B32" s="79">
        <v>85406</v>
      </c>
      <c r="C32" s="61" t="s">
        <v>204</v>
      </c>
      <c r="D32" s="81">
        <v>0</v>
      </c>
      <c r="E32" s="81">
        <v>4960</v>
      </c>
      <c r="F32" s="81">
        <v>4960</v>
      </c>
      <c r="G32" s="81">
        <v>0</v>
      </c>
    </row>
    <row r="33" spans="1:7" ht="12" customHeight="1" x14ac:dyDescent="0.25">
      <c r="A33" s="60" t="s">
        <v>191</v>
      </c>
      <c r="B33" s="46">
        <v>85410</v>
      </c>
      <c r="C33" s="49" t="s">
        <v>205</v>
      </c>
      <c r="D33" s="50">
        <v>318.79000000000002</v>
      </c>
      <c r="E33" s="50">
        <v>662650</v>
      </c>
      <c r="F33" s="50">
        <v>662968.79</v>
      </c>
      <c r="G33" s="50">
        <v>0</v>
      </c>
    </row>
    <row r="34" spans="1:7" ht="22.5" customHeight="1" x14ac:dyDescent="0.25">
      <c r="A34" s="60" t="s">
        <v>192</v>
      </c>
      <c r="B34" s="60">
        <v>85412</v>
      </c>
      <c r="C34" s="61" t="s">
        <v>193</v>
      </c>
      <c r="D34" s="81">
        <v>0</v>
      </c>
      <c r="E34" s="81">
        <v>2600</v>
      </c>
      <c r="F34" s="81">
        <v>2600</v>
      </c>
      <c r="G34" s="81">
        <v>0</v>
      </c>
    </row>
    <row r="35" spans="1:7" ht="12" customHeight="1" x14ac:dyDescent="0.25">
      <c r="A35" s="60" t="s">
        <v>195</v>
      </c>
      <c r="B35" s="46">
        <v>85417</v>
      </c>
      <c r="C35" s="61" t="s">
        <v>206</v>
      </c>
      <c r="D35" s="50">
        <v>0</v>
      </c>
      <c r="E35" s="50">
        <v>153400</v>
      </c>
      <c r="F35" s="50">
        <v>153400</v>
      </c>
      <c r="G35" s="50">
        <v>0</v>
      </c>
    </row>
    <row r="36" spans="1:7" ht="12" customHeight="1" x14ac:dyDescent="0.25">
      <c r="A36" s="52" t="s">
        <v>197</v>
      </c>
      <c r="B36" s="85">
        <v>85420</v>
      </c>
      <c r="C36" s="53" t="s">
        <v>207</v>
      </c>
      <c r="D36" s="86">
        <v>0</v>
      </c>
      <c r="E36" s="86">
        <v>37310.01</v>
      </c>
      <c r="F36" s="86">
        <v>37310.01</v>
      </c>
      <c r="G36" s="87">
        <v>0</v>
      </c>
    </row>
    <row r="37" spans="1:7" ht="12" customHeight="1" x14ac:dyDescent="0.25">
      <c r="A37" s="88"/>
      <c r="B37" s="85"/>
      <c r="C37" s="66" t="s">
        <v>208</v>
      </c>
      <c r="D37" s="89">
        <f>SUM(D23:D36)</f>
        <v>1003.75</v>
      </c>
      <c r="E37" s="89">
        <f t="shared" ref="E37:G37" si="1">SUM(E23:E36)</f>
        <v>3056727.01</v>
      </c>
      <c r="F37" s="89">
        <f t="shared" si="1"/>
        <v>3057730.76</v>
      </c>
      <c r="G37" s="89">
        <f t="shared" si="1"/>
        <v>0</v>
      </c>
    </row>
    <row r="38" spans="1:7" ht="12" customHeight="1" x14ac:dyDescent="0.25">
      <c r="A38" s="90"/>
      <c r="B38" s="91"/>
      <c r="C38" s="66" t="s">
        <v>209</v>
      </c>
      <c r="D38" s="68">
        <f>D20+D37</f>
        <v>4196.5599999999995</v>
      </c>
      <c r="E38" s="68">
        <f>E20+E37</f>
        <v>12784790.85</v>
      </c>
      <c r="F38" s="68">
        <f t="shared" ref="F38:G38" si="2">F20+F37</f>
        <v>12788987.41</v>
      </c>
      <c r="G38" s="68">
        <f t="shared" si="2"/>
        <v>0</v>
      </c>
    </row>
    <row r="39" spans="1:7" x14ac:dyDescent="0.25">
      <c r="A39" s="92"/>
      <c r="B39" s="92"/>
      <c r="C39" s="93"/>
    </row>
    <row r="40" spans="1:7" x14ac:dyDescent="0.25">
      <c r="A40" s="92"/>
      <c r="B40" s="92"/>
      <c r="C40" s="93"/>
    </row>
    <row r="41" spans="1:7" x14ac:dyDescent="0.25">
      <c r="A41" s="92"/>
      <c r="B41" s="92"/>
      <c r="C41" s="93"/>
    </row>
  </sheetData>
  <mergeCells count="8">
    <mergeCell ref="A5:G5"/>
    <mergeCell ref="A7:G7"/>
    <mergeCell ref="A9:A12"/>
    <mergeCell ref="C9:C12"/>
    <mergeCell ref="D9:D12"/>
    <mergeCell ref="G9:G12"/>
    <mergeCell ref="E10:E12"/>
    <mergeCell ref="F10:F12"/>
  </mergeCells>
  <pageMargins left="0.70866141732283472" right="0.70866141732283472" top="0.55118110236220474" bottom="0.55118110236220474" header="0.31496062992125984" footer="0.31496062992125984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5</vt:i4>
      </vt:variant>
    </vt:vector>
  </HeadingPairs>
  <TitlesOfParts>
    <vt:vector size="10" baseType="lpstr">
      <vt:lpstr>Zał.Nr1</vt:lpstr>
      <vt:lpstr>Zał.Nr2</vt:lpstr>
      <vt:lpstr>Zał.Nr3</vt:lpstr>
      <vt:lpstr>Zał.Nr4</vt:lpstr>
      <vt:lpstr>Zał.Nr5</vt:lpstr>
      <vt:lpstr>Zał.Nr1!Obszar_wydruku</vt:lpstr>
      <vt:lpstr>Zał.Nr2!Obszar_wydruku</vt:lpstr>
      <vt:lpstr>Zał.Nr1!Tytuły_wydruku</vt:lpstr>
      <vt:lpstr>Zał.Nr3!Tytuły_wydruku</vt:lpstr>
      <vt:lpstr>Zał.Nr4!Tytuły_wydruku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Szubska</dc:creator>
  <cp:lastModifiedBy>Renata Ciechurska</cp:lastModifiedBy>
  <cp:lastPrinted>2026-07-01T11:35:55Z</cp:lastPrinted>
  <dcterms:created xsi:type="dcterms:W3CDTF">2015-06-05T18:19:34Z</dcterms:created>
  <dcterms:modified xsi:type="dcterms:W3CDTF">2026-07-01T11:45:59Z</dcterms:modified>
</cp:coreProperties>
</file>