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ciechurska\Desktop\"/>
    </mc:Choice>
  </mc:AlternateContent>
  <xr:revisionPtr revIDLastSave="0" documentId="8_{9763503D-2068-4A48-8EA3-3F88D6FF69EB}" xr6:coauthVersionLast="47" xr6:coauthVersionMax="47" xr10:uidLastSave="{00000000-0000-0000-0000-000000000000}"/>
  <bookViews>
    <workbookView xWindow="-120" yWindow="-120" windowWidth="20730" windowHeight="11160" xr2:uid="{9C989555-C422-4029-97F3-ACD69FD0A070}"/>
  </bookViews>
  <sheets>
    <sheet name="Zał.Nr1" sheetId="9" r:id="rId1"/>
    <sheet name="Zał.Nr2" sheetId="4" r:id="rId2"/>
    <sheet name="Zał.Nr3" sheetId="5" r:id="rId3"/>
    <sheet name="Zał.Nr4" sheetId="6" r:id="rId4"/>
    <sheet name="Zał.Nr5" sheetId="7" r:id="rId5"/>
    <sheet name="Zał.Nr6" sheetId="8" r:id="rId6"/>
    <sheet name="Zał.Nr7" sheetId="2" r:id="rId7"/>
    <sheet name="Zał.Nr8" sheetId="3" r:id="rId8"/>
    <sheet name="Arkusz1" sheetId="1" r:id="rId9"/>
  </sheets>
  <definedNames>
    <definedName name="_xlnm._FilterDatabase" localSheetId="0" hidden="1">Zał.Nr1!$A$75:$H$231</definedName>
    <definedName name="_xlnm._FilterDatabase" localSheetId="1" hidden="1">Zał.Nr2!$B$1:$B$27</definedName>
    <definedName name="_xlnm._FilterDatabase" localSheetId="2" hidden="1">Zał.Nr3!$A$1:$A$43</definedName>
    <definedName name="_xlnm.Print_Area" localSheetId="0">Zał.Nr1!$A$1:$H$585</definedName>
    <definedName name="_xlnm.Print_Area" localSheetId="1">Zał.Nr2!$A$1:$M$27</definedName>
    <definedName name="_xlnm.Print_Titles" localSheetId="0">Zał.Nr1!$7:$9</definedName>
    <definedName name="_xlnm.Print_Titles" localSheetId="1">Zał.Nr2!$11:$18</definedName>
    <definedName name="_xlnm.Print_Titles" localSheetId="4">Zał.Nr5!$10:$11</definedName>
    <definedName name="_xlnm.Print_Titles" localSheetId="5">Zał.Nr6!$37:$37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84" i="9" l="1"/>
  <c r="H583" i="9"/>
  <c r="H582" i="9"/>
  <c r="H581" i="9"/>
  <c r="H580" i="9"/>
  <c r="G579" i="9"/>
  <c r="F579" i="9"/>
  <c r="G578" i="9"/>
  <c r="G577" i="9" s="1"/>
  <c r="H576" i="9"/>
  <c r="H575" i="9"/>
  <c r="H574" i="9"/>
  <c r="H573" i="9"/>
  <c r="H572" i="9"/>
  <c r="H571" i="9"/>
  <c r="H570" i="9"/>
  <c r="G569" i="9"/>
  <c r="G568" i="9" s="1"/>
  <c r="G567" i="9" s="1"/>
  <c r="F569" i="9"/>
  <c r="H569" i="9" s="1"/>
  <c r="H566" i="9"/>
  <c r="H565" i="9"/>
  <c r="G564" i="9"/>
  <c r="F564" i="9"/>
  <c r="G563" i="9"/>
  <c r="G562" i="9" s="1"/>
  <c r="H560" i="9"/>
  <c r="G559" i="9"/>
  <c r="G558" i="9" s="1"/>
  <c r="F559" i="9"/>
  <c r="H559" i="9" s="1"/>
  <c r="H555" i="9"/>
  <c r="H554" i="9"/>
  <c r="G554" i="9"/>
  <c r="F554" i="9"/>
  <c r="H553" i="9"/>
  <c r="H552" i="9"/>
  <c r="H551" i="9"/>
  <c r="H550" i="9"/>
  <c r="G549" i="9"/>
  <c r="F549" i="9"/>
  <c r="F548" i="9" s="1"/>
  <c r="H546" i="9"/>
  <c r="H545" i="9"/>
  <c r="G544" i="9"/>
  <c r="F544" i="9"/>
  <c r="F543" i="9" s="1"/>
  <c r="H542" i="9"/>
  <c r="G541" i="9"/>
  <c r="G540" i="9" s="1"/>
  <c r="F541" i="9"/>
  <c r="H539" i="9"/>
  <c r="H538" i="9"/>
  <c r="G537" i="9"/>
  <c r="G536" i="9" s="1"/>
  <c r="F537" i="9"/>
  <c r="H535" i="9"/>
  <c r="H534" i="9"/>
  <c r="G533" i="9"/>
  <c r="F533" i="9"/>
  <c r="G532" i="9"/>
  <c r="H529" i="9"/>
  <c r="H528" i="9"/>
  <c r="H527" i="9"/>
  <c r="G526" i="9"/>
  <c r="H526" i="9" s="1"/>
  <c r="F526" i="9"/>
  <c r="H525" i="9"/>
  <c r="H524" i="9"/>
  <c r="H523" i="9"/>
  <c r="G522" i="9"/>
  <c r="F522" i="9"/>
  <c r="H521" i="9"/>
  <c r="H520" i="9"/>
  <c r="H519" i="9"/>
  <c r="G518" i="9"/>
  <c r="F518" i="9"/>
  <c r="H517" i="9"/>
  <c r="F517" i="9"/>
  <c r="H516" i="9"/>
  <c r="F516" i="9"/>
  <c r="H515" i="9"/>
  <c r="F515" i="9"/>
  <c r="H514" i="9"/>
  <c r="F514" i="9"/>
  <c r="G513" i="9"/>
  <c r="F513" i="9"/>
  <c r="H511" i="9"/>
  <c r="F511" i="9"/>
  <c r="H510" i="9"/>
  <c r="F510" i="9"/>
  <c r="H509" i="9"/>
  <c r="F509" i="9"/>
  <c r="G508" i="9"/>
  <c r="G507" i="9" s="1"/>
  <c r="F508" i="9"/>
  <c r="H505" i="9"/>
  <c r="H504" i="9"/>
  <c r="H503" i="9"/>
  <c r="H502" i="9"/>
  <c r="H501" i="9"/>
  <c r="H500" i="9"/>
  <c r="G500" i="9"/>
  <c r="G499" i="9" s="1"/>
  <c r="F500" i="9"/>
  <c r="F499" i="9" s="1"/>
  <c r="H498" i="9"/>
  <c r="H497" i="9"/>
  <c r="G496" i="9"/>
  <c r="F496" i="9"/>
  <c r="F495" i="9" s="1"/>
  <c r="G495" i="9"/>
  <c r="G494" i="9" s="1"/>
  <c r="F490" i="9"/>
  <c r="H488" i="9"/>
  <c r="H487" i="9"/>
  <c r="H486" i="9"/>
  <c r="G485" i="9"/>
  <c r="F485" i="9"/>
  <c r="F484" i="9"/>
  <c r="H483" i="9"/>
  <c r="G482" i="9"/>
  <c r="F482" i="9"/>
  <c r="G481" i="9"/>
  <c r="H479" i="9"/>
  <c r="H478" i="9"/>
  <c r="G477" i="9"/>
  <c r="F477" i="9"/>
  <c r="G476" i="9"/>
  <c r="H475" i="9"/>
  <c r="H474" i="9"/>
  <c r="H473" i="9"/>
  <c r="H472" i="9"/>
  <c r="H471" i="9"/>
  <c r="H470" i="9"/>
  <c r="G469" i="9"/>
  <c r="G468" i="9" s="1"/>
  <c r="F469" i="9"/>
  <c r="H460" i="9"/>
  <c r="G459" i="9"/>
  <c r="G458" i="9" s="1"/>
  <c r="F459" i="9"/>
  <c r="F458" i="9" s="1"/>
  <c r="H458" i="9" s="1"/>
  <c r="H457" i="9"/>
  <c r="H456" i="9"/>
  <c r="G456" i="9"/>
  <c r="F456" i="9"/>
  <c r="F455" i="9" s="1"/>
  <c r="G455" i="9"/>
  <c r="H454" i="9"/>
  <c r="H453" i="9"/>
  <c r="G452" i="9"/>
  <c r="G451" i="9" s="1"/>
  <c r="F452" i="9"/>
  <c r="F451" i="9" s="1"/>
  <c r="H450" i="9"/>
  <c r="H449" i="9"/>
  <c r="H448" i="9"/>
  <c r="H447" i="9"/>
  <c r="H446" i="9"/>
  <c r="H445" i="9"/>
  <c r="H444" i="9"/>
  <c r="G444" i="9"/>
  <c r="F444" i="9"/>
  <c r="F443" i="9" s="1"/>
  <c r="G443" i="9"/>
  <c r="H442" i="9"/>
  <c r="H441" i="9"/>
  <c r="H440" i="9"/>
  <c r="H439" i="9"/>
  <c r="H438" i="9"/>
  <c r="H437" i="9"/>
  <c r="G436" i="9"/>
  <c r="G435" i="9" s="1"/>
  <c r="F436" i="9"/>
  <c r="F435" i="9" s="1"/>
  <c r="H434" i="9"/>
  <c r="H433" i="9"/>
  <c r="H432" i="9"/>
  <c r="H431" i="9"/>
  <c r="H430" i="9"/>
  <c r="H429" i="9"/>
  <c r="H428" i="9"/>
  <c r="G428" i="9"/>
  <c r="F428" i="9"/>
  <c r="F427" i="9" s="1"/>
  <c r="G427" i="9"/>
  <c r="H426" i="9"/>
  <c r="H425" i="9"/>
  <c r="H424" i="9"/>
  <c r="H423" i="9"/>
  <c r="H422" i="9"/>
  <c r="H421" i="9"/>
  <c r="H420" i="9"/>
  <c r="H419" i="9"/>
  <c r="H418" i="9"/>
  <c r="H417" i="9"/>
  <c r="H416" i="9"/>
  <c r="H415" i="9"/>
  <c r="H414" i="9"/>
  <c r="G413" i="9"/>
  <c r="F413" i="9"/>
  <c r="F412" i="9"/>
  <c r="H411" i="9"/>
  <c r="H410" i="9"/>
  <c r="H409" i="9"/>
  <c r="H408" i="9"/>
  <c r="G408" i="9"/>
  <c r="F408" i="9"/>
  <c r="F407" i="9" s="1"/>
  <c r="H407" i="9" s="1"/>
  <c r="G407" i="9"/>
  <c r="H406" i="9"/>
  <c r="H405" i="9"/>
  <c r="H404" i="9"/>
  <c r="H403" i="9"/>
  <c r="G402" i="9"/>
  <c r="G401" i="9" s="1"/>
  <c r="F402" i="9"/>
  <c r="H400" i="9"/>
  <c r="H399" i="9"/>
  <c r="H398" i="9"/>
  <c r="H397" i="9"/>
  <c r="G396" i="9"/>
  <c r="G395" i="9" s="1"/>
  <c r="F396" i="9"/>
  <c r="H396" i="9" s="1"/>
  <c r="F395" i="9"/>
  <c r="H394" i="9"/>
  <c r="H393" i="9"/>
  <c r="H392" i="9"/>
  <c r="H391" i="9"/>
  <c r="H390" i="9"/>
  <c r="H389" i="9"/>
  <c r="G388" i="9"/>
  <c r="F388" i="9"/>
  <c r="F387" i="9" s="1"/>
  <c r="G387" i="9"/>
  <c r="H386" i="9"/>
  <c r="G385" i="9"/>
  <c r="F385" i="9"/>
  <c r="F384" i="9" s="1"/>
  <c r="H383" i="9"/>
  <c r="H382" i="9"/>
  <c r="H381" i="9"/>
  <c r="G380" i="9"/>
  <c r="F380" i="9"/>
  <c r="F379" i="9" s="1"/>
  <c r="G379" i="9"/>
  <c r="H378" i="9"/>
  <c r="H377" i="9"/>
  <c r="H376" i="9"/>
  <c r="H375" i="9"/>
  <c r="H374" i="9"/>
  <c r="H373" i="9"/>
  <c r="G372" i="9"/>
  <c r="G371" i="9" s="1"/>
  <c r="F372" i="9"/>
  <c r="F371" i="9" s="1"/>
  <c r="H369" i="9"/>
  <c r="H368" i="9"/>
  <c r="H367" i="9"/>
  <c r="H366" i="9"/>
  <c r="G365" i="9"/>
  <c r="G364" i="9" s="1"/>
  <c r="G363" i="9" s="1"/>
  <c r="F365" i="9"/>
  <c r="H365" i="9" s="1"/>
  <c r="H362" i="9"/>
  <c r="H361" i="9"/>
  <c r="G361" i="9"/>
  <c r="F361" i="9"/>
  <c r="G360" i="9"/>
  <c r="G359" i="9" s="1"/>
  <c r="F360" i="9"/>
  <c r="F359" i="9"/>
  <c r="H357" i="9"/>
  <c r="G357" i="9"/>
  <c r="H356" i="9"/>
  <c r="H355" i="9"/>
  <c r="G354" i="9"/>
  <c r="G353" i="9" s="1"/>
  <c r="G352" i="9" s="1"/>
  <c r="F354" i="9"/>
  <c r="H351" i="9"/>
  <c r="H350" i="9"/>
  <c r="H349" i="9"/>
  <c r="G348" i="9"/>
  <c r="F348" i="9"/>
  <c r="H348" i="9" s="1"/>
  <c r="F347" i="9"/>
  <c r="H347" i="9" s="1"/>
  <c r="F346" i="9"/>
  <c r="H345" i="9"/>
  <c r="F345" i="9"/>
  <c r="G344" i="9"/>
  <c r="H343" i="9"/>
  <c r="G342" i="9"/>
  <c r="F342" i="9"/>
  <c r="H340" i="9"/>
  <c r="H339" i="9"/>
  <c r="H338" i="9"/>
  <c r="H337" i="9"/>
  <c r="H336" i="9"/>
  <c r="H335" i="9"/>
  <c r="H334" i="9"/>
  <c r="H333" i="9"/>
  <c r="G332" i="9"/>
  <c r="H332" i="9" s="1"/>
  <c r="G331" i="9"/>
  <c r="H331" i="9" s="1"/>
  <c r="H330" i="9"/>
  <c r="H329" i="9"/>
  <c r="F328" i="9"/>
  <c r="H327" i="9"/>
  <c r="H324" i="9"/>
  <c r="H323" i="9"/>
  <c r="G322" i="9"/>
  <c r="G321" i="9" s="1"/>
  <c r="F322" i="9"/>
  <c r="F321" i="9"/>
  <c r="G320" i="9"/>
  <c r="G319" i="9" s="1"/>
  <c r="G318" i="9" s="1"/>
  <c r="F319" i="9"/>
  <c r="F318" i="9"/>
  <c r="H316" i="9"/>
  <c r="H315" i="9"/>
  <c r="H314" i="9"/>
  <c r="H313" i="9"/>
  <c r="H312" i="9"/>
  <c r="G312" i="9"/>
  <c r="F312" i="9"/>
  <c r="F311" i="9" s="1"/>
  <c r="H311" i="9" s="1"/>
  <c r="G311" i="9"/>
  <c r="F310" i="9"/>
  <c r="H310" i="9" s="1"/>
  <c r="F309" i="9"/>
  <c r="H309" i="9" s="1"/>
  <c r="F308" i="9"/>
  <c r="G307" i="9"/>
  <c r="F306" i="9"/>
  <c r="H306" i="9" s="1"/>
  <c r="F305" i="9"/>
  <c r="H305" i="9" s="1"/>
  <c r="F304" i="9"/>
  <c r="F303" i="9" s="1"/>
  <c r="G303" i="9"/>
  <c r="G302" i="9" s="1"/>
  <c r="H301" i="9"/>
  <c r="H300" i="9"/>
  <c r="G300" i="9"/>
  <c r="F300" i="9"/>
  <c r="F299" i="9" s="1"/>
  <c r="H299" i="9" s="1"/>
  <c r="G299" i="9"/>
  <c r="G296" i="9" s="1"/>
  <c r="H295" i="9"/>
  <c r="F294" i="9"/>
  <c r="H294" i="9" s="1"/>
  <c r="H293" i="9"/>
  <c r="H292" i="9"/>
  <c r="H291" i="9"/>
  <c r="H290" i="9"/>
  <c r="F290" i="9"/>
  <c r="F289" i="9"/>
  <c r="H289" i="9" s="1"/>
  <c r="H288" i="9"/>
  <c r="F288" i="9"/>
  <c r="G287" i="9"/>
  <c r="H286" i="9"/>
  <c r="G285" i="9"/>
  <c r="F285" i="9"/>
  <c r="G284" i="9"/>
  <c r="G283" i="9"/>
  <c r="H282" i="9"/>
  <c r="H281" i="9"/>
  <c r="H280" i="9"/>
  <c r="H279" i="9"/>
  <c r="G278" i="9"/>
  <c r="F278" i="9"/>
  <c r="H278" i="9" s="1"/>
  <c r="H277" i="9"/>
  <c r="H276" i="9"/>
  <c r="H275" i="9"/>
  <c r="H274" i="9"/>
  <c r="G273" i="9"/>
  <c r="F273" i="9"/>
  <c r="F271" i="9"/>
  <c r="H271" i="9" s="1"/>
  <c r="F270" i="9"/>
  <c r="H270" i="9" s="1"/>
  <c r="F269" i="9"/>
  <c r="H269" i="9" s="1"/>
  <c r="G268" i="9"/>
  <c r="G266" i="9" s="1"/>
  <c r="F268" i="9"/>
  <c r="F264" i="9"/>
  <c r="H264" i="9" s="1"/>
  <c r="H263" i="9"/>
  <c r="F263" i="9"/>
  <c r="F262" i="9"/>
  <c r="F261" i="9" s="1"/>
  <c r="G261" i="9"/>
  <c r="G260" i="9" s="1"/>
  <c r="H259" i="9"/>
  <c r="H258" i="9"/>
  <c r="H257" i="9"/>
  <c r="H256" i="9"/>
  <c r="H255" i="9"/>
  <c r="H254" i="9"/>
  <c r="G253" i="9"/>
  <c r="F253" i="9"/>
  <c r="H252" i="9"/>
  <c r="H251" i="9"/>
  <c r="H250" i="9"/>
  <c r="G249" i="9"/>
  <c r="F249" i="9"/>
  <c r="F248" i="9"/>
  <c r="H247" i="9"/>
  <c r="F246" i="9"/>
  <c r="H246" i="9" s="1"/>
  <c r="H245" i="9"/>
  <c r="F245" i="9"/>
  <c r="F244" i="9"/>
  <c r="F243" i="9" s="1"/>
  <c r="H243" i="9" s="1"/>
  <c r="G243" i="9"/>
  <c r="G232" i="9" s="1"/>
  <c r="F242" i="9"/>
  <c r="H242" i="9" s="1"/>
  <c r="H241" i="9"/>
  <c r="H240" i="9"/>
  <c r="H239" i="9"/>
  <c r="G238" i="9"/>
  <c r="F238" i="9"/>
  <c r="H237" i="9"/>
  <c r="F237" i="9"/>
  <c r="H236" i="9"/>
  <c r="F235" i="9"/>
  <c r="H235" i="9" s="1"/>
  <c r="H234" i="9"/>
  <c r="G233" i="9"/>
  <c r="H230" i="9"/>
  <c r="H229" i="9"/>
  <c r="H228" i="9"/>
  <c r="G227" i="9"/>
  <c r="G226" i="9" s="1"/>
  <c r="F227" i="9"/>
  <c r="H225" i="9"/>
  <c r="H224" i="9"/>
  <c r="H223" i="9"/>
  <c r="F222" i="9"/>
  <c r="H222" i="9" s="1"/>
  <c r="F221" i="9"/>
  <c r="H221" i="9" s="1"/>
  <c r="F220" i="9"/>
  <c r="G219" i="9"/>
  <c r="H218" i="9"/>
  <c r="G217" i="9"/>
  <c r="H217" i="9" s="1"/>
  <c r="F217" i="9"/>
  <c r="H216" i="9"/>
  <c r="H215" i="9"/>
  <c r="H214" i="9"/>
  <c r="G213" i="9"/>
  <c r="F213" i="9"/>
  <c r="H211" i="9"/>
  <c r="G210" i="9"/>
  <c r="G209" i="9" s="1"/>
  <c r="F210" i="9"/>
  <c r="H207" i="9"/>
  <c r="H206" i="9"/>
  <c r="G205" i="9"/>
  <c r="F205" i="9"/>
  <c r="H205" i="9" s="1"/>
  <c r="H204" i="9"/>
  <c r="H203" i="9"/>
  <c r="G202" i="9"/>
  <c r="G201" i="9" s="1"/>
  <c r="F202" i="9"/>
  <c r="H202" i="9" s="1"/>
  <c r="H200" i="9"/>
  <c r="G199" i="9"/>
  <c r="H199" i="9" s="1"/>
  <c r="F199" i="9"/>
  <c r="F198" i="9"/>
  <c r="H195" i="9"/>
  <c r="G194" i="9"/>
  <c r="H194" i="9" s="1"/>
  <c r="F194" i="9"/>
  <c r="H193" i="9"/>
  <c r="G192" i="9"/>
  <c r="F192" i="9"/>
  <c r="F191" i="9" s="1"/>
  <c r="H187" i="9"/>
  <c r="G186" i="9"/>
  <c r="G185" i="9" s="1"/>
  <c r="F186" i="9"/>
  <c r="H184" i="9"/>
  <c r="G183" i="9"/>
  <c r="G182" i="9" s="1"/>
  <c r="F183" i="9"/>
  <c r="H183" i="9" s="1"/>
  <c r="G181" i="9"/>
  <c r="H181" i="9" s="1"/>
  <c r="H180" i="9"/>
  <c r="H179" i="9"/>
  <c r="H178" i="9"/>
  <c r="H177" i="9"/>
  <c r="H176" i="9"/>
  <c r="H175" i="9"/>
  <c r="F174" i="9"/>
  <c r="H173" i="9"/>
  <c r="H172" i="9"/>
  <c r="G171" i="9"/>
  <c r="H170" i="9"/>
  <c r="H169" i="9"/>
  <c r="H168" i="9"/>
  <c r="H167" i="9"/>
  <c r="H165" i="9"/>
  <c r="G164" i="9"/>
  <c r="F164" i="9"/>
  <c r="H164" i="9" s="1"/>
  <c r="H162" i="9"/>
  <c r="G161" i="9"/>
  <c r="F161" i="9"/>
  <c r="H161" i="9" s="1"/>
  <c r="G160" i="9"/>
  <c r="H159" i="9"/>
  <c r="H158" i="9"/>
  <c r="H157" i="9"/>
  <c r="H156" i="9"/>
  <c r="H155" i="9"/>
  <c r="H154" i="9"/>
  <c r="H153" i="9"/>
  <c r="H152" i="9"/>
  <c r="H151" i="9"/>
  <c r="H150" i="9"/>
  <c r="H149" i="9"/>
  <c r="G148" i="9"/>
  <c r="F148" i="9"/>
  <c r="H148" i="9" s="1"/>
  <c r="G147" i="9"/>
  <c r="G145" i="9"/>
  <c r="H144" i="9"/>
  <c r="F143" i="9"/>
  <c r="H140" i="9"/>
  <c r="H139" i="9"/>
  <c r="G139" i="9"/>
  <c r="F139" i="9"/>
  <c r="H138" i="9"/>
  <c r="H137" i="9"/>
  <c r="G137" i="9"/>
  <c r="F137" i="9"/>
  <c r="G136" i="9"/>
  <c r="F136" i="9"/>
  <c r="F135" i="9" s="1"/>
  <c r="H134" i="9"/>
  <c r="H133" i="9"/>
  <c r="G132" i="9"/>
  <c r="G131" i="9" s="1"/>
  <c r="G130" i="9" s="1"/>
  <c r="F132" i="9"/>
  <c r="H129" i="9"/>
  <c r="H128" i="9"/>
  <c r="H127" i="9"/>
  <c r="H126" i="9"/>
  <c r="H125" i="9"/>
  <c r="H124" i="9"/>
  <c r="H123" i="9"/>
  <c r="H122" i="9"/>
  <c r="H121" i="9"/>
  <c r="H120" i="9"/>
  <c r="H119" i="9"/>
  <c r="H118" i="9"/>
  <c r="G117" i="9"/>
  <c r="G116" i="9" s="1"/>
  <c r="F117" i="9"/>
  <c r="H115" i="9"/>
  <c r="H114" i="9"/>
  <c r="G113" i="9"/>
  <c r="H113" i="9" s="1"/>
  <c r="F113" i="9"/>
  <c r="F112" i="9"/>
  <c r="H111" i="9"/>
  <c r="F111" i="9"/>
  <c r="H110" i="9"/>
  <c r="H109" i="9"/>
  <c r="H108" i="9"/>
  <c r="H107" i="9"/>
  <c r="H106" i="9"/>
  <c r="G105" i="9"/>
  <c r="G104" i="9" s="1"/>
  <c r="F105" i="9"/>
  <c r="H105" i="9" s="1"/>
  <c r="H102" i="9"/>
  <c r="H101" i="9"/>
  <c r="H100" i="9"/>
  <c r="H99" i="9"/>
  <c r="H98" i="9"/>
  <c r="H97" i="9"/>
  <c r="H96" i="9"/>
  <c r="H95" i="9"/>
  <c r="H94" i="9"/>
  <c r="H93" i="9"/>
  <c r="G92" i="9"/>
  <c r="F92" i="9"/>
  <c r="H92" i="9" s="1"/>
  <c r="H91" i="9"/>
  <c r="H90" i="9"/>
  <c r="F89" i="9"/>
  <c r="H89" i="9" s="1"/>
  <c r="H88" i="9"/>
  <c r="F88" i="9"/>
  <c r="F87" i="9"/>
  <c r="H87" i="9" s="1"/>
  <c r="H86" i="9"/>
  <c r="G85" i="9"/>
  <c r="G84" i="9" s="1"/>
  <c r="G83" i="9" s="1"/>
  <c r="H82" i="9"/>
  <c r="H81" i="9"/>
  <c r="H80" i="9"/>
  <c r="G79" i="9"/>
  <c r="G78" i="9" s="1"/>
  <c r="G77" i="9" s="1"/>
  <c r="F79" i="9"/>
  <c r="H79" i="9" s="1"/>
  <c r="H74" i="9"/>
  <c r="G73" i="9"/>
  <c r="G72" i="9" s="1"/>
  <c r="G71" i="9" s="1"/>
  <c r="F73" i="9"/>
  <c r="H70" i="9"/>
  <c r="H69" i="9"/>
  <c r="G69" i="9"/>
  <c r="F69" i="9"/>
  <c r="F68" i="9" s="1"/>
  <c r="G68" i="9"/>
  <c r="G67" i="9" s="1"/>
  <c r="F67" i="9"/>
  <c r="H65" i="9"/>
  <c r="G64" i="9"/>
  <c r="G63" i="9" s="1"/>
  <c r="F64" i="9"/>
  <c r="H64" i="9" s="1"/>
  <c r="H60" i="9"/>
  <c r="H59" i="9"/>
  <c r="G58" i="9"/>
  <c r="G57" i="9" s="1"/>
  <c r="G56" i="9" s="1"/>
  <c r="F58" i="9"/>
  <c r="H58" i="9" s="1"/>
  <c r="H55" i="9"/>
  <c r="G54" i="9"/>
  <c r="F54" i="9"/>
  <c r="F53" i="9"/>
  <c r="H52" i="9"/>
  <c r="G51" i="9"/>
  <c r="G50" i="9" s="1"/>
  <c r="F51" i="9"/>
  <c r="H49" i="9"/>
  <c r="G48" i="9"/>
  <c r="G47" i="9" s="1"/>
  <c r="F48" i="9"/>
  <c r="H46" i="9"/>
  <c r="H45" i="9"/>
  <c r="G45" i="9"/>
  <c r="F45" i="9"/>
  <c r="G44" i="9"/>
  <c r="F44" i="9"/>
  <c r="H41" i="9"/>
  <c r="G40" i="9"/>
  <c r="G39" i="9" s="1"/>
  <c r="F40" i="9"/>
  <c r="H37" i="9"/>
  <c r="G36" i="9"/>
  <c r="F36" i="9"/>
  <c r="H36" i="9" s="1"/>
  <c r="G35" i="9"/>
  <c r="H34" i="9"/>
  <c r="G33" i="9"/>
  <c r="F33" i="9"/>
  <c r="H33" i="9" s="1"/>
  <c r="G32" i="9"/>
  <c r="H30" i="9"/>
  <c r="G29" i="9"/>
  <c r="G28" i="9" s="1"/>
  <c r="G27" i="9" s="1"/>
  <c r="F29" i="9"/>
  <c r="H29" i="9" s="1"/>
  <c r="H25" i="9"/>
  <c r="H24" i="9"/>
  <c r="G24" i="9"/>
  <c r="F24" i="9"/>
  <c r="G23" i="9"/>
  <c r="G22" i="9" s="1"/>
  <c r="F23" i="9"/>
  <c r="H21" i="9"/>
  <c r="H20" i="9"/>
  <c r="G19" i="9"/>
  <c r="G18" i="9" s="1"/>
  <c r="G17" i="9" s="1"/>
  <c r="F19" i="9"/>
  <c r="H16" i="9"/>
  <c r="H15" i="9"/>
  <c r="G14" i="9"/>
  <c r="G13" i="9" s="1"/>
  <c r="G12" i="9" s="1"/>
  <c r="G11" i="9" s="1"/>
  <c r="F14" i="9"/>
  <c r="F139" i="8"/>
  <c r="F137" i="8"/>
  <c r="F127" i="8"/>
  <c r="F125" i="8"/>
  <c r="F123" i="8"/>
  <c r="F115" i="8"/>
  <c r="F112" i="8"/>
  <c r="F106" i="8"/>
  <c r="F91" i="8"/>
  <c r="F84" i="8"/>
  <c r="F79" i="8"/>
  <c r="F76" i="8"/>
  <c r="F65" i="8"/>
  <c r="F63" i="8"/>
  <c r="F61" i="8"/>
  <c r="F46" i="8"/>
  <c r="F44" i="8"/>
  <c r="F38" i="8"/>
  <c r="F141" i="8" s="1"/>
  <c r="F34" i="8"/>
  <c r="F32" i="8"/>
  <c r="F31" i="8"/>
  <c r="F28" i="8"/>
  <c r="F27" i="8"/>
  <c r="F26" i="8"/>
  <c r="F25" i="8"/>
  <c r="F24" i="8"/>
  <c r="F23" i="8" s="1"/>
  <c r="F22" i="8"/>
  <c r="F21" i="8"/>
  <c r="F20" i="8"/>
  <c r="F19" i="8"/>
  <c r="F18" i="8"/>
  <c r="F17" i="8"/>
  <c r="F16" i="8"/>
  <c r="F15" i="8"/>
  <c r="F14" i="8"/>
  <c r="F13" i="8"/>
  <c r="F12" i="8"/>
  <c r="F11" i="8"/>
  <c r="F35" i="8" s="1"/>
  <c r="F142" i="8" s="1"/>
  <c r="F46" i="7"/>
  <c r="F45" i="7"/>
  <c r="F44" i="7"/>
  <c r="F43" i="7" s="1"/>
  <c r="F42" i="7"/>
  <c r="F41" i="7"/>
  <c r="F40" i="7"/>
  <c r="F39" i="7"/>
  <c r="F38" i="7"/>
  <c r="F37" i="7"/>
  <c r="F33" i="7"/>
  <c r="F31" i="7"/>
  <c r="F29" i="7"/>
  <c r="F28" i="7"/>
  <c r="F27" i="7" s="1"/>
  <c r="F26" i="7"/>
  <c r="F25" i="7"/>
  <c r="F23" i="7"/>
  <c r="F21" i="7"/>
  <c r="F19" i="7"/>
  <c r="F17" i="7"/>
  <c r="F16" i="7"/>
  <c r="F35" i="7" s="1"/>
  <c r="I18" i="6"/>
  <c r="H18" i="6"/>
  <c r="F18" i="6"/>
  <c r="E17" i="6"/>
  <c r="G16" i="6"/>
  <c r="E16" i="6"/>
  <c r="G15" i="6"/>
  <c r="G18" i="6" s="1"/>
  <c r="F15" i="6"/>
  <c r="E15" i="6"/>
  <c r="D15" i="6"/>
  <c r="D18" i="6" s="1"/>
  <c r="E14" i="6"/>
  <c r="E18" i="6" s="1"/>
  <c r="H359" i="9" l="1"/>
  <c r="H360" i="9"/>
  <c r="H372" i="9"/>
  <c r="H379" i="9"/>
  <c r="H427" i="9"/>
  <c r="H436" i="9"/>
  <c r="H452" i="9"/>
  <c r="F568" i="9"/>
  <c r="H579" i="9"/>
  <c r="F287" i="9"/>
  <c r="H287" i="9" s="1"/>
  <c r="H318" i="9"/>
  <c r="G112" i="9"/>
  <c r="G103" i="9" s="1"/>
  <c r="G198" i="9"/>
  <c r="H198" i="9" s="1"/>
  <c r="H244" i="9"/>
  <c r="H249" i="9"/>
  <c r="H262" i="9"/>
  <c r="H304" i="9"/>
  <c r="H388" i="9"/>
  <c r="H496" i="9"/>
  <c r="H522" i="9"/>
  <c r="F558" i="9"/>
  <c r="H558" i="9" s="1"/>
  <c r="H112" i="9"/>
  <c r="H320" i="9"/>
  <c r="F32" i="9"/>
  <c r="H48" i="9"/>
  <c r="F85" i="9"/>
  <c r="H85" i="9" s="1"/>
  <c r="F160" i="9"/>
  <c r="H210" i="9"/>
  <c r="G212" i="9"/>
  <c r="G208" i="9" s="1"/>
  <c r="G248" i="9"/>
  <c r="G231" i="9" s="1"/>
  <c r="G272" i="9"/>
  <c r="G326" i="9"/>
  <c r="G325" i="9" s="1"/>
  <c r="H342" i="9"/>
  <c r="H380" i="9"/>
  <c r="H459" i="9"/>
  <c r="G561" i="9"/>
  <c r="F13" i="9"/>
  <c r="H14" i="9"/>
  <c r="H19" i="9"/>
  <c r="F18" i="9"/>
  <c r="H54" i="9"/>
  <c r="G53" i="9"/>
  <c r="H53" i="9" s="1"/>
  <c r="H482" i="9"/>
  <c r="F481" i="9"/>
  <c r="H481" i="9" s="1"/>
  <c r="G31" i="9"/>
  <c r="G26" i="9" s="1"/>
  <c r="H32" i="9"/>
  <c r="H117" i="9"/>
  <c r="F116" i="9"/>
  <c r="H116" i="9" s="1"/>
  <c r="H136" i="9"/>
  <c r="G135" i="9"/>
  <c r="H135" i="9" s="1"/>
  <c r="H145" i="9"/>
  <c r="G143" i="9"/>
  <c r="G142" i="9" s="1"/>
  <c r="G141" i="9" s="1"/>
  <c r="H192" i="9"/>
  <c r="G191" i="9"/>
  <c r="H213" i="9"/>
  <c r="H413" i="9"/>
  <c r="G412" i="9"/>
  <c r="G512" i="9"/>
  <c r="G506" i="9" s="1"/>
  <c r="H518" i="9"/>
  <c r="H564" i="9"/>
  <c r="F563" i="9"/>
  <c r="H568" i="9"/>
  <c r="F567" i="9"/>
  <c r="H567" i="9" s="1"/>
  <c r="G66" i="9"/>
  <c r="H68" i="9"/>
  <c r="H132" i="9"/>
  <c r="F131" i="9"/>
  <c r="G493" i="9"/>
  <c r="H494" i="9"/>
  <c r="H67" i="9"/>
  <c r="G166" i="9"/>
  <c r="G163" i="9" s="1"/>
  <c r="H171" i="9"/>
  <c r="H186" i="9"/>
  <c r="F185" i="9"/>
  <c r="H185" i="9" s="1"/>
  <c r="H44" i="9"/>
  <c r="H23" i="9"/>
  <c r="F22" i="9"/>
  <c r="H40" i="9"/>
  <c r="F39" i="9"/>
  <c r="H39" i="9" s="1"/>
  <c r="H51" i="9"/>
  <c r="F50" i="9"/>
  <c r="H50" i="9" s="1"/>
  <c r="H73" i="9"/>
  <c r="F72" i="9"/>
  <c r="H143" i="9"/>
  <c r="F142" i="9"/>
  <c r="G146" i="9"/>
  <c r="H160" i="9"/>
  <c r="H174" i="9"/>
  <c r="F166" i="9"/>
  <c r="H166" i="9" s="1"/>
  <c r="H191" i="9"/>
  <c r="H544" i="9"/>
  <c r="G543" i="9"/>
  <c r="G531" i="9" s="1"/>
  <c r="H261" i="9"/>
  <c r="F260" i="9"/>
  <c r="H260" i="9" s="1"/>
  <c r="H285" i="9"/>
  <c r="F284" i="9"/>
  <c r="H371" i="9"/>
  <c r="H402" i="9"/>
  <c r="F401" i="9"/>
  <c r="H401" i="9" s="1"/>
  <c r="H435" i="9"/>
  <c r="H451" i="9"/>
  <c r="H469" i="9"/>
  <c r="F468" i="9"/>
  <c r="H468" i="9" s="1"/>
  <c r="H485" i="9"/>
  <c r="G484" i="9"/>
  <c r="G480" i="9" s="1"/>
  <c r="F489" i="9"/>
  <c r="H495" i="9"/>
  <c r="H508" i="9"/>
  <c r="F507" i="9"/>
  <c r="H513" i="9"/>
  <c r="F512" i="9"/>
  <c r="H533" i="9"/>
  <c r="F532" i="9"/>
  <c r="F28" i="9"/>
  <c r="F35" i="9"/>
  <c r="F47" i="9"/>
  <c r="F57" i="9"/>
  <c r="F63" i="9"/>
  <c r="H63" i="9" s="1"/>
  <c r="F78" i="9"/>
  <c r="F84" i="9"/>
  <c r="F104" i="9"/>
  <c r="F147" i="9"/>
  <c r="F163" i="9"/>
  <c r="H163" i="9" s="1"/>
  <c r="F182" i="9"/>
  <c r="H182" i="9" s="1"/>
  <c r="F201" i="9"/>
  <c r="H201" i="9" s="1"/>
  <c r="F209" i="9"/>
  <c r="H220" i="9"/>
  <c r="F219" i="9"/>
  <c r="H219" i="9" s="1"/>
  <c r="H227" i="9"/>
  <c r="F226" i="9"/>
  <c r="H226" i="9" s="1"/>
  <c r="H238" i="9"/>
  <c r="F233" i="9"/>
  <c r="H268" i="9"/>
  <c r="F266" i="9"/>
  <c r="H266" i="9" s="1"/>
  <c r="H273" i="9"/>
  <c r="F272" i="9"/>
  <c r="H272" i="9" s="1"/>
  <c r="H303" i="9"/>
  <c r="H308" i="9"/>
  <c r="F307" i="9"/>
  <c r="H307" i="9" s="1"/>
  <c r="H319" i="9"/>
  <c r="H321" i="9"/>
  <c r="F326" i="9"/>
  <c r="H328" i="9"/>
  <c r="G341" i="9"/>
  <c r="G317" i="9" s="1"/>
  <c r="H354" i="9"/>
  <c r="F353" i="9"/>
  <c r="H387" i="9"/>
  <c r="H412" i="9"/>
  <c r="H477" i="9"/>
  <c r="F476" i="9"/>
  <c r="H476" i="9" s="1"/>
  <c r="H537" i="9"/>
  <c r="F536" i="9"/>
  <c r="H536" i="9" s="1"/>
  <c r="H549" i="9"/>
  <c r="G548" i="9"/>
  <c r="G547" i="9" s="1"/>
  <c r="H322" i="9"/>
  <c r="F344" i="9"/>
  <c r="H346" i="9"/>
  <c r="F364" i="9"/>
  <c r="H385" i="9"/>
  <c r="G384" i="9"/>
  <c r="H384" i="9" s="1"/>
  <c r="H395" i="9"/>
  <c r="H443" i="9"/>
  <c r="H455" i="9"/>
  <c r="H484" i="9"/>
  <c r="F480" i="9"/>
  <c r="H499" i="9"/>
  <c r="H541" i="9"/>
  <c r="F540" i="9"/>
  <c r="H540" i="9" s="1"/>
  <c r="F578" i="9"/>
  <c r="H253" i="9"/>
  <c r="F47" i="7"/>
  <c r="F48" i="7" s="1"/>
  <c r="H543" i="9" l="1"/>
  <c r="F302" i="9"/>
  <c r="H512" i="9"/>
  <c r="F547" i="9"/>
  <c r="H547" i="9" s="1"/>
  <c r="G370" i="9"/>
  <c r="F212" i="9"/>
  <c r="H212" i="9" s="1"/>
  <c r="G43" i="9"/>
  <c r="G42" i="9" s="1"/>
  <c r="G10" i="9" s="1"/>
  <c r="H248" i="9"/>
  <c r="G76" i="9"/>
  <c r="G75" i="9" s="1"/>
  <c r="H578" i="9"/>
  <c r="F577" i="9"/>
  <c r="H577" i="9" s="1"/>
  <c r="F77" i="9"/>
  <c r="H78" i="9"/>
  <c r="F31" i="9"/>
  <c r="H31" i="9" s="1"/>
  <c r="H35" i="9"/>
  <c r="I22" i="9"/>
  <c r="H22" i="9"/>
  <c r="F130" i="9"/>
  <c r="H130" i="9" s="1"/>
  <c r="H131" i="9"/>
  <c r="G358" i="9"/>
  <c r="H344" i="9"/>
  <c r="F341" i="9"/>
  <c r="H341" i="9" s="1"/>
  <c r="H209" i="9"/>
  <c r="F146" i="9"/>
  <c r="H147" i="9"/>
  <c r="F27" i="9"/>
  <c r="H28" i="9"/>
  <c r="F370" i="9"/>
  <c r="H142" i="9"/>
  <c r="F141" i="9"/>
  <c r="H141" i="9" s="1"/>
  <c r="H72" i="9"/>
  <c r="F71" i="9"/>
  <c r="H548" i="9"/>
  <c r="H563" i="9"/>
  <c r="F562" i="9"/>
  <c r="F12" i="9"/>
  <c r="H13" i="9"/>
  <c r="H480" i="9"/>
  <c r="H302" i="9"/>
  <c r="F296" i="9"/>
  <c r="H296" i="9" s="1"/>
  <c r="F103" i="9"/>
  <c r="H104" i="9"/>
  <c r="F56" i="9"/>
  <c r="H56" i="9" s="1"/>
  <c r="H57" i="9"/>
  <c r="H532" i="9"/>
  <c r="F531" i="9"/>
  <c r="H507" i="9"/>
  <c r="F506" i="9"/>
  <c r="H506" i="9" s="1"/>
  <c r="H284" i="9"/>
  <c r="F283" i="9"/>
  <c r="H283" i="9" s="1"/>
  <c r="G530" i="9"/>
  <c r="H364" i="9"/>
  <c r="F363" i="9"/>
  <c r="H353" i="9"/>
  <c r="F352" i="9"/>
  <c r="H352" i="9" s="1"/>
  <c r="H326" i="9"/>
  <c r="F325" i="9"/>
  <c r="F232" i="9"/>
  <c r="H233" i="9"/>
  <c r="F83" i="9"/>
  <c r="H83" i="9" s="1"/>
  <c r="H84" i="9"/>
  <c r="H47" i="9"/>
  <c r="F43" i="9"/>
  <c r="G492" i="9"/>
  <c r="H493" i="9"/>
  <c r="H18" i="9"/>
  <c r="F17" i="9"/>
  <c r="H17" i="9" s="1"/>
  <c r="F208" i="9" l="1"/>
  <c r="H208" i="9" s="1"/>
  <c r="G491" i="9"/>
  <c r="H492" i="9"/>
  <c r="H27" i="9"/>
  <c r="F26" i="9"/>
  <c r="H26" i="9" s="1"/>
  <c r="H103" i="9"/>
  <c r="H146" i="9"/>
  <c r="F76" i="9"/>
  <c r="H77" i="9"/>
  <c r="F231" i="9"/>
  <c r="H232" i="9"/>
  <c r="H325" i="9"/>
  <c r="F317" i="9"/>
  <c r="H43" i="9"/>
  <c r="F42" i="9"/>
  <c r="H363" i="9"/>
  <c r="F358" i="9"/>
  <c r="H531" i="9"/>
  <c r="F530" i="9"/>
  <c r="H12" i="9"/>
  <c r="F11" i="9"/>
  <c r="H562" i="9"/>
  <c r="F561" i="9"/>
  <c r="H71" i="9"/>
  <c r="F66" i="9"/>
  <c r="H66" i="9" s="1"/>
  <c r="H370" i="9"/>
  <c r="H561" i="9" l="1"/>
  <c r="H530" i="9"/>
  <c r="H76" i="9"/>
  <c r="F75" i="9"/>
  <c r="G490" i="9"/>
  <c r="H491" i="9"/>
  <c r="H11" i="9"/>
  <c r="F10" i="9"/>
  <c r="H42" i="9"/>
  <c r="H358" i="9"/>
  <c r="H317" i="9"/>
  <c r="H231" i="9"/>
  <c r="H75" i="9" l="1"/>
  <c r="H10" i="9"/>
  <c r="G489" i="9"/>
  <c r="H489" i="9" s="1"/>
  <c r="H490" i="9"/>
  <c r="H17" i="3" l="1"/>
  <c r="F17" i="3"/>
  <c r="E17" i="3"/>
  <c r="D17" i="3"/>
  <c r="C17" i="3"/>
  <c r="G37" i="2"/>
  <c r="E37" i="2"/>
  <c r="D37" i="2"/>
  <c r="F23" i="2"/>
  <c r="F37" i="2" s="1"/>
  <c r="E23" i="2"/>
  <c r="G20" i="2"/>
  <c r="G38" i="2" s="1"/>
  <c r="D20" i="2"/>
  <c r="D38" i="2" s="1"/>
  <c r="F17" i="2"/>
  <c r="E17" i="2"/>
  <c r="F15" i="2"/>
  <c r="F20" i="2" s="1"/>
  <c r="F38" i="2" s="1"/>
  <c r="E15" i="2"/>
  <c r="E20" i="2" s="1"/>
  <c r="E38" i="2" s="1"/>
</calcChain>
</file>

<file path=xl/sharedStrings.xml><?xml version="1.0" encoding="utf-8"?>
<sst xmlns="http://schemas.openxmlformats.org/spreadsheetml/2006/main" count="1078" uniqueCount="488">
  <si>
    <t>Załącznik Nr 7</t>
  </si>
  <si>
    <t>PREZYDENTA MIASTA WŁOCŁAWEK</t>
  </si>
  <si>
    <t xml:space="preserve">Plan </t>
  </si>
  <si>
    <t xml:space="preserve"> dochodów i wydatków wydzielonych rachunków dochodów oświatowych jednostek budżetowych na 2026 rok</t>
  </si>
  <si>
    <t>(zbiorczo)</t>
  </si>
  <si>
    <t>Lp.</t>
  </si>
  <si>
    <t>Wyszczególnienie</t>
  </si>
  <si>
    <t>Stan środków pieniężnych na początek roku</t>
  </si>
  <si>
    <t>Stan środków pieniężnych na koniec roku</t>
  </si>
  <si>
    <t>Dz.</t>
  </si>
  <si>
    <t>Dochody</t>
  </si>
  <si>
    <t>Wydatki</t>
  </si>
  <si>
    <t>Rozdz.</t>
  </si>
  <si>
    <t>1.</t>
  </si>
  <si>
    <t>Szkoły podstawowe</t>
  </si>
  <si>
    <t>2.</t>
  </si>
  <si>
    <t>Przedszkola</t>
  </si>
  <si>
    <t>3.</t>
  </si>
  <si>
    <t>Stołówki szkolne i przedszkolne</t>
  </si>
  <si>
    <t xml:space="preserve">Kolonie i obozy oraz inne formy wypoczynku dzieci i młodzieży szkolnej, a także szkolenia młodzieży </t>
  </si>
  <si>
    <t>Ogółem dochody i wydatki na zadania gminy</t>
  </si>
  <si>
    <t>Szkoły podstawowe specjalne</t>
  </si>
  <si>
    <t>Technika</t>
  </si>
  <si>
    <t>Licea ogólnokształcące</t>
  </si>
  <si>
    <t>4.</t>
  </si>
  <si>
    <t xml:space="preserve">Szkoły artystyczne </t>
  </si>
  <si>
    <t>5.</t>
  </si>
  <si>
    <t>Placówki kształcenia ustawicznego i centra kształcenia zawodowego</t>
  </si>
  <si>
    <t>6.</t>
  </si>
  <si>
    <t>Ośrodki szkolenia, dokształcania i doskonalenia kadr</t>
  </si>
  <si>
    <t>7.</t>
  </si>
  <si>
    <t>Inne formy kształcenia osobno niewymienione</t>
  </si>
  <si>
    <t>8.</t>
  </si>
  <si>
    <t xml:space="preserve">Poradnie psychologiczno-pedagogiczne, w tym poradnie specjalistyczne </t>
  </si>
  <si>
    <t>Internaty i bursy szkolne</t>
  </si>
  <si>
    <t>Szkolne schroniska młodzieżowe</t>
  </si>
  <si>
    <t>Młodzieżowe ośrodki wychowawcze</t>
  </si>
  <si>
    <t>Ogółem dochody i wydatki na zadania powiatu</t>
  </si>
  <si>
    <t xml:space="preserve">Ogółem dochody i wydatki </t>
  </si>
  <si>
    <t>do Zarządzenia NR 420/2026</t>
  </si>
  <si>
    <t>z dnia 31 sierpnia 2026 r.</t>
  </si>
  <si>
    <t>Załącznik Nr 8</t>
  </si>
  <si>
    <t>Plan przychodów i kosztów</t>
  </si>
  <si>
    <t>Samorządowego Zakładu Budżetowego - Zakład Aktywności Zawodowej we Włocławku</t>
  </si>
  <si>
    <t>w złotych</t>
  </si>
  <si>
    <t>Stan środków obrotowych na początek roku</t>
  </si>
  <si>
    <t>Przychody</t>
  </si>
  <si>
    <t>Stan środków obrotowych na koniec roku</t>
  </si>
  <si>
    <t>Koszty</t>
  </si>
  <si>
    <t>Ogółem</t>
  </si>
  <si>
    <t>W tym dotacje z budżetu</t>
  </si>
  <si>
    <t>Inne obciążenia</t>
  </si>
  <si>
    <t>Pozostała działalność</t>
  </si>
  <si>
    <t xml:space="preserve">Samorządowy Zakład Budżetowy - Zakład </t>
  </si>
  <si>
    <t>Aktywności Zawodowej we Włocławku</t>
  </si>
  <si>
    <t>Załącznik Nr 2</t>
  </si>
  <si>
    <t>Zmiana planu wydatków majątkowych na 2026 rok</t>
  </si>
  <si>
    <t>Planowane wydatki</t>
  </si>
  <si>
    <t xml:space="preserve">Pozostałe </t>
  </si>
  <si>
    <t>Jednostka</t>
  </si>
  <si>
    <t xml:space="preserve">Łączne </t>
  </si>
  <si>
    <t>rok</t>
  </si>
  <si>
    <t>Źródła finansowania</t>
  </si>
  <si>
    <t xml:space="preserve">środki  </t>
  </si>
  <si>
    <t>organizacyjna</t>
  </si>
  <si>
    <t>Dział</t>
  </si>
  <si>
    <t>§</t>
  </si>
  <si>
    <t>Nazwa zadania inwestycyjnego</t>
  </si>
  <si>
    <t>zwiększyć</t>
  </si>
  <si>
    <t>zmniejszyć</t>
  </si>
  <si>
    <t>koszty</t>
  </si>
  <si>
    <t>budżetowy</t>
  </si>
  <si>
    <t>środki</t>
  </si>
  <si>
    <t>wydzielone</t>
  </si>
  <si>
    <t>realizująca</t>
  </si>
  <si>
    <t>finansowe</t>
  </si>
  <si>
    <t xml:space="preserve">pochodzące </t>
  </si>
  <si>
    <t>wymienione</t>
  </si>
  <si>
    <t>rachunki</t>
  </si>
  <si>
    <t>program lub</t>
  </si>
  <si>
    <t>(6+7+8)</t>
  </si>
  <si>
    <t xml:space="preserve">własne </t>
  </si>
  <si>
    <t>z innych</t>
  </si>
  <si>
    <t>w art.5 ust.1</t>
  </si>
  <si>
    <t>jednostek</t>
  </si>
  <si>
    <t>koordynująca</t>
  </si>
  <si>
    <t>źródeł</t>
  </si>
  <si>
    <t>pkt 2 i 3 u.f.p.</t>
  </si>
  <si>
    <t>oświatowych</t>
  </si>
  <si>
    <t>wykonanie</t>
  </si>
  <si>
    <t>programu</t>
  </si>
  <si>
    <t>OGÓŁEM:</t>
  </si>
  <si>
    <t>x</t>
  </si>
  <si>
    <t>OBRONA NARODOWA</t>
  </si>
  <si>
    <t>Zadania o charakterze obronnym wynikające z ustawy o ochronie ludności i obronie cywilnej</t>
  </si>
  <si>
    <t>wprowadza się nowe zadanie:</t>
  </si>
  <si>
    <t>§ 6060</t>
  </si>
  <si>
    <t>Zakup stacjonarnych agregatów prądotwórczych</t>
  </si>
  <si>
    <t>Urząd Miasta /Wydział Dróg, Transportu Zbiorowego i Energii</t>
  </si>
  <si>
    <t>BEZPIECZEŃSTWO PUBLICZNE I OCHRONA PRZECIWPOŻAROWA</t>
  </si>
  <si>
    <t>Komendy powiatowe Państwowej Straży Pożarnej</t>
  </si>
  <si>
    <t>§ 6050</t>
  </si>
  <si>
    <t>Modernizacja infrastruktury technicznej w pomieszczeniach technicznych i serwerowych, w tym m.in. systemów zasilania i klimatyzacji w jednostkach Państwowej Straży Pożarnej</t>
  </si>
  <si>
    <t>Komenda Miejska Państwowej Straży Pożarnej</t>
  </si>
  <si>
    <t>Załącznik Nr 3</t>
  </si>
  <si>
    <t>Zmiana wydatków na programy i projekty realizowane ze środków pochodzących z funduszy strukturalnych i Funduszu Spójności</t>
  </si>
  <si>
    <t xml:space="preserve">
</t>
  </si>
  <si>
    <t xml:space="preserve">Wydatki
</t>
  </si>
  <si>
    <t>w tym:</t>
  </si>
  <si>
    <t>w okresie</t>
  </si>
  <si>
    <t>2026 rok</t>
  </si>
  <si>
    <t>Klasyfikacja</t>
  </si>
  <si>
    <t>realizacji</t>
  </si>
  <si>
    <t>Program/Projekt</t>
  </si>
  <si>
    <t xml:space="preserve"> (dział, </t>
  </si>
  <si>
    <t>Projektu</t>
  </si>
  <si>
    <t>rozdział)</t>
  </si>
  <si>
    <t>(całkowita wartość Projektu)</t>
  </si>
  <si>
    <t>Środki z budżetu krajowego*</t>
  </si>
  <si>
    <t>Środki z budżetu UE</t>
  </si>
  <si>
    <t>Wydatki razem (8+9)</t>
  </si>
  <si>
    <t>(5 + 6)</t>
  </si>
  <si>
    <t>Wydatki ogółem:</t>
  </si>
  <si>
    <t>wydatki bieżące</t>
  </si>
  <si>
    <t>wydatki majątkowe</t>
  </si>
  <si>
    <t>FUNDUSZE EUROPEJSKIE DLA ROZWOJU SPOŁECZNEGO</t>
  </si>
  <si>
    <t>2.5</t>
  </si>
  <si>
    <t>Przyjazna szkoła</t>
  </si>
  <si>
    <t>w tym: /Szkoła Podstawowa Nr 3/</t>
  </si>
  <si>
    <t>dz. 800</t>
  </si>
  <si>
    <t>rozdz. 80195</t>
  </si>
  <si>
    <t>* środki własne jst, współfinansowanie z budżetu państwa oraz inne</t>
  </si>
  <si>
    <t>Załącznik Nr 4</t>
  </si>
  <si>
    <t>Dochody i wydatki związane z realizacją zadań z zakresu administracji rządowej wykonywanych na podstawie porozumień z organami administracji rządowej na 2026 rok</t>
  </si>
  <si>
    <t>z tego:</t>
  </si>
  <si>
    <t>Rozdział</t>
  </si>
  <si>
    <t>Dotacje
ogółem</t>
  </si>
  <si>
    <t>Wydatki
ogółem
(6+9)</t>
  </si>
  <si>
    <t>Wydatki
bieżące</t>
  </si>
  <si>
    <t>wynagrodzenia i składki od nich naliczane</t>
  </si>
  <si>
    <t>świadczenia na rzecz osób fizycznych</t>
  </si>
  <si>
    <t>Wydatki
majątkowe</t>
  </si>
  <si>
    <t>Ogółem:</t>
  </si>
  <si>
    <t>Załącznik Nr 5</t>
  </si>
  <si>
    <t xml:space="preserve">Dotacje udzielane z budżetu jednostki samorządu terytorialnego </t>
  </si>
  <si>
    <t>dla jednostek sektora finansów publicznych na 2026 rok</t>
  </si>
  <si>
    <t xml:space="preserve">§ </t>
  </si>
  <si>
    <t>Nazwa zadania</t>
  </si>
  <si>
    <t>Kwota dotacji</t>
  </si>
  <si>
    <t>dotacje celowe</t>
  </si>
  <si>
    <t xml:space="preserve">Programy polityki zdrowotnej </t>
  </si>
  <si>
    <t>Przeciwdziałanie alkoholizmowi (dofinansowanie "Niebieskiej linii")</t>
  </si>
  <si>
    <t>Przeciwdziałanie alkoholizmowi (realizacja zadań z zakresu profilaktyki uzależnień)</t>
  </si>
  <si>
    <t>6306      6307</t>
  </si>
  <si>
    <t>Realizacja projektu pn. "Włocławek – Miasto dobrego klimatu dla gospodarki, środowiska i wygodnego życia" (dotacja na zakupy inwestycyjne)</t>
  </si>
  <si>
    <t>Ośrodki wsparcia</t>
  </si>
  <si>
    <t xml:space="preserve">Powiatowe urzędy pracy </t>
  </si>
  <si>
    <t>Pozostała działalność - SENIORALIA 2026 – Obchody Święta Seniora (Budżet Obywatelski)</t>
  </si>
  <si>
    <t>Galerie i biura wystaw artystycznych (dotacja na inwestycje)</t>
  </si>
  <si>
    <t xml:space="preserve"> - Galeria Sztuki Współczesnej</t>
  </si>
  <si>
    <t xml:space="preserve">Galerie i biura wystaw artystycznych </t>
  </si>
  <si>
    <t>Centra kultury i sztuki</t>
  </si>
  <si>
    <t xml:space="preserve"> - Centrum Kultury Browar B </t>
  </si>
  <si>
    <t>Centra kultury i sztuki (dotacja na inwestycje)</t>
  </si>
  <si>
    <t>Pozostałe instytucje kultury (dotacja na inwestycje)</t>
  </si>
  <si>
    <t xml:space="preserve"> - Teatr Impresaryjny</t>
  </si>
  <si>
    <t>Biblioteki</t>
  </si>
  <si>
    <t xml:space="preserve"> - Miejska Biblioteka Publiczna</t>
  </si>
  <si>
    <t>Biblioteki (dotacja na inwestycje)</t>
  </si>
  <si>
    <t>Razem:</t>
  </si>
  <si>
    <t>dotacje podmiotowe</t>
  </si>
  <si>
    <t xml:space="preserve"> - Zakład Aktywności Zawodowej</t>
  </si>
  <si>
    <t>Galerie i biura wystaw artystycznych</t>
  </si>
  <si>
    <t xml:space="preserve"> - Centrum Kultury Browar B</t>
  </si>
  <si>
    <t>Pozostałe instytucje kultury</t>
  </si>
  <si>
    <t>Załącznik Nr 6</t>
  </si>
  <si>
    <t>dla jednostek spoza sektora finansów publicznych na 2026 rok</t>
  </si>
  <si>
    <t>Zadania w zakresie upowszechniania turystyki</t>
  </si>
  <si>
    <t>Dotacje do prac budowlanych w ramach rewitalizacji (dotacja na inwestycje)</t>
  </si>
  <si>
    <t>Pozostała działalność (prowadzenie Kawiarni Obywatelskiej "Śródmieście Cafe")</t>
  </si>
  <si>
    <t>Nieodpłatna pomoc prawna - zadanie rządowe</t>
  </si>
  <si>
    <t>2837    2839</t>
  </si>
  <si>
    <t>Realizacja projektu unijnego "Dostosowanie kształcenia ogólnego do potrzeb rynku pracy I ETAP" (licea)</t>
  </si>
  <si>
    <t>Realizacja projektu unijnego "Dostosowanie kształcenia ogólnego do potrzeb rynku pracy II ETAP" (szkoły podstawowe)</t>
  </si>
  <si>
    <t>Realizacja projektu unijnego "Dostosowanie kształcenia zawodowego do potrzeb rynku pracy"</t>
  </si>
  <si>
    <t>Zwalczanie narkomanii</t>
  </si>
  <si>
    <t>Dofinansowanie programów dotyczących uzależnień, pozalekcyjnych zajęć sportowych (przeciwdzialanie alkoholizmowi)</t>
  </si>
  <si>
    <t>Pozostała działalność (promocja i ochrona zdrowia oraz działania na rzecz osób niepełnosprawnych)</t>
  </si>
  <si>
    <t>Pozostała działalność (ćwiczenia gimnastyczne poprawiające kondycję seniora - Budżet Obywatelski)</t>
  </si>
  <si>
    <t>Zapewnienie schronienia osobom bezdomnym (wypłata dodatku motywacyjnego dla pracowników schroniska dla osób bezdomnych w ramach programu rządowego)</t>
  </si>
  <si>
    <t>Usługi opiekuńcze i specjalistyczne usługi opiekuńcze - ogółem, z tego:</t>
  </si>
  <si>
    <t>13.1</t>
  </si>
  <si>
    <t xml:space="preserve"> - zadania własne</t>
  </si>
  <si>
    <t>13.2</t>
  </si>
  <si>
    <t xml:space="preserve"> - zadania zlecone</t>
  </si>
  <si>
    <t>Zapewnienie schronienia osobom bezdomnym (pozostała działalność)</t>
  </si>
  <si>
    <t>Pozostała działalność (aktywizacja społeczna seniorów, podnoszenie poziomu bezpieczeństwa i poprawa warunków funkcjonowania seniorów)</t>
  </si>
  <si>
    <t>2360                  2830</t>
  </si>
  <si>
    <t>Działalność placówek opiekuńczo - wychowawczych</t>
  </si>
  <si>
    <t>Dofinansowanie  przyłączy kanalizacyjnych do nieruchomości (dotacja na inwestycje)</t>
  </si>
  <si>
    <t>Ochrona powietrza atmosferycznego i klimatu (zadania w zakresie ekologii i ochrony zwierząt oraz ochrony dziedzictwa przyrodniczego)</t>
  </si>
  <si>
    <t>2366   2367</t>
  </si>
  <si>
    <t>Realizacja projektu unijnego  "Włocławek miastem bioróżnorodnym"</t>
  </si>
  <si>
    <t>Ochrona zabytków i opieka nad zabytkami</t>
  </si>
  <si>
    <t>Upowszechnianie kultury, sztuki, ochrony dóbr kultury i tradycji przez organizacje prowadzące działalność pożytku publicznego (pozostała działalność)</t>
  </si>
  <si>
    <t>Zadania w zakresie kultury fizycznej</t>
  </si>
  <si>
    <t>Razem</t>
  </si>
  <si>
    <t>Nazwa placówki/nazwa podmiotu</t>
  </si>
  <si>
    <t>2540        2590</t>
  </si>
  <si>
    <t>Publiczna Szkoła Podstawowa im. Ks. J. Długosza</t>
  </si>
  <si>
    <t xml:space="preserve">Szkoła Podstawowa Nr 24 w Zespole Szkół WSO "Cogito" </t>
  </si>
  <si>
    <t>Akademicka Szkoła Podstawowa Nr 1 im. Obrońców Wisły 1920 roku we Włocławku</t>
  </si>
  <si>
    <t>Akademicka Szkoła Podstawowa Mistrzostwa Sportowego Nr 1          im. Obrońców Wisły 1920 roku we Włocławku</t>
  </si>
  <si>
    <t>Szkoła Podstawowa z oddziałami dwujęzycznymi Monttessori-     Schule</t>
  </si>
  <si>
    <t>Oddziały przedszkolne w szkołach podstawowych</t>
  </si>
  <si>
    <t>Niepubliczne Przedszkole "Skakanka"</t>
  </si>
  <si>
    <t>Przedszkole Niepubliczne "Chatka Puchatka"</t>
  </si>
  <si>
    <t>Niepubliczne Przedszkole "Smerfna Chata"</t>
  </si>
  <si>
    <t>Przedszkole Niepubliczne "Tęczowa Kraina"</t>
  </si>
  <si>
    <t>Niepubliczne Przedszkole "Na Wspólnej"</t>
  </si>
  <si>
    <t>Centrum Malucha - "Piotruś Pan"- Przedszkole Niepubliczne</t>
  </si>
  <si>
    <t>Niepubliczne Przedszkole "Domowe Przedszkole"</t>
  </si>
  <si>
    <t>Niepubliczne Przedszkole "Bajeczka" Kinga Mizak Aneta Kryczka s.c.</t>
  </si>
  <si>
    <t>Przedszkole Niepubliczne "Happy Kids"</t>
  </si>
  <si>
    <t>Przedszkole Niepubliczne "Kujawiaczek"</t>
  </si>
  <si>
    <t>Niepubliczne Przedszkole "Sensosmyki"</t>
  </si>
  <si>
    <t>Niepubliczne Przedszkole Leśne "Gniazdko Wilgi"</t>
  </si>
  <si>
    <t xml:space="preserve">Przedszkole Publiczne Nr 1 </t>
  </si>
  <si>
    <t>Katolickie Publiczne Przedszkole "Pod Aniołem Stróżem"</t>
  </si>
  <si>
    <t>Inne formy wychowania przedszkolnego - punkty przedszkolne</t>
  </si>
  <si>
    <t>Niepubliczny Punkt Przedszkolny "Kraina Bajek"</t>
  </si>
  <si>
    <t>Akademickie Technikum Wojskowe im. Obrońców Wisły 1920 roku we Włocławku</t>
  </si>
  <si>
    <t>Szkoły policealne</t>
  </si>
  <si>
    <t>Publiczna Szkoła Policealna  "Cosinus Plus" we Włocławku</t>
  </si>
  <si>
    <t>Policealna Szkoła Techników Ochrony Fizycznej Osób i Mienia Elitarne Studium Służb Ochrony "Delta"</t>
  </si>
  <si>
    <t>Zaoczna Policealna Szkoła Zawodowa "Pascal" we Włocławku</t>
  </si>
  <si>
    <t>Stacjonarna Policealna Szkoła Medyczna "Pascal" we Włocławku</t>
  </si>
  <si>
    <t>Policealna Szkoła Medyczna "Pascal"</t>
  </si>
  <si>
    <t>Policealna Szkoła Centrum Nauki i Biznesu "Żak"</t>
  </si>
  <si>
    <t xml:space="preserve">Szkoła Policealna "Spectrum" </t>
  </si>
  <si>
    <t>Policealna Szkoła Futuro</t>
  </si>
  <si>
    <t>Szkoła Policealna Opieki Medycznej "Żak"</t>
  </si>
  <si>
    <t>Akademicka Szkoła Policealna przy Kujawskiej Szkole Wyższej we Włocławku</t>
  </si>
  <si>
    <t>Branżowe szkoły I stopnia</t>
  </si>
  <si>
    <t>Branżowa Szkoła I Stopnia IMPULS</t>
  </si>
  <si>
    <t xml:space="preserve">Branżowa Szkoła I Stopnia nr 9 w Zespole Szkół Włocławskiego Stowarzyszenia Oświatowego "Cogito" </t>
  </si>
  <si>
    <t>Akademickie Liceum Ogólnokształcące nr 1 im. Obrońców Wisły 1920 roku we Włocławku</t>
  </si>
  <si>
    <t>Akademickie Liceum Ogólnokształcące Mistrzostwa Sportowego nr 1 im. Obrońców Wisły 1920 roku we Włocławku</t>
  </si>
  <si>
    <t>Liceum Ogólnokształcące Montessorii</t>
  </si>
  <si>
    <t>Publiczne Liceum Ogólnokształcące im. Ks. J. Długosza</t>
  </si>
  <si>
    <t>Licea ogólnokształcące dla dorosłych</t>
  </si>
  <si>
    <t>Liceum Ogólnokształcące dla Dorosłych Futuro</t>
  </si>
  <si>
    <t>Prywatne Liceum Ogólnokształcące dla Dorosłych (Katarzyna Balcer)</t>
  </si>
  <si>
    <t>Liceum Ogólnokształcące dla Dorosłych "Pascal' we Włocławku</t>
  </si>
  <si>
    <t xml:space="preserve">Liceum Ogólnokształcące "Spectrum" we Włocławku </t>
  </si>
  <si>
    <t>Liceum Ogólnokształcące dla Dorosłych "Żak"</t>
  </si>
  <si>
    <t>Publiczne Liceum Ogólnokształcące dla Dorosłych "Cosinus Plus"</t>
  </si>
  <si>
    <t>Realizacja zadań wymagających stosowania specjalnej organizacji nauki i metod pracy dla dzieci w przedszkolach, oddziałach przedszkolnych w szkołach podstawowych i innych formach wychowania przedszkolnego</t>
  </si>
  <si>
    <t>Terapeutyczny Punkt Przedszkolny Neuromind</t>
  </si>
  <si>
    <t>Terapeutyczny Punkt Przedszkolny "Synapsik"</t>
  </si>
  <si>
    <t>Terapeutyczny Punkt Przedszkolny "Zielony Słonik"</t>
  </si>
  <si>
    <t>Realizacja zadań wymagających stosowania specjalnej organizacji nauki i metod pracy dla dzieci i młodzieży w szkołach podstawowych</t>
  </si>
  <si>
    <t>Szkoła Podstawowa z oddziałami dwujęzycznymi Monttessori-      Schule</t>
  </si>
  <si>
    <t>Kwalifikacyjne kursy zawodowe</t>
  </si>
  <si>
    <t>Szkoła Policealna "Cosinus Plus" we Włocławku</t>
  </si>
  <si>
    <t>Realizacja zadań wymagających stosowania specjalnej organizacji nauki i metod pracy dla dzieci i młodzieży w gimnazjach, klasach dotychczasowego gimnazjum prowadzonych w szkołach innego typu, liceach ogólnokształcących, technikach, szkołach policealnych, branżowych szkołach I i II  stopnia i klasach dotychczasowej zasadniczej szkoły zawodowej prowadzonych w branżowych szkołach I stopnia oraz szkołach artystycznych</t>
  </si>
  <si>
    <t>Rehabilitacja zawodowa i społeczna osób niepełnosprawnych</t>
  </si>
  <si>
    <t>Warsztaty Terapii Zajęciowej</t>
  </si>
  <si>
    <t>Specjalne ośrodki wychowawcze</t>
  </si>
  <si>
    <t>Specjalny Ośrodek Wychowawczy Zgromadzenia Sióstr Orionistek</t>
  </si>
  <si>
    <t>Wczesne wspomaganie rozwoju dziecka</t>
  </si>
  <si>
    <t>Poradnie psychologiczno - pedagogiczne, w tym poradnie specjalistyczne</t>
  </si>
  <si>
    <t>Poradnia Psychologiczno - Pedagogiczna "Vitamed"</t>
  </si>
  <si>
    <t>Internat Zespołu Szkół Katolickich im. Ks. J. Długosza</t>
  </si>
  <si>
    <t>Załącznik Nr 1</t>
  </si>
  <si>
    <t>Zmiany w budżecie miasta Włocławek na 2026 rok</t>
  </si>
  <si>
    <t>Plan</t>
  </si>
  <si>
    <t>T r e ś ć</t>
  </si>
  <si>
    <t>przed zmianą</t>
  </si>
  <si>
    <t>po zmianach</t>
  </si>
  <si>
    <t>DOCHODY OGÓŁEM:</t>
  </si>
  <si>
    <t>Dochody na zadania własne gminy:</t>
  </si>
  <si>
    <t>Obrona narodowa</t>
  </si>
  <si>
    <t xml:space="preserve">Organ </t>
  </si>
  <si>
    <t>2030</t>
  </si>
  <si>
    <t>dotacja celowa otrzymana z budżetu państwa na realizację własnych zadań bieżących gmin (związków gmin, związków powiatowo-gminnych)</t>
  </si>
  <si>
    <t>6330</t>
  </si>
  <si>
    <t>dotacja celowa otrzymana z budżetu państwa na realizację inwestycji i zakupów inwestycyjnych własnych gmin (związków gmin, związków powiatowo-gminnych)</t>
  </si>
  <si>
    <t>Oświata i wychowanie</t>
  </si>
  <si>
    <t>Organ - projekt pn. "Przyjazna szkoła"</t>
  </si>
  <si>
    <t>2057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</si>
  <si>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</si>
  <si>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2059</t>
  </si>
  <si>
    <t>852</t>
  </si>
  <si>
    <t>Pomoc społeczna</t>
  </si>
  <si>
    <t>Domy pomocy społecznej</t>
  </si>
  <si>
    <t>Organ</t>
  </si>
  <si>
    <t>2130</t>
  </si>
  <si>
    <t>dotacje celowe otrzymane z budżetu państwa na realizację bieżących zadań własnych powiatu</t>
  </si>
  <si>
    <t>Dochody na zadania własne powiatu:</t>
  </si>
  <si>
    <t>Kwalifikacja wojskowa</t>
  </si>
  <si>
    <t>dotacja celowa otrzymana z budżetu państwa na zadania bieżące realizowane przez powiat na podstawie porozumień z organami administracji rządowej</t>
  </si>
  <si>
    <t xml:space="preserve">Technika </t>
  </si>
  <si>
    <t>dotacja celowa otrzymana z budżetu państwa na realizację bieżących zadań własnych powiatu</t>
  </si>
  <si>
    <t>Placówki kształcenia ustawicznego i centra kształcenia</t>
  </si>
  <si>
    <t>zawodowego</t>
  </si>
  <si>
    <t>Dochody na zadania zlecone gminie:</t>
  </si>
  <si>
    <t>2010</t>
  </si>
  <si>
    <t xml:space="preserve">dotacje celowe otrzymane z budżetu państwa na realizację zadań bieżących z zakresu administracji rządowej oraz innych zadań zleconych gminie (związkom gmin, związkom powiatowo-gminnym) ustawami </t>
  </si>
  <si>
    <t>Ośrodki pomocy społecznej</t>
  </si>
  <si>
    <t>Usługi opiekuńcze i specjalistyczne usługi opiekuńcze</t>
  </si>
  <si>
    <t>Pomoc dla cudzoziemców</t>
  </si>
  <si>
    <t>Rodzina</t>
  </si>
  <si>
    <t>Świadczenia rodzinne, świadczenie z funduszu alimentacyjnego oraz składki na ubezpieczenia emerytalne i rentowe z ubezpieczenia społecznego</t>
  </si>
  <si>
    <t>2060</t>
  </si>
  <si>
    <t>dotacje celowe otrzymane z budżetu państwa na zadania bieżące z zakresu administracji rządowej zlecone gminom (związkom gmin, związkom powiatowo - gminnym), związane z realizacją świadczenia wychowawczego stanowiącego pomoc państwa w wychowywaniu dzieci</t>
  </si>
  <si>
    <t xml:space="preserve">Składki na ubezpieczenie zdrowotne opłacane za osoby </t>
  </si>
  <si>
    <t>pobierające niektóre świadczenia rodzinne oraz za osoby</t>
  </si>
  <si>
    <t>pobierające zasiłki dla opiekunów</t>
  </si>
  <si>
    <t>Dochody na zadania rządowe powiatu:</t>
  </si>
  <si>
    <t>dotacje celowe otrzymane z budżetu państwa na zadania bieżące z zakresu administracji rządowej oraz inne zadania zlecone ustawami realizowane przez powiat</t>
  </si>
  <si>
    <t>Bezpieczeństwo publiczne i ochrona przeciwpożarowa</t>
  </si>
  <si>
    <t>dotacja celowa otrzymana z budżetu państwa na inwestycje i zakupy inwestycyjne z zakresu administracji rządowej oraz inne zadania zlecone ustawami realizowane przez powiat</t>
  </si>
  <si>
    <t>WYDATKI OGÓŁEM:</t>
  </si>
  <si>
    <t>Wydatki na zadania własne gminy:</t>
  </si>
  <si>
    <t>Transport i łączność</t>
  </si>
  <si>
    <t xml:space="preserve">Miejski Zarząd Dróg i Zieleni </t>
  </si>
  <si>
    <t>wynagrodzenia osobowe pracowników</t>
  </si>
  <si>
    <t>4210</t>
  </si>
  <si>
    <t>zakup materiałów i wyposażenia</t>
  </si>
  <si>
    <t>zakup środków żywności</t>
  </si>
  <si>
    <t>Gospodarka mieszkaniowa</t>
  </si>
  <si>
    <t>Gospodarowanie mieszkaniowym zasobem gminy</t>
  </si>
  <si>
    <t>Administracja Zasobów Komunalnych</t>
  </si>
  <si>
    <t>wydatki osobowe niezaliczone do wynagrodzeń</t>
  </si>
  <si>
    <t xml:space="preserve">składki na ubezpieczenia społeczne </t>
  </si>
  <si>
    <t xml:space="preserve">składki na Fundusz Pracy oraz Fundusz Solidarnościowy </t>
  </si>
  <si>
    <t>zakup usług pozostałych</t>
  </si>
  <si>
    <t>Wydział Gospodarowania Mieniem Komunalnym - projekt pn. "Społeczna Agencja Najmu szansą dla mieszkańców Włocławka na bezpieczny i stabilny najem"</t>
  </si>
  <si>
    <t>wpłaty na PPK finansowane przez podmiot zatrudniający</t>
  </si>
  <si>
    <t>Administracja publiczna</t>
  </si>
  <si>
    <t>Urzędy gmin (miast i miast na prawach powiatu)</t>
  </si>
  <si>
    <t>Wydział Organizacyjno - Prawny i Kadr</t>
  </si>
  <si>
    <t>dodatkowe wynagrodzenie roczne</t>
  </si>
  <si>
    <t>wynagrodzenia bezosobowe</t>
  </si>
  <si>
    <t>Promocja jednostek samorządu terytorialnego</t>
  </si>
  <si>
    <t>Wydział Kultury, Turystyki i Promocji</t>
  </si>
  <si>
    <t>4190</t>
  </si>
  <si>
    <t>nagrody konkursowe</t>
  </si>
  <si>
    <t>75095</t>
  </si>
  <si>
    <t>Miejski Zarząd Dróg i Zieleni - zadanie pn. "Zielone tereny Śródmieścia miasta Włocławek"</t>
  </si>
  <si>
    <t xml:space="preserve">składki na ubezpieczenie społeczne </t>
  </si>
  <si>
    <t>składki na Fundusz Pracy oraz Fundusz Solidarnościowy</t>
  </si>
  <si>
    <t>4218</t>
  </si>
  <si>
    <t>4219</t>
  </si>
  <si>
    <t>Wydział Dróg, Transportu Zbiorowego i Energii</t>
  </si>
  <si>
    <t>wydatki na zakupy inwestycyjne jednostek budżetowych</t>
  </si>
  <si>
    <t>Straż gminna (miejska)</t>
  </si>
  <si>
    <t>Straż Miejska</t>
  </si>
  <si>
    <t>odpisy na zakładowy fundusz świadczeń socjalnych</t>
  </si>
  <si>
    <t>Straż Miejska - Obsługa Monitoringu</t>
  </si>
  <si>
    <t>Różne rozliczenia</t>
  </si>
  <si>
    <t>Rezerwy ogólne i celowe</t>
  </si>
  <si>
    <t>4810</t>
  </si>
  <si>
    <t xml:space="preserve">rezerwy </t>
  </si>
  <si>
    <t xml:space="preserve"> - rezerwa ogólna</t>
  </si>
  <si>
    <t xml:space="preserve"> - rezerwa celowa</t>
  </si>
  <si>
    <t>Jednostki oświatowe zbiorczo</t>
  </si>
  <si>
    <t>zakup środków dydaktycznych i książek</t>
  </si>
  <si>
    <t>zakup energii</t>
  </si>
  <si>
    <t>zakup usług remontowych</t>
  </si>
  <si>
    <t xml:space="preserve">szkolenia pracowników niebędących członkami korpusu służby cywilnej </t>
  </si>
  <si>
    <t>wynagrodzenie osobowe nauczycieli</t>
  </si>
  <si>
    <t>dodatkowe wynagrodzenie roczne nauczycieli</t>
  </si>
  <si>
    <t xml:space="preserve">Wydział Edukacji, Zdrowia i Polityki Społecznej </t>
  </si>
  <si>
    <t>dotacja podmiotowa z budżetu dla niepublicznej jednostki systemu oświaty</t>
  </si>
  <si>
    <t>4040</t>
  </si>
  <si>
    <t>4240</t>
  </si>
  <si>
    <t>zakup usług zdrowotnych</t>
  </si>
  <si>
    <t>opłaty z tytułu zakupu usług telekomunikacyjnych</t>
  </si>
  <si>
    <t xml:space="preserve">zakup usług obejmujących wykonanie ekspertyz, analiz i opinii </t>
  </si>
  <si>
    <t>podróże służbowe krajowe</t>
  </si>
  <si>
    <t xml:space="preserve">różne opłaty i składki </t>
  </si>
  <si>
    <t>Świetlice szkolne</t>
  </si>
  <si>
    <t xml:space="preserve">Realizacja zadań wymagających stosowania specjalnej </t>
  </si>
  <si>
    <t xml:space="preserve">organizacji nauki i metod pracy dla dzieci w przedszkolach, </t>
  </si>
  <si>
    <t>oddziałach przedszkolnych, w szkołach podstawowych</t>
  </si>
  <si>
    <t xml:space="preserve"> i innych formach wychowania przedszkolnego</t>
  </si>
  <si>
    <t>organizacji nauki i metod pracy dla dzieci i młodzieży</t>
  </si>
  <si>
    <t>w szkołach podstawowych</t>
  </si>
  <si>
    <t xml:space="preserve">Wydział Edukacji, Zdrowia i Polityki Społecznej  </t>
  </si>
  <si>
    <t>Szkoła Podstawowa Nr 3 - projekt pn. "Przyjazna szkoła"</t>
  </si>
  <si>
    <t>4017</t>
  </si>
  <si>
    <t>4019</t>
  </si>
  <si>
    <t>851</t>
  </si>
  <si>
    <t>Ochrona zdrowia</t>
  </si>
  <si>
    <t>Programy polityki zdrowotnej</t>
  </si>
  <si>
    <t>Wydział Edukacji, Zdrowia i Polityki Społecznej</t>
  </si>
  <si>
    <t>Przeciwdziałanie alkoholizmowi</t>
  </si>
  <si>
    <t>2360</t>
  </si>
  <si>
    <t>dotacja celowa z budżetu jednostki samorządu terytorialnego, udzielona w trybie art. 221 ustawy, na finansowanie lub dofinansowanie zadań zleconych do realizacji organizacjom prowadzącym działalność pożytku publicznego</t>
  </si>
  <si>
    <t>Centrum Wsparcia dla Osób w Kryzysie</t>
  </si>
  <si>
    <t>Dom Pomocy Społecznej ul. Nowomiejska 19</t>
  </si>
  <si>
    <t>pozostałe odsetki</t>
  </si>
  <si>
    <t>koszty postępowania sądowego i prokuratorskiego</t>
  </si>
  <si>
    <t>Dom Pomocy Społecznej ul. Dobrzyńska 102</t>
  </si>
  <si>
    <t>Środowiskowy Dom Samopomocy</t>
  </si>
  <si>
    <t>Dom Pomocy Społecznej przy ul. Nowomiejskiej 19 - Centrum Wsparcia Społecznego</t>
  </si>
  <si>
    <t>Miejski Ośrodek Pomocy Rodzinie</t>
  </si>
  <si>
    <t>Jednostki specjalistycznego poradnictwa, mieszkania</t>
  </si>
  <si>
    <t>chronione i ośrodki interwencji kryzysowej</t>
  </si>
  <si>
    <t>MOPR - Sekcja Interwencji Kryzysowej i Poradnictwa</t>
  </si>
  <si>
    <t>Specjalistycznego</t>
  </si>
  <si>
    <t>Dom Pomocy Społecznej przy ul. Nowomiejskiej 19 - mieszkania wspomagane ul. Piekarska 25</t>
  </si>
  <si>
    <t>Miejski Ośrodek Pomocy Rodzinie - projekt pn. "Pokonaj kryzys"</t>
  </si>
  <si>
    <t>Pozostałe zadania w zakresie polityki społecznej</t>
  </si>
  <si>
    <t>dotacja podmiotowa z budżetu dla samorządowego zakładu budżetowego</t>
  </si>
  <si>
    <t>Miejska Jadłodajnia "U Świętego Antoniego"</t>
  </si>
  <si>
    <t>Świadczenia rodzinne, świadczenia z funduszu</t>
  </si>
  <si>
    <t>alimentacyjnego oraz składki na ubezpieczenia emerytalne</t>
  </si>
  <si>
    <t>i rentowe z ubezpieczenia społecznego</t>
  </si>
  <si>
    <t>Wspieranie rodziny</t>
  </si>
  <si>
    <t>Miejski Ośrodek Pomocy Rodzinie - placówki wsparcia dziennego</t>
  </si>
  <si>
    <t>Miejski Ośrodek Pomocy Rodzinie - asystent rodziny</t>
  </si>
  <si>
    <t>System opieki nad dziećmi w wieku do lat 3</t>
  </si>
  <si>
    <t>Miejski Zespół Żłobków</t>
  </si>
  <si>
    <t>Gospodarka komunalna i ochrona środowiska</t>
  </si>
  <si>
    <t>Gospodarka odpadami komunalnymi</t>
  </si>
  <si>
    <t>Wydział Nadzoru Właścicielskiego i Gospodarki Komunalnej</t>
  </si>
  <si>
    <t>kary i odszkodowania wypłacane na rzecz osób prawnych i innych jednostek organizacyjnych</t>
  </si>
  <si>
    <t>Utrzymanie zieleni w miastach i gminach</t>
  </si>
  <si>
    <t>Schroniska dla zwierząt</t>
  </si>
  <si>
    <t>Schronisko dla Zwierząt</t>
  </si>
  <si>
    <t>4230</t>
  </si>
  <si>
    <t>zakup leków, wyrobów medycznych i produktów biobójczych</t>
  </si>
  <si>
    <t>podatek od towarów i usług (VAT)</t>
  </si>
  <si>
    <t>Miejski Zarząd Dróg i Zieleni - obsługa Strefy Rozwoju Gospodarczego /Park Przemysłowo - Technologiczny/</t>
  </si>
  <si>
    <t xml:space="preserve">Kultura i ochrona dziedzictwa narodowego </t>
  </si>
  <si>
    <t>nagrody o charakterze szczególnym  niezaliczone do wynagrodzeń</t>
  </si>
  <si>
    <t>Wydatki na zadania własne powiatu:</t>
  </si>
  <si>
    <t>75085</t>
  </si>
  <si>
    <t>Wspólna obsługa jednostek samorządu terytorialnego</t>
  </si>
  <si>
    <t>Centrum Usług Wspólnych Placówek Oświatowych</t>
  </si>
  <si>
    <t>Wydział Zarządzania Kryzysowego i Bezpieczeństwa</t>
  </si>
  <si>
    <t>składki na Fundusz Emerytur Pomostowych</t>
  </si>
  <si>
    <t>4790</t>
  </si>
  <si>
    <t>4110</t>
  </si>
  <si>
    <t>4120</t>
  </si>
  <si>
    <t>Dowożenie uczniów do szkół</t>
  </si>
  <si>
    <t>4010</t>
  </si>
  <si>
    <t>Branżowe szkoły II stopnia</t>
  </si>
  <si>
    <t>podróże służbowe zagraniczne</t>
  </si>
  <si>
    <t>Szkoły artystyczne</t>
  </si>
  <si>
    <t>Szkoły zawodowe specjalne</t>
  </si>
  <si>
    <t>4140</t>
  </si>
  <si>
    <t>wpłaty na Państwowy Fundusz Rehabilitacji Osób Niepełnosprawnych</t>
  </si>
  <si>
    <t>4300</t>
  </si>
  <si>
    <t>w gimnazjach, klasach dotychczasowego gimnazjum</t>
  </si>
  <si>
    <t>prowadzonych w szkołach innego typu, liceach</t>
  </si>
  <si>
    <t xml:space="preserve">ogólnokształcących, technikach, szkołach policealnych, </t>
  </si>
  <si>
    <t>branżowych szkołach I i II stopnia i klasach dotychczasowej</t>
  </si>
  <si>
    <t>zasadniczej szkoły zawodowej prowadzonych w branżowych</t>
  </si>
  <si>
    <t>szkołach I stopnia oraz szkołach artystycznych</t>
  </si>
  <si>
    <t>Edukacyjna opieka wychowawcza</t>
  </si>
  <si>
    <t>Wczesne wspomaganie rozowju dziecka</t>
  </si>
  <si>
    <t>Poradnie psychologiczno-pedagogiczne</t>
  </si>
  <si>
    <t>Rodziny zastępcze</t>
  </si>
  <si>
    <t>Miejski Ośrodek Pomocy Rodzinie - Zespół ds. pieczy zastępczej</t>
  </si>
  <si>
    <t>Centrum Opieki nad Dzieckiem</t>
  </si>
  <si>
    <t>składki na ubezpieczenie społeczne</t>
  </si>
  <si>
    <t xml:space="preserve">Placówka Opiekuńczo - Wychowawcza Nr 1 "Maluch" </t>
  </si>
  <si>
    <t xml:space="preserve">Placówka Opiekuńczo - Wychowawcza Nr 2 "Calineczka" </t>
  </si>
  <si>
    <t>Placówka Opiekuńczo - Wychowawcza nr 6 "Nibylandia"</t>
  </si>
  <si>
    <t>Wydatki na zadania zlecone gminie:</t>
  </si>
  <si>
    <t xml:space="preserve">Środowiskowy Dom Samopomocy </t>
  </si>
  <si>
    <t xml:space="preserve">Miejski Ośrodek Pomocy Rodzinie </t>
  </si>
  <si>
    <t>świadczenia społeczne</t>
  </si>
  <si>
    <t>Miejski Ośrodek Pomocy Rodzinie - świadczenie wychowawcze</t>
  </si>
  <si>
    <t xml:space="preserve">składki na ubezpieczenie zdrowotne </t>
  </si>
  <si>
    <t>Wydatki na zadania rządowe powiatu:</t>
  </si>
  <si>
    <t>710</t>
  </si>
  <si>
    <t>Działalność usługowa</t>
  </si>
  <si>
    <t>Nadzór budowlany</t>
  </si>
  <si>
    <t>Powiatowy Inspektorat Nadzoru Budowlanego Miasta Włocławka</t>
  </si>
  <si>
    <t>4710</t>
  </si>
  <si>
    <t>wydatki osobowe niezaliczone do uposażeń wypłacane żołnierzom i funkcjonariuszom</t>
  </si>
  <si>
    <t>wydatki inwestycyjne jednostek budżetowych</t>
  </si>
  <si>
    <t xml:space="preserve">Usługi opiekuńcze i specjalistyczne usługi opiekuńcze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</si>
</sst>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sz val="8"/>
      <name val="Arial Narrow"/>
      <family val="2"/>
      <charset val="238"/>
    </font>
    <font>
      <b/>
      <sz val="9"/>
      <name val="Arial CE"/>
      <family val="2"/>
      <charset val="238"/>
    </font>
    <font>
      <sz val="9"/>
      <name val="Arial"/>
      <family val="2"/>
      <charset val="238"/>
    </font>
    <font>
      <b/>
      <sz val="9"/>
      <name val="Arial CE"/>
      <charset val="238"/>
    </font>
    <font>
      <sz val="9"/>
      <color theme="1"/>
      <name val="Calibri"/>
      <family val="2"/>
      <charset val="238"/>
      <scheme val="minor"/>
    </font>
    <font>
      <sz val="8"/>
      <name val="Arial CE"/>
      <family val="2"/>
      <charset val="238"/>
    </font>
    <font>
      <b/>
      <sz val="8"/>
      <name val="Arial Narrow"/>
      <family val="2"/>
      <charset val="238"/>
    </font>
    <font>
      <sz val="8"/>
      <name val="Arial"/>
      <family val="2"/>
      <charset val="238"/>
    </font>
    <font>
      <sz val="9"/>
      <name val="Arial CE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CE"/>
      <family val="2"/>
      <charset val="238"/>
    </font>
    <font>
      <sz val="10"/>
      <name val="Arial"/>
      <family val="2"/>
      <charset val="238"/>
    </font>
    <font>
      <sz val="6"/>
      <name val="Arial Narrow"/>
      <family val="2"/>
      <charset val="238"/>
    </font>
    <font>
      <sz val="10"/>
      <color theme="1"/>
      <name val="Arial Narrow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9"/>
      <name val="Arial CE"/>
      <charset val="238"/>
    </font>
    <font>
      <sz val="7"/>
      <name val="Arial CE"/>
      <charset val="238"/>
    </font>
    <font>
      <sz val="7"/>
      <name val="Arial Narrow"/>
      <family val="2"/>
      <charset val="238"/>
    </font>
    <font>
      <b/>
      <sz val="7"/>
      <name val="Arial Narrow"/>
      <family val="2"/>
      <charset val="238"/>
    </font>
    <font>
      <sz val="11"/>
      <color indexed="8"/>
      <name val="Calibri"/>
      <family val="2"/>
      <charset val="1"/>
    </font>
    <font>
      <sz val="11"/>
      <name val="Arial"/>
      <family val="2"/>
      <charset val="238"/>
    </font>
    <font>
      <sz val="11"/>
      <color theme="1"/>
      <name val="Calibri"/>
      <family val="2"/>
      <scheme val="minor"/>
    </font>
    <font>
      <sz val="8"/>
      <color theme="1"/>
      <name val="Arial CE"/>
      <family val="2"/>
      <charset val="238"/>
    </font>
    <font>
      <sz val="8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8"/>
      <name val="Arial"/>
      <family val="2"/>
      <charset val="238"/>
    </font>
    <font>
      <b/>
      <sz val="7.5"/>
      <name val="Arial"/>
      <family val="2"/>
      <charset val="238"/>
    </font>
    <font>
      <sz val="6"/>
      <name val="Arial"/>
      <family val="2"/>
      <charset val="238"/>
    </font>
    <font>
      <sz val="7"/>
      <name val="Arial"/>
      <family val="2"/>
      <charset val="238"/>
    </font>
    <font>
      <sz val="9"/>
      <name val="Arial Narrow"/>
      <family val="2"/>
      <charset val="238"/>
    </font>
    <font>
      <b/>
      <sz val="9"/>
      <name val="Arial Narrow"/>
      <family val="2"/>
      <charset val="238"/>
    </font>
    <font>
      <b/>
      <sz val="9"/>
      <color rgb="FFFF0000"/>
      <name val="Arial Narrow"/>
      <family val="2"/>
      <charset val="238"/>
    </font>
    <font>
      <sz val="8"/>
      <color rgb="FFFF0000"/>
      <name val="Arial Narrow"/>
      <family val="2"/>
      <charset val="238"/>
    </font>
    <font>
      <sz val="7"/>
      <color theme="1"/>
      <name val="Arial Narrow"/>
      <family val="2"/>
      <charset val="238"/>
    </font>
    <font>
      <sz val="8"/>
      <color rgb="FF000000"/>
      <name val="Arial Narrow"/>
      <family val="2"/>
      <charset val="238"/>
    </font>
    <font>
      <b/>
      <sz val="8"/>
      <name val="Arial CE"/>
      <family val="2"/>
      <charset val="238"/>
    </font>
    <font>
      <b/>
      <sz val="7"/>
      <name val="Arial CE"/>
      <charset val="238"/>
    </font>
    <font>
      <u/>
      <sz val="7"/>
      <name val="Arial CE"/>
      <charset val="238"/>
    </font>
    <font>
      <sz val="1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8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DashDot">
        <color indexed="64"/>
      </bottom>
      <diagonal/>
    </border>
    <border>
      <left style="thin">
        <color indexed="64"/>
      </left>
      <right style="thin">
        <color indexed="64"/>
      </right>
      <top/>
      <bottom style="mediumDashDot">
        <color indexed="64"/>
      </bottom>
      <diagonal/>
    </border>
    <border>
      <left style="thin">
        <color indexed="64"/>
      </left>
      <right/>
      <top style="thin">
        <color indexed="64"/>
      </top>
      <bottom style="mediumDashDot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26" fillId="0" borderId="0"/>
    <xf numFmtId="0" fontId="27" fillId="0" borderId="0"/>
    <xf numFmtId="0" fontId="28" fillId="0" borderId="0"/>
    <xf numFmtId="0" fontId="28" fillId="0" borderId="0"/>
    <xf numFmtId="43" fontId="2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43" fontId="1" fillId="0" borderId="0" applyFont="0" applyFill="0" applyBorder="0" applyAlignment="0" applyProtection="0"/>
  </cellStyleXfs>
  <cellXfs count="654">
    <xf numFmtId="0" fontId="0" fillId="0" borderId="0" xfId="0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5" fillId="0" borderId="0" xfId="0" applyFont="1" applyAlignment="1">
      <alignment horizontal="centerContinuous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10" fillId="0" borderId="4" xfId="0" applyFont="1" applyBorder="1" applyAlignment="1">
      <alignment vertical="center"/>
    </xf>
    <xf numFmtId="0" fontId="10" fillId="0" borderId="4" xfId="0" applyFont="1" applyBorder="1" applyAlignment="1">
      <alignment horizontal="center" vertical="center"/>
    </xf>
    <xf numFmtId="3" fontId="3" fillId="0" borderId="6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indent="2"/>
    </xf>
    <xf numFmtId="4" fontId="3" fillId="0" borderId="1" xfId="0" applyNumberFormat="1" applyFont="1" applyBorder="1" applyAlignment="1">
      <alignment vertical="center"/>
    </xf>
    <xf numFmtId="0" fontId="4" fillId="0" borderId="3" xfId="0" applyFont="1" applyBorder="1" applyAlignment="1">
      <alignment horizontal="left" vertical="center" indent="2"/>
    </xf>
    <xf numFmtId="4" fontId="3" fillId="0" borderId="3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center" indent="2"/>
    </xf>
    <xf numFmtId="4" fontId="3" fillId="0" borderId="4" xfId="0" applyNumberFormat="1" applyFont="1" applyBorder="1" applyAlignment="1">
      <alignment vertical="top"/>
    </xf>
    <xf numFmtId="0" fontId="4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 indent="2"/>
    </xf>
    <xf numFmtId="4" fontId="3" fillId="0" borderId="7" xfId="0" applyNumberFormat="1" applyFont="1" applyBorder="1" applyAlignment="1">
      <alignment vertical="top"/>
    </xf>
    <xf numFmtId="0" fontId="4" fillId="0" borderId="7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center" wrapText="1" indent="2"/>
    </xf>
    <xf numFmtId="4" fontId="3" fillId="0" borderId="7" xfId="0" applyNumberFormat="1" applyFont="1" applyBorder="1"/>
    <xf numFmtId="4" fontId="3" fillId="0" borderId="4" xfId="0" applyNumberFormat="1" applyFont="1" applyBorder="1"/>
    <xf numFmtId="0" fontId="4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top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indent="2"/>
    </xf>
    <xf numFmtId="4" fontId="3" fillId="0" borderId="0" xfId="0" applyNumberFormat="1" applyFont="1" applyAlignment="1">
      <alignment vertical="center"/>
    </xf>
    <xf numFmtId="3" fontId="3" fillId="0" borderId="5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vertical="top"/>
    </xf>
    <xf numFmtId="4" fontId="3" fillId="0" borderId="3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left" vertical="top" wrapText="1" indent="2"/>
    </xf>
    <xf numFmtId="4" fontId="3" fillId="0" borderId="3" xfId="0" applyNumberFormat="1" applyFont="1" applyBorder="1"/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indent="2"/>
    </xf>
    <xf numFmtId="4" fontId="3" fillId="0" borderId="5" xfId="0" applyNumberFormat="1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4" fontId="3" fillId="0" borderId="4" xfId="0" applyNumberFormat="1" applyFont="1" applyBorder="1" applyAlignment="1">
      <alignment vertical="center"/>
    </xf>
    <xf numFmtId="4" fontId="3" fillId="0" borderId="4" xfId="0" applyNumberFormat="1" applyFont="1" applyBorder="1" applyAlignment="1">
      <alignment horizontal="right" vertical="center"/>
    </xf>
    <xf numFmtId="0" fontId="3" fillId="0" borderId="7" xfId="0" applyFont="1" applyBorder="1" applyAlignment="1">
      <alignment vertical="top"/>
    </xf>
    <xf numFmtId="0" fontId="3" fillId="0" borderId="8" xfId="0" applyFont="1" applyBorder="1"/>
    <xf numFmtId="0" fontId="3" fillId="0" borderId="5" xfId="0" applyFont="1" applyBorder="1"/>
    <xf numFmtId="0" fontId="11" fillId="0" borderId="0" xfId="0" applyFont="1"/>
    <xf numFmtId="0" fontId="9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9" fillId="0" borderId="0" xfId="0" applyFont="1"/>
    <xf numFmtId="0" fontId="12" fillId="0" borderId="0" xfId="0" applyFont="1"/>
    <xf numFmtId="0" fontId="14" fillId="0" borderId="0" xfId="0" applyFont="1"/>
    <xf numFmtId="0" fontId="13" fillId="0" borderId="0" xfId="0" applyFont="1" applyAlignment="1">
      <alignment horizontal="centerContinuous" vertical="center"/>
    </xf>
    <xf numFmtId="0" fontId="15" fillId="0" borderId="0" xfId="0" applyFont="1"/>
    <xf numFmtId="0" fontId="16" fillId="0" borderId="0" xfId="0" applyFont="1" applyAlignment="1">
      <alignment horizontal="centerContinuous" vertical="center"/>
    </xf>
    <xf numFmtId="0" fontId="17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 indent="2"/>
    </xf>
    <xf numFmtId="0" fontId="15" fillId="0" borderId="3" xfId="0" applyFont="1" applyBorder="1" applyAlignment="1">
      <alignment vertical="center"/>
    </xf>
    <xf numFmtId="0" fontId="15" fillId="0" borderId="3" xfId="0" applyFont="1" applyBorder="1" applyAlignment="1">
      <alignment horizontal="left" vertical="center" indent="2"/>
    </xf>
    <xf numFmtId="4" fontId="19" fillId="0" borderId="3" xfId="0" applyNumberFormat="1" applyFont="1" applyBorder="1" applyAlignment="1">
      <alignment vertical="center"/>
    </xf>
    <xf numFmtId="0" fontId="15" fillId="0" borderId="4" xfId="0" applyFont="1" applyBorder="1" applyAlignment="1">
      <alignment vertical="center"/>
    </xf>
    <xf numFmtId="0" fontId="15" fillId="0" borderId="4" xfId="0" applyFont="1" applyBorder="1" applyAlignment="1">
      <alignment horizontal="left" vertical="center" indent="2"/>
    </xf>
    <xf numFmtId="4" fontId="19" fillId="0" borderId="4" xfId="0" applyNumberFormat="1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0" xfId="0" applyFont="1"/>
    <xf numFmtId="0" fontId="21" fillId="0" borderId="0" xfId="0" applyFont="1" applyAlignment="1">
      <alignment horizontal="right" vertical="center"/>
    </xf>
    <xf numFmtId="0" fontId="22" fillId="0" borderId="0" xfId="0" applyFont="1"/>
    <xf numFmtId="0" fontId="4" fillId="0" borderId="0" xfId="0" applyFont="1" applyAlignment="1">
      <alignment horizontal="right" vertical="center"/>
    </xf>
    <xf numFmtId="0" fontId="23" fillId="0" borderId="0" xfId="0" applyFont="1" applyAlignment="1">
      <alignment horizontal="left" vertical="center"/>
    </xf>
    <xf numFmtId="4" fontId="4" fillId="0" borderId="0" xfId="0" applyNumberFormat="1" applyFont="1"/>
    <xf numFmtId="0" fontId="22" fillId="0" borderId="0" xfId="0" applyFont="1" applyAlignment="1">
      <alignment vertical="center"/>
    </xf>
    <xf numFmtId="0" fontId="24" fillId="0" borderId="0" xfId="0" applyFont="1"/>
    <xf numFmtId="4" fontId="24" fillId="0" borderId="0" xfId="0" applyNumberFormat="1" applyFont="1"/>
    <xf numFmtId="4" fontId="21" fillId="0" borderId="0" xfId="0" applyNumberFormat="1" applyFont="1" applyAlignment="1">
      <alignment horizontal="right" vertical="center"/>
    </xf>
    <xf numFmtId="43" fontId="23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centerContinuous" vertical="center"/>
    </xf>
    <xf numFmtId="0" fontId="20" fillId="0" borderId="0" xfId="0" applyFont="1" applyAlignment="1">
      <alignment horizontal="centerContinuous"/>
    </xf>
    <xf numFmtId="0" fontId="10" fillId="0" borderId="0" xfId="0" applyFont="1" applyAlignment="1">
      <alignment horizontal="left"/>
    </xf>
    <xf numFmtId="4" fontId="24" fillId="0" borderId="0" xfId="0" applyNumberFormat="1" applyFont="1" applyAlignment="1">
      <alignment horizontal="right"/>
    </xf>
    <xf numFmtId="0" fontId="24" fillId="0" borderId="0" xfId="0" applyFont="1" applyAlignment="1">
      <alignment horizontal="left"/>
    </xf>
    <xf numFmtId="4" fontId="10" fillId="0" borderId="0" xfId="0" applyNumberFormat="1" applyFont="1"/>
    <xf numFmtId="0" fontId="10" fillId="0" borderId="0" xfId="0" applyFont="1"/>
    <xf numFmtId="0" fontId="25" fillId="0" borderId="0" xfId="0" applyFont="1"/>
    <xf numFmtId="0" fontId="21" fillId="0" borderId="0" xfId="0" applyFont="1" applyAlignment="1">
      <alignment horizontal="centerContinuous"/>
    </xf>
    <xf numFmtId="0" fontId="20" fillId="0" borderId="0" xfId="0" applyFont="1" applyAlignment="1">
      <alignment horizontal="right" vertical="center"/>
    </xf>
    <xf numFmtId="0" fontId="21" fillId="0" borderId="0" xfId="0" applyFont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20" fillId="3" borderId="8" xfId="0" applyFont="1" applyFill="1" applyBorder="1" applyAlignment="1">
      <alignment horizontal="centerContinuous" vertical="center"/>
    </xf>
    <xf numFmtId="0" fontId="20" fillId="3" borderId="11" xfId="0" applyFont="1" applyFill="1" applyBorder="1" applyAlignment="1">
      <alignment horizontal="centerContinuous" vertical="center"/>
    </xf>
    <xf numFmtId="0" fontId="20" fillId="3" borderId="9" xfId="0" applyFont="1" applyFill="1" applyBorder="1" applyAlignment="1">
      <alignment horizontal="centerContinuous" vertical="center"/>
    </xf>
    <xf numFmtId="0" fontId="20" fillId="3" borderId="12" xfId="0" applyFont="1" applyFill="1" applyBorder="1" applyAlignment="1">
      <alignment horizontal="centerContinuous" vertical="center"/>
    </xf>
    <xf numFmtId="0" fontId="20" fillId="3" borderId="12" xfId="0" applyFont="1" applyFill="1" applyBorder="1" applyAlignment="1">
      <alignment horizontal="center" vertical="center"/>
    </xf>
    <xf numFmtId="4" fontId="24" fillId="0" borderId="0" xfId="0" applyNumberFormat="1" applyFont="1" applyAlignment="1">
      <alignment horizontal="right" vertical="center"/>
    </xf>
    <xf numFmtId="0" fontId="24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4" borderId="8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0" fillId="3" borderId="3" xfId="0" applyFont="1" applyFill="1" applyBorder="1" applyAlignment="1">
      <alignment horizontal="center" vertical="center"/>
    </xf>
    <xf numFmtId="4" fontId="24" fillId="0" borderId="0" xfId="0" applyNumberFormat="1" applyFont="1" applyAlignment="1">
      <alignment vertical="center"/>
    </xf>
    <xf numFmtId="0" fontId="24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0" fillId="0" borderId="14" xfId="3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20" fillId="3" borderId="1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3" borderId="5" xfId="0" applyFont="1" applyFill="1" applyBorder="1" applyAlignment="1">
      <alignment horizontal="center" vertical="center"/>
    </xf>
    <xf numFmtId="0" fontId="21" fillId="0" borderId="8" xfId="0" applyFont="1" applyBorder="1" applyAlignment="1">
      <alignment horizontal="center" vertical="center"/>
    </xf>
    <xf numFmtId="0" fontId="21" fillId="3" borderId="10" xfId="0" applyFont="1" applyFill="1" applyBorder="1" applyAlignment="1">
      <alignment horizontal="center" vertical="center"/>
    </xf>
    <xf numFmtId="4" fontId="4" fillId="0" borderId="0" xfId="0" applyNumberFormat="1" applyFont="1" applyAlignment="1">
      <alignment vertical="center"/>
    </xf>
    <xf numFmtId="0" fontId="20" fillId="0" borderId="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20" fillId="0" borderId="5" xfId="3" applyFont="1" applyBorder="1" applyAlignment="1">
      <alignment horizontal="left" vertical="center" wrapText="1"/>
    </xf>
    <xf numFmtId="4" fontId="20" fillId="0" borderId="5" xfId="3" applyNumberFormat="1" applyFont="1" applyBorder="1" applyAlignment="1">
      <alignment horizontal="right" vertical="center"/>
    </xf>
    <xf numFmtId="0" fontId="20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4" fontId="21" fillId="0" borderId="1" xfId="3" applyNumberFormat="1" applyFont="1" applyBorder="1" applyAlignment="1">
      <alignment horizontal="right" vertical="center"/>
    </xf>
    <xf numFmtId="0" fontId="20" fillId="4" borderId="4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1" fillId="5" borderId="4" xfId="0" applyFont="1" applyFill="1" applyBorder="1" applyAlignment="1">
      <alignment horizontal="center" vertical="center"/>
    </xf>
    <xf numFmtId="0" fontId="21" fillId="0" borderId="4" xfId="0" applyFont="1" applyBorder="1" applyAlignment="1">
      <alignment vertical="center" wrapText="1"/>
    </xf>
    <xf numFmtId="4" fontId="21" fillId="0" borderId="4" xfId="3" applyNumberFormat="1" applyFont="1" applyBorder="1" applyAlignment="1">
      <alignment horizontal="right" vertical="center"/>
    </xf>
    <xf numFmtId="0" fontId="21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11" fillId="0" borderId="0" xfId="4" applyFont="1"/>
    <xf numFmtId="0" fontId="9" fillId="0" borderId="0" xfId="5" applyFont="1"/>
    <xf numFmtId="0" fontId="29" fillId="0" borderId="0" xfId="6" applyFont="1"/>
    <xf numFmtId="0" fontId="30" fillId="0" borderId="0" xfId="4" applyFont="1"/>
    <xf numFmtId="0" fontId="9" fillId="0" borderId="0" xfId="5" applyFont="1" applyAlignment="1">
      <alignment horizontal="left"/>
    </xf>
    <xf numFmtId="0" fontId="29" fillId="0" borderId="0" xfId="6" applyFont="1" applyAlignment="1">
      <alignment horizontal="left"/>
    </xf>
    <xf numFmtId="0" fontId="31" fillId="0" borderId="0" xfId="4" applyFont="1" applyAlignment="1">
      <alignment horizontal="centerContinuous" vertical="center"/>
    </xf>
    <xf numFmtId="0" fontId="32" fillId="0" borderId="1" xfId="4" applyFont="1" applyBorder="1" applyAlignment="1">
      <alignment horizontal="center" vertical="center"/>
    </xf>
    <xf numFmtId="0" fontId="32" fillId="0" borderId="1" xfId="4" applyFont="1" applyBorder="1" applyAlignment="1">
      <alignment horizontal="center" vertical="center" wrapText="1"/>
    </xf>
    <xf numFmtId="0" fontId="33" fillId="0" borderId="1" xfId="4" applyFont="1" applyBorder="1" applyAlignment="1">
      <alignment horizontal="center" vertical="top" wrapText="1"/>
    </xf>
    <xf numFmtId="0" fontId="32" fillId="0" borderId="8" xfId="4" applyFont="1" applyBorder="1" applyAlignment="1">
      <alignment horizontal="centerContinuous" vertical="center"/>
    </xf>
    <xf numFmtId="0" fontId="32" fillId="0" borderId="10" xfId="4" applyFont="1" applyBorder="1" applyAlignment="1">
      <alignment horizontal="centerContinuous" vertical="center"/>
    </xf>
    <xf numFmtId="0" fontId="32" fillId="0" borderId="9" xfId="4" applyFont="1" applyBorder="1" applyAlignment="1">
      <alignment horizontal="centerContinuous" vertical="center"/>
    </xf>
    <xf numFmtId="0" fontId="32" fillId="0" borderId="3" xfId="4" applyFont="1" applyBorder="1" applyAlignment="1">
      <alignment horizontal="center" vertical="center"/>
    </xf>
    <xf numFmtId="0" fontId="32" fillId="0" borderId="3" xfId="4" applyFont="1" applyBorder="1" applyAlignment="1">
      <alignment horizontal="center" vertical="center" wrapText="1"/>
    </xf>
    <xf numFmtId="0" fontId="33" fillId="0" borderId="3" xfId="4" applyFont="1" applyBorder="1" applyAlignment="1">
      <alignment horizontal="center" vertical="center" wrapText="1"/>
    </xf>
    <xf numFmtId="0" fontId="32" fillId="0" borderId="4" xfId="4" applyFont="1" applyBorder="1" applyAlignment="1">
      <alignment horizontal="center" vertical="center"/>
    </xf>
    <xf numFmtId="0" fontId="33" fillId="0" borderId="4" xfId="4" applyFont="1" applyBorder="1" applyAlignment="1">
      <alignment horizontal="center" vertical="center" wrapText="1"/>
    </xf>
    <xf numFmtId="0" fontId="32" fillId="0" borderId="4" xfId="4" applyFont="1" applyBorder="1" applyAlignment="1">
      <alignment horizontal="center" vertical="center" wrapText="1"/>
    </xf>
    <xf numFmtId="0" fontId="34" fillId="0" borderId="5" xfId="4" applyFont="1" applyBorder="1" applyAlignment="1">
      <alignment horizontal="center" vertical="center"/>
    </xf>
    <xf numFmtId="0" fontId="34" fillId="0" borderId="10" xfId="4" applyFont="1" applyBorder="1" applyAlignment="1">
      <alignment horizontal="center" vertical="center"/>
    </xf>
    <xf numFmtId="0" fontId="31" fillId="0" borderId="1" xfId="4" applyFont="1" applyBorder="1" applyAlignment="1">
      <alignment horizontal="center" vertical="center"/>
    </xf>
    <xf numFmtId="0" fontId="31" fillId="0" borderId="5" xfId="4" applyFont="1" applyBorder="1" applyAlignment="1">
      <alignment vertical="center"/>
    </xf>
    <xf numFmtId="4" fontId="32" fillId="0" borderId="10" xfId="4" applyNumberFormat="1" applyFont="1" applyBorder="1" applyAlignment="1">
      <alignment horizontal="center" vertical="center"/>
    </xf>
    <xf numFmtId="4" fontId="32" fillId="0" borderId="5" xfId="4" applyNumberFormat="1" applyFont="1" applyBorder="1" applyAlignment="1">
      <alignment vertical="center"/>
    </xf>
    <xf numFmtId="4" fontId="32" fillId="0" borderId="0" xfId="4" applyNumberFormat="1" applyFont="1"/>
    <xf numFmtId="0" fontId="32" fillId="0" borderId="0" xfId="4" applyFont="1"/>
    <xf numFmtId="0" fontId="31" fillId="0" borderId="3" xfId="4" applyFont="1" applyBorder="1" applyAlignment="1">
      <alignment horizontal="center" vertical="center"/>
    </xf>
    <xf numFmtId="4" fontId="11" fillId="0" borderId="0" xfId="4" applyNumberFormat="1" applyFont="1"/>
    <xf numFmtId="43" fontId="35" fillId="0" borderId="0" xfId="7" applyFont="1"/>
    <xf numFmtId="3" fontId="11" fillId="0" borderId="0" xfId="4" applyNumberFormat="1" applyFont="1"/>
    <xf numFmtId="0" fontId="32" fillId="0" borderId="18" xfId="4" applyFont="1" applyBorder="1" applyAlignment="1">
      <alignment horizontal="center" vertical="center"/>
    </xf>
    <xf numFmtId="0" fontId="32" fillId="0" borderId="19" xfId="4" applyFont="1" applyBorder="1" applyAlignment="1">
      <alignment vertical="center" wrapText="1"/>
    </xf>
    <xf numFmtId="0" fontId="32" fillId="0" borderId="20" xfId="4" applyFont="1" applyBorder="1" applyAlignment="1">
      <alignment horizontal="center"/>
    </xf>
    <xf numFmtId="4" fontId="32" fillId="0" borderId="18" xfId="4" applyNumberFormat="1" applyFont="1" applyBorder="1" applyAlignment="1">
      <alignment vertical="center"/>
    </xf>
    <xf numFmtId="49" fontId="11" fillId="0" borderId="16" xfId="4" applyNumberFormat="1" applyFont="1" applyBorder="1" applyAlignment="1">
      <alignment horizontal="center" vertical="center"/>
    </xf>
    <xf numFmtId="0" fontId="20" fillId="0" borderId="16" xfId="5" applyFont="1" applyBorder="1" applyAlignment="1">
      <alignment horizontal="left" vertical="center" wrapText="1"/>
    </xf>
    <xf numFmtId="0" fontId="11" fillId="0" borderId="23" xfId="4" applyFont="1" applyBorder="1" applyAlignment="1">
      <alignment horizontal="center" vertical="top"/>
    </xf>
    <xf numFmtId="0" fontId="30" fillId="0" borderId="6" xfId="4" applyFont="1" applyBorder="1" applyAlignment="1">
      <alignment vertical="top" wrapText="1"/>
    </xf>
    <xf numFmtId="0" fontId="11" fillId="0" borderId="26" xfId="4" applyFont="1" applyBorder="1"/>
    <xf numFmtId="0" fontId="11" fillId="0" borderId="23" xfId="4" applyFont="1" applyBorder="1" applyAlignment="1">
      <alignment horizontal="center" vertical="center"/>
    </xf>
    <xf numFmtId="0" fontId="11" fillId="4" borderId="23" xfId="4" applyFont="1" applyFill="1" applyBorder="1" applyAlignment="1">
      <alignment horizontal="center"/>
    </xf>
    <xf numFmtId="43" fontId="30" fillId="0" borderId="27" xfId="7" applyFont="1" applyFill="1" applyBorder="1"/>
    <xf numFmtId="43" fontId="30" fillId="0" borderId="28" xfId="7" applyFont="1" applyFill="1" applyBorder="1"/>
    <xf numFmtId="43" fontId="30" fillId="0" borderId="29" xfId="7" applyFont="1" applyFill="1" applyBorder="1"/>
    <xf numFmtId="43" fontId="30" fillId="0" borderId="30" xfId="7" applyFont="1" applyBorder="1"/>
    <xf numFmtId="43" fontId="30" fillId="0" borderId="28" xfId="7" applyFont="1" applyBorder="1"/>
    <xf numFmtId="43" fontId="30" fillId="0" borderId="29" xfId="7" applyFont="1" applyBorder="1"/>
    <xf numFmtId="0" fontId="11" fillId="0" borderId="17" xfId="4" applyFont="1" applyBorder="1" applyAlignment="1">
      <alignment horizontal="center" vertical="center"/>
    </xf>
    <xf numFmtId="0" fontId="11" fillId="4" borderId="17" xfId="4" applyFont="1" applyFill="1" applyBorder="1" applyAlignment="1">
      <alignment horizontal="center"/>
    </xf>
    <xf numFmtId="43" fontId="11" fillId="0" borderId="31" xfId="7" applyFont="1" applyFill="1" applyBorder="1"/>
    <xf numFmtId="43" fontId="11" fillId="0" borderId="17" xfId="7" applyFont="1" applyBorder="1"/>
    <xf numFmtId="43" fontId="11" fillId="0" borderId="17" xfId="7" applyFont="1" applyFill="1" applyBorder="1"/>
    <xf numFmtId="43" fontId="11" fillId="0" borderId="32" xfId="7" applyFont="1" applyBorder="1"/>
    <xf numFmtId="0" fontId="11" fillId="0" borderId="0" xfId="4" applyFont="1" applyAlignment="1">
      <alignment horizontal="center" vertical="center"/>
    </xf>
    <xf numFmtId="4" fontId="11" fillId="0" borderId="0" xfId="4" applyNumberFormat="1" applyFont="1" applyAlignment="1">
      <alignment horizontal="center"/>
    </xf>
    <xf numFmtId="4" fontId="11" fillId="0" borderId="0" xfId="4" applyNumberFormat="1" applyFont="1" applyAlignment="1">
      <alignment horizontal="right"/>
    </xf>
    <xf numFmtId="0" fontId="6" fillId="0" borderId="0" xfId="8" applyFont="1" applyAlignment="1">
      <alignment vertical="center"/>
    </xf>
    <xf numFmtId="0" fontId="12" fillId="0" borderId="0" xfId="8" applyFont="1"/>
    <xf numFmtId="0" fontId="4" fillId="0" borderId="0" xfId="8" applyFont="1" applyAlignment="1">
      <alignment horizontal="left"/>
    </xf>
    <xf numFmtId="0" fontId="6" fillId="0" borderId="0" xfId="8" applyFont="1"/>
    <xf numFmtId="0" fontId="4" fillId="0" borderId="0" xfId="8" applyFont="1"/>
    <xf numFmtId="0" fontId="36" fillId="0" borderId="0" xfId="8" applyFont="1" applyAlignment="1">
      <alignment vertical="center"/>
    </xf>
    <xf numFmtId="0" fontId="36" fillId="0" borderId="0" xfId="8" applyFont="1"/>
    <xf numFmtId="0" fontId="37" fillId="0" borderId="0" xfId="8" applyFont="1" applyAlignment="1">
      <alignment horizontal="centerContinuous" vertical="center" wrapText="1"/>
    </xf>
    <xf numFmtId="0" fontId="37" fillId="0" borderId="0" xfId="8" applyFont="1" applyAlignment="1">
      <alignment horizontal="center" vertical="center" wrapText="1"/>
    </xf>
    <xf numFmtId="0" fontId="4" fillId="0" borderId="0" xfId="8" applyFont="1" applyAlignment="1">
      <alignment horizontal="center" vertical="center"/>
    </xf>
    <xf numFmtId="0" fontId="37" fillId="3" borderId="1" xfId="8" applyFont="1" applyFill="1" applyBorder="1" applyAlignment="1">
      <alignment horizontal="center" vertical="center"/>
    </xf>
    <xf numFmtId="0" fontId="37" fillId="3" borderId="1" xfId="8" applyFont="1" applyFill="1" applyBorder="1" applyAlignment="1">
      <alignment horizontal="center" vertical="center" wrapText="1"/>
    </xf>
    <xf numFmtId="0" fontId="37" fillId="3" borderId="8" xfId="8" applyFont="1" applyFill="1" applyBorder="1" applyAlignment="1">
      <alignment horizontal="centerContinuous" vertical="center" wrapText="1"/>
    </xf>
    <xf numFmtId="0" fontId="37" fillId="3" borderId="9" xfId="8" applyFont="1" applyFill="1" applyBorder="1" applyAlignment="1">
      <alignment horizontal="centerContinuous" vertical="center" wrapText="1"/>
    </xf>
    <xf numFmtId="0" fontId="37" fillId="3" borderId="10" xfId="8" applyFont="1" applyFill="1" applyBorder="1" applyAlignment="1">
      <alignment horizontal="centerContinuous" vertical="center" wrapText="1"/>
    </xf>
    <xf numFmtId="0" fontId="37" fillId="3" borderId="3" xfId="8" applyFont="1" applyFill="1" applyBorder="1" applyAlignment="1">
      <alignment horizontal="center" vertical="center"/>
    </xf>
    <xf numFmtId="0" fontId="37" fillId="3" borderId="3" xfId="8" applyFont="1" applyFill="1" applyBorder="1" applyAlignment="1">
      <alignment horizontal="center" vertical="center" wrapText="1"/>
    </xf>
    <xf numFmtId="0" fontId="37" fillId="3" borderId="4" xfId="8" applyFont="1" applyFill="1" applyBorder="1" applyAlignment="1">
      <alignment horizontal="center" vertical="center"/>
    </xf>
    <xf numFmtId="0" fontId="37" fillId="3" borderId="4" xfId="8" applyFont="1" applyFill="1" applyBorder="1" applyAlignment="1">
      <alignment horizontal="center" vertical="center" wrapText="1"/>
    </xf>
    <xf numFmtId="0" fontId="37" fillId="3" borderId="4" xfId="8" applyFont="1" applyFill="1" applyBorder="1" applyAlignment="1">
      <alignment horizontal="center" vertical="top" wrapText="1"/>
    </xf>
    <xf numFmtId="0" fontId="10" fillId="3" borderId="5" xfId="8" applyFont="1" applyFill="1" applyBorder="1" applyAlignment="1">
      <alignment horizontal="center" vertical="center" wrapText="1"/>
    </xf>
    <xf numFmtId="0" fontId="24" fillId="0" borderId="5" xfId="8" applyFont="1" applyBorder="1" applyAlignment="1">
      <alignment horizontal="center" vertical="center"/>
    </xf>
    <xf numFmtId="0" fontId="24" fillId="0" borderId="0" xfId="8" applyFont="1"/>
    <xf numFmtId="0" fontId="24" fillId="0" borderId="0" xfId="8" applyFont="1" applyAlignment="1">
      <alignment vertical="center"/>
    </xf>
    <xf numFmtId="0" fontId="36" fillId="0" borderId="5" xfId="8" applyFont="1" applyBorder="1" applyAlignment="1">
      <alignment vertical="center"/>
    </xf>
    <xf numFmtId="4" fontId="36" fillId="0" borderId="5" xfId="8" applyNumberFormat="1" applyFont="1" applyBorder="1" applyAlignment="1">
      <alignment vertical="center"/>
    </xf>
    <xf numFmtId="0" fontId="36" fillId="0" borderId="15" xfId="8" applyFont="1" applyBorder="1" applyAlignment="1">
      <alignment vertical="center"/>
    </xf>
    <xf numFmtId="4" fontId="36" fillId="0" borderId="4" xfId="8" applyNumberFormat="1" applyFont="1" applyBorder="1" applyAlignment="1">
      <alignment vertical="center"/>
    </xf>
    <xf numFmtId="0" fontId="36" fillId="0" borderId="0" xfId="9" applyFont="1"/>
    <xf numFmtId="0" fontId="36" fillId="0" borderId="0" xfId="9" applyFont="1" applyAlignment="1">
      <alignment horizontal="center" vertical="top"/>
    </xf>
    <xf numFmtId="0" fontId="4" fillId="0" borderId="0" xfId="9" applyFont="1" applyAlignment="1">
      <alignment horizontal="left"/>
    </xf>
    <xf numFmtId="0" fontId="36" fillId="0" borderId="0" xfId="9" applyFont="1" applyAlignment="1">
      <alignment horizontal="left"/>
    </xf>
    <xf numFmtId="0" fontId="4" fillId="0" borderId="0" xfId="9" applyFont="1"/>
    <xf numFmtId="0" fontId="37" fillId="0" borderId="0" xfId="9" applyFont="1" applyAlignment="1">
      <alignment horizontal="center" vertical="center"/>
    </xf>
    <xf numFmtId="0" fontId="36" fillId="0" borderId="0" xfId="9" applyFont="1" applyAlignment="1">
      <alignment vertical="center"/>
    </xf>
    <xf numFmtId="0" fontId="24" fillId="0" borderId="0" xfId="9" applyFont="1" applyAlignment="1">
      <alignment horizontal="right"/>
    </xf>
    <xf numFmtId="0" fontId="37" fillId="0" borderId="5" xfId="9" applyFont="1" applyBorder="1" applyAlignment="1">
      <alignment horizontal="center" vertical="center"/>
    </xf>
    <xf numFmtId="0" fontId="37" fillId="3" borderId="5" xfId="9" applyFont="1" applyFill="1" applyBorder="1" applyAlignment="1">
      <alignment horizontal="center" vertical="center"/>
    </xf>
    <xf numFmtId="0" fontId="24" fillId="0" borderId="5" xfId="9" applyFont="1" applyBorder="1" applyAlignment="1">
      <alignment horizontal="center" vertical="center"/>
    </xf>
    <xf numFmtId="0" fontId="24" fillId="0" borderId="5" xfId="9" applyFont="1" applyBorder="1" applyAlignment="1">
      <alignment horizontal="center" vertical="top"/>
    </xf>
    <xf numFmtId="0" fontId="24" fillId="0" borderId="0" xfId="9" applyFont="1"/>
    <xf numFmtId="0" fontId="37" fillId="0" borderId="8" xfId="9" applyFont="1" applyBorder="1" applyAlignment="1">
      <alignment horizontal="left" vertical="center"/>
    </xf>
    <xf numFmtId="0" fontId="37" fillId="0" borderId="9" xfId="9" applyFont="1" applyBorder="1" applyAlignment="1">
      <alignment horizontal="left" vertical="center"/>
    </xf>
    <xf numFmtId="0" fontId="37" fillId="0" borderId="9" xfId="9" applyFont="1" applyBorder="1" applyAlignment="1">
      <alignment horizontal="center" vertical="top"/>
    </xf>
    <xf numFmtId="0" fontId="37" fillId="0" borderId="10" xfId="9" applyFont="1" applyBorder="1" applyAlignment="1">
      <alignment horizontal="left" vertical="center"/>
    </xf>
    <xf numFmtId="0" fontId="36" fillId="0" borderId="5" xfId="9" applyFont="1" applyBorder="1" applyAlignment="1">
      <alignment horizontal="center" vertical="center"/>
    </xf>
    <xf numFmtId="0" fontId="36" fillId="0" borderId="5" xfId="9" applyFont="1" applyBorder="1" applyAlignment="1">
      <alignment vertical="center" wrapText="1"/>
    </xf>
    <xf numFmtId="4" fontId="36" fillId="0" borderId="5" xfId="9" applyNumberFormat="1" applyFont="1" applyBorder="1" applyAlignment="1">
      <alignment vertical="center"/>
    </xf>
    <xf numFmtId="4" fontId="36" fillId="0" borderId="0" xfId="9" applyNumberFormat="1" applyFont="1"/>
    <xf numFmtId="0" fontId="36" fillId="0" borderId="1" xfId="9" applyFont="1" applyBorder="1" applyAlignment="1">
      <alignment horizontal="center" vertical="center"/>
    </xf>
    <xf numFmtId="0" fontId="38" fillId="0" borderId="0" xfId="9" applyFont="1"/>
    <xf numFmtId="0" fontId="36" fillId="0" borderId="1" xfId="9" applyFont="1" applyBorder="1" applyAlignment="1">
      <alignment horizontal="center" vertical="center" wrapText="1"/>
    </xf>
    <xf numFmtId="0" fontId="36" fillId="0" borderId="5" xfId="9" applyFont="1" applyBorder="1" applyAlignment="1">
      <alignment vertical="center"/>
    </xf>
    <xf numFmtId="0" fontId="36" fillId="0" borderId="1" xfId="10" applyFont="1" applyBorder="1" applyAlignment="1">
      <alignment horizontal="center" vertical="center"/>
    </xf>
    <xf numFmtId="0" fontId="36" fillId="4" borderId="5" xfId="11" applyFont="1" applyFill="1" applyBorder="1" applyAlignment="1">
      <alignment horizontal="center" vertical="center"/>
    </xf>
    <xf numFmtId="0" fontId="36" fillId="4" borderId="8" xfId="2" applyFont="1" applyFill="1" applyBorder="1" applyAlignment="1">
      <alignment horizontal="center" vertical="center"/>
    </xf>
    <xf numFmtId="0" fontId="36" fillId="0" borderId="8" xfId="11" applyFont="1" applyBorder="1" applyAlignment="1">
      <alignment vertical="center" wrapText="1"/>
    </xf>
    <xf numFmtId="0" fontId="4" fillId="0" borderId="8" xfId="9" applyFont="1" applyBorder="1" applyAlignment="1">
      <alignment horizontal="center" vertical="center"/>
    </xf>
    <xf numFmtId="0" fontId="4" fillId="4" borderId="9" xfId="9" applyFont="1" applyFill="1" applyBorder="1" applyAlignment="1">
      <alignment vertical="center"/>
    </xf>
    <xf numFmtId="0" fontId="4" fillId="4" borderId="9" xfId="9" applyFont="1" applyFill="1" applyBorder="1" applyAlignment="1">
      <alignment horizontal="center" vertical="center"/>
    </xf>
    <xf numFmtId="0" fontId="4" fillId="4" borderId="9" xfId="2" applyFont="1" applyFill="1" applyBorder="1" applyAlignment="1">
      <alignment horizontal="center" vertical="center"/>
    </xf>
    <xf numFmtId="0" fontId="4" fillId="0" borderId="15" xfId="9" applyFont="1" applyBorder="1" applyAlignment="1">
      <alignment vertical="center"/>
    </xf>
    <xf numFmtId="4" fontId="4" fillId="0" borderId="5" xfId="9" applyNumberFormat="1" applyFont="1" applyBorder="1" applyAlignment="1">
      <alignment vertical="center"/>
    </xf>
    <xf numFmtId="0" fontId="36" fillId="0" borderId="5" xfId="9" applyFont="1" applyBorder="1" applyAlignment="1">
      <alignment horizontal="left" vertical="center"/>
    </xf>
    <xf numFmtId="4" fontId="36" fillId="0" borderId="5" xfId="9" applyNumberFormat="1" applyFont="1" applyBorder="1" applyAlignment="1">
      <alignment horizontal="right" vertical="center"/>
    </xf>
    <xf numFmtId="0" fontId="4" fillId="0" borderId="7" xfId="9" applyFont="1" applyBorder="1" applyAlignment="1">
      <alignment horizontal="center"/>
    </xf>
    <xf numFmtId="0" fontId="4" fillId="0" borderId="33" xfId="9" applyFont="1" applyBorder="1" applyAlignment="1">
      <alignment horizontal="center"/>
    </xf>
    <xf numFmtId="0" fontId="4" fillId="0" borderId="9" xfId="9" applyFont="1" applyBorder="1" applyAlignment="1">
      <alignment horizontal="center"/>
    </xf>
    <xf numFmtId="0" fontId="4" fillId="0" borderId="10" xfId="9" applyFont="1" applyBorder="1" applyAlignment="1">
      <alignment horizontal="center" vertical="top"/>
    </xf>
    <xf numFmtId="0" fontId="4" fillId="0" borderId="5" xfId="9" applyFont="1" applyBorder="1" applyAlignment="1">
      <alignment wrapText="1"/>
    </xf>
    <xf numFmtId="4" fontId="4" fillId="0" borderId="15" xfId="9" applyNumberFormat="1" applyFont="1" applyBorder="1" applyAlignment="1">
      <alignment horizontal="right" vertical="center"/>
    </xf>
    <xf numFmtId="0" fontId="4" fillId="0" borderId="33" xfId="9" applyFont="1" applyBorder="1" applyAlignment="1">
      <alignment horizontal="center" vertical="top"/>
    </xf>
    <xf numFmtId="0" fontId="4" fillId="0" borderId="5" xfId="9" applyFont="1" applyBorder="1"/>
    <xf numFmtId="4" fontId="4" fillId="0" borderId="15" xfId="9" applyNumberFormat="1" applyFont="1" applyBorder="1" applyAlignment="1">
      <alignment vertical="center"/>
    </xf>
    <xf numFmtId="0" fontId="4" fillId="0" borderId="5" xfId="9" applyFont="1" applyBorder="1" applyAlignment="1">
      <alignment vertical="center"/>
    </xf>
    <xf numFmtId="0" fontId="4" fillId="0" borderId="10" xfId="9" applyFont="1" applyBorder="1"/>
    <xf numFmtId="4" fontId="4" fillId="0" borderId="15" xfId="9" applyNumberFormat="1" applyFont="1" applyBorder="1"/>
    <xf numFmtId="4" fontId="36" fillId="0" borderId="10" xfId="9" applyNumberFormat="1" applyFont="1" applyBorder="1" applyAlignment="1">
      <alignment vertical="center"/>
    </xf>
    <xf numFmtId="0" fontId="4" fillId="0" borderId="10" xfId="9" applyFont="1" applyBorder="1" applyAlignment="1">
      <alignment horizontal="center"/>
    </xf>
    <xf numFmtId="0" fontId="4" fillId="0" borderId="15" xfId="9" applyFont="1" applyBorder="1"/>
    <xf numFmtId="0" fontId="4" fillId="0" borderId="8" xfId="9" applyFont="1" applyBorder="1" applyAlignment="1">
      <alignment horizontal="center"/>
    </xf>
    <xf numFmtId="4" fontId="4" fillId="0" borderId="10" xfId="9" applyNumberFormat="1" applyFont="1" applyBorder="1"/>
    <xf numFmtId="0" fontId="4" fillId="0" borderId="33" xfId="9" applyFont="1" applyBorder="1"/>
    <xf numFmtId="0" fontId="36" fillId="0" borderId="0" xfId="9" applyFont="1" applyAlignment="1">
      <alignment horizontal="center"/>
    </xf>
    <xf numFmtId="0" fontId="37" fillId="0" borderId="0" xfId="9" applyFont="1" applyAlignment="1">
      <alignment horizontal="centerContinuous" vertical="center" wrapText="1"/>
    </xf>
    <xf numFmtId="0" fontId="37" fillId="0" borderId="0" xfId="9" applyFont="1" applyAlignment="1">
      <alignment horizontal="centerContinuous" wrapText="1"/>
    </xf>
    <xf numFmtId="0" fontId="37" fillId="4" borderId="5" xfId="9" applyFont="1" applyFill="1" applyBorder="1" applyAlignment="1">
      <alignment horizontal="center" vertical="center"/>
    </xf>
    <xf numFmtId="0" fontId="37" fillId="4" borderId="8" xfId="9" applyFont="1" applyFill="1" applyBorder="1" applyAlignment="1">
      <alignment horizontal="centerContinuous" vertical="center"/>
    </xf>
    <xf numFmtId="0" fontId="18" fillId="4" borderId="5" xfId="9" applyFont="1" applyFill="1" applyBorder="1" applyAlignment="1">
      <alignment horizontal="center" vertical="center"/>
    </xf>
    <xf numFmtId="0" fontId="18" fillId="4" borderId="8" xfId="2" applyFont="1" applyFill="1" applyBorder="1" applyAlignment="1">
      <alignment horizontal="center" vertical="top"/>
    </xf>
    <xf numFmtId="0" fontId="18" fillId="4" borderId="8" xfId="9" applyFont="1" applyFill="1" applyBorder="1" applyAlignment="1">
      <alignment horizontal="centerContinuous" vertical="center"/>
    </xf>
    <xf numFmtId="0" fontId="18" fillId="0" borderId="0" xfId="9" applyFont="1"/>
    <xf numFmtId="0" fontId="36" fillId="0" borderId="9" xfId="2" applyFont="1" applyFill="1" applyBorder="1" applyAlignment="1">
      <alignment horizontal="center" vertical="top"/>
    </xf>
    <xf numFmtId="0" fontId="36" fillId="0" borderId="5" xfId="9" applyFont="1" applyBorder="1" applyAlignment="1">
      <alignment horizontal="right" vertical="center"/>
    </xf>
    <xf numFmtId="0" fontId="36" fillId="4" borderId="5" xfId="9" applyFont="1" applyFill="1" applyBorder="1" applyAlignment="1">
      <alignment vertical="center"/>
    </xf>
    <xf numFmtId="0" fontId="36" fillId="4" borderId="5" xfId="2" applyFont="1" applyFill="1" applyBorder="1" applyAlignment="1">
      <alignment horizontal="center" vertical="center"/>
    </xf>
    <xf numFmtId="0" fontId="36" fillId="4" borderId="5" xfId="9" applyFont="1" applyFill="1" applyBorder="1" applyAlignment="1">
      <alignment horizontal="left" vertical="center" wrapText="1"/>
    </xf>
    <xf numFmtId="0" fontId="36" fillId="4" borderId="8" xfId="9" applyFont="1" applyFill="1" applyBorder="1" applyAlignment="1">
      <alignment vertical="top" wrapText="1"/>
    </xf>
    <xf numFmtId="0" fontId="36" fillId="4" borderId="8" xfId="9" applyFont="1" applyFill="1" applyBorder="1" applyAlignment="1">
      <alignment vertical="center" wrapText="1"/>
    </xf>
    <xf numFmtId="4" fontId="36" fillId="0" borderId="4" xfId="9" applyNumberFormat="1" applyFont="1" applyBorder="1"/>
    <xf numFmtId="0" fontId="36" fillId="4" borderId="7" xfId="2" applyFont="1" applyFill="1" applyBorder="1" applyAlignment="1">
      <alignment horizontal="center" vertical="center" wrapText="1"/>
    </xf>
    <xf numFmtId="0" fontId="36" fillId="4" borderId="7" xfId="9" applyFont="1" applyFill="1" applyBorder="1" applyAlignment="1">
      <alignment vertical="center" wrapText="1"/>
    </xf>
    <xf numFmtId="4" fontId="36" fillId="0" borderId="4" xfId="9" applyNumberFormat="1" applyFont="1" applyBorder="1" applyAlignment="1">
      <alignment vertical="center"/>
    </xf>
    <xf numFmtId="0" fontId="36" fillId="4" borderId="7" xfId="2" applyFont="1" applyFill="1" applyBorder="1" applyAlignment="1">
      <alignment horizontal="center" vertical="center"/>
    </xf>
    <xf numFmtId="0" fontId="36" fillId="4" borderId="7" xfId="9" applyFont="1" applyFill="1" applyBorder="1" applyAlignment="1">
      <alignment vertical="center"/>
    </xf>
    <xf numFmtId="0" fontId="36" fillId="0" borderId="1" xfId="9" applyFont="1" applyBorder="1" applyAlignment="1">
      <alignment vertical="center"/>
    </xf>
    <xf numFmtId="0" fontId="36" fillId="4" borderId="1" xfId="9" applyFont="1" applyFill="1" applyBorder="1" applyAlignment="1">
      <alignment vertical="center"/>
    </xf>
    <xf numFmtId="0" fontId="36" fillId="4" borderId="12" xfId="9" applyFont="1" applyFill="1" applyBorder="1" applyAlignment="1">
      <alignment vertical="center"/>
    </xf>
    <xf numFmtId="0" fontId="36" fillId="4" borderId="11" xfId="2" applyFont="1" applyFill="1" applyBorder="1" applyAlignment="1">
      <alignment horizontal="center" vertical="center"/>
    </xf>
    <xf numFmtId="0" fontId="36" fillId="0" borderId="8" xfId="9" applyFont="1" applyBorder="1" applyAlignment="1">
      <alignment vertical="top" wrapText="1"/>
    </xf>
    <xf numFmtId="0" fontId="36" fillId="0" borderId="8" xfId="2" applyFont="1" applyFill="1" applyBorder="1" applyAlignment="1">
      <alignment horizontal="center" vertical="center"/>
    </xf>
    <xf numFmtId="0" fontId="36" fillId="0" borderId="8" xfId="9" applyFont="1" applyBorder="1" applyAlignment="1">
      <alignment vertical="center" wrapText="1"/>
    </xf>
    <xf numFmtId="0" fontId="36" fillId="4" borderId="1" xfId="9" applyFont="1" applyFill="1" applyBorder="1" applyAlignment="1">
      <alignment horizontal="right" vertical="center"/>
    </xf>
    <xf numFmtId="0" fontId="36" fillId="4" borderId="12" xfId="9" applyFont="1" applyFill="1" applyBorder="1" applyAlignment="1">
      <alignment horizontal="right" vertical="center"/>
    </xf>
    <xf numFmtId="0" fontId="36" fillId="4" borderId="8" xfId="9" applyFont="1" applyFill="1" applyBorder="1" applyAlignment="1">
      <alignment wrapText="1"/>
    </xf>
    <xf numFmtId="49" fontId="4" fillId="0" borderId="1" xfId="9" applyNumberFormat="1" applyFont="1" applyBorder="1" applyAlignment="1">
      <alignment horizontal="right"/>
    </xf>
    <xf numFmtId="0" fontId="4" fillId="4" borderId="1" xfId="9" applyFont="1" applyFill="1" applyBorder="1" applyAlignment="1">
      <alignment horizontal="right" vertical="top"/>
    </xf>
    <xf numFmtId="0" fontId="4" fillId="4" borderId="12" xfId="9" applyFont="1" applyFill="1" applyBorder="1" applyAlignment="1">
      <alignment horizontal="right" vertical="top"/>
    </xf>
    <xf numFmtId="0" fontId="4" fillId="4" borderId="11" xfId="2" applyFont="1" applyFill="1" applyBorder="1" applyAlignment="1">
      <alignment horizontal="center" vertical="top"/>
    </xf>
    <xf numFmtId="0" fontId="4" fillId="4" borderId="8" xfId="9" applyFont="1" applyFill="1" applyBorder="1" applyAlignment="1">
      <alignment wrapText="1"/>
    </xf>
    <xf numFmtId="0" fontId="36" fillId="0" borderId="5" xfId="9" applyFont="1" applyBorder="1"/>
    <xf numFmtId="0" fontId="36" fillId="4" borderId="5" xfId="9" applyFont="1" applyFill="1" applyBorder="1"/>
    <xf numFmtId="0" fontId="36" fillId="4" borderId="8" xfId="2" applyFont="1" applyFill="1" applyBorder="1" applyAlignment="1">
      <alignment horizontal="center"/>
    </xf>
    <xf numFmtId="4" fontId="36" fillId="0" borderId="5" xfId="9" applyNumberFormat="1" applyFont="1" applyBorder="1"/>
    <xf numFmtId="0" fontId="36" fillId="4" borderId="8" xfId="2" applyFont="1" applyFill="1" applyBorder="1" applyAlignment="1">
      <alignment horizontal="center" vertical="top" wrapText="1"/>
    </xf>
    <xf numFmtId="0" fontId="36" fillId="0" borderId="8" xfId="9" applyFont="1" applyBorder="1" applyAlignment="1">
      <alignment wrapText="1"/>
    </xf>
    <xf numFmtId="0" fontId="36" fillId="0" borderId="5" xfId="9" quotePrefix="1" applyFont="1" applyBorder="1" applyAlignment="1">
      <alignment horizontal="right" vertical="center"/>
    </xf>
    <xf numFmtId="0" fontId="36" fillId="0" borderId="8" xfId="9" quotePrefix="1" applyFont="1" applyBorder="1" applyAlignment="1">
      <alignment vertical="top" wrapText="1"/>
    </xf>
    <xf numFmtId="0" fontId="39" fillId="0" borderId="0" xfId="9" applyFont="1" applyAlignment="1">
      <alignment horizontal="center" vertical="center"/>
    </xf>
    <xf numFmtId="0" fontId="36" fillId="4" borderId="8" xfId="9" applyFont="1" applyFill="1" applyBorder="1" applyAlignment="1">
      <alignment vertical="center"/>
    </xf>
    <xf numFmtId="0" fontId="36" fillId="4" borderId="8" xfId="2" applyFont="1" applyFill="1" applyBorder="1" applyAlignment="1">
      <alignment horizontal="center" vertical="center" wrapText="1"/>
    </xf>
    <xf numFmtId="0" fontId="36" fillId="0" borderId="9" xfId="2" applyFont="1" applyFill="1" applyBorder="1" applyAlignment="1">
      <alignment horizontal="center" vertical="center"/>
    </xf>
    <xf numFmtId="4" fontId="36" fillId="0" borderId="0" xfId="9" applyNumberFormat="1" applyFont="1" applyAlignment="1">
      <alignment vertical="center"/>
    </xf>
    <xf numFmtId="0" fontId="36" fillId="4" borderId="8" xfId="2" applyFont="1" applyFill="1" applyBorder="1" applyAlignment="1">
      <alignment horizontal="center" vertical="top"/>
    </xf>
    <xf numFmtId="0" fontId="4" fillId="0" borderId="8" xfId="9" applyFont="1" applyBorder="1"/>
    <xf numFmtId="0" fontId="4" fillId="0" borderId="9" xfId="9" applyFont="1" applyBorder="1"/>
    <xf numFmtId="0" fontId="4" fillId="0" borderId="9" xfId="2" applyFont="1" applyFill="1" applyBorder="1" applyAlignment="1">
      <alignment horizontal="center" vertical="top"/>
    </xf>
    <xf numFmtId="0" fontId="4" fillId="0" borderId="8" xfId="9" applyFont="1" applyBorder="1" applyAlignment="1">
      <alignment vertical="center" wrapText="1"/>
    </xf>
    <xf numFmtId="4" fontId="4" fillId="0" borderId="5" xfId="9" applyNumberFormat="1" applyFont="1" applyBorder="1"/>
    <xf numFmtId="0" fontId="4" fillId="0" borderId="34" xfId="9" applyFont="1" applyBorder="1"/>
    <xf numFmtId="0" fontId="4" fillId="0" borderId="13" xfId="9" applyFont="1" applyBorder="1"/>
    <xf numFmtId="0" fontId="4" fillId="0" borderId="13" xfId="2" applyFont="1" applyFill="1" applyBorder="1" applyAlignment="1">
      <alignment horizontal="center" vertical="top"/>
    </xf>
    <xf numFmtId="0" fontId="4" fillId="0" borderId="35" xfId="9" applyFont="1" applyBorder="1" applyAlignment="1">
      <alignment horizontal="left" wrapText="1"/>
    </xf>
    <xf numFmtId="4" fontId="4" fillId="0" borderId="36" xfId="9" applyNumberFormat="1" applyFont="1" applyBorder="1"/>
    <xf numFmtId="0" fontId="39" fillId="0" borderId="0" xfId="9" applyFont="1"/>
    <xf numFmtId="0" fontId="4" fillId="0" borderId="0" xfId="2" applyFont="1" applyFill="1" applyBorder="1" applyAlignment="1">
      <alignment horizontal="center" vertical="top"/>
    </xf>
    <xf numFmtId="0" fontId="4" fillId="0" borderId="35" xfId="9" applyFont="1" applyBorder="1" applyAlignment="1">
      <alignment horizontal="left" vertical="center" wrapText="1"/>
    </xf>
    <xf numFmtId="0" fontId="4" fillId="0" borderId="37" xfId="9" applyFont="1" applyBorder="1" applyAlignment="1">
      <alignment horizontal="left" vertical="center" wrapText="1"/>
    </xf>
    <xf numFmtId="4" fontId="4" fillId="0" borderId="38" xfId="9" applyNumberFormat="1" applyFont="1" applyBorder="1"/>
    <xf numFmtId="0" fontId="4" fillId="0" borderId="7" xfId="9" applyFont="1" applyBorder="1"/>
    <xf numFmtId="0" fontId="4" fillId="0" borderId="33" xfId="2" applyFont="1" applyFill="1" applyBorder="1" applyAlignment="1">
      <alignment horizontal="center" vertical="top"/>
    </xf>
    <xf numFmtId="0" fontId="4" fillId="0" borderId="7" xfId="9" applyFont="1" applyBorder="1" applyAlignment="1">
      <alignment horizontal="left" wrapText="1"/>
    </xf>
    <xf numFmtId="4" fontId="4" fillId="0" borderId="4" xfId="9" applyNumberFormat="1" applyFont="1" applyBorder="1"/>
    <xf numFmtId="0" fontId="36" fillId="4" borderId="8" xfId="9" applyFont="1" applyFill="1" applyBorder="1"/>
    <xf numFmtId="0" fontId="4" fillId="0" borderId="39" xfId="9" applyFont="1" applyBorder="1" applyAlignment="1">
      <alignment horizontal="left" vertical="center" wrapText="1"/>
    </xf>
    <xf numFmtId="4" fontId="4" fillId="0" borderId="40" xfId="9" applyNumberFormat="1" applyFont="1" applyBorder="1"/>
    <xf numFmtId="0" fontId="4" fillId="0" borderId="2" xfId="9" applyFont="1" applyBorder="1"/>
    <xf numFmtId="0" fontId="4" fillId="0" borderId="11" xfId="9" applyFont="1" applyBorder="1"/>
    <xf numFmtId="0" fontId="4" fillId="0" borderId="12" xfId="9" applyFont="1" applyBorder="1"/>
    <xf numFmtId="0" fontId="4" fillId="0" borderId="11" xfId="2" applyFont="1" applyFill="1" applyBorder="1" applyAlignment="1">
      <alignment horizontal="center" vertical="top"/>
    </xf>
    <xf numFmtId="0" fontId="4" fillId="0" borderId="39" xfId="9" applyFont="1" applyBorder="1" applyAlignment="1">
      <alignment vertical="center" wrapText="1"/>
    </xf>
    <xf numFmtId="0" fontId="4" fillId="0" borderId="37" xfId="9" applyFont="1" applyBorder="1" applyAlignment="1">
      <alignment vertical="center" wrapText="1"/>
    </xf>
    <xf numFmtId="0" fontId="4" fillId="0" borderId="37" xfId="9" applyFont="1" applyBorder="1"/>
    <xf numFmtId="0" fontId="4" fillId="0" borderId="7" xfId="9" applyFont="1" applyBorder="1" applyAlignment="1">
      <alignment vertical="center" wrapText="1"/>
    </xf>
    <xf numFmtId="0" fontId="4" fillId="0" borderId="1" xfId="2" applyFont="1" applyFill="1" applyBorder="1" applyAlignment="1">
      <alignment horizontal="center" vertical="top"/>
    </xf>
    <xf numFmtId="0" fontId="4" fillId="0" borderId="24" xfId="9" applyFont="1" applyBorder="1" applyAlignment="1">
      <alignment vertical="center" wrapText="1"/>
    </xf>
    <xf numFmtId="4" fontId="4" fillId="0" borderId="6" xfId="9" applyNumberFormat="1" applyFont="1" applyBorder="1"/>
    <xf numFmtId="0" fontId="36" fillId="4" borderId="5" xfId="2" applyFont="1" applyFill="1" applyBorder="1" applyAlignment="1">
      <alignment horizontal="center"/>
    </xf>
    <xf numFmtId="0" fontId="36" fillId="4" borderId="9" xfId="9" applyFont="1" applyFill="1" applyBorder="1"/>
    <xf numFmtId="0" fontId="4" fillId="0" borderId="5" xfId="2" applyFont="1" applyFill="1" applyBorder="1" applyAlignment="1">
      <alignment horizontal="center" vertical="top"/>
    </xf>
    <xf numFmtId="0" fontId="4" fillId="0" borderId="9" xfId="9" applyFont="1" applyBorder="1" applyAlignment="1">
      <alignment horizontal="left" vertical="center" wrapText="1"/>
    </xf>
    <xf numFmtId="0" fontId="36" fillId="4" borderId="5" xfId="2" applyFont="1" applyFill="1" applyBorder="1" applyAlignment="1">
      <alignment horizontal="center" vertical="center" wrapText="1"/>
    </xf>
    <xf numFmtId="0" fontId="36" fillId="4" borderId="9" xfId="9" applyFont="1" applyFill="1" applyBorder="1" applyAlignment="1">
      <alignment vertical="center"/>
    </xf>
    <xf numFmtId="0" fontId="4" fillId="0" borderId="39" xfId="9" applyFont="1" applyBorder="1"/>
    <xf numFmtId="0" fontId="4" fillId="0" borderId="37" xfId="9" applyFont="1" applyBorder="1" applyAlignment="1">
      <alignment horizontal="left" wrapText="1"/>
    </xf>
    <xf numFmtId="0" fontId="4" fillId="0" borderId="0" xfId="2" quotePrefix="1" applyFont="1" applyFill="1" applyBorder="1" applyAlignment="1">
      <alignment horizontal="center" vertical="top"/>
    </xf>
    <xf numFmtId="0" fontId="4" fillId="0" borderId="35" xfId="9" applyFont="1" applyBorder="1"/>
    <xf numFmtId="0" fontId="4" fillId="0" borderId="13" xfId="2" quotePrefix="1" applyFont="1" applyFill="1" applyBorder="1" applyAlignment="1">
      <alignment horizontal="center" vertical="top"/>
    </xf>
    <xf numFmtId="0" fontId="36" fillId="0" borderId="8" xfId="2" applyFont="1" applyFill="1" applyBorder="1" applyAlignment="1">
      <alignment horizontal="center" vertical="center" wrapText="1"/>
    </xf>
    <xf numFmtId="0" fontId="4" fillId="0" borderId="41" xfId="9" applyFont="1" applyBorder="1" applyAlignment="1">
      <alignment horizontal="left" vertical="center" wrapText="1"/>
    </xf>
    <xf numFmtId="4" fontId="4" fillId="0" borderId="42" xfId="9" applyNumberFormat="1" applyFont="1" applyBorder="1"/>
    <xf numFmtId="0" fontId="4" fillId="0" borderId="39" xfId="9" applyFont="1" applyBorder="1" applyAlignment="1">
      <alignment horizontal="left" wrapText="1"/>
    </xf>
    <xf numFmtId="0" fontId="4" fillId="0" borderId="35" xfId="9" applyFont="1" applyBorder="1" applyAlignment="1">
      <alignment wrapText="1"/>
    </xf>
    <xf numFmtId="0" fontId="4" fillId="0" borderId="0" xfId="9" applyFont="1" applyAlignment="1">
      <alignment vertical="center"/>
    </xf>
    <xf numFmtId="0" fontId="4" fillId="0" borderId="35" xfId="9" applyFont="1" applyBorder="1" applyAlignment="1">
      <alignment vertical="center" wrapText="1"/>
    </xf>
    <xf numFmtId="0" fontId="4" fillId="0" borderId="7" xfId="9" applyFont="1" applyBorder="1" applyAlignment="1">
      <alignment horizontal="left" vertical="center" wrapText="1"/>
    </xf>
    <xf numFmtId="0" fontId="36" fillId="0" borderId="5" xfId="2" applyFont="1" applyFill="1" applyBorder="1" applyAlignment="1">
      <alignment horizontal="center" vertical="top"/>
    </xf>
    <xf numFmtId="0" fontId="4" fillId="0" borderId="11" xfId="2" quotePrefix="1" applyFont="1" applyFill="1" applyBorder="1" applyAlignment="1">
      <alignment horizontal="center" vertical="top"/>
    </xf>
    <xf numFmtId="0" fontId="4" fillId="0" borderId="33" xfId="2" quotePrefix="1" applyFont="1" applyFill="1" applyBorder="1" applyAlignment="1">
      <alignment horizontal="center" vertical="top"/>
    </xf>
    <xf numFmtId="0" fontId="4" fillId="0" borderId="36" xfId="9" applyFont="1" applyBorder="1" applyAlignment="1">
      <alignment horizontal="left" vertical="center" wrapText="1"/>
    </xf>
    <xf numFmtId="0" fontId="36" fillId="0" borderId="4" xfId="9" applyFont="1" applyBorder="1"/>
    <xf numFmtId="0" fontId="36" fillId="0" borderId="5" xfId="2" applyFont="1" applyFill="1" applyBorder="1" applyAlignment="1">
      <alignment horizontal="center"/>
    </xf>
    <xf numFmtId="0" fontId="36" fillId="4" borderId="33" xfId="9" applyFont="1" applyFill="1" applyBorder="1"/>
    <xf numFmtId="0" fontId="4" fillId="0" borderId="4" xfId="2" applyFont="1" applyFill="1" applyBorder="1" applyAlignment="1">
      <alignment horizontal="center" vertical="top"/>
    </xf>
    <xf numFmtId="0" fontId="4" fillId="0" borderId="9" xfId="9" applyFont="1" applyBorder="1" applyAlignment="1">
      <alignment vertical="top" wrapText="1"/>
    </xf>
    <xf numFmtId="0" fontId="36" fillId="0" borderId="5" xfId="2" applyFont="1" applyFill="1" applyBorder="1" applyAlignment="1">
      <alignment horizontal="center" vertical="center" wrapText="1"/>
    </xf>
    <xf numFmtId="0" fontId="4" fillId="0" borderId="38" xfId="9" applyFont="1" applyBorder="1" applyAlignment="1">
      <alignment vertical="center" wrapText="1"/>
    </xf>
    <xf numFmtId="4" fontId="4" fillId="0" borderId="3" xfId="9" applyNumberFormat="1" applyFont="1" applyBorder="1"/>
    <xf numFmtId="0" fontId="36" fillId="0" borderId="4" xfId="9" applyFont="1" applyBorder="1" applyAlignment="1">
      <alignment vertical="center"/>
    </xf>
    <xf numFmtId="0" fontId="36" fillId="0" borderId="5" xfId="2" applyFont="1" applyFill="1" applyBorder="1" applyAlignment="1">
      <alignment horizontal="center" vertical="center"/>
    </xf>
    <xf numFmtId="0" fontId="36" fillId="4" borderId="8" xfId="9" applyFont="1" applyFill="1" applyBorder="1" applyAlignment="1">
      <alignment horizontal="left" vertical="top" wrapText="1"/>
    </xf>
    <xf numFmtId="0" fontId="4" fillId="0" borderId="43" xfId="9" applyFont="1" applyBorder="1" applyAlignment="1">
      <alignment vertical="top" wrapText="1"/>
    </xf>
    <xf numFmtId="4" fontId="4" fillId="4" borderId="5" xfId="9" applyNumberFormat="1" applyFont="1" applyFill="1" applyBorder="1"/>
    <xf numFmtId="0" fontId="37" fillId="0" borderId="8" xfId="9" applyFont="1" applyBorder="1" applyAlignment="1">
      <alignment horizontal="center" vertical="center"/>
    </xf>
    <xf numFmtId="0" fontId="37" fillId="0" borderId="9" xfId="9" applyFont="1" applyBorder="1" applyAlignment="1">
      <alignment horizontal="center" vertical="center"/>
    </xf>
    <xf numFmtId="4" fontId="37" fillId="0" borderId="5" xfId="9" applyNumberFormat="1" applyFont="1" applyBorder="1" applyAlignment="1">
      <alignment vertical="center"/>
    </xf>
    <xf numFmtId="49" fontId="4" fillId="0" borderId="0" xfId="0" applyNumberFormat="1" applyFont="1"/>
    <xf numFmtId="0" fontId="13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49" fontId="13" fillId="0" borderId="0" xfId="0" applyNumberFormat="1" applyFont="1" applyAlignment="1">
      <alignment horizontal="centerContinuous"/>
    </xf>
    <xf numFmtId="0" fontId="24" fillId="0" borderId="0" xfId="0" applyFont="1" applyAlignment="1">
      <alignment horizontal="center"/>
    </xf>
    <xf numFmtId="0" fontId="4" fillId="0" borderId="1" xfId="0" applyFont="1" applyBorder="1"/>
    <xf numFmtId="49" fontId="4" fillId="0" borderId="1" xfId="0" applyNumberFormat="1" applyFont="1" applyBorder="1"/>
    <xf numFmtId="0" fontId="10" fillId="0" borderId="2" xfId="0" applyFont="1" applyBorder="1"/>
    <xf numFmtId="0" fontId="10" fillId="0" borderId="1" xfId="0" applyFont="1" applyBorder="1" applyAlignment="1">
      <alignment horizontal="center"/>
    </xf>
    <xf numFmtId="3" fontId="4" fillId="0" borderId="1" xfId="0" applyNumberFormat="1" applyFont="1" applyBorder="1"/>
    <xf numFmtId="0" fontId="4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49" fontId="10" fillId="0" borderId="3" xfId="0" applyNumberFormat="1" applyFont="1" applyBorder="1" applyAlignment="1">
      <alignment horizontal="center"/>
    </xf>
    <xf numFmtId="0" fontId="10" fillId="0" borderId="34" xfId="0" applyFont="1" applyBorder="1" applyAlignment="1">
      <alignment horizontal="center"/>
    </xf>
    <xf numFmtId="3" fontId="10" fillId="0" borderId="3" xfId="0" applyNumberFormat="1" applyFont="1" applyBorder="1" applyAlignment="1">
      <alignment horizontal="center"/>
    </xf>
    <xf numFmtId="4" fontId="40" fillId="0" borderId="0" xfId="0" applyNumberFormat="1" applyFont="1"/>
    <xf numFmtId="0" fontId="10" fillId="0" borderId="4" xfId="0" applyFont="1" applyBorder="1" applyAlignment="1">
      <alignment horizontal="center"/>
    </xf>
    <xf numFmtId="49" fontId="10" fillId="0" borderId="4" xfId="0" applyNumberFormat="1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4" fillId="0" borderId="3" xfId="0" applyNumberFormat="1" applyFont="1" applyBorder="1"/>
    <xf numFmtId="49" fontId="4" fillId="0" borderId="3" xfId="0" applyNumberFormat="1" applyFont="1" applyBorder="1" applyAlignment="1">
      <alignment horizontal="right"/>
    </xf>
    <xf numFmtId="0" fontId="10" fillId="0" borderId="44" xfId="0" applyFont="1" applyBorder="1"/>
    <xf numFmtId="4" fontId="10" fillId="0" borderId="45" xfId="0" applyNumberFormat="1" applyFont="1" applyBorder="1"/>
    <xf numFmtId="0" fontId="10" fillId="0" borderId="46" xfId="0" applyFont="1" applyBorder="1"/>
    <xf numFmtId="4" fontId="10" fillId="0" borderId="47" xfId="0" applyNumberFormat="1" applyFont="1" applyBorder="1"/>
    <xf numFmtId="3" fontId="10" fillId="0" borderId="3" xfId="0" applyNumberFormat="1" applyFont="1" applyBorder="1" applyAlignment="1">
      <alignment horizontal="right"/>
    </xf>
    <xf numFmtId="3" fontId="10" fillId="0" borderId="3" xfId="0" applyNumberFormat="1" applyFont="1" applyBorder="1"/>
    <xf numFmtId="49" fontId="10" fillId="0" borderId="3" xfId="0" applyNumberFormat="1" applyFont="1" applyBorder="1" applyAlignment="1">
      <alignment horizontal="right"/>
    </xf>
    <xf numFmtId="3" fontId="10" fillId="0" borderId="34" xfId="0" applyNumberFormat="1" applyFont="1" applyBorder="1"/>
    <xf numFmtId="4" fontId="10" fillId="0" borderId="47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 vertical="top"/>
    </xf>
    <xf numFmtId="0" fontId="4" fillId="0" borderId="7" xfId="0" applyFont="1" applyBorder="1" applyAlignment="1">
      <alignment wrapText="1"/>
    </xf>
    <xf numFmtId="4" fontId="4" fillId="0" borderId="4" xfId="0" applyNumberFormat="1" applyFont="1" applyBorder="1"/>
    <xf numFmtId="4" fontId="4" fillId="0" borderId="4" xfId="0" applyNumberFormat="1" applyFont="1" applyBorder="1" applyAlignment="1">
      <alignment horizontal="right"/>
    </xf>
    <xf numFmtId="0" fontId="4" fillId="0" borderId="3" xfId="0" applyFont="1" applyBorder="1"/>
    <xf numFmtId="49" fontId="4" fillId="0" borderId="3" xfId="0" applyNumberFormat="1" applyFont="1" applyBorder="1" applyAlignment="1">
      <alignment horizontal="right" vertical="top"/>
    </xf>
    <xf numFmtId="0" fontId="4" fillId="0" borderId="34" xfId="0" applyFont="1" applyBorder="1" applyAlignment="1">
      <alignment vertical="center" wrapText="1"/>
    </xf>
    <xf numFmtId="4" fontId="4" fillId="0" borderId="3" xfId="0" applyNumberFormat="1" applyFont="1" applyBorder="1"/>
    <xf numFmtId="3" fontId="4" fillId="0" borderId="3" xfId="0" applyNumberFormat="1" applyFont="1" applyBorder="1" applyAlignment="1">
      <alignment horizontal="right"/>
    </xf>
    <xf numFmtId="0" fontId="41" fillId="0" borderId="0" xfId="0" applyFont="1" applyAlignment="1">
      <alignment wrapText="1"/>
    </xf>
    <xf numFmtId="4" fontId="4" fillId="0" borderId="3" xfId="0" applyNumberFormat="1" applyFont="1" applyBorder="1" applyAlignment="1">
      <alignment horizontal="right"/>
    </xf>
    <xf numFmtId="0" fontId="4" fillId="0" borderId="7" xfId="0" applyFont="1" applyBorder="1"/>
    <xf numFmtId="49" fontId="4" fillId="0" borderId="3" xfId="0" applyNumberFormat="1" applyFont="1" applyBorder="1" applyAlignment="1">
      <alignment horizontal="center"/>
    </xf>
    <xf numFmtId="0" fontId="4" fillId="0" borderId="34" xfId="0" applyFont="1" applyBorder="1" applyAlignment="1">
      <alignment vertical="top" wrapText="1"/>
    </xf>
    <xf numFmtId="0" fontId="4" fillId="0" borderId="3" xfId="0" applyFont="1" applyBorder="1" applyAlignment="1">
      <alignment horizontal="right"/>
    </xf>
    <xf numFmtId="0" fontId="4" fillId="0" borderId="3" xfId="0" applyFont="1" applyBorder="1" applyAlignment="1">
      <alignment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34" xfId="0" applyFont="1" applyBorder="1" applyAlignment="1">
      <alignment wrapText="1"/>
    </xf>
    <xf numFmtId="0" fontId="36" fillId="0" borderId="3" xfId="0" applyFont="1" applyBorder="1"/>
    <xf numFmtId="49" fontId="36" fillId="0" borderId="3" xfId="0" applyNumberFormat="1" applyFont="1" applyBorder="1" applyAlignment="1">
      <alignment horizontal="right"/>
    </xf>
    <xf numFmtId="3" fontId="4" fillId="0" borderId="34" xfId="0" applyNumberFormat="1" applyFont="1" applyBorder="1"/>
    <xf numFmtId="3" fontId="4" fillId="0" borderId="4" xfId="0" applyNumberFormat="1" applyFont="1" applyBorder="1" applyAlignment="1">
      <alignment horizontal="right"/>
    </xf>
    <xf numFmtId="49" fontId="4" fillId="0" borderId="4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right" vertical="top"/>
    </xf>
    <xf numFmtId="0" fontId="4" fillId="0" borderId="7" xfId="0" applyFont="1" applyBorder="1" applyAlignment="1">
      <alignment vertical="top" wrapText="1"/>
    </xf>
    <xf numFmtId="3" fontId="4" fillId="0" borderId="7" xfId="0" applyNumberFormat="1" applyFont="1" applyBorder="1"/>
    <xf numFmtId="0" fontId="4" fillId="0" borderId="3" xfId="0" applyFont="1" applyBorder="1" applyAlignment="1">
      <alignment vertical="top" wrapText="1"/>
    </xf>
    <xf numFmtId="0" fontId="4" fillId="0" borderId="3" xfId="0" applyFont="1" applyBorder="1" applyAlignment="1">
      <alignment vertical="center" wrapText="1"/>
    </xf>
    <xf numFmtId="4" fontId="4" fillId="0" borderId="48" xfId="0" applyNumberFormat="1" applyFont="1" applyBorder="1" applyAlignment="1">
      <alignment horizontal="right"/>
    </xf>
    <xf numFmtId="4" fontId="4" fillId="0" borderId="48" xfId="0" applyNumberFormat="1" applyFont="1" applyBorder="1"/>
    <xf numFmtId="3" fontId="42" fillId="0" borderId="3" xfId="0" applyNumberFormat="1" applyFont="1" applyBorder="1"/>
    <xf numFmtId="49" fontId="42" fillId="0" borderId="3" xfId="0" applyNumberFormat="1" applyFont="1" applyBorder="1" applyAlignment="1">
      <alignment horizontal="right"/>
    </xf>
    <xf numFmtId="3" fontId="10" fillId="0" borderId="4" xfId="0" applyNumberFormat="1" applyFont="1" applyBorder="1" applyAlignment="1">
      <alignment horizontal="right"/>
    </xf>
    <xf numFmtId="3" fontId="10" fillId="0" borderId="4" xfId="0" applyNumberFormat="1" applyFont="1" applyBorder="1"/>
    <xf numFmtId="0" fontId="4" fillId="0" borderId="4" xfId="0" applyFont="1" applyBorder="1" applyAlignment="1">
      <alignment horizontal="right" vertical="top"/>
    </xf>
    <xf numFmtId="0" fontId="4" fillId="0" borderId="34" xfId="0" applyFont="1" applyBorder="1" applyAlignment="1">
      <alignment horizontal="right"/>
    </xf>
    <xf numFmtId="4" fontId="4" fillId="0" borderId="36" xfId="0" applyNumberFormat="1" applyFont="1" applyBorder="1"/>
    <xf numFmtId="0" fontId="4" fillId="0" borderId="34" xfId="0" applyFont="1" applyBorder="1"/>
    <xf numFmtId="49" fontId="4" fillId="0" borderId="3" xfId="0" applyNumberFormat="1" applyFont="1" applyBorder="1" applyAlignment="1">
      <alignment horizontal="right" vertical="center"/>
    </xf>
    <xf numFmtId="0" fontId="4" fillId="0" borderId="34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4" fontId="10" fillId="0" borderId="47" xfId="0" applyNumberFormat="1" applyFont="1" applyBorder="1" applyAlignment="1">
      <alignment vertical="center"/>
    </xf>
    <xf numFmtId="0" fontId="4" fillId="0" borderId="4" xfId="0" applyFont="1" applyBorder="1"/>
    <xf numFmtId="0" fontId="4" fillId="0" borderId="34" xfId="0" applyFont="1" applyBorder="1" applyAlignment="1">
      <alignment vertical="top"/>
    </xf>
    <xf numFmtId="0" fontId="4" fillId="0" borderId="3" xfId="5" applyFont="1" applyBorder="1" applyAlignment="1">
      <alignment horizontal="right" vertical="center"/>
    </xf>
    <xf numFmtId="0" fontId="4" fillId="0" borderId="4" xfId="5" applyFont="1" applyBorder="1" applyAlignment="1">
      <alignment vertical="center"/>
    </xf>
    <xf numFmtId="4" fontId="4" fillId="0" borderId="4" xfId="5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4" fontId="4" fillId="0" borderId="3" xfId="5" applyNumberFormat="1" applyFont="1" applyBorder="1" applyAlignment="1">
      <alignment vertical="center"/>
    </xf>
    <xf numFmtId="4" fontId="4" fillId="0" borderId="3" xfId="0" applyNumberFormat="1" applyFont="1" applyBorder="1" applyAlignment="1">
      <alignment horizontal="right" vertical="center"/>
    </xf>
    <xf numFmtId="0" fontId="4" fillId="0" borderId="3" xfId="5" applyFont="1" applyBorder="1" applyAlignment="1">
      <alignment horizontal="right"/>
    </xf>
    <xf numFmtId="0" fontId="4" fillId="0" borderId="3" xfId="5" applyFont="1" applyBorder="1"/>
    <xf numFmtId="49" fontId="4" fillId="0" borderId="4" xfId="0" applyNumberFormat="1" applyFont="1" applyBorder="1" applyAlignment="1">
      <alignment horizontal="right"/>
    </xf>
    <xf numFmtId="0" fontId="4" fillId="0" borderId="4" xfId="0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10" fillId="0" borderId="3" xfId="0" applyFont="1" applyBorder="1" applyAlignment="1">
      <alignment horizontal="right"/>
    </xf>
    <xf numFmtId="0" fontId="10" fillId="0" borderId="34" xfId="0" applyFont="1" applyBorder="1"/>
    <xf numFmtId="4" fontId="4" fillId="0" borderId="1" xfId="0" applyNumberFormat="1" applyFont="1" applyBorder="1"/>
    <xf numFmtId="4" fontId="10" fillId="0" borderId="47" xfId="5" applyNumberFormat="1" applyFont="1" applyBorder="1"/>
    <xf numFmtId="0" fontId="3" fillId="0" borderId="3" xfId="0" applyFont="1" applyBorder="1"/>
    <xf numFmtId="4" fontId="4" fillId="0" borderId="3" xfId="5" applyNumberFormat="1" applyFont="1" applyBorder="1" applyAlignment="1">
      <alignment horizontal="right"/>
    </xf>
    <xf numFmtId="0" fontId="4" fillId="0" borderId="0" xfId="0" applyFont="1" applyAlignment="1">
      <alignment wrapText="1"/>
    </xf>
    <xf numFmtId="0" fontId="4" fillId="0" borderId="4" xfId="5" applyFont="1" applyBorder="1"/>
    <xf numFmtId="0" fontId="4" fillId="0" borderId="4" xfId="0" applyFont="1" applyBorder="1" applyAlignment="1">
      <alignment horizontal="right"/>
    </xf>
    <xf numFmtId="0" fontId="4" fillId="0" borderId="3" xfId="12" applyFont="1" applyBorder="1" applyAlignment="1">
      <alignment horizontal="right"/>
    </xf>
    <xf numFmtId="0" fontId="4" fillId="0" borderId="34" xfId="12" applyFont="1" applyBorder="1"/>
    <xf numFmtId="4" fontId="4" fillId="0" borderId="3" xfId="5" applyNumberFormat="1" applyFont="1" applyBorder="1"/>
    <xf numFmtId="4" fontId="4" fillId="0" borderId="4" xfId="12" applyNumberFormat="1" applyFont="1" applyBorder="1"/>
    <xf numFmtId="4" fontId="4" fillId="0" borderId="4" xfId="12" applyNumberFormat="1" applyFont="1" applyBorder="1" applyAlignment="1">
      <alignment horizontal="right"/>
    </xf>
    <xf numFmtId="4" fontId="4" fillId="0" borderId="3" xfId="12" applyNumberFormat="1" applyFont="1" applyBorder="1"/>
    <xf numFmtId="4" fontId="4" fillId="0" borderId="3" xfId="12" applyNumberFormat="1" applyFont="1" applyBorder="1" applyAlignment="1">
      <alignment horizontal="right"/>
    </xf>
    <xf numFmtId="0" fontId="4" fillId="0" borderId="3" xfId="12" applyFont="1" applyBorder="1"/>
    <xf numFmtId="0" fontId="4" fillId="0" borderId="3" xfId="0" applyFont="1" applyBorder="1" applyAlignment="1">
      <alignment vertical="center"/>
    </xf>
    <xf numFmtId="49" fontId="10" fillId="0" borderId="4" xfId="0" applyNumberFormat="1" applyFont="1" applyBorder="1" applyAlignment="1">
      <alignment horizontal="right"/>
    </xf>
    <xf numFmtId="0" fontId="4" fillId="0" borderId="4" xfId="12" applyFont="1" applyBorder="1"/>
    <xf numFmtId="0" fontId="4" fillId="0" borderId="34" xfId="5" applyFont="1" applyBorder="1"/>
    <xf numFmtId="0" fontId="4" fillId="0" borderId="3" xfId="5" applyFont="1" applyBorder="1" applyAlignment="1">
      <alignment horizontal="right" vertical="top"/>
    </xf>
    <xf numFmtId="0" fontId="4" fillId="0" borderId="3" xfId="5" applyFont="1" applyBorder="1" applyAlignment="1">
      <alignment vertical="center" wrapText="1"/>
    </xf>
    <xf numFmtId="4" fontId="10" fillId="0" borderId="3" xfId="5" applyNumberFormat="1" applyFont="1" applyBorder="1"/>
    <xf numFmtId="4" fontId="10" fillId="0" borderId="3" xfId="0" applyNumberFormat="1" applyFont="1" applyBorder="1" applyAlignment="1">
      <alignment horizontal="right"/>
    </xf>
    <xf numFmtId="4" fontId="10" fillId="0" borderId="3" xfId="0" applyNumberFormat="1" applyFont="1" applyBorder="1"/>
    <xf numFmtId="49" fontId="4" fillId="0" borderId="3" xfId="12" applyNumberFormat="1" applyFont="1" applyBorder="1" applyAlignment="1">
      <alignment horizontal="center"/>
    </xf>
    <xf numFmtId="0" fontId="4" fillId="0" borderId="4" xfId="13" applyNumberFormat="1" applyFont="1" applyBorder="1" applyAlignment="1">
      <alignment horizontal="left"/>
    </xf>
    <xf numFmtId="0" fontId="4" fillId="0" borderId="3" xfId="12" applyFont="1" applyBorder="1" applyAlignment="1">
      <alignment horizontal="center"/>
    </xf>
    <xf numFmtId="0" fontId="4" fillId="0" borderId="4" xfId="1" applyNumberFormat="1" applyFont="1" applyFill="1" applyBorder="1" applyAlignment="1">
      <alignment horizontal="left"/>
    </xf>
    <xf numFmtId="3" fontId="4" fillId="0" borderId="34" xfId="0" applyNumberFormat="1" applyFont="1" applyBorder="1" applyAlignment="1">
      <alignment vertical="center" wrapText="1"/>
    </xf>
    <xf numFmtId="49" fontId="10" fillId="0" borderId="3" xfId="12" applyNumberFormat="1" applyFont="1" applyBorder="1" applyAlignment="1">
      <alignment horizontal="right"/>
    </xf>
    <xf numFmtId="3" fontId="4" fillId="0" borderId="4" xfId="0" applyNumberFormat="1" applyFont="1" applyBorder="1"/>
    <xf numFmtId="0" fontId="4" fillId="0" borderId="3" xfId="5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7" xfId="5" applyFont="1" applyBorder="1"/>
    <xf numFmtId="0" fontId="4" fillId="0" borderId="33" xfId="0" applyFont="1" applyBorder="1"/>
    <xf numFmtId="4" fontId="4" fillId="0" borderId="49" xfId="0" applyNumberFormat="1" applyFont="1" applyBorder="1"/>
    <xf numFmtId="4" fontId="4" fillId="0" borderId="49" xfId="0" applyNumberFormat="1" applyFont="1" applyBorder="1" applyAlignment="1">
      <alignment horizontal="right"/>
    </xf>
    <xf numFmtId="4" fontId="4" fillId="0" borderId="16" xfId="0" applyNumberFormat="1" applyFont="1" applyBorder="1"/>
    <xf numFmtId="4" fontId="4" fillId="0" borderId="16" xfId="0" applyNumberFormat="1" applyFont="1" applyBorder="1" applyAlignment="1">
      <alignment horizontal="right"/>
    </xf>
    <xf numFmtId="0" fontId="4" fillId="0" borderId="48" xfId="0" applyFont="1" applyBorder="1"/>
    <xf numFmtId="0" fontId="3" fillId="0" borderId="7" xfId="0" applyFont="1" applyBorder="1"/>
    <xf numFmtId="0" fontId="4" fillId="0" borderId="39" xfId="0" applyFont="1" applyBorder="1"/>
    <xf numFmtId="4" fontId="4" fillId="0" borderId="40" xfId="0" applyNumberFormat="1" applyFont="1" applyBorder="1"/>
    <xf numFmtId="0" fontId="4" fillId="0" borderId="4" xfId="1" applyNumberFormat="1" applyFont="1" applyBorder="1" applyAlignment="1">
      <alignment horizontal="left"/>
    </xf>
    <xf numFmtId="0" fontId="10" fillId="0" borderId="3" xfId="5" applyFont="1" applyBorder="1" applyAlignment="1">
      <alignment horizontal="center"/>
    </xf>
    <xf numFmtId="0" fontId="10" fillId="0" borderId="3" xfId="5" applyFont="1" applyBorder="1"/>
    <xf numFmtId="0" fontId="10" fillId="0" borderId="3" xfId="5" applyFont="1" applyBorder="1" applyAlignment="1">
      <alignment horizontal="right"/>
    </xf>
    <xf numFmtId="49" fontId="10" fillId="0" borderId="3" xfId="0" applyNumberFormat="1" applyFont="1" applyBorder="1"/>
    <xf numFmtId="49" fontId="10" fillId="0" borderId="34" xfId="5" applyNumberFormat="1" applyFont="1" applyBorder="1" applyAlignment="1">
      <alignment horizontal="center" vertical="center"/>
    </xf>
    <xf numFmtId="49" fontId="4" fillId="0" borderId="3" xfId="5" applyNumberFormat="1" applyFont="1" applyBorder="1" applyAlignment="1">
      <alignment horizontal="right"/>
    </xf>
    <xf numFmtId="3" fontId="4" fillId="0" borderId="34" xfId="0" applyNumberFormat="1" applyFont="1" applyBorder="1" applyAlignment="1">
      <alignment wrapText="1"/>
    </xf>
    <xf numFmtId="0" fontId="4" fillId="0" borderId="7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7" xfId="0" applyFont="1" applyBorder="1" applyAlignment="1">
      <alignment vertical="center" wrapText="1"/>
    </xf>
    <xf numFmtId="0" fontId="3" fillId="0" borderId="4" xfId="0" applyFont="1" applyBorder="1"/>
    <xf numFmtId="49" fontId="3" fillId="0" borderId="4" xfId="0" applyNumberFormat="1" applyFont="1" applyBorder="1" applyAlignment="1">
      <alignment horizontal="right"/>
    </xf>
    <xf numFmtId="0" fontId="4" fillId="0" borderId="35" xfId="0" applyFont="1" applyBorder="1"/>
    <xf numFmtId="0" fontId="4" fillId="0" borderId="35" xfId="0" applyFont="1" applyBorder="1" applyAlignment="1">
      <alignment vertical="center" wrapText="1"/>
    </xf>
    <xf numFmtId="4" fontId="4" fillId="0" borderId="36" xfId="0" applyNumberFormat="1" applyFont="1" applyBorder="1" applyAlignment="1">
      <alignment horizontal="right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 wrapText="1"/>
    </xf>
    <xf numFmtId="0" fontId="4" fillId="0" borderId="36" xfId="5" applyFont="1" applyBorder="1" applyAlignment="1">
      <alignment horizontal="left"/>
    </xf>
    <xf numFmtId="0" fontId="4" fillId="0" borderId="36" xfId="0" applyFont="1" applyBorder="1"/>
    <xf numFmtId="0" fontId="4" fillId="0" borderId="36" xfId="5" applyFont="1" applyBorder="1" applyAlignment="1">
      <alignment wrapText="1"/>
    </xf>
    <xf numFmtId="0" fontId="4" fillId="0" borderId="36" xfId="5" applyFont="1" applyBorder="1"/>
    <xf numFmtId="4" fontId="4" fillId="0" borderId="36" xfId="5" applyNumberFormat="1" applyFont="1" applyBorder="1" applyAlignment="1">
      <alignment vertical="center"/>
    </xf>
    <xf numFmtId="4" fontId="4" fillId="0" borderId="36" xfId="0" applyNumberFormat="1" applyFont="1" applyBorder="1" applyAlignment="1">
      <alignment vertical="center"/>
    </xf>
    <xf numFmtId="3" fontId="4" fillId="0" borderId="36" xfId="0" applyNumberFormat="1" applyFont="1" applyBorder="1"/>
    <xf numFmtId="0" fontId="4" fillId="0" borderId="36" xfId="5" applyFont="1" applyBorder="1" applyAlignment="1">
      <alignment vertical="center" wrapText="1"/>
    </xf>
    <xf numFmtId="4" fontId="4" fillId="0" borderId="36" xfId="12" applyNumberFormat="1" applyFont="1" applyBorder="1"/>
    <xf numFmtId="4" fontId="4" fillId="0" borderId="36" xfId="12" applyNumberFormat="1" applyFont="1" applyBorder="1" applyAlignment="1">
      <alignment horizontal="right"/>
    </xf>
    <xf numFmtId="0" fontId="4" fillId="0" borderId="35" xfId="0" applyFont="1" applyBorder="1" applyAlignment="1">
      <alignment wrapText="1"/>
    </xf>
    <xf numFmtId="3" fontId="4" fillId="0" borderId="35" xfId="0" applyNumberFormat="1" applyFont="1" applyBorder="1" applyAlignment="1">
      <alignment wrapText="1"/>
    </xf>
    <xf numFmtId="0" fontId="4" fillId="0" borderId="36" xfId="12" applyFont="1" applyBorder="1"/>
    <xf numFmtId="0" fontId="4" fillId="0" borderId="36" xfId="0" applyFont="1" applyBorder="1" applyAlignment="1">
      <alignment vertical="center"/>
    </xf>
    <xf numFmtId="4" fontId="4" fillId="0" borderId="36" xfId="5" applyNumberFormat="1" applyFont="1" applyBorder="1" applyAlignment="1">
      <alignment horizontal="right"/>
    </xf>
    <xf numFmtId="4" fontId="4" fillId="0" borderId="40" xfId="0" applyNumberFormat="1" applyFont="1" applyBorder="1" applyAlignment="1">
      <alignment horizontal="right"/>
    </xf>
    <xf numFmtId="0" fontId="4" fillId="0" borderId="40" xfId="5" applyFont="1" applyBorder="1"/>
    <xf numFmtId="0" fontId="4" fillId="0" borderId="36" xfId="5" applyFont="1" applyBorder="1" applyAlignment="1">
      <alignment horizontal="left" wrapText="1"/>
    </xf>
    <xf numFmtId="0" fontId="20" fillId="0" borderId="5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4" fontId="20" fillId="0" borderId="5" xfId="0" applyNumberFormat="1" applyFont="1" applyBorder="1" applyAlignment="1">
      <alignment horizontal="right" vertical="center" wrapText="1"/>
    </xf>
    <xf numFmtId="3" fontId="43" fillId="0" borderId="5" xfId="0" applyNumberFormat="1" applyFont="1" applyBorder="1" applyAlignment="1">
      <alignment horizontal="center" vertical="center" wrapText="1"/>
    </xf>
    <xf numFmtId="3" fontId="10" fillId="0" borderId="0" xfId="0" applyNumberFormat="1" applyFont="1"/>
    <xf numFmtId="3" fontId="23" fillId="0" borderId="5" xfId="0" applyNumberFormat="1" applyFont="1" applyBorder="1" applyAlignment="1">
      <alignment horizontal="center" vertical="center" wrapText="1"/>
    </xf>
    <xf numFmtId="0" fontId="44" fillId="0" borderId="1" xfId="0" applyFont="1" applyBorder="1" applyAlignment="1">
      <alignment vertical="center" wrapText="1"/>
    </xf>
    <xf numFmtId="3" fontId="23" fillId="0" borderId="1" xfId="0" applyNumberFormat="1" applyFont="1" applyBorder="1" applyAlignment="1">
      <alignment horizontal="center" vertical="center" wrapText="1"/>
    </xf>
    <xf numFmtId="3" fontId="23" fillId="0" borderId="4" xfId="0" applyNumberFormat="1" applyFont="1" applyBorder="1" applyAlignment="1">
      <alignment horizontal="center" vertical="center" wrapText="1"/>
    </xf>
    <xf numFmtId="0" fontId="27" fillId="0" borderId="0" xfId="4"/>
    <xf numFmtId="0" fontId="11" fillId="0" borderId="16" xfId="4" applyFont="1" applyBorder="1" applyAlignment="1">
      <alignment vertical="center"/>
    </xf>
    <xf numFmtId="4" fontId="11" fillId="0" borderId="16" xfId="4" applyNumberFormat="1" applyFont="1" applyBorder="1" applyAlignment="1">
      <alignment horizontal="center" vertical="center"/>
    </xf>
    <xf numFmtId="4" fontId="11" fillId="0" borderId="16" xfId="4" applyNumberFormat="1" applyFont="1" applyBorder="1" applyAlignment="1">
      <alignment vertical="center"/>
    </xf>
    <xf numFmtId="0" fontId="11" fillId="0" borderId="17" xfId="4" applyFont="1" applyBorder="1" applyAlignment="1">
      <alignment vertical="center"/>
    </xf>
    <xf numFmtId="4" fontId="11" fillId="0" borderId="17" xfId="4" applyNumberFormat="1" applyFont="1" applyBorder="1" applyAlignment="1">
      <alignment horizontal="center" vertical="center"/>
    </xf>
    <xf numFmtId="4" fontId="11" fillId="0" borderId="17" xfId="4" applyNumberFormat="1" applyFont="1" applyBorder="1" applyAlignment="1">
      <alignment vertical="center"/>
    </xf>
    <xf numFmtId="0" fontId="45" fillId="4" borderId="21" xfId="5" applyFont="1" applyFill="1" applyBorder="1" applyAlignment="1">
      <alignment horizontal="center" vertical="center"/>
    </xf>
    <xf numFmtId="4" fontId="45" fillId="4" borderId="21" xfId="5" applyNumberFormat="1" applyFont="1" applyFill="1" applyBorder="1" applyAlignment="1">
      <alignment horizontal="center" vertical="center"/>
    </xf>
    <xf numFmtId="4" fontId="45" fillId="4" borderId="22" xfId="5" applyNumberFormat="1" applyFont="1" applyFill="1" applyBorder="1" applyAlignment="1">
      <alignment horizontal="center" vertical="center"/>
    </xf>
    <xf numFmtId="0" fontId="45" fillId="4" borderId="24" xfId="5" applyFont="1" applyFill="1" applyBorder="1" applyAlignment="1">
      <alignment horizontal="center"/>
    </xf>
    <xf numFmtId="4" fontId="45" fillId="4" borderId="24" xfId="5" applyNumberFormat="1" applyFont="1" applyFill="1" applyBorder="1" applyAlignment="1">
      <alignment horizontal="center"/>
    </xf>
    <xf numFmtId="4" fontId="45" fillId="4" borderId="25" xfId="5" applyNumberFormat="1" applyFont="1" applyFill="1" applyBorder="1" applyAlignment="1">
      <alignment horizontal="center"/>
    </xf>
    <xf numFmtId="0" fontId="11" fillId="0" borderId="23" xfId="4" applyFont="1" applyBorder="1"/>
    <xf numFmtId="0" fontId="11" fillId="0" borderId="17" xfId="4" applyFont="1" applyBorder="1"/>
    <xf numFmtId="0" fontId="35" fillId="0" borderId="0" xfId="4" applyFont="1"/>
    <xf numFmtId="4" fontId="37" fillId="0" borderId="4" xfId="8" applyNumberFormat="1" applyFont="1" applyBorder="1" applyAlignment="1">
      <alignment vertical="center"/>
    </xf>
    <xf numFmtId="0" fontId="36" fillId="0" borderId="8" xfId="9" applyFont="1" applyBorder="1" applyAlignment="1">
      <alignment horizontal="left"/>
    </xf>
    <xf numFmtId="0" fontId="36" fillId="0" borderId="9" xfId="9" applyFont="1" applyBorder="1" applyAlignment="1">
      <alignment horizontal="centerContinuous"/>
    </xf>
    <xf numFmtId="0" fontId="36" fillId="0" borderId="9" xfId="9" applyFont="1" applyBorder="1" applyAlignment="1">
      <alignment horizontal="center" vertical="top"/>
    </xf>
    <xf numFmtId="0" fontId="36" fillId="0" borderId="9" xfId="9" applyFont="1" applyBorder="1" applyAlignment="1">
      <alignment horizontal="center"/>
    </xf>
    <xf numFmtId="0" fontId="37" fillId="0" borderId="9" xfId="9" applyFont="1" applyBorder="1" applyAlignment="1">
      <alignment horizontal="centerContinuous" vertical="center"/>
    </xf>
    <xf numFmtId="0" fontId="36" fillId="0" borderId="8" xfId="9" applyFont="1" applyBorder="1" applyAlignment="1">
      <alignment horizontal="center" vertical="center"/>
    </xf>
    <xf numFmtId="0" fontId="36" fillId="0" borderId="9" xfId="9" applyFont="1" applyBorder="1" applyAlignment="1">
      <alignment horizontal="center" vertical="center"/>
    </xf>
    <xf numFmtId="0" fontId="36" fillId="0" borderId="8" xfId="9" applyFont="1" applyBorder="1" applyAlignment="1">
      <alignment horizontal="center"/>
    </xf>
    <xf numFmtId="0" fontId="0" fillId="0" borderId="0" xfId="0" applyAlignment="1">
      <alignment vertical="center"/>
    </xf>
    <xf numFmtId="0" fontId="46" fillId="0" borderId="0" xfId="0" applyFont="1" applyAlignment="1">
      <alignment vertical="center"/>
    </xf>
    <xf numFmtId="0" fontId="10" fillId="0" borderId="6" xfId="0" applyFont="1" applyBorder="1" applyAlignment="1">
      <alignment vertical="center" wrapText="1"/>
    </xf>
    <xf numFmtId="0" fontId="47" fillId="0" borderId="8" xfId="0" applyFont="1" applyBorder="1" applyAlignment="1">
      <alignment horizontal="center"/>
    </xf>
    <xf numFmtId="4" fontId="47" fillId="0" borderId="8" xfId="0" applyNumberFormat="1" applyFont="1" applyBorder="1"/>
    <xf numFmtId="4" fontId="47" fillId="0" borderId="5" xfId="0" applyNumberFormat="1" applyFont="1" applyBorder="1"/>
    <xf numFmtId="0" fontId="10" fillId="0" borderId="5" xfId="0" applyFont="1" applyBorder="1" applyAlignment="1">
      <alignment vertical="center" wrapText="1"/>
    </xf>
    <xf numFmtId="4" fontId="47" fillId="0" borderId="4" xfId="0" applyNumberFormat="1" applyFont="1" applyBorder="1" applyAlignment="1">
      <alignment vertical="center"/>
    </xf>
    <xf numFmtId="3" fontId="0" fillId="0" borderId="5" xfId="0" applyNumberFormat="1" applyBorder="1" applyAlignment="1">
      <alignment vertical="center"/>
    </xf>
    <xf numFmtId="0" fontId="37" fillId="0" borderId="7" xfId="8" applyFont="1" applyBorder="1" applyAlignment="1">
      <alignment horizontal="center" vertical="center"/>
    </xf>
    <xf numFmtId="0" fontId="37" fillId="0" borderId="33" xfId="8" applyFont="1" applyBorder="1" applyAlignment="1">
      <alignment horizontal="center" vertical="center"/>
    </xf>
    <xf numFmtId="0" fontId="37" fillId="0" borderId="15" xfId="8" applyFont="1" applyBorder="1" applyAlignment="1">
      <alignment horizontal="center" vertical="center"/>
    </xf>
    <xf numFmtId="0" fontId="37" fillId="0" borderId="0" xfId="9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</cellXfs>
  <cellStyles count="14">
    <cellStyle name="Dziesiętny" xfId="1" builtinId="3"/>
    <cellStyle name="Dziesiętny 2" xfId="7" xr:uid="{68D2EA6B-E267-4877-8BF2-D52FDD9CE59B}"/>
    <cellStyle name="Dziesiętny 3" xfId="13" xr:uid="{9D1A311D-B0BD-4807-8A74-A4C6DB01EB21}"/>
    <cellStyle name="Excel Built-in Normal" xfId="3" xr:uid="{9426037D-9888-4E6D-B48F-B3C176573571}"/>
    <cellStyle name="Normalny" xfId="0" builtinId="0"/>
    <cellStyle name="Normalny 2" xfId="5" xr:uid="{2662A067-9B7E-45EA-A218-6AA18984EE02}"/>
    <cellStyle name="Normalny 3" xfId="6" xr:uid="{89D5BDC9-9427-4347-9DFB-D974204E0102}"/>
    <cellStyle name="Normalny 3 2" xfId="9" xr:uid="{CBD5F6AE-01D6-493E-A0F1-5DF4F41963B3}"/>
    <cellStyle name="Normalny 3 2 2" xfId="10" xr:uid="{9AABDB77-E12C-43B2-9438-0D616E87390B}"/>
    <cellStyle name="Normalny 4" xfId="8" xr:uid="{58742239-D1D4-4843-B887-C9F951F3BAD2}"/>
    <cellStyle name="Normalny 6" xfId="11" xr:uid="{EE4F6EC9-81AB-4C1C-AAE6-4F90916F4048}"/>
    <cellStyle name="Normalny 6 2" xfId="12" xr:uid="{4952E80D-D0F0-44C7-B7E1-164306A5A7EB}"/>
    <cellStyle name="Normalny_zal_Szczecin" xfId="4" xr:uid="{00E94A95-0719-4B73-91BB-C9699A93D678}"/>
    <cellStyle name="Zły" xfId="2" builtinId="27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9F41B-51C4-4DEA-985E-5049029E0818}">
  <sheetPr>
    <tabColor rgb="FFFFFF00"/>
  </sheetPr>
  <dimension ref="A1:I800"/>
  <sheetViews>
    <sheetView tabSelected="1" zoomScale="150" zoomScaleNormal="150" workbookViewId="0"/>
  </sheetViews>
  <sheetFormatPr defaultColWidth="9.140625" defaultRowHeight="16.5" x14ac:dyDescent="0.3"/>
  <cols>
    <col min="1" max="1" width="3.5703125" style="64" customWidth="1"/>
    <col min="2" max="2" width="6" style="64" customWidth="1"/>
    <col min="3" max="3" width="4.85546875" style="64" customWidth="1"/>
    <col min="4" max="4" width="39.140625" style="64" customWidth="1"/>
    <col min="5" max="5" width="13" style="64" customWidth="1"/>
    <col min="6" max="6" width="10.5703125" style="64" customWidth="1"/>
    <col min="7" max="7" width="10.85546875" style="64" customWidth="1"/>
    <col min="8" max="8" width="12.7109375" style="64" customWidth="1"/>
    <col min="9" max="9" width="10.28515625" style="64" customWidth="1"/>
    <col min="10" max="16384" width="9.140625" style="64"/>
  </cols>
  <sheetData>
    <row r="1" spans="1:8" ht="13.5" customHeight="1" x14ac:dyDescent="0.3">
      <c r="A1" s="3"/>
      <c r="B1" s="3"/>
      <c r="C1" s="422"/>
      <c r="D1" s="2"/>
      <c r="E1" s="2"/>
      <c r="F1" s="2" t="s">
        <v>274</v>
      </c>
      <c r="G1" s="2"/>
      <c r="H1" s="3"/>
    </row>
    <row r="2" spans="1:8" ht="12.75" customHeight="1" x14ac:dyDescent="0.3">
      <c r="A2" s="3"/>
      <c r="B2" s="3"/>
      <c r="C2" s="422"/>
      <c r="D2" s="2"/>
      <c r="E2" s="2"/>
      <c r="F2" s="2" t="s">
        <v>39</v>
      </c>
      <c r="G2" s="2"/>
      <c r="H2" s="3"/>
    </row>
    <row r="3" spans="1:8" ht="12.75" customHeight="1" x14ac:dyDescent="0.3">
      <c r="A3" s="3"/>
      <c r="B3" s="3"/>
      <c r="C3" s="422"/>
      <c r="D3" s="2"/>
      <c r="E3" s="2"/>
      <c r="F3" s="3" t="s">
        <v>1</v>
      </c>
      <c r="G3" s="3"/>
      <c r="H3" s="3"/>
    </row>
    <row r="4" spans="1:8" ht="12.75" customHeight="1" x14ac:dyDescent="0.3">
      <c r="A4" s="3"/>
      <c r="B4" s="3"/>
      <c r="C4" s="422"/>
      <c r="D4" s="2"/>
      <c r="E4" s="2"/>
      <c r="F4" s="2" t="s">
        <v>40</v>
      </c>
      <c r="G4" s="2"/>
      <c r="H4" s="3"/>
    </row>
    <row r="5" spans="1:8" ht="33.75" customHeight="1" x14ac:dyDescent="0.3">
      <c r="A5" s="423" t="s">
        <v>275</v>
      </c>
      <c r="B5" s="424"/>
      <c r="C5" s="425"/>
      <c r="D5" s="425"/>
      <c r="E5" s="424"/>
      <c r="F5" s="424"/>
      <c r="G5" s="423"/>
      <c r="H5" s="424"/>
    </row>
    <row r="6" spans="1:8" ht="27" customHeight="1" x14ac:dyDescent="0.3">
      <c r="A6" s="3"/>
      <c r="B6" s="3"/>
      <c r="C6" s="422"/>
      <c r="D6" s="422"/>
      <c r="E6" s="103"/>
      <c r="F6" s="3"/>
      <c r="G6" s="158"/>
      <c r="H6" s="426" t="s">
        <v>44</v>
      </c>
    </row>
    <row r="7" spans="1:8" s="1" customFormat="1" ht="12.75" x14ac:dyDescent="0.25">
      <c r="A7" s="427"/>
      <c r="B7" s="427"/>
      <c r="C7" s="428"/>
      <c r="D7" s="429"/>
      <c r="E7" s="430" t="s">
        <v>276</v>
      </c>
      <c r="F7" s="431"/>
      <c r="G7" s="432"/>
      <c r="H7" s="430" t="s">
        <v>276</v>
      </c>
    </row>
    <row r="8" spans="1:8" s="1" customFormat="1" ht="12.75" x14ac:dyDescent="0.25">
      <c r="A8" s="433" t="s">
        <v>9</v>
      </c>
      <c r="B8" s="433" t="s">
        <v>12</v>
      </c>
      <c r="C8" s="434" t="s">
        <v>66</v>
      </c>
      <c r="D8" s="435" t="s">
        <v>277</v>
      </c>
      <c r="E8" s="433" t="s">
        <v>278</v>
      </c>
      <c r="F8" s="436" t="s">
        <v>68</v>
      </c>
      <c r="G8" s="433" t="s">
        <v>69</v>
      </c>
      <c r="H8" s="433" t="s">
        <v>279</v>
      </c>
    </row>
    <row r="9" spans="1:8" s="1" customFormat="1" ht="2.25" customHeight="1" x14ac:dyDescent="0.25">
      <c r="A9" s="438"/>
      <c r="B9" s="438"/>
      <c r="C9" s="439"/>
      <c r="D9" s="440"/>
      <c r="E9" s="438"/>
      <c r="F9" s="441"/>
      <c r="G9" s="441"/>
      <c r="H9" s="438"/>
    </row>
    <row r="10" spans="1:8" s="1" customFormat="1" ht="17.25" customHeight="1" thickBot="1" x14ac:dyDescent="0.3">
      <c r="A10" s="442"/>
      <c r="B10" s="442"/>
      <c r="C10" s="443"/>
      <c r="D10" s="444" t="s">
        <v>280</v>
      </c>
      <c r="E10" s="445">
        <v>1412980730.3399999</v>
      </c>
      <c r="F10" s="445">
        <f>SUM(F11,F26,F42,F66)</f>
        <v>6495744</v>
      </c>
      <c r="G10" s="445">
        <f>SUM(G11,G26,G42,G66)</f>
        <v>65341.630000000005</v>
      </c>
      <c r="H10" s="445">
        <f t="shared" ref="H10:H11" si="0">SUM(E10+F10-G10)</f>
        <v>1419411132.7099998</v>
      </c>
    </row>
    <row r="11" spans="1:8" s="1" customFormat="1" ht="15" customHeight="1" thickBot="1" x14ac:dyDescent="0.3">
      <c r="A11" s="442"/>
      <c r="B11" s="442"/>
      <c r="C11" s="443"/>
      <c r="D11" s="446" t="s">
        <v>281</v>
      </c>
      <c r="E11" s="447">
        <v>1237327839.05</v>
      </c>
      <c r="F11" s="447">
        <f>SUM(F12,F17,F22,)</f>
        <v>601714</v>
      </c>
      <c r="G11" s="447">
        <f>SUM(G12,G17,G22,)</f>
        <v>30364</v>
      </c>
      <c r="H11" s="447">
        <f t="shared" si="0"/>
        <v>1237899189.05</v>
      </c>
    </row>
    <row r="12" spans="1:8" s="1" customFormat="1" ht="15" customHeight="1" thickTop="1" thickBot="1" x14ac:dyDescent="0.3">
      <c r="A12" s="448">
        <v>752</v>
      </c>
      <c r="B12" s="449"/>
      <c r="C12" s="450"/>
      <c r="D12" s="451" t="s">
        <v>282</v>
      </c>
      <c r="E12" s="447">
        <v>5836110</v>
      </c>
      <c r="F12" s="452">
        <f t="shared" ref="F12:G13" si="1">SUM(F13)</f>
        <v>595280</v>
      </c>
      <c r="G12" s="452">
        <f t="shared" si="1"/>
        <v>0</v>
      </c>
      <c r="H12" s="447">
        <f>SUM(E12+F12-G12)</f>
        <v>6431390</v>
      </c>
    </row>
    <row r="13" spans="1:8" s="1" customFormat="1" ht="23.25" customHeight="1" thickTop="1" x14ac:dyDescent="0.25">
      <c r="A13" s="448"/>
      <c r="B13" s="453">
        <v>75281</v>
      </c>
      <c r="C13" s="443"/>
      <c r="D13" s="454" t="s">
        <v>94</v>
      </c>
      <c r="E13" s="455">
        <v>5836110</v>
      </c>
      <c r="F13" s="456">
        <f t="shared" si="1"/>
        <v>595280</v>
      </c>
      <c r="G13" s="456">
        <f t="shared" si="1"/>
        <v>0</v>
      </c>
      <c r="H13" s="455">
        <f>SUM(E13+F13-G13)</f>
        <v>6431390</v>
      </c>
    </row>
    <row r="14" spans="1:8" s="1" customFormat="1" ht="12" customHeight="1" x14ac:dyDescent="0.25">
      <c r="A14" s="448"/>
      <c r="B14" s="457"/>
      <c r="C14" s="467"/>
      <c r="D14" s="567" t="s">
        <v>283</v>
      </c>
      <c r="E14" s="490">
        <v>5836110</v>
      </c>
      <c r="F14" s="490">
        <f>SUM(F15:F16)</f>
        <v>595280</v>
      </c>
      <c r="G14" s="490">
        <f>SUM(G15:G16)</f>
        <v>0</v>
      </c>
      <c r="H14" s="490">
        <f>SUM(E14+F14-G14)</f>
        <v>6431390</v>
      </c>
    </row>
    <row r="15" spans="1:8" s="1" customFormat="1" ht="24" customHeight="1" x14ac:dyDescent="0.25">
      <c r="A15" s="448"/>
      <c r="B15" s="457"/>
      <c r="C15" s="458" t="s">
        <v>284</v>
      </c>
      <c r="D15" s="459" t="s">
        <v>285</v>
      </c>
      <c r="E15" s="460">
        <v>117000</v>
      </c>
      <c r="F15" s="460">
        <v>212280</v>
      </c>
      <c r="G15" s="460"/>
      <c r="H15" s="460">
        <f t="shared" ref="H15:H16" si="2">SUM(E15+F15-G15)</f>
        <v>329280</v>
      </c>
    </row>
    <row r="16" spans="1:8" s="1" customFormat="1" ht="36.75" customHeight="1" x14ac:dyDescent="0.25">
      <c r="A16" s="461"/>
      <c r="B16" s="457"/>
      <c r="C16" s="458" t="s">
        <v>286</v>
      </c>
      <c r="D16" s="462" t="s">
        <v>287</v>
      </c>
      <c r="E16" s="463">
        <v>5719110</v>
      </c>
      <c r="F16" s="463">
        <v>383000</v>
      </c>
      <c r="G16" s="463"/>
      <c r="H16" s="460">
        <f t="shared" si="2"/>
        <v>6102110</v>
      </c>
    </row>
    <row r="17" spans="1:9" s="1" customFormat="1" ht="13.5" customHeight="1" thickBot="1" x14ac:dyDescent="0.3">
      <c r="A17" s="448">
        <v>801</v>
      </c>
      <c r="B17" s="448"/>
      <c r="C17" s="450"/>
      <c r="D17" s="451" t="s">
        <v>288</v>
      </c>
      <c r="E17" s="447">
        <v>5863224.7500000009</v>
      </c>
      <c r="F17" s="452">
        <f>SUM(F18)</f>
        <v>0</v>
      </c>
      <c r="G17" s="452">
        <f>SUM(G18)</f>
        <v>25000</v>
      </c>
      <c r="H17" s="447">
        <f>SUM(E17+F17-G17)</f>
        <v>5838224.7500000009</v>
      </c>
    </row>
    <row r="18" spans="1:9" s="1" customFormat="1" ht="12" customHeight="1" thickTop="1" x14ac:dyDescent="0.25">
      <c r="A18" s="448"/>
      <c r="B18" s="457">
        <v>80195</v>
      </c>
      <c r="C18" s="443"/>
      <c r="D18" s="464" t="s">
        <v>52</v>
      </c>
      <c r="E18" s="456">
        <v>2925572.9400000004</v>
      </c>
      <c r="F18" s="456">
        <f>SUM(F19)</f>
        <v>0</v>
      </c>
      <c r="G18" s="456">
        <f>SUM(G19)</f>
        <v>25000</v>
      </c>
      <c r="H18" s="455">
        <f t="shared" ref="H18:H21" si="3">SUM(E18+F18-G18)</f>
        <v>2900572.9400000004</v>
      </c>
    </row>
    <row r="19" spans="1:9" s="1" customFormat="1" ht="12" customHeight="1" x14ac:dyDescent="0.25">
      <c r="A19" s="448"/>
      <c r="B19" s="465"/>
      <c r="C19" s="443"/>
      <c r="D19" s="568" t="s">
        <v>289</v>
      </c>
      <c r="E19" s="490">
        <v>55992</v>
      </c>
      <c r="F19" s="569">
        <f>SUM(F20:F21)</f>
        <v>0</v>
      </c>
      <c r="G19" s="569">
        <f>SUM(G20:G21)</f>
        <v>25000</v>
      </c>
      <c r="H19" s="490">
        <f t="shared" si="3"/>
        <v>30992</v>
      </c>
    </row>
    <row r="20" spans="1:9" s="1" customFormat="1" ht="48.75" customHeight="1" x14ac:dyDescent="0.25">
      <c r="A20" s="461"/>
      <c r="B20" s="465"/>
      <c r="C20" s="458" t="s">
        <v>290</v>
      </c>
      <c r="D20" s="466" t="s">
        <v>291</v>
      </c>
      <c r="E20" s="460">
        <v>46204.6</v>
      </c>
      <c r="F20" s="460"/>
      <c r="G20" s="463">
        <v>20630</v>
      </c>
      <c r="H20" s="460">
        <f t="shared" si="3"/>
        <v>25574.6</v>
      </c>
    </row>
    <row r="21" spans="1:9" s="1" customFormat="1" ht="48.75" customHeight="1" x14ac:dyDescent="0.25">
      <c r="A21" s="461"/>
      <c r="B21" s="465"/>
      <c r="C21" s="458" t="s">
        <v>292</v>
      </c>
      <c r="D21" s="466" t="s">
        <v>291</v>
      </c>
      <c r="E21" s="460">
        <v>9787.4</v>
      </c>
      <c r="F21" s="460"/>
      <c r="G21" s="463">
        <v>4370</v>
      </c>
      <c r="H21" s="460">
        <f t="shared" si="3"/>
        <v>5417.4</v>
      </c>
    </row>
    <row r="22" spans="1:9" s="1" customFormat="1" ht="12" customHeight="1" thickBot="1" x14ac:dyDescent="0.3">
      <c r="A22" s="450" t="s">
        <v>293</v>
      </c>
      <c r="B22" s="449"/>
      <c r="C22" s="450"/>
      <c r="D22" s="451" t="s">
        <v>294</v>
      </c>
      <c r="E22" s="447">
        <v>29662305.07</v>
      </c>
      <c r="F22" s="452">
        <f>SUM(F23,)</f>
        <v>6434</v>
      </c>
      <c r="G22" s="452">
        <f>SUM(G23,)</f>
        <v>5364</v>
      </c>
      <c r="H22" s="447">
        <f t="shared" ref="H22:H25" si="4">SUM(E22+F22-G22)</f>
        <v>29663375.07</v>
      </c>
      <c r="I22" s="437">
        <f>SUM(F22-G22)</f>
        <v>1070</v>
      </c>
    </row>
    <row r="23" spans="1:9" s="1" customFormat="1" ht="12" customHeight="1" thickTop="1" x14ac:dyDescent="0.25">
      <c r="A23" s="450"/>
      <c r="B23" s="467">
        <v>85202</v>
      </c>
      <c r="C23" s="443"/>
      <c r="D23" s="464" t="s">
        <v>295</v>
      </c>
      <c r="E23" s="455">
        <v>4037510</v>
      </c>
      <c r="F23" s="456">
        <f>SUM(F24)</f>
        <v>6434</v>
      </c>
      <c r="G23" s="456">
        <f>SUM(G24)</f>
        <v>5364</v>
      </c>
      <c r="H23" s="455">
        <f t="shared" si="4"/>
        <v>4038580</v>
      </c>
    </row>
    <row r="24" spans="1:9" s="1" customFormat="1" ht="12" customHeight="1" x14ac:dyDescent="0.25">
      <c r="A24" s="450"/>
      <c r="B24" s="457"/>
      <c r="C24" s="443"/>
      <c r="D24" s="570" t="s">
        <v>296</v>
      </c>
      <c r="E24" s="490">
        <v>1356087</v>
      </c>
      <c r="F24" s="569">
        <f>SUM(F25:F25)</f>
        <v>6434</v>
      </c>
      <c r="G24" s="569">
        <f>SUM(G25:G25)</f>
        <v>5364</v>
      </c>
      <c r="H24" s="490">
        <f t="shared" si="4"/>
        <v>1357157</v>
      </c>
    </row>
    <row r="25" spans="1:9" s="1" customFormat="1" ht="23.25" customHeight="1" x14ac:dyDescent="0.25">
      <c r="A25" s="450"/>
      <c r="B25" s="457"/>
      <c r="C25" s="458" t="s">
        <v>297</v>
      </c>
      <c r="D25" s="468" t="s">
        <v>298</v>
      </c>
      <c r="E25" s="460">
        <v>1356087</v>
      </c>
      <c r="F25" s="460">
        <v>6434</v>
      </c>
      <c r="G25" s="463">
        <v>5364</v>
      </c>
      <c r="H25" s="460">
        <f t="shared" si="4"/>
        <v>1357157</v>
      </c>
    </row>
    <row r="26" spans="1:9" s="1" customFormat="1" ht="19.5" customHeight="1" thickBot="1" x14ac:dyDescent="0.3">
      <c r="A26" s="461"/>
      <c r="B26" s="442"/>
      <c r="C26" s="443"/>
      <c r="D26" s="446" t="s">
        <v>299</v>
      </c>
      <c r="E26" s="447">
        <v>89397283.419999987</v>
      </c>
      <c r="F26" s="447">
        <f>SUM(F27,F31,)</f>
        <v>300000</v>
      </c>
      <c r="G26" s="447">
        <f>SUM(G27,G31,)</f>
        <v>5311</v>
      </c>
      <c r="H26" s="447">
        <f t="shared" ref="H26:H42" si="5">SUM(E26+F26-G26)</f>
        <v>89691972.419999987</v>
      </c>
    </row>
    <row r="27" spans="1:9" s="1" customFormat="1" ht="19.5" customHeight="1" thickTop="1" thickBot="1" x14ac:dyDescent="0.3">
      <c r="A27" s="448">
        <v>752</v>
      </c>
      <c r="B27" s="449"/>
      <c r="C27" s="450"/>
      <c r="D27" s="451" t="s">
        <v>282</v>
      </c>
      <c r="E27" s="452">
        <v>80000</v>
      </c>
      <c r="F27" s="452">
        <f t="shared" ref="F27:G27" si="6">SUM(F28)</f>
        <v>0</v>
      </c>
      <c r="G27" s="452">
        <f t="shared" si="6"/>
        <v>5311</v>
      </c>
      <c r="H27" s="452">
        <f t="shared" ref="H27:H30" si="7">SUM(E27+F27-G27)</f>
        <v>74689</v>
      </c>
    </row>
    <row r="28" spans="1:9" s="1" customFormat="1" ht="12" customHeight="1" thickTop="1" x14ac:dyDescent="0.25">
      <c r="A28" s="448"/>
      <c r="B28" s="467">
        <v>75224</v>
      </c>
      <c r="C28" s="469"/>
      <c r="D28" s="470" t="s">
        <v>300</v>
      </c>
      <c r="E28" s="455">
        <v>80000</v>
      </c>
      <c r="F28" s="456">
        <f>SUM(F29)</f>
        <v>0</v>
      </c>
      <c r="G28" s="456">
        <f>SUM(G29)</f>
        <v>5311</v>
      </c>
      <c r="H28" s="455">
        <f t="shared" si="7"/>
        <v>74689</v>
      </c>
    </row>
    <row r="29" spans="1:9" s="1" customFormat="1" ht="12" customHeight="1" x14ac:dyDescent="0.25">
      <c r="A29" s="448"/>
      <c r="B29" s="457"/>
      <c r="C29" s="443"/>
      <c r="D29" s="570" t="s">
        <v>296</v>
      </c>
      <c r="E29" s="490">
        <v>80000</v>
      </c>
      <c r="F29" s="569">
        <f>SUM(F30)</f>
        <v>0</v>
      </c>
      <c r="G29" s="569">
        <f>SUM(G30)</f>
        <v>5311</v>
      </c>
      <c r="H29" s="490">
        <f t="shared" si="7"/>
        <v>74689</v>
      </c>
    </row>
    <row r="30" spans="1:9" s="1" customFormat="1" ht="36.75" customHeight="1" x14ac:dyDescent="0.25">
      <c r="A30" s="448"/>
      <c r="B30" s="449"/>
      <c r="C30" s="453">
        <v>2120</v>
      </c>
      <c r="D30" s="471" t="s">
        <v>301</v>
      </c>
      <c r="E30" s="463">
        <v>80000</v>
      </c>
      <c r="F30" s="460"/>
      <c r="G30" s="460">
        <v>5311</v>
      </c>
      <c r="H30" s="463">
        <f t="shared" si="7"/>
        <v>74689</v>
      </c>
    </row>
    <row r="31" spans="1:9" s="1" customFormat="1" ht="12" customHeight="1" thickBot="1" x14ac:dyDescent="0.3">
      <c r="A31" s="448">
        <v>801</v>
      </c>
      <c r="B31" s="448"/>
      <c r="C31" s="450"/>
      <c r="D31" s="451" t="s">
        <v>288</v>
      </c>
      <c r="E31" s="447">
        <v>9054087.0599999987</v>
      </c>
      <c r="F31" s="452">
        <f>SUM(F32,F35,F39)</f>
        <v>300000</v>
      </c>
      <c r="G31" s="452">
        <f>SUM(G32,G35,G39)</f>
        <v>0</v>
      </c>
      <c r="H31" s="447">
        <f>SUM(E31+F31-G31)</f>
        <v>9354087.0599999987</v>
      </c>
    </row>
    <row r="32" spans="1:9" s="1" customFormat="1" ht="12" customHeight="1" thickTop="1" x14ac:dyDescent="0.25">
      <c r="A32" s="448"/>
      <c r="B32" s="457">
        <v>80115</v>
      </c>
      <c r="C32" s="443"/>
      <c r="D32" s="464" t="s">
        <v>302</v>
      </c>
      <c r="E32" s="455">
        <v>55216.99</v>
      </c>
      <c r="F32" s="456">
        <f>SUM(F33)</f>
        <v>195000</v>
      </c>
      <c r="G32" s="456">
        <f t="shared" ref="G32" si="8">SUM(G33)</f>
        <v>0</v>
      </c>
      <c r="H32" s="455">
        <f t="shared" ref="H32:H37" si="9">SUM(E32+F32-G32)</f>
        <v>250216.99</v>
      </c>
    </row>
    <row r="33" spans="1:8" s="1" customFormat="1" ht="12" customHeight="1" x14ac:dyDescent="0.25">
      <c r="A33" s="448"/>
      <c r="B33" s="472"/>
      <c r="C33" s="473"/>
      <c r="D33" s="571" t="s">
        <v>296</v>
      </c>
      <c r="E33" s="490">
        <v>0</v>
      </c>
      <c r="F33" s="569">
        <f>SUM(F34)</f>
        <v>195000</v>
      </c>
      <c r="G33" s="569">
        <f>SUM(G34:G34)</f>
        <v>0</v>
      </c>
      <c r="H33" s="490">
        <f t="shared" si="9"/>
        <v>195000</v>
      </c>
    </row>
    <row r="34" spans="1:8" s="1" customFormat="1" ht="24" customHeight="1" x14ac:dyDescent="0.25">
      <c r="A34" s="448"/>
      <c r="B34" s="449"/>
      <c r="C34" s="458" t="s">
        <v>297</v>
      </c>
      <c r="D34" s="468" t="s">
        <v>303</v>
      </c>
      <c r="E34" s="460">
        <v>0</v>
      </c>
      <c r="F34" s="460">
        <v>195000</v>
      </c>
      <c r="G34" s="463"/>
      <c r="H34" s="460">
        <f t="shared" si="9"/>
        <v>195000</v>
      </c>
    </row>
    <row r="35" spans="1:8" s="1" customFormat="1" ht="12" customHeight="1" x14ac:dyDescent="0.25">
      <c r="A35" s="448"/>
      <c r="B35" s="457">
        <v>80117</v>
      </c>
      <c r="C35" s="443"/>
      <c r="D35" s="464" t="s">
        <v>243</v>
      </c>
      <c r="E35" s="455">
        <v>0</v>
      </c>
      <c r="F35" s="456">
        <f>SUM(F36)</f>
        <v>30000</v>
      </c>
      <c r="G35" s="456">
        <f t="shared" ref="G35" si="10">SUM(G36)</f>
        <v>0</v>
      </c>
      <c r="H35" s="455">
        <f t="shared" si="9"/>
        <v>30000</v>
      </c>
    </row>
    <row r="36" spans="1:8" s="1" customFormat="1" ht="12" customHeight="1" x14ac:dyDescent="0.25">
      <c r="A36" s="448"/>
      <c r="B36" s="465"/>
      <c r="C36" s="473"/>
      <c r="D36" s="571" t="s">
        <v>296</v>
      </c>
      <c r="E36" s="490">
        <v>0</v>
      </c>
      <c r="F36" s="569">
        <f>SUM(F37)</f>
        <v>30000</v>
      </c>
      <c r="G36" s="569">
        <f>SUM(G37:G37)</f>
        <v>0</v>
      </c>
      <c r="H36" s="490">
        <f t="shared" si="9"/>
        <v>30000</v>
      </c>
    </row>
    <row r="37" spans="1:8" s="1" customFormat="1" ht="24" customHeight="1" x14ac:dyDescent="0.25">
      <c r="A37" s="448"/>
      <c r="B37" s="465"/>
      <c r="C37" s="458" t="s">
        <v>284</v>
      </c>
      <c r="D37" s="466" t="s">
        <v>285</v>
      </c>
      <c r="E37" s="460">
        <v>0</v>
      </c>
      <c r="F37" s="460">
        <v>30000</v>
      </c>
      <c r="G37" s="463"/>
      <c r="H37" s="460">
        <f t="shared" si="9"/>
        <v>30000</v>
      </c>
    </row>
    <row r="38" spans="1:8" s="1" customFormat="1" ht="12" customHeight="1" x14ac:dyDescent="0.25">
      <c r="A38" s="448"/>
      <c r="B38" s="457">
        <v>80140</v>
      </c>
      <c r="C38" s="443"/>
      <c r="D38" s="474" t="s">
        <v>304</v>
      </c>
      <c r="E38" s="460"/>
      <c r="F38" s="460"/>
      <c r="G38" s="463"/>
      <c r="H38" s="460"/>
    </row>
    <row r="39" spans="1:8" s="1" customFormat="1" ht="12" customHeight="1" x14ac:dyDescent="0.25">
      <c r="A39" s="461"/>
      <c r="B39" s="457"/>
      <c r="C39" s="443"/>
      <c r="D39" s="464" t="s">
        <v>305</v>
      </c>
      <c r="E39" s="455">
        <v>331250</v>
      </c>
      <c r="F39" s="456">
        <f>SUM(F40)</f>
        <v>75000</v>
      </c>
      <c r="G39" s="456">
        <f t="shared" ref="G39" si="11">SUM(G40)</f>
        <v>0</v>
      </c>
      <c r="H39" s="455">
        <f t="shared" ref="H39:H41" si="12">SUM(E39+F39-G39)</f>
        <v>406250</v>
      </c>
    </row>
    <row r="40" spans="1:8" s="1" customFormat="1" ht="12" customHeight="1" x14ac:dyDescent="0.25">
      <c r="A40" s="461"/>
      <c r="B40" s="465"/>
      <c r="C40" s="473"/>
      <c r="D40" s="571" t="s">
        <v>296</v>
      </c>
      <c r="E40" s="490">
        <v>0</v>
      </c>
      <c r="F40" s="569">
        <f>SUM(F41)</f>
        <v>75000</v>
      </c>
      <c r="G40" s="569">
        <f>SUM(G41:G41)</f>
        <v>0</v>
      </c>
      <c r="H40" s="490">
        <f t="shared" si="12"/>
        <v>75000</v>
      </c>
    </row>
    <row r="41" spans="1:8" s="1" customFormat="1" ht="24" customHeight="1" x14ac:dyDescent="0.25">
      <c r="A41" s="475"/>
      <c r="B41" s="476"/>
      <c r="C41" s="477" t="s">
        <v>284</v>
      </c>
      <c r="D41" s="478" t="s">
        <v>285</v>
      </c>
      <c r="E41" s="455">
        <v>0</v>
      </c>
      <c r="F41" s="455">
        <v>75000</v>
      </c>
      <c r="G41" s="456"/>
      <c r="H41" s="455">
        <f t="shared" si="12"/>
        <v>75000</v>
      </c>
    </row>
    <row r="42" spans="1:8" s="1" customFormat="1" ht="15.75" customHeight="1" thickBot="1" x14ac:dyDescent="0.3">
      <c r="A42" s="442"/>
      <c r="B42" s="442"/>
      <c r="C42" s="443"/>
      <c r="D42" s="446" t="s">
        <v>306</v>
      </c>
      <c r="E42" s="447">
        <v>58521771.699999996</v>
      </c>
      <c r="F42" s="452">
        <f>SUM(F43,F56,)</f>
        <v>5474030</v>
      </c>
      <c r="G42" s="452">
        <f>SUM(G43,G56,)</f>
        <v>22844.63</v>
      </c>
      <c r="H42" s="447">
        <f t="shared" si="5"/>
        <v>63972957.069999993</v>
      </c>
    </row>
    <row r="43" spans="1:8" s="1" customFormat="1" ht="18" customHeight="1" thickTop="1" thickBot="1" x14ac:dyDescent="0.3">
      <c r="A43" s="449">
        <v>852</v>
      </c>
      <c r="B43" s="449"/>
      <c r="C43" s="450"/>
      <c r="D43" s="451" t="s">
        <v>294</v>
      </c>
      <c r="E43" s="447">
        <v>6929452.6699999999</v>
      </c>
      <c r="F43" s="452">
        <f>SUM(F44,F47,F50,F53,)</f>
        <v>666831</v>
      </c>
      <c r="G43" s="452">
        <f>SUM(G44,G50,G53,)</f>
        <v>18914</v>
      </c>
      <c r="H43" s="452">
        <f>SUM(E43+F43-G43)</f>
        <v>7577369.6699999999</v>
      </c>
    </row>
    <row r="44" spans="1:8" s="1" customFormat="1" ht="12" customHeight="1" thickTop="1" x14ac:dyDescent="0.25">
      <c r="A44" s="449"/>
      <c r="B44" s="457">
        <v>85203</v>
      </c>
      <c r="C44" s="443"/>
      <c r="D44" s="479" t="s">
        <v>155</v>
      </c>
      <c r="E44" s="455">
        <v>1876140</v>
      </c>
      <c r="F44" s="456">
        <f t="shared" ref="F44:G51" si="13">SUM(F45)</f>
        <v>6728</v>
      </c>
      <c r="G44" s="456">
        <f t="shared" si="13"/>
        <v>0</v>
      </c>
      <c r="H44" s="455">
        <f>SUM(E44+F44-G44)</f>
        <v>1882868</v>
      </c>
    </row>
    <row r="45" spans="1:8" s="1" customFormat="1" ht="12" customHeight="1" x14ac:dyDescent="0.25">
      <c r="A45" s="449"/>
      <c r="B45" s="457"/>
      <c r="C45" s="443"/>
      <c r="D45" s="570" t="s">
        <v>296</v>
      </c>
      <c r="E45" s="490">
        <v>1876140</v>
      </c>
      <c r="F45" s="569">
        <f t="shared" si="13"/>
        <v>6728</v>
      </c>
      <c r="G45" s="569">
        <f t="shared" si="13"/>
        <v>0</v>
      </c>
      <c r="H45" s="490">
        <f t="shared" ref="H45:H46" si="14">SUM(E45+F45-G45)</f>
        <v>1882868</v>
      </c>
    </row>
    <row r="46" spans="1:8" s="1" customFormat="1" ht="36.75" customHeight="1" x14ac:dyDescent="0.25">
      <c r="A46" s="449"/>
      <c r="B46" s="449"/>
      <c r="C46" s="458" t="s">
        <v>307</v>
      </c>
      <c r="D46" s="480" t="s">
        <v>308</v>
      </c>
      <c r="E46" s="463">
        <v>1876140</v>
      </c>
      <c r="F46" s="460">
        <v>6728</v>
      </c>
      <c r="G46" s="460"/>
      <c r="H46" s="463">
        <f t="shared" si="14"/>
        <v>1882868</v>
      </c>
    </row>
    <row r="47" spans="1:8" s="1" customFormat="1" ht="12" customHeight="1" x14ac:dyDescent="0.25">
      <c r="A47" s="449"/>
      <c r="B47" s="457">
        <v>85219</v>
      </c>
      <c r="C47" s="443"/>
      <c r="D47" s="464" t="s">
        <v>309</v>
      </c>
      <c r="E47" s="455">
        <v>209838</v>
      </c>
      <c r="F47" s="456">
        <f t="shared" ref="F47:G48" si="15">SUM(F48)</f>
        <v>32245</v>
      </c>
      <c r="G47" s="456">
        <f t="shared" si="15"/>
        <v>0</v>
      </c>
      <c r="H47" s="455">
        <f>SUM(E47+F47-G47)</f>
        <v>242083</v>
      </c>
    </row>
    <row r="48" spans="1:8" s="1" customFormat="1" ht="12" customHeight="1" x14ac:dyDescent="0.25">
      <c r="A48" s="449"/>
      <c r="B48" s="457"/>
      <c r="C48" s="443"/>
      <c r="D48" s="570" t="s">
        <v>296</v>
      </c>
      <c r="E48" s="490">
        <v>209838</v>
      </c>
      <c r="F48" s="569">
        <f t="shared" si="15"/>
        <v>32245</v>
      </c>
      <c r="G48" s="569">
        <f t="shared" si="15"/>
        <v>0</v>
      </c>
      <c r="H48" s="490">
        <f t="shared" ref="H48:H49" si="16">SUM(E48+F48-G48)</f>
        <v>242083</v>
      </c>
    </row>
    <row r="49" spans="1:8" s="1" customFormat="1" ht="36.75" customHeight="1" x14ac:dyDescent="0.25">
      <c r="A49" s="449"/>
      <c r="B49" s="449"/>
      <c r="C49" s="458" t="s">
        <v>307</v>
      </c>
      <c r="D49" s="480" t="s">
        <v>308</v>
      </c>
      <c r="E49" s="463">
        <v>209838</v>
      </c>
      <c r="F49" s="460">
        <v>32245</v>
      </c>
      <c r="G49" s="460"/>
      <c r="H49" s="463">
        <f t="shared" si="16"/>
        <v>242083</v>
      </c>
    </row>
    <row r="50" spans="1:8" s="1" customFormat="1" ht="12" customHeight="1" x14ac:dyDescent="0.25">
      <c r="A50" s="449"/>
      <c r="B50" s="457">
        <v>85228</v>
      </c>
      <c r="C50" s="443"/>
      <c r="D50" s="479" t="s">
        <v>310</v>
      </c>
      <c r="E50" s="455">
        <v>4754169</v>
      </c>
      <c r="F50" s="456">
        <f t="shared" si="13"/>
        <v>627858</v>
      </c>
      <c r="G50" s="456">
        <f t="shared" si="13"/>
        <v>0</v>
      </c>
      <c r="H50" s="455">
        <f>SUM(E50+F50-G50)</f>
        <v>5382027</v>
      </c>
    </row>
    <row r="51" spans="1:8" s="1" customFormat="1" ht="12" customHeight="1" x14ac:dyDescent="0.25">
      <c r="A51" s="449"/>
      <c r="B51" s="457"/>
      <c r="C51" s="443"/>
      <c r="D51" s="570" t="s">
        <v>296</v>
      </c>
      <c r="E51" s="490">
        <v>4754169</v>
      </c>
      <c r="F51" s="569">
        <f t="shared" si="13"/>
        <v>627858</v>
      </c>
      <c r="G51" s="569">
        <f t="shared" si="13"/>
        <v>0</v>
      </c>
      <c r="H51" s="490">
        <f t="shared" ref="H51:H52" si="17">SUM(E51+F51-G51)</f>
        <v>5382027</v>
      </c>
    </row>
    <row r="52" spans="1:8" s="1" customFormat="1" ht="36" customHeight="1" x14ac:dyDescent="0.25">
      <c r="A52" s="449"/>
      <c r="B52" s="449"/>
      <c r="C52" s="458" t="s">
        <v>307</v>
      </c>
      <c r="D52" s="480" t="s">
        <v>308</v>
      </c>
      <c r="E52" s="463">
        <v>4754169</v>
      </c>
      <c r="F52" s="460">
        <v>627858</v>
      </c>
      <c r="G52" s="460"/>
      <c r="H52" s="463">
        <f t="shared" si="17"/>
        <v>5382027</v>
      </c>
    </row>
    <row r="53" spans="1:8" s="1" customFormat="1" ht="12" customHeight="1" x14ac:dyDescent="0.25">
      <c r="A53" s="449"/>
      <c r="B53" s="457">
        <v>85231</v>
      </c>
      <c r="C53" s="443"/>
      <c r="D53" s="464" t="s">
        <v>311</v>
      </c>
      <c r="E53" s="455">
        <v>53600</v>
      </c>
      <c r="F53" s="456">
        <f t="shared" ref="F53:G54" si="18">SUM(F54)</f>
        <v>0</v>
      </c>
      <c r="G53" s="456">
        <f t="shared" si="18"/>
        <v>18914</v>
      </c>
      <c r="H53" s="455">
        <f>SUM(E53+F53-G53)</f>
        <v>34686</v>
      </c>
    </row>
    <row r="54" spans="1:8" s="1" customFormat="1" ht="12" customHeight="1" x14ac:dyDescent="0.25">
      <c r="A54" s="449"/>
      <c r="B54" s="457"/>
      <c r="C54" s="443"/>
      <c r="D54" s="570" t="s">
        <v>296</v>
      </c>
      <c r="E54" s="490">
        <v>53600</v>
      </c>
      <c r="F54" s="569">
        <f t="shared" si="18"/>
        <v>0</v>
      </c>
      <c r="G54" s="569">
        <f t="shared" si="18"/>
        <v>18914</v>
      </c>
      <c r="H54" s="490">
        <f t="shared" ref="H54:H64" si="19">SUM(E54+F54-G54)</f>
        <v>34686</v>
      </c>
    </row>
    <row r="55" spans="1:8" s="1" customFormat="1" ht="36" customHeight="1" x14ac:dyDescent="0.25">
      <c r="A55" s="449"/>
      <c r="B55" s="449"/>
      <c r="C55" s="458" t="s">
        <v>307</v>
      </c>
      <c r="D55" s="480" t="s">
        <v>308</v>
      </c>
      <c r="E55" s="463">
        <v>53600</v>
      </c>
      <c r="F55" s="460"/>
      <c r="G55" s="460">
        <v>18914</v>
      </c>
      <c r="H55" s="463">
        <f t="shared" si="19"/>
        <v>34686</v>
      </c>
    </row>
    <row r="56" spans="1:8" s="1" customFormat="1" ht="12" customHeight="1" thickBot="1" x14ac:dyDescent="0.3">
      <c r="A56" s="449">
        <v>855</v>
      </c>
      <c r="B56" s="449"/>
      <c r="C56" s="450"/>
      <c r="D56" s="451" t="s">
        <v>312</v>
      </c>
      <c r="E56" s="452">
        <v>44524619</v>
      </c>
      <c r="F56" s="452">
        <f>SUM(F57,F63,)</f>
        <v>4807199</v>
      </c>
      <c r="G56" s="452">
        <f>SUM(G57,G63,)</f>
        <v>3930.63</v>
      </c>
      <c r="H56" s="452">
        <f t="shared" si="19"/>
        <v>49327887.369999997</v>
      </c>
    </row>
    <row r="57" spans="1:8" s="1" customFormat="1" ht="36.75" customHeight="1" thickTop="1" x14ac:dyDescent="0.25">
      <c r="A57" s="449"/>
      <c r="B57" s="453">
        <v>85502</v>
      </c>
      <c r="C57" s="443"/>
      <c r="D57" s="454" t="s">
        <v>313</v>
      </c>
      <c r="E57" s="455">
        <v>43765784</v>
      </c>
      <c r="F57" s="456">
        <f t="shared" ref="F57:G57" si="20">SUM(F58)</f>
        <v>4717199</v>
      </c>
      <c r="G57" s="456">
        <f t="shared" si="20"/>
        <v>2406.85</v>
      </c>
      <c r="H57" s="455">
        <f t="shared" si="19"/>
        <v>48480576.149999999</v>
      </c>
    </row>
    <row r="58" spans="1:8" s="1" customFormat="1" ht="12" customHeight="1" x14ac:dyDescent="0.25">
      <c r="A58" s="449"/>
      <c r="B58" s="457"/>
      <c r="C58" s="443"/>
      <c r="D58" s="570" t="s">
        <v>296</v>
      </c>
      <c r="E58" s="490">
        <v>43765784</v>
      </c>
      <c r="F58" s="569">
        <f>SUM(F59:F60)</f>
        <v>4717199</v>
      </c>
      <c r="G58" s="569">
        <f>SUM(G59:G60)</f>
        <v>2406.85</v>
      </c>
      <c r="H58" s="490">
        <f t="shared" si="19"/>
        <v>48480576.149999999</v>
      </c>
    </row>
    <row r="59" spans="1:8" s="1" customFormat="1" ht="36" customHeight="1" x14ac:dyDescent="0.25">
      <c r="A59" s="449"/>
      <c r="B59" s="457"/>
      <c r="C59" s="458" t="s">
        <v>307</v>
      </c>
      <c r="D59" s="481" t="s">
        <v>308</v>
      </c>
      <c r="E59" s="460">
        <v>43746284</v>
      </c>
      <c r="F59" s="463">
        <v>4712250</v>
      </c>
      <c r="G59" s="463">
        <v>2406.85</v>
      </c>
      <c r="H59" s="463">
        <f t="shared" si="19"/>
        <v>48456127.149999999</v>
      </c>
    </row>
    <row r="60" spans="1:8" s="1" customFormat="1" ht="49.5" customHeight="1" x14ac:dyDescent="0.25">
      <c r="A60" s="449"/>
      <c r="B60" s="457"/>
      <c r="C60" s="458" t="s">
        <v>314</v>
      </c>
      <c r="D60" s="466" t="s">
        <v>315</v>
      </c>
      <c r="E60" s="463">
        <v>19500</v>
      </c>
      <c r="F60" s="463">
        <v>4949</v>
      </c>
      <c r="G60" s="463"/>
      <c r="H60" s="463">
        <f t="shared" si="19"/>
        <v>24449</v>
      </c>
    </row>
    <row r="61" spans="1:8" s="1" customFormat="1" ht="12" customHeight="1" x14ac:dyDescent="0.25">
      <c r="A61" s="449"/>
      <c r="B61" s="457">
        <v>85513</v>
      </c>
      <c r="C61" s="443"/>
      <c r="D61" s="457" t="s">
        <v>316</v>
      </c>
      <c r="E61" s="460"/>
      <c r="F61" s="463"/>
      <c r="G61" s="463"/>
      <c r="H61" s="463"/>
    </row>
    <row r="62" spans="1:8" s="1" customFormat="1" ht="12" customHeight="1" x14ac:dyDescent="0.25">
      <c r="A62" s="449"/>
      <c r="B62" s="442"/>
      <c r="C62" s="443"/>
      <c r="D62" s="474" t="s">
        <v>317</v>
      </c>
      <c r="E62" s="460"/>
      <c r="F62" s="463"/>
      <c r="G62" s="463"/>
      <c r="H62" s="463"/>
    </row>
    <row r="63" spans="1:8" s="1" customFormat="1" ht="12" customHeight="1" x14ac:dyDescent="0.25">
      <c r="A63" s="449"/>
      <c r="B63" s="457"/>
      <c r="C63" s="443"/>
      <c r="D63" s="464" t="s">
        <v>318</v>
      </c>
      <c r="E63" s="455">
        <v>755977</v>
      </c>
      <c r="F63" s="456">
        <f t="shared" ref="F63:G64" si="21">SUM(F64)</f>
        <v>90000</v>
      </c>
      <c r="G63" s="456">
        <f t="shared" si="21"/>
        <v>1523.78</v>
      </c>
      <c r="H63" s="455">
        <f t="shared" si="19"/>
        <v>844453.22</v>
      </c>
    </row>
    <row r="64" spans="1:8" s="1" customFormat="1" ht="12" customHeight="1" x14ac:dyDescent="0.25">
      <c r="A64" s="449"/>
      <c r="B64" s="457"/>
      <c r="C64" s="443"/>
      <c r="D64" s="570" t="s">
        <v>296</v>
      </c>
      <c r="E64" s="490">
        <v>755977</v>
      </c>
      <c r="F64" s="569">
        <f t="shared" si="21"/>
        <v>90000</v>
      </c>
      <c r="G64" s="569">
        <f t="shared" si="21"/>
        <v>1523.78</v>
      </c>
      <c r="H64" s="490">
        <f t="shared" si="19"/>
        <v>844453.22</v>
      </c>
    </row>
    <row r="65" spans="1:8" s="1" customFormat="1" ht="36" customHeight="1" x14ac:dyDescent="0.25">
      <c r="A65" s="449"/>
      <c r="B65" s="449"/>
      <c r="C65" s="458" t="s">
        <v>307</v>
      </c>
      <c r="D65" s="481" t="s">
        <v>308</v>
      </c>
      <c r="E65" s="463">
        <v>755977</v>
      </c>
      <c r="F65" s="460">
        <v>90000</v>
      </c>
      <c r="G65" s="460">
        <v>1523.78</v>
      </c>
      <c r="H65" s="463">
        <f>SUM(E65+F65-G65)</f>
        <v>844453.22</v>
      </c>
    </row>
    <row r="66" spans="1:8" s="1" customFormat="1" ht="17.25" customHeight="1" thickBot="1" x14ac:dyDescent="0.3">
      <c r="A66" s="442"/>
      <c r="B66" s="442"/>
      <c r="C66" s="443"/>
      <c r="D66" s="446" t="s">
        <v>319</v>
      </c>
      <c r="E66" s="447">
        <v>27733836.170000002</v>
      </c>
      <c r="F66" s="447">
        <f>SUM(F67,F71,)</f>
        <v>120000</v>
      </c>
      <c r="G66" s="447">
        <f>SUM(G67,G71,)</f>
        <v>6822</v>
      </c>
      <c r="H66" s="447">
        <f t="shared" ref="H66:H74" si="22">SUM(E66+F66-G66)</f>
        <v>27847014.170000002</v>
      </c>
    </row>
    <row r="67" spans="1:8" s="1" customFormat="1" ht="17.25" customHeight="1" thickTop="1" thickBot="1" x14ac:dyDescent="0.3">
      <c r="A67" s="448">
        <v>752</v>
      </c>
      <c r="B67" s="449"/>
      <c r="C67" s="450"/>
      <c r="D67" s="451" t="s">
        <v>282</v>
      </c>
      <c r="E67" s="447">
        <v>75970</v>
      </c>
      <c r="F67" s="447">
        <f>SUM(F68,)</f>
        <v>0</v>
      </c>
      <c r="G67" s="447">
        <f>SUM(G68,)</f>
        <v>6822</v>
      </c>
      <c r="H67" s="447">
        <f>SUM(E67+F67-G67)</f>
        <v>69148</v>
      </c>
    </row>
    <row r="68" spans="1:8" s="1" customFormat="1" ht="12" customHeight="1" thickTop="1" x14ac:dyDescent="0.25">
      <c r="A68" s="448"/>
      <c r="B68" s="467">
        <v>75224</v>
      </c>
      <c r="C68" s="469"/>
      <c r="D68" s="470" t="s">
        <v>300</v>
      </c>
      <c r="E68" s="455">
        <v>59000</v>
      </c>
      <c r="F68" s="455">
        <f t="shared" ref="F68:G69" si="23">SUM(F69)</f>
        <v>0</v>
      </c>
      <c r="G68" s="455">
        <f t="shared" si="23"/>
        <v>6822</v>
      </c>
      <c r="H68" s="455">
        <f>SUM(E68+F68-G68)</f>
        <v>52178</v>
      </c>
    </row>
    <row r="69" spans="1:8" s="1" customFormat="1" ht="12" customHeight="1" x14ac:dyDescent="0.25">
      <c r="A69" s="442"/>
      <c r="B69" s="457"/>
      <c r="C69" s="443"/>
      <c r="D69" s="570" t="s">
        <v>296</v>
      </c>
      <c r="E69" s="490">
        <v>59000</v>
      </c>
      <c r="F69" s="569">
        <f t="shared" si="23"/>
        <v>0</v>
      </c>
      <c r="G69" s="569">
        <f t="shared" si="23"/>
        <v>6822</v>
      </c>
      <c r="H69" s="490">
        <f>SUM(E69+F69-G69)</f>
        <v>52178</v>
      </c>
    </row>
    <row r="70" spans="1:8" s="1" customFormat="1" ht="36.75" customHeight="1" x14ac:dyDescent="0.25">
      <c r="A70" s="449"/>
      <c r="B70" s="442"/>
      <c r="C70" s="453">
        <v>2110</v>
      </c>
      <c r="D70" s="471" t="s">
        <v>320</v>
      </c>
      <c r="E70" s="482">
        <v>59000</v>
      </c>
      <c r="F70" s="483"/>
      <c r="G70" s="483">
        <v>6822</v>
      </c>
      <c r="H70" s="482">
        <f t="shared" ref="H70" si="24">SUM(E70+F70-G70)</f>
        <v>52178</v>
      </c>
    </row>
    <row r="71" spans="1:8" s="1" customFormat="1" ht="12" customHeight="1" thickBot="1" x14ac:dyDescent="0.3">
      <c r="A71" s="449">
        <v>754</v>
      </c>
      <c r="B71" s="484"/>
      <c r="C71" s="485"/>
      <c r="D71" s="451" t="s">
        <v>321</v>
      </c>
      <c r="E71" s="447">
        <v>23576558.550000001</v>
      </c>
      <c r="F71" s="447">
        <f>SUM(F72)</f>
        <v>120000</v>
      </c>
      <c r="G71" s="447">
        <f>SUM(G72)</f>
        <v>0</v>
      </c>
      <c r="H71" s="447">
        <f>SUM(E71+F71-G71)</f>
        <v>23696558.550000001</v>
      </c>
    </row>
    <row r="72" spans="1:8" s="1" customFormat="1" ht="12" customHeight="1" thickTop="1" x14ac:dyDescent="0.25">
      <c r="A72" s="449"/>
      <c r="B72" s="457">
        <v>75411</v>
      </c>
      <c r="C72" s="443"/>
      <c r="D72" s="479" t="s">
        <v>100</v>
      </c>
      <c r="E72" s="455">
        <v>23576558.550000001</v>
      </c>
      <c r="F72" s="455">
        <f t="shared" ref="F72:G73" si="25">SUM(F73)</f>
        <v>120000</v>
      </c>
      <c r="G72" s="455">
        <f t="shared" si="25"/>
        <v>0</v>
      </c>
      <c r="H72" s="455">
        <f>SUM(E72+F72-G72)</f>
        <v>23696558.550000001</v>
      </c>
    </row>
    <row r="73" spans="1:8" s="1" customFormat="1" ht="12" customHeight="1" x14ac:dyDescent="0.25">
      <c r="A73" s="448"/>
      <c r="B73" s="457"/>
      <c r="C73" s="443"/>
      <c r="D73" s="570" t="s">
        <v>296</v>
      </c>
      <c r="E73" s="490">
        <v>23576558.550000001</v>
      </c>
      <c r="F73" s="569">
        <f t="shared" si="25"/>
        <v>120000</v>
      </c>
      <c r="G73" s="569">
        <f t="shared" si="25"/>
        <v>0</v>
      </c>
      <c r="H73" s="490">
        <f>SUM(E73+F73-G73)</f>
        <v>23696558.550000001</v>
      </c>
    </row>
    <row r="74" spans="1:8" s="1" customFormat="1" ht="36" customHeight="1" x14ac:dyDescent="0.25">
      <c r="A74" s="486"/>
      <c r="B74" s="487"/>
      <c r="C74" s="488">
        <v>6410</v>
      </c>
      <c r="D74" s="454" t="s">
        <v>322</v>
      </c>
      <c r="E74" s="456">
        <v>0</v>
      </c>
      <c r="F74" s="455">
        <v>120000</v>
      </c>
      <c r="G74" s="455"/>
      <c r="H74" s="456">
        <f t="shared" si="22"/>
        <v>120000</v>
      </c>
    </row>
    <row r="75" spans="1:8" s="1" customFormat="1" ht="18" customHeight="1" thickBot="1" x14ac:dyDescent="0.3">
      <c r="A75" s="457"/>
      <c r="B75" s="457"/>
      <c r="C75" s="443"/>
      <c r="D75" s="444" t="s">
        <v>323</v>
      </c>
      <c r="E75" s="445">
        <v>1575068358.5799994</v>
      </c>
      <c r="F75" s="445">
        <f>SUM(F76,F358,F530,F561)</f>
        <v>25649535.57</v>
      </c>
      <c r="G75" s="445">
        <f>SUM(G76,G358,G530,G561)</f>
        <v>19219133.199999996</v>
      </c>
      <c r="H75" s="445">
        <f t="shared" ref="H75:H76" si="26">SUM(E75+F75-G75)</f>
        <v>1581498760.9499993</v>
      </c>
    </row>
    <row r="76" spans="1:8" s="1" customFormat="1" ht="16.5" customHeight="1" thickBot="1" x14ac:dyDescent="0.3">
      <c r="A76" s="457"/>
      <c r="B76" s="457"/>
      <c r="C76" s="443"/>
      <c r="D76" s="446" t="s">
        <v>324</v>
      </c>
      <c r="E76" s="447">
        <v>1095244720.9699998</v>
      </c>
      <c r="F76" s="447">
        <f>SUM(F77,F83,F103,F130,F135,F141,F146,F208,F231,F283,F296,F317,F352)</f>
        <v>5945562.1700000009</v>
      </c>
      <c r="G76" s="447">
        <f>SUM(G77,G83,G103,G130,G135,G141,G146,G208,G231,G283,G296,G317,G352)</f>
        <v>19050441.569999997</v>
      </c>
      <c r="H76" s="447">
        <f t="shared" si="26"/>
        <v>1082139841.5699999</v>
      </c>
    </row>
    <row r="77" spans="1:8" s="1" customFormat="1" ht="18" customHeight="1" thickTop="1" thickBot="1" x14ac:dyDescent="0.3">
      <c r="A77" s="448">
        <v>600</v>
      </c>
      <c r="B77" s="449"/>
      <c r="C77" s="450"/>
      <c r="D77" s="451" t="s">
        <v>325</v>
      </c>
      <c r="E77" s="447">
        <v>198910731.16000003</v>
      </c>
      <c r="F77" s="447">
        <f>SUM(F78)</f>
        <v>498233</v>
      </c>
      <c r="G77" s="447">
        <f>SUM(G78)</f>
        <v>5000</v>
      </c>
      <c r="H77" s="447">
        <f>SUM(E77+F77-G77)</f>
        <v>199403964.16000003</v>
      </c>
    </row>
    <row r="78" spans="1:8" s="1" customFormat="1" ht="12" customHeight="1" thickTop="1" x14ac:dyDescent="0.25">
      <c r="A78" s="457"/>
      <c r="B78" s="467">
        <v>60095</v>
      </c>
      <c r="C78" s="443"/>
      <c r="D78" s="464" t="s">
        <v>52</v>
      </c>
      <c r="E78" s="455">
        <v>17200027.720000003</v>
      </c>
      <c r="F78" s="455">
        <f>SUM(F79)</f>
        <v>498233</v>
      </c>
      <c r="G78" s="455">
        <f>SUM(G79)</f>
        <v>5000</v>
      </c>
      <c r="H78" s="455">
        <f>SUM(E78+F78-G78)</f>
        <v>17693260.720000003</v>
      </c>
    </row>
    <row r="79" spans="1:8" s="1" customFormat="1" ht="12" customHeight="1" x14ac:dyDescent="0.25">
      <c r="A79" s="457"/>
      <c r="B79" s="467"/>
      <c r="C79" s="489"/>
      <c r="D79" s="572" t="s">
        <v>326</v>
      </c>
      <c r="E79" s="490">
        <v>17103027.720000003</v>
      </c>
      <c r="F79" s="490">
        <f>SUM(F80:F82)</f>
        <v>498233</v>
      </c>
      <c r="G79" s="490">
        <f>SUM(G80:G82)</f>
        <v>5000</v>
      </c>
      <c r="H79" s="490">
        <f>SUM(E79+F79-G79)</f>
        <v>17596260.720000003</v>
      </c>
    </row>
    <row r="80" spans="1:8" s="1" customFormat="1" ht="12" customHeight="1" x14ac:dyDescent="0.25">
      <c r="A80" s="457"/>
      <c r="B80" s="467"/>
      <c r="C80" s="467">
        <v>4010</v>
      </c>
      <c r="D80" s="491" t="s">
        <v>327</v>
      </c>
      <c r="E80" s="460">
        <v>11206374</v>
      </c>
      <c r="F80" s="460">
        <v>493233</v>
      </c>
      <c r="G80" s="460"/>
      <c r="H80" s="460">
        <f t="shared" ref="H80:H82" si="27">SUM(E80+F80-G80)</f>
        <v>11699607</v>
      </c>
    </row>
    <row r="81" spans="1:8" s="1" customFormat="1" ht="12" customHeight="1" x14ac:dyDescent="0.25">
      <c r="A81" s="457"/>
      <c r="B81" s="449"/>
      <c r="C81" s="492" t="s">
        <v>328</v>
      </c>
      <c r="D81" s="493" t="s">
        <v>329</v>
      </c>
      <c r="E81" s="460">
        <v>184895.1</v>
      </c>
      <c r="F81" s="460"/>
      <c r="G81" s="460">
        <v>5000</v>
      </c>
      <c r="H81" s="460">
        <f t="shared" si="27"/>
        <v>179895.1</v>
      </c>
    </row>
    <row r="82" spans="1:8" s="1" customFormat="1" ht="12" customHeight="1" x14ac:dyDescent="0.25">
      <c r="A82" s="457"/>
      <c r="B82" s="449"/>
      <c r="C82" s="494">
        <v>4220</v>
      </c>
      <c r="D82" s="493" t="s">
        <v>330</v>
      </c>
      <c r="E82" s="460">
        <v>0</v>
      </c>
      <c r="F82" s="460">
        <v>5000</v>
      </c>
      <c r="G82" s="460"/>
      <c r="H82" s="460">
        <f t="shared" si="27"/>
        <v>5000</v>
      </c>
    </row>
    <row r="83" spans="1:8" s="1" customFormat="1" ht="11.25" customHeight="1" thickBot="1" x14ac:dyDescent="0.3">
      <c r="A83" s="448">
        <v>700</v>
      </c>
      <c r="B83" s="448"/>
      <c r="C83" s="450"/>
      <c r="D83" s="451" t="s">
        <v>331</v>
      </c>
      <c r="E83" s="495">
        <v>142986214.47</v>
      </c>
      <c r="F83" s="452">
        <f>SUM(F84,)</f>
        <v>147938.64000000001</v>
      </c>
      <c r="G83" s="452">
        <f>SUM(G84,)</f>
        <v>13770.41</v>
      </c>
      <c r="H83" s="495">
        <f>SUM(E83+F83-G83)</f>
        <v>143120382.69999999</v>
      </c>
    </row>
    <row r="84" spans="1:8" s="1" customFormat="1" ht="12" customHeight="1" thickTop="1" x14ac:dyDescent="0.25">
      <c r="A84" s="448"/>
      <c r="B84" s="467">
        <v>70007</v>
      </c>
      <c r="C84" s="469"/>
      <c r="D84" s="496" t="s">
        <v>332</v>
      </c>
      <c r="E84" s="455">
        <v>58884761.380000003</v>
      </c>
      <c r="F84" s="456">
        <f>SUM(F85,F92)</f>
        <v>147938.64000000001</v>
      </c>
      <c r="G84" s="456">
        <f>SUM(G85,G92)</f>
        <v>13770.41</v>
      </c>
      <c r="H84" s="455">
        <f t="shared" ref="H84:H91" si="28">SUM(E84+F84-G84)</f>
        <v>59018929.610000007</v>
      </c>
    </row>
    <row r="85" spans="1:8" s="1" customFormat="1" ht="12" customHeight="1" x14ac:dyDescent="0.25">
      <c r="A85" s="448"/>
      <c r="B85" s="448"/>
      <c r="C85" s="504"/>
      <c r="D85" s="573" t="s">
        <v>333</v>
      </c>
      <c r="E85" s="490">
        <v>55790862.25</v>
      </c>
      <c r="F85" s="569">
        <f>SUM(F86:F91)</f>
        <v>137168.23000000001</v>
      </c>
      <c r="G85" s="569">
        <f>SUM(G86:G91)</f>
        <v>3000</v>
      </c>
      <c r="H85" s="490">
        <f t="shared" si="28"/>
        <v>55925030.479999997</v>
      </c>
    </row>
    <row r="86" spans="1:8" s="1" customFormat="1" ht="12" customHeight="1" x14ac:dyDescent="0.25">
      <c r="A86" s="448"/>
      <c r="B86" s="448"/>
      <c r="C86" s="494">
        <v>3020</v>
      </c>
      <c r="D86" s="493" t="s">
        <v>334</v>
      </c>
      <c r="E86" s="460">
        <v>10425</v>
      </c>
      <c r="F86" s="463">
        <v>3000</v>
      </c>
      <c r="G86" s="463"/>
      <c r="H86" s="460">
        <f t="shared" si="28"/>
        <v>13425</v>
      </c>
    </row>
    <row r="87" spans="1:8" s="1" customFormat="1" ht="12" customHeight="1" x14ac:dyDescent="0.25">
      <c r="A87" s="448"/>
      <c r="B87" s="448"/>
      <c r="C87" s="494">
        <v>4010</v>
      </c>
      <c r="D87" s="493" t="s">
        <v>327</v>
      </c>
      <c r="E87" s="460">
        <v>3632622.66</v>
      </c>
      <c r="F87" s="463">
        <f>73168+40820.23</f>
        <v>113988.23000000001</v>
      </c>
      <c r="G87" s="463"/>
      <c r="H87" s="460">
        <f t="shared" si="28"/>
        <v>3746610.89</v>
      </c>
    </row>
    <row r="88" spans="1:8" s="1" customFormat="1" ht="12" customHeight="1" x14ac:dyDescent="0.25">
      <c r="A88" s="448"/>
      <c r="B88" s="448"/>
      <c r="C88" s="494">
        <v>4110</v>
      </c>
      <c r="D88" s="493" t="s">
        <v>335</v>
      </c>
      <c r="E88" s="460">
        <v>575561</v>
      </c>
      <c r="F88" s="463">
        <f>12387</f>
        <v>12387</v>
      </c>
      <c r="G88" s="463"/>
      <c r="H88" s="460">
        <f t="shared" si="28"/>
        <v>587948</v>
      </c>
    </row>
    <row r="89" spans="1:8" s="1" customFormat="1" ht="12" customHeight="1" x14ac:dyDescent="0.25">
      <c r="A89" s="448"/>
      <c r="B89" s="448"/>
      <c r="C89" s="494">
        <v>4120</v>
      </c>
      <c r="D89" s="493" t="s">
        <v>336</v>
      </c>
      <c r="E89" s="460">
        <v>87469</v>
      </c>
      <c r="F89" s="463">
        <f>1793</f>
        <v>1793</v>
      </c>
      <c r="G89" s="463"/>
      <c r="H89" s="460">
        <f t="shared" si="28"/>
        <v>89262</v>
      </c>
    </row>
    <row r="90" spans="1:8" s="1" customFormat="1" ht="12" customHeight="1" x14ac:dyDescent="0.25">
      <c r="A90" s="448"/>
      <c r="B90" s="448"/>
      <c r="C90" s="492" t="s">
        <v>328</v>
      </c>
      <c r="D90" s="493" t="s">
        <v>329</v>
      </c>
      <c r="E90" s="460">
        <v>200000</v>
      </c>
      <c r="F90" s="463"/>
      <c r="G90" s="463">
        <v>3000</v>
      </c>
      <c r="H90" s="460">
        <f t="shared" si="28"/>
        <v>197000</v>
      </c>
    </row>
    <row r="91" spans="1:8" s="1" customFormat="1" ht="12" customHeight="1" x14ac:dyDescent="0.25">
      <c r="A91" s="448"/>
      <c r="B91" s="448"/>
      <c r="C91" s="467">
        <v>4300</v>
      </c>
      <c r="D91" s="491" t="s">
        <v>337</v>
      </c>
      <c r="E91" s="460">
        <v>4444580.2699999996</v>
      </c>
      <c r="F91" s="463">
        <v>6000</v>
      </c>
      <c r="G91" s="463"/>
      <c r="H91" s="460">
        <f t="shared" si="28"/>
        <v>4450580.2699999996</v>
      </c>
    </row>
    <row r="92" spans="1:8" s="1" customFormat="1" ht="35.25" customHeight="1" x14ac:dyDescent="0.25">
      <c r="A92" s="448"/>
      <c r="B92" s="448"/>
      <c r="C92" s="504"/>
      <c r="D92" s="574" t="s">
        <v>338</v>
      </c>
      <c r="E92" s="490">
        <v>2800233.6999999997</v>
      </c>
      <c r="F92" s="569">
        <f>SUM(F93:F102)</f>
        <v>10770.41</v>
      </c>
      <c r="G92" s="569">
        <f>SUM(G93:G102)</f>
        <v>10770.41</v>
      </c>
      <c r="H92" s="490">
        <f>SUM(E92+F92-G92)</f>
        <v>2800233.6999999997</v>
      </c>
    </row>
    <row r="93" spans="1:8" s="1" customFormat="1" ht="12" customHeight="1" x14ac:dyDescent="0.25">
      <c r="A93" s="448"/>
      <c r="B93" s="448"/>
      <c r="C93" s="467">
        <v>4017</v>
      </c>
      <c r="D93" s="491" t="s">
        <v>327</v>
      </c>
      <c r="E93" s="460">
        <v>16929</v>
      </c>
      <c r="F93" s="460">
        <v>8464.5</v>
      </c>
      <c r="G93" s="460"/>
      <c r="H93" s="460">
        <f t="shared" ref="H93:H102" si="29">SUM(E93+F93-G93)</f>
        <v>25393.5</v>
      </c>
    </row>
    <row r="94" spans="1:8" s="1" customFormat="1" ht="12" customHeight="1" x14ac:dyDescent="0.25">
      <c r="A94" s="448"/>
      <c r="B94" s="448"/>
      <c r="C94" s="467">
        <v>4019</v>
      </c>
      <c r="D94" s="491" t="s">
        <v>327</v>
      </c>
      <c r="E94" s="460">
        <v>891</v>
      </c>
      <c r="F94" s="460">
        <v>445.5</v>
      </c>
      <c r="G94" s="460"/>
      <c r="H94" s="460">
        <f t="shared" si="29"/>
        <v>1336.5</v>
      </c>
    </row>
    <row r="95" spans="1:8" s="1" customFormat="1" ht="12" customHeight="1" x14ac:dyDescent="0.25">
      <c r="A95" s="448"/>
      <c r="B95" s="448"/>
      <c r="C95" s="467">
        <v>4117</v>
      </c>
      <c r="D95" s="491" t="s">
        <v>335</v>
      </c>
      <c r="E95" s="460">
        <v>2919.35</v>
      </c>
      <c r="F95" s="463">
        <v>1433.04</v>
      </c>
      <c r="G95" s="463"/>
      <c r="H95" s="460">
        <f t="shared" si="29"/>
        <v>4352.3899999999994</v>
      </c>
    </row>
    <row r="96" spans="1:8" s="1" customFormat="1" ht="12" customHeight="1" x14ac:dyDescent="0.25">
      <c r="A96" s="448"/>
      <c r="B96" s="448"/>
      <c r="C96" s="467">
        <v>4119</v>
      </c>
      <c r="D96" s="491" t="s">
        <v>335</v>
      </c>
      <c r="E96" s="460">
        <v>153.65</v>
      </c>
      <c r="F96" s="463">
        <v>75.42</v>
      </c>
      <c r="G96" s="463"/>
      <c r="H96" s="460">
        <f t="shared" si="29"/>
        <v>229.07</v>
      </c>
    </row>
    <row r="97" spans="1:8" s="1" customFormat="1" ht="12" customHeight="1" x14ac:dyDescent="0.25">
      <c r="A97" s="448"/>
      <c r="B97" s="448"/>
      <c r="C97" s="467">
        <v>4127</v>
      </c>
      <c r="D97" s="491" t="s">
        <v>336</v>
      </c>
      <c r="E97" s="460">
        <v>416.1</v>
      </c>
      <c r="F97" s="463">
        <v>207.39</v>
      </c>
      <c r="G97" s="463"/>
      <c r="H97" s="460">
        <f t="shared" si="29"/>
        <v>623.49</v>
      </c>
    </row>
    <row r="98" spans="1:8" s="1" customFormat="1" ht="12" customHeight="1" x14ac:dyDescent="0.25">
      <c r="A98" s="448"/>
      <c r="B98" s="448"/>
      <c r="C98" s="467">
        <v>4129</v>
      </c>
      <c r="D98" s="491" t="s">
        <v>336</v>
      </c>
      <c r="E98" s="460">
        <v>21.9</v>
      </c>
      <c r="F98" s="463">
        <v>10.91</v>
      </c>
      <c r="G98" s="463"/>
      <c r="H98" s="460">
        <f t="shared" si="29"/>
        <v>32.81</v>
      </c>
    </row>
    <row r="99" spans="1:8" s="1" customFormat="1" ht="12" customHeight="1" x14ac:dyDescent="0.25">
      <c r="A99" s="448"/>
      <c r="B99" s="448"/>
      <c r="C99" s="494">
        <v>4307</v>
      </c>
      <c r="D99" s="493" t="s">
        <v>337</v>
      </c>
      <c r="E99" s="460">
        <v>1280745.8400000001</v>
      </c>
      <c r="F99" s="463"/>
      <c r="G99" s="463">
        <v>10231.9</v>
      </c>
      <c r="H99" s="460">
        <f t="shared" si="29"/>
        <v>1270513.9400000002</v>
      </c>
    </row>
    <row r="100" spans="1:8" s="1" customFormat="1" ht="12" customHeight="1" x14ac:dyDescent="0.25">
      <c r="A100" s="448"/>
      <c r="B100" s="448"/>
      <c r="C100" s="494">
        <v>4309</v>
      </c>
      <c r="D100" s="493" t="s">
        <v>337</v>
      </c>
      <c r="E100" s="460">
        <v>382450.98</v>
      </c>
      <c r="F100" s="463"/>
      <c r="G100" s="463">
        <v>538.51</v>
      </c>
      <c r="H100" s="460">
        <f t="shared" si="29"/>
        <v>381912.47</v>
      </c>
    </row>
    <row r="101" spans="1:8" s="1" customFormat="1" ht="12" customHeight="1" x14ac:dyDescent="0.25">
      <c r="A101" s="448"/>
      <c r="B101" s="448"/>
      <c r="C101" s="453">
        <v>4717</v>
      </c>
      <c r="D101" s="497" t="s">
        <v>339</v>
      </c>
      <c r="E101" s="460">
        <v>255.55</v>
      </c>
      <c r="F101" s="463">
        <v>126.97</v>
      </c>
      <c r="G101" s="463"/>
      <c r="H101" s="460">
        <f t="shared" si="29"/>
        <v>382.52</v>
      </c>
    </row>
    <row r="102" spans="1:8" s="1" customFormat="1" ht="12" customHeight="1" x14ac:dyDescent="0.25">
      <c r="A102" s="448"/>
      <c r="B102" s="448"/>
      <c r="C102" s="453">
        <v>4719</v>
      </c>
      <c r="D102" s="497" t="s">
        <v>339</v>
      </c>
      <c r="E102" s="460">
        <v>13.45</v>
      </c>
      <c r="F102" s="463">
        <v>6.68</v>
      </c>
      <c r="G102" s="463"/>
      <c r="H102" s="460">
        <f t="shared" si="29"/>
        <v>20.13</v>
      </c>
    </row>
    <row r="103" spans="1:8" s="1" customFormat="1" ht="12" customHeight="1" thickBot="1" x14ac:dyDescent="0.3">
      <c r="A103" s="448">
        <v>750</v>
      </c>
      <c r="B103" s="449"/>
      <c r="C103" s="450"/>
      <c r="D103" s="451" t="s">
        <v>340</v>
      </c>
      <c r="E103" s="447">
        <v>97813629.910000011</v>
      </c>
      <c r="F103" s="452">
        <f>SUM(F104,F112,F116,)</f>
        <v>73058.429999999993</v>
      </c>
      <c r="G103" s="452">
        <f>SUM(G104,G112,G116,)</f>
        <v>73058.429999999993</v>
      </c>
      <c r="H103" s="447">
        <f>SUM(E103+F103-G103)</f>
        <v>97813629.910000011</v>
      </c>
    </row>
    <row r="104" spans="1:8" s="1" customFormat="1" ht="12" customHeight="1" thickTop="1" x14ac:dyDescent="0.25">
      <c r="A104" s="448"/>
      <c r="B104" s="498">
        <v>75023</v>
      </c>
      <c r="C104" s="498"/>
      <c r="D104" s="499" t="s">
        <v>341</v>
      </c>
      <c r="E104" s="500">
        <v>46785365.030000009</v>
      </c>
      <c r="F104" s="500">
        <f>SUM(F105,)</f>
        <v>70000</v>
      </c>
      <c r="G104" s="500">
        <f>SUM(G105,)</f>
        <v>70000</v>
      </c>
      <c r="H104" s="501">
        <f t="shared" ref="H104:H111" si="30">SUM(E104+F104-G104)</f>
        <v>46785365.030000009</v>
      </c>
    </row>
    <row r="105" spans="1:8" s="1" customFormat="1" ht="12" customHeight="1" x14ac:dyDescent="0.25">
      <c r="A105" s="448"/>
      <c r="B105" s="498"/>
      <c r="C105" s="498"/>
      <c r="D105" s="575" t="s">
        <v>342</v>
      </c>
      <c r="E105" s="576">
        <v>40703865.110000007</v>
      </c>
      <c r="F105" s="576">
        <f>SUM(F106:F111)</f>
        <v>70000</v>
      </c>
      <c r="G105" s="576">
        <f>SUM(G106:G111)</f>
        <v>70000</v>
      </c>
      <c r="H105" s="577">
        <f t="shared" si="30"/>
        <v>40703865.110000007</v>
      </c>
    </row>
    <row r="106" spans="1:8" s="1" customFormat="1" ht="12" customHeight="1" x14ac:dyDescent="0.25">
      <c r="A106" s="448"/>
      <c r="B106" s="498"/>
      <c r="C106" s="494">
        <v>4010</v>
      </c>
      <c r="D106" s="493" t="s">
        <v>327</v>
      </c>
      <c r="E106" s="502">
        <v>27123418.760000002</v>
      </c>
      <c r="F106" s="502">
        <v>34393</v>
      </c>
      <c r="G106" s="502"/>
      <c r="H106" s="503">
        <f t="shared" si="30"/>
        <v>27157811.760000002</v>
      </c>
    </row>
    <row r="107" spans="1:8" s="1" customFormat="1" ht="12" customHeight="1" x14ac:dyDescent="0.25">
      <c r="A107" s="448"/>
      <c r="B107" s="449"/>
      <c r="C107" s="494">
        <v>4040</v>
      </c>
      <c r="D107" s="493" t="s">
        <v>343</v>
      </c>
      <c r="E107" s="460">
        <v>2114499</v>
      </c>
      <c r="F107" s="463"/>
      <c r="G107" s="463">
        <v>30000</v>
      </c>
      <c r="H107" s="503">
        <f t="shared" si="30"/>
        <v>2084499</v>
      </c>
    </row>
    <row r="108" spans="1:8" s="1" customFormat="1" ht="12" customHeight="1" x14ac:dyDescent="0.25">
      <c r="A108" s="448"/>
      <c r="B108" s="449"/>
      <c r="C108" s="494">
        <v>4110</v>
      </c>
      <c r="D108" s="493" t="s">
        <v>335</v>
      </c>
      <c r="E108" s="460">
        <v>4768825</v>
      </c>
      <c r="F108" s="463">
        <v>4546</v>
      </c>
      <c r="G108" s="463"/>
      <c r="H108" s="503">
        <f t="shared" si="30"/>
        <v>4773371</v>
      </c>
    </row>
    <row r="109" spans="1:8" s="1" customFormat="1" ht="12" customHeight="1" x14ac:dyDescent="0.25">
      <c r="A109" s="448"/>
      <c r="B109" s="449"/>
      <c r="C109" s="494">
        <v>4120</v>
      </c>
      <c r="D109" s="493" t="s">
        <v>336</v>
      </c>
      <c r="E109" s="460">
        <v>644650</v>
      </c>
      <c r="F109" s="463">
        <v>658</v>
      </c>
      <c r="G109" s="463"/>
      <c r="H109" s="503">
        <f t="shared" si="30"/>
        <v>645308</v>
      </c>
    </row>
    <row r="110" spans="1:8" s="1" customFormat="1" ht="12" customHeight="1" x14ac:dyDescent="0.25">
      <c r="A110" s="448"/>
      <c r="B110" s="449"/>
      <c r="C110" s="494">
        <v>4170</v>
      </c>
      <c r="D110" s="493" t="s">
        <v>344</v>
      </c>
      <c r="E110" s="460">
        <v>278970</v>
      </c>
      <c r="F110" s="463"/>
      <c r="G110" s="463">
        <v>40000</v>
      </c>
      <c r="H110" s="503">
        <f t="shared" si="30"/>
        <v>238970</v>
      </c>
    </row>
    <row r="111" spans="1:8" s="1" customFormat="1" ht="12" customHeight="1" x14ac:dyDescent="0.25">
      <c r="A111" s="448"/>
      <c r="B111" s="449"/>
      <c r="C111" s="453">
        <v>4710</v>
      </c>
      <c r="D111" s="497" t="s">
        <v>339</v>
      </c>
      <c r="E111" s="460">
        <v>145985</v>
      </c>
      <c r="F111" s="463">
        <f>30000+403</f>
        <v>30403</v>
      </c>
      <c r="G111" s="463"/>
      <c r="H111" s="503">
        <f t="shared" si="30"/>
        <v>176388</v>
      </c>
    </row>
    <row r="112" spans="1:8" s="1" customFormat="1" ht="12" customHeight="1" x14ac:dyDescent="0.25">
      <c r="A112" s="448"/>
      <c r="B112" s="467">
        <v>75075</v>
      </c>
      <c r="C112" s="469"/>
      <c r="D112" s="496" t="s">
        <v>345</v>
      </c>
      <c r="E112" s="455">
        <v>925256.24</v>
      </c>
      <c r="F112" s="456">
        <f>SUM(F113)</f>
        <v>3000</v>
      </c>
      <c r="G112" s="456">
        <f>SUM(G113)</f>
        <v>3000</v>
      </c>
      <c r="H112" s="455">
        <f>SUM(E112+F112-G112)</f>
        <v>925256.24</v>
      </c>
    </row>
    <row r="113" spans="1:8" s="1" customFormat="1" ht="12" customHeight="1" x14ac:dyDescent="0.25">
      <c r="A113" s="448"/>
      <c r="B113" s="442"/>
      <c r="C113" s="467"/>
      <c r="D113" s="575" t="s">
        <v>346</v>
      </c>
      <c r="E113" s="490">
        <v>910400</v>
      </c>
      <c r="F113" s="569">
        <f>SUM(F114:F115)</f>
        <v>3000</v>
      </c>
      <c r="G113" s="569">
        <f>SUM(G114:G115)</f>
        <v>3000</v>
      </c>
      <c r="H113" s="490">
        <f>SUM(E113+F113-G113)</f>
        <v>910400</v>
      </c>
    </row>
    <row r="114" spans="1:8" s="1" customFormat="1" ht="12" customHeight="1" x14ac:dyDescent="0.25">
      <c r="A114" s="448"/>
      <c r="B114" s="442"/>
      <c r="C114" s="494">
        <v>4170</v>
      </c>
      <c r="D114" s="493" t="s">
        <v>344</v>
      </c>
      <c r="E114" s="460">
        <v>18000</v>
      </c>
      <c r="F114" s="463"/>
      <c r="G114" s="463">
        <v>3000</v>
      </c>
      <c r="H114" s="460">
        <f t="shared" ref="H114:H115" si="31">SUM(E114+F114-G114)</f>
        <v>15000</v>
      </c>
    </row>
    <row r="115" spans="1:8" s="1" customFormat="1" ht="12" customHeight="1" x14ac:dyDescent="0.25">
      <c r="A115" s="448"/>
      <c r="B115" s="442"/>
      <c r="C115" s="492" t="s">
        <v>347</v>
      </c>
      <c r="D115" s="493" t="s">
        <v>348</v>
      </c>
      <c r="E115" s="460">
        <v>0</v>
      </c>
      <c r="F115" s="463">
        <v>3000</v>
      </c>
      <c r="G115" s="463"/>
      <c r="H115" s="460">
        <f t="shared" si="31"/>
        <v>3000</v>
      </c>
    </row>
    <row r="116" spans="1:8" s="1" customFormat="1" ht="12" customHeight="1" x14ac:dyDescent="0.25">
      <c r="A116" s="448"/>
      <c r="B116" s="443" t="s">
        <v>349</v>
      </c>
      <c r="C116" s="467"/>
      <c r="D116" s="464" t="s">
        <v>52</v>
      </c>
      <c r="E116" s="455">
        <v>43187239.009999998</v>
      </c>
      <c r="F116" s="456">
        <f>SUM(F117)</f>
        <v>58.43</v>
      </c>
      <c r="G116" s="456">
        <f>SUM(G117)</f>
        <v>58.43</v>
      </c>
      <c r="H116" s="455">
        <f>SUM(E116+F116-G116)</f>
        <v>43187239.009999998</v>
      </c>
    </row>
    <row r="117" spans="1:8" s="1" customFormat="1" ht="24" customHeight="1" x14ac:dyDescent="0.25">
      <c r="A117" s="448"/>
      <c r="B117" s="443"/>
      <c r="C117" s="467"/>
      <c r="D117" s="574" t="s">
        <v>350</v>
      </c>
      <c r="E117" s="490">
        <v>14131313.640000001</v>
      </c>
      <c r="F117" s="569">
        <f>SUM(F118:F129)</f>
        <v>58.43</v>
      </c>
      <c r="G117" s="569">
        <f>SUM(G118:G129)</f>
        <v>58.43</v>
      </c>
      <c r="H117" s="490">
        <f t="shared" ref="H117:H129" si="32">SUM(E117+F117-G117)</f>
        <v>14131313.640000001</v>
      </c>
    </row>
    <row r="118" spans="1:8" s="1" customFormat="1" ht="12" customHeight="1" x14ac:dyDescent="0.25">
      <c r="A118" s="448"/>
      <c r="B118" s="443"/>
      <c r="C118" s="494">
        <v>4018</v>
      </c>
      <c r="D118" s="493" t="s">
        <v>327</v>
      </c>
      <c r="E118" s="463">
        <v>15555.88</v>
      </c>
      <c r="F118" s="463">
        <v>25.31</v>
      </c>
      <c r="G118" s="463"/>
      <c r="H118" s="463">
        <f t="shared" si="32"/>
        <v>15581.189999999999</v>
      </c>
    </row>
    <row r="119" spans="1:8" s="1" customFormat="1" ht="12" customHeight="1" x14ac:dyDescent="0.25">
      <c r="A119" s="448"/>
      <c r="B119" s="443"/>
      <c r="C119" s="494">
        <v>4019</v>
      </c>
      <c r="D119" s="493" t="s">
        <v>327</v>
      </c>
      <c r="E119" s="460">
        <v>11329.5</v>
      </c>
      <c r="F119" s="460">
        <v>18.41</v>
      </c>
      <c r="G119" s="460"/>
      <c r="H119" s="463">
        <f t="shared" si="32"/>
        <v>11347.91</v>
      </c>
    </row>
    <row r="120" spans="1:8" s="1" customFormat="1" ht="12" customHeight="1" x14ac:dyDescent="0.25">
      <c r="A120" s="448"/>
      <c r="B120" s="443"/>
      <c r="C120" s="494">
        <v>4048</v>
      </c>
      <c r="D120" s="493" t="s">
        <v>343</v>
      </c>
      <c r="E120" s="463">
        <v>1322.25</v>
      </c>
      <c r="F120" s="463">
        <v>2.2000000000000002</v>
      </c>
      <c r="G120" s="463"/>
      <c r="H120" s="463">
        <f t="shared" si="32"/>
        <v>1324.45</v>
      </c>
    </row>
    <row r="121" spans="1:8" s="1" customFormat="1" ht="12" customHeight="1" x14ac:dyDescent="0.25">
      <c r="A121" s="448"/>
      <c r="B121" s="443"/>
      <c r="C121" s="494">
        <v>4049</v>
      </c>
      <c r="D121" s="493" t="s">
        <v>343</v>
      </c>
      <c r="E121" s="460">
        <v>963.01</v>
      </c>
      <c r="F121" s="460">
        <v>1.61</v>
      </c>
      <c r="G121" s="460"/>
      <c r="H121" s="463">
        <f t="shared" si="32"/>
        <v>964.62</v>
      </c>
    </row>
    <row r="122" spans="1:8" s="1" customFormat="1" ht="12" customHeight="1" x14ac:dyDescent="0.25">
      <c r="A122" s="448"/>
      <c r="B122" s="443"/>
      <c r="C122" s="504">
        <v>4118</v>
      </c>
      <c r="D122" s="505" t="s">
        <v>351</v>
      </c>
      <c r="E122" s="460">
        <v>2857.4700000000003</v>
      </c>
      <c r="F122" s="460">
        <v>4.67</v>
      </c>
      <c r="G122" s="460"/>
      <c r="H122" s="463">
        <f t="shared" si="32"/>
        <v>2862.1400000000003</v>
      </c>
    </row>
    <row r="123" spans="1:8" s="1" customFormat="1" ht="12" customHeight="1" x14ac:dyDescent="0.25">
      <c r="A123" s="448"/>
      <c r="B123" s="443"/>
      <c r="C123" s="504">
        <v>4119</v>
      </c>
      <c r="D123" s="505" t="s">
        <v>351</v>
      </c>
      <c r="E123" s="460">
        <v>2081.12</v>
      </c>
      <c r="F123" s="460">
        <v>3.44</v>
      </c>
      <c r="G123" s="460"/>
      <c r="H123" s="463">
        <f t="shared" si="32"/>
        <v>2084.56</v>
      </c>
    </row>
    <row r="124" spans="1:8" s="1" customFormat="1" ht="12" customHeight="1" x14ac:dyDescent="0.25">
      <c r="A124" s="448"/>
      <c r="B124" s="443"/>
      <c r="C124" s="504">
        <v>4128</v>
      </c>
      <c r="D124" s="505" t="s">
        <v>352</v>
      </c>
      <c r="E124" s="460">
        <v>413.51</v>
      </c>
      <c r="F124" s="460">
        <v>0.76</v>
      </c>
      <c r="G124" s="460"/>
      <c r="H124" s="463">
        <f t="shared" si="32"/>
        <v>414.27</v>
      </c>
    </row>
    <row r="125" spans="1:8" s="1" customFormat="1" ht="12" customHeight="1" x14ac:dyDescent="0.25">
      <c r="A125" s="448"/>
      <c r="B125" s="443"/>
      <c r="C125" s="504">
        <v>4129</v>
      </c>
      <c r="D125" s="505" t="s">
        <v>352</v>
      </c>
      <c r="E125" s="460">
        <v>301.15999999999997</v>
      </c>
      <c r="F125" s="460">
        <v>0.53</v>
      </c>
      <c r="G125" s="460"/>
      <c r="H125" s="463">
        <f t="shared" si="32"/>
        <v>301.68999999999994</v>
      </c>
    </row>
    <row r="126" spans="1:8" s="1" customFormat="1" ht="12" customHeight="1" x14ac:dyDescent="0.25">
      <c r="A126" s="448"/>
      <c r="B126" s="443"/>
      <c r="C126" s="492" t="s">
        <v>353</v>
      </c>
      <c r="D126" s="493" t="s">
        <v>329</v>
      </c>
      <c r="E126" s="460">
        <v>32120.17</v>
      </c>
      <c r="F126" s="460"/>
      <c r="G126" s="460">
        <v>33.76</v>
      </c>
      <c r="H126" s="463">
        <f t="shared" si="32"/>
        <v>32086.41</v>
      </c>
    </row>
    <row r="127" spans="1:8" s="1" customFormat="1" ht="12" customHeight="1" x14ac:dyDescent="0.25">
      <c r="A127" s="448"/>
      <c r="B127" s="443"/>
      <c r="C127" s="492" t="s">
        <v>354</v>
      </c>
      <c r="D127" s="493" t="s">
        <v>329</v>
      </c>
      <c r="E127" s="460">
        <v>23402.38</v>
      </c>
      <c r="F127" s="460"/>
      <c r="G127" s="460">
        <v>24.67</v>
      </c>
      <c r="H127" s="463">
        <f t="shared" si="32"/>
        <v>23377.710000000003</v>
      </c>
    </row>
    <row r="128" spans="1:8" s="1" customFormat="1" ht="12" customHeight="1" x14ac:dyDescent="0.25">
      <c r="A128" s="448"/>
      <c r="B128" s="443"/>
      <c r="C128" s="453">
        <v>4718</v>
      </c>
      <c r="D128" s="497" t="s">
        <v>339</v>
      </c>
      <c r="E128" s="460">
        <v>65.44</v>
      </c>
      <c r="F128" s="460">
        <v>0.82</v>
      </c>
      <c r="G128" s="460"/>
      <c r="H128" s="463">
        <f t="shared" si="32"/>
        <v>66.259999999999991</v>
      </c>
    </row>
    <row r="129" spans="1:8" s="1" customFormat="1" ht="12" customHeight="1" x14ac:dyDescent="0.25">
      <c r="A129" s="486"/>
      <c r="B129" s="506"/>
      <c r="C129" s="507">
        <v>4719</v>
      </c>
      <c r="D129" s="508" t="s">
        <v>339</v>
      </c>
      <c r="E129" s="455">
        <v>47.65</v>
      </c>
      <c r="F129" s="455">
        <v>0.68</v>
      </c>
      <c r="G129" s="455"/>
      <c r="H129" s="456">
        <f t="shared" si="32"/>
        <v>48.33</v>
      </c>
    </row>
    <row r="130" spans="1:8" s="1" customFormat="1" ht="12" customHeight="1" thickBot="1" x14ac:dyDescent="0.3">
      <c r="A130" s="448">
        <v>752</v>
      </c>
      <c r="B130" s="449"/>
      <c r="C130" s="450"/>
      <c r="D130" s="451" t="s">
        <v>282</v>
      </c>
      <c r="E130" s="447">
        <v>5836110</v>
      </c>
      <c r="F130" s="452">
        <f>SUM(F131)</f>
        <v>595280</v>
      </c>
      <c r="G130" s="452">
        <f t="shared" ref="G130" si="33">SUM(G131)</f>
        <v>0</v>
      </c>
      <c r="H130" s="447">
        <f>SUM(E130+F130-G130)</f>
        <v>6431390</v>
      </c>
    </row>
    <row r="131" spans="1:8" s="1" customFormat="1" ht="24.75" customHeight="1" thickTop="1" x14ac:dyDescent="0.25">
      <c r="A131" s="448"/>
      <c r="B131" s="453">
        <v>75281</v>
      </c>
      <c r="C131" s="443"/>
      <c r="D131" s="454" t="s">
        <v>94</v>
      </c>
      <c r="E131" s="455">
        <v>5836110</v>
      </c>
      <c r="F131" s="456">
        <f>SUM(F132,)</f>
        <v>595280</v>
      </c>
      <c r="G131" s="456">
        <f>SUM(G132,)</f>
        <v>0</v>
      </c>
      <c r="H131" s="455">
        <f>SUM(E131+F131-G131)</f>
        <v>6431390</v>
      </c>
    </row>
    <row r="132" spans="1:8" s="1" customFormat="1" ht="12" customHeight="1" x14ac:dyDescent="0.25">
      <c r="A132" s="448"/>
      <c r="B132" s="457"/>
      <c r="C132" s="467"/>
      <c r="D132" s="578" t="s">
        <v>355</v>
      </c>
      <c r="E132" s="490">
        <v>1621770</v>
      </c>
      <c r="F132" s="490">
        <f>SUM(F133:F134)</f>
        <v>595280</v>
      </c>
      <c r="G132" s="490">
        <f>SUM(G133:G134)</f>
        <v>0</v>
      </c>
      <c r="H132" s="490">
        <f>SUM(E132+F132-G132)</f>
        <v>2217050</v>
      </c>
    </row>
    <row r="133" spans="1:8" s="1" customFormat="1" ht="12" customHeight="1" x14ac:dyDescent="0.25">
      <c r="A133" s="461"/>
      <c r="B133" s="457"/>
      <c r="C133" s="492" t="s">
        <v>328</v>
      </c>
      <c r="D133" s="493" t="s">
        <v>329</v>
      </c>
      <c r="E133" s="463">
        <v>0</v>
      </c>
      <c r="F133" s="463">
        <v>212280</v>
      </c>
      <c r="G133" s="463"/>
      <c r="H133" s="460">
        <f t="shared" ref="H133:H134" si="34">SUM(E133+F133-G133)</f>
        <v>212280</v>
      </c>
    </row>
    <row r="134" spans="1:8" s="1" customFormat="1" ht="12" customHeight="1" x14ac:dyDescent="0.25">
      <c r="A134" s="461"/>
      <c r="B134" s="457"/>
      <c r="C134" s="494">
        <v>6060</v>
      </c>
      <c r="D134" s="493" t="s">
        <v>356</v>
      </c>
      <c r="E134" s="463">
        <v>1500000</v>
      </c>
      <c r="F134" s="463">
        <v>383000</v>
      </c>
      <c r="G134" s="463"/>
      <c r="H134" s="460">
        <f t="shared" si="34"/>
        <v>1883000</v>
      </c>
    </row>
    <row r="135" spans="1:8" s="1" customFormat="1" ht="12" customHeight="1" thickBot="1" x14ac:dyDescent="0.3">
      <c r="A135" s="448">
        <v>754</v>
      </c>
      <c r="B135" s="509"/>
      <c r="C135" s="509"/>
      <c r="D135" s="510" t="s">
        <v>321</v>
      </c>
      <c r="E135" s="447">
        <v>8588886.4500000011</v>
      </c>
      <c r="F135" s="452">
        <f>SUM(F136,)</f>
        <v>14835</v>
      </c>
      <c r="G135" s="452">
        <f>SUM(G136,)</f>
        <v>0</v>
      </c>
      <c r="H135" s="447">
        <f>SUM(E135+F135-G135)</f>
        <v>8603721.4500000011</v>
      </c>
    </row>
    <row r="136" spans="1:8" s="1" customFormat="1" ht="12" customHeight="1" thickTop="1" x14ac:dyDescent="0.25">
      <c r="A136" s="448"/>
      <c r="B136" s="467">
        <v>75416</v>
      </c>
      <c r="C136" s="467"/>
      <c r="D136" s="464" t="s">
        <v>357</v>
      </c>
      <c r="E136" s="455">
        <v>8103250.8500000015</v>
      </c>
      <c r="F136" s="456">
        <f>SUM(F137,F139)</f>
        <v>14835</v>
      </c>
      <c r="G136" s="456">
        <f>SUM(G137,G139)</f>
        <v>0</v>
      </c>
      <c r="H136" s="455">
        <f>SUM(E136+F136-G136)</f>
        <v>8118085.8500000015</v>
      </c>
    </row>
    <row r="137" spans="1:8" s="1" customFormat="1" ht="12" customHeight="1" x14ac:dyDescent="0.25">
      <c r="A137" s="448"/>
      <c r="B137" s="467"/>
      <c r="C137" s="467"/>
      <c r="D137" s="552" t="s">
        <v>358</v>
      </c>
      <c r="E137" s="490">
        <v>6758335.6700000018</v>
      </c>
      <c r="F137" s="569">
        <f>SUM(F138:F138)</f>
        <v>12160</v>
      </c>
      <c r="G137" s="569">
        <f>SUM(G138:G138)</f>
        <v>0</v>
      </c>
      <c r="H137" s="490">
        <f>SUM(E137+F137-G137)</f>
        <v>6770495.6700000018</v>
      </c>
    </row>
    <row r="138" spans="1:8" s="1" customFormat="1" ht="12" customHeight="1" x14ac:dyDescent="0.25">
      <c r="A138" s="448"/>
      <c r="B138" s="467"/>
      <c r="C138" s="494">
        <v>4440</v>
      </c>
      <c r="D138" s="493" t="s">
        <v>359</v>
      </c>
      <c r="E138" s="460">
        <v>159774</v>
      </c>
      <c r="F138" s="463">
        <v>12160</v>
      </c>
      <c r="G138" s="463"/>
      <c r="H138" s="460">
        <f t="shared" ref="H138" si="35">SUM(E138+F138-G138)</f>
        <v>171934</v>
      </c>
    </row>
    <row r="139" spans="1:8" s="1" customFormat="1" ht="12" customHeight="1" x14ac:dyDescent="0.25">
      <c r="A139" s="457"/>
      <c r="B139" s="443"/>
      <c r="C139" s="467"/>
      <c r="D139" s="575" t="s">
        <v>360</v>
      </c>
      <c r="E139" s="490">
        <v>1337115.18</v>
      </c>
      <c r="F139" s="569">
        <f>SUM(F140:F140)</f>
        <v>2675</v>
      </c>
      <c r="G139" s="569">
        <f>SUM(G140:G140)</f>
        <v>0</v>
      </c>
      <c r="H139" s="490">
        <f>SUM(E139+F139-G139)</f>
        <v>1339790.18</v>
      </c>
    </row>
    <row r="140" spans="1:8" s="1" customFormat="1" ht="12" customHeight="1" x14ac:dyDescent="0.25">
      <c r="A140" s="457"/>
      <c r="B140" s="443"/>
      <c r="C140" s="494">
        <v>4440</v>
      </c>
      <c r="D140" s="493" t="s">
        <v>359</v>
      </c>
      <c r="E140" s="503">
        <v>33135</v>
      </c>
      <c r="F140" s="503">
        <v>2675</v>
      </c>
      <c r="G140" s="503"/>
      <c r="H140" s="460">
        <f t="shared" ref="H140" si="36">SUM(E140+F140-G140)</f>
        <v>35810</v>
      </c>
    </row>
    <row r="141" spans="1:8" s="1" customFormat="1" ht="12" customHeight="1" thickBot="1" x14ac:dyDescent="0.3">
      <c r="A141" s="449">
        <v>758</v>
      </c>
      <c r="B141" s="449"/>
      <c r="C141" s="450"/>
      <c r="D141" s="451" t="s">
        <v>361</v>
      </c>
      <c r="E141" s="447">
        <v>40551936.439999998</v>
      </c>
      <c r="F141" s="452">
        <f>SUM(F142)</f>
        <v>0</v>
      </c>
      <c r="G141" s="452">
        <f>SUM(G142)</f>
        <v>17084149.989999998</v>
      </c>
      <c r="H141" s="447">
        <f>SUM(E141+F141-G141)</f>
        <v>23467786.449999999</v>
      </c>
    </row>
    <row r="142" spans="1:8" s="1" customFormat="1" ht="12" customHeight="1" thickTop="1" x14ac:dyDescent="0.25">
      <c r="A142" s="442"/>
      <c r="B142" s="457">
        <v>75818</v>
      </c>
      <c r="C142" s="443"/>
      <c r="D142" s="479" t="s">
        <v>362</v>
      </c>
      <c r="E142" s="455">
        <v>40551936.439999998</v>
      </c>
      <c r="F142" s="456">
        <f>SUM(F143,)</f>
        <v>0</v>
      </c>
      <c r="G142" s="456">
        <f>SUM(G143,)</f>
        <v>17084149.989999998</v>
      </c>
      <c r="H142" s="455">
        <f>SUM(E142+F142-G142)</f>
        <v>23467786.449999999</v>
      </c>
    </row>
    <row r="143" spans="1:8" s="1" customFormat="1" ht="12" customHeight="1" x14ac:dyDescent="0.25">
      <c r="A143" s="442"/>
      <c r="B143" s="457"/>
      <c r="C143" s="443" t="s">
        <v>363</v>
      </c>
      <c r="D143" s="474" t="s">
        <v>364</v>
      </c>
      <c r="E143" s="511">
        <v>40551936.439999998</v>
      </c>
      <c r="F143" s="511">
        <f>SUM(F144:F145)</f>
        <v>0</v>
      </c>
      <c r="G143" s="511">
        <f>SUM(G144:G145)</f>
        <v>17084149.989999998</v>
      </c>
      <c r="H143" s="511">
        <f>SUM(E143+F143-G143)</f>
        <v>23467786.449999999</v>
      </c>
    </row>
    <row r="144" spans="1:8" s="1" customFormat="1" ht="12" customHeight="1" x14ac:dyDescent="0.25">
      <c r="A144" s="442"/>
      <c r="B144" s="457"/>
      <c r="C144" s="443"/>
      <c r="D144" s="491" t="s">
        <v>365</v>
      </c>
      <c r="E144" s="460">
        <v>3854728</v>
      </c>
      <c r="F144" s="460"/>
      <c r="G144" s="460">
        <v>136701</v>
      </c>
      <c r="H144" s="460">
        <f t="shared" ref="H144:H145" si="37">SUM(E144+F144-G144)</f>
        <v>3718027</v>
      </c>
    </row>
    <row r="145" spans="1:8" s="1" customFormat="1" ht="12" customHeight="1" x14ac:dyDescent="0.25">
      <c r="A145" s="442"/>
      <c r="B145" s="457"/>
      <c r="C145" s="443"/>
      <c r="D145" s="457" t="s">
        <v>366</v>
      </c>
      <c r="E145" s="460">
        <v>36697208.439999998</v>
      </c>
      <c r="F145" s="460"/>
      <c r="G145" s="460">
        <f>198717.15+16748731.84</f>
        <v>16947448.989999998</v>
      </c>
      <c r="H145" s="460">
        <f t="shared" si="37"/>
        <v>19749759.449999999</v>
      </c>
    </row>
    <row r="146" spans="1:8" s="1" customFormat="1" ht="12" customHeight="1" thickBot="1" x14ac:dyDescent="0.3">
      <c r="A146" s="449">
        <v>801</v>
      </c>
      <c r="B146" s="449"/>
      <c r="C146" s="450"/>
      <c r="D146" s="451" t="s">
        <v>288</v>
      </c>
      <c r="E146" s="512">
        <v>260729473.18999997</v>
      </c>
      <c r="F146" s="452">
        <f>SUM(F147,F160,F163,,F182,F185,F191,F198,F201)</f>
        <v>1108200</v>
      </c>
      <c r="G146" s="452">
        <f>SUM(G147,G160,G163,,G182,G185,G191,G198,G201)</f>
        <v>1133200</v>
      </c>
      <c r="H146" s="447">
        <f>SUM(E146+F146-G146)</f>
        <v>260704473.18999997</v>
      </c>
    </row>
    <row r="147" spans="1:8" s="1" customFormat="1" ht="12" customHeight="1" thickTop="1" x14ac:dyDescent="0.25">
      <c r="A147" s="449"/>
      <c r="B147" s="457">
        <v>80101</v>
      </c>
      <c r="C147" s="443"/>
      <c r="D147" s="464" t="s">
        <v>14</v>
      </c>
      <c r="E147" s="455">
        <v>128549675.81</v>
      </c>
      <c r="F147" s="456">
        <f>SUM(F148)</f>
        <v>177300</v>
      </c>
      <c r="G147" s="456">
        <f>SUM(G148)</f>
        <v>66500</v>
      </c>
      <c r="H147" s="455">
        <f t="shared" ref="H147:H159" si="38">SUM(E147+F147-G147)</f>
        <v>128660475.81</v>
      </c>
    </row>
    <row r="148" spans="1:8" s="1" customFormat="1" ht="12" customHeight="1" x14ac:dyDescent="0.25">
      <c r="A148" s="449"/>
      <c r="B148" s="457"/>
      <c r="C148" s="443"/>
      <c r="D148" s="567" t="s">
        <v>367</v>
      </c>
      <c r="E148" s="490">
        <v>111330091.45</v>
      </c>
      <c r="F148" s="490">
        <f>SUM(F149:F159)</f>
        <v>177300</v>
      </c>
      <c r="G148" s="490">
        <f>SUM(G149:G159)</f>
        <v>66500</v>
      </c>
      <c r="H148" s="490">
        <f t="shared" si="38"/>
        <v>111440891.45</v>
      </c>
    </row>
    <row r="149" spans="1:8" s="1" customFormat="1" ht="12" customHeight="1" x14ac:dyDescent="0.25">
      <c r="A149" s="449"/>
      <c r="B149" s="457"/>
      <c r="C149" s="513">
        <v>3020</v>
      </c>
      <c r="D149" s="491" t="s">
        <v>334</v>
      </c>
      <c r="E149" s="514">
        <v>433179</v>
      </c>
      <c r="F149" s="460">
        <v>10000</v>
      </c>
      <c r="G149" s="460"/>
      <c r="H149" s="460">
        <f t="shared" si="38"/>
        <v>443179</v>
      </c>
    </row>
    <row r="150" spans="1:8" s="1" customFormat="1" ht="12" customHeight="1" x14ac:dyDescent="0.25">
      <c r="A150" s="449"/>
      <c r="B150" s="457"/>
      <c r="C150" s="453">
        <v>4040</v>
      </c>
      <c r="D150" s="491" t="s">
        <v>343</v>
      </c>
      <c r="E150" s="514">
        <v>1163567.52</v>
      </c>
      <c r="F150" s="460"/>
      <c r="G150" s="460">
        <v>10600</v>
      </c>
      <c r="H150" s="460">
        <f t="shared" si="38"/>
        <v>1152967.52</v>
      </c>
    </row>
    <row r="151" spans="1:8" s="1" customFormat="1" ht="12" customHeight="1" x14ac:dyDescent="0.25">
      <c r="A151" s="449"/>
      <c r="B151" s="457"/>
      <c r="C151" s="467">
        <v>4210</v>
      </c>
      <c r="D151" s="491" t="s">
        <v>329</v>
      </c>
      <c r="E151" s="460">
        <v>724123.96</v>
      </c>
      <c r="F151" s="460">
        <v>52600</v>
      </c>
      <c r="G151" s="460"/>
      <c r="H151" s="460">
        <f t="shared" si="38"/>
        <v>776723.96</v>
      </c>
    </row>
    <row r="152" spans="1:8" s="1" customFormat="1" ht="12" customHeight="1" x14ac:dyDescent="0.25">
      <c r="A152" s="449"/>
      <c r="B152" s="457"/>
      <c r="C152" s="467">
        <v>4240</v>
      </c>
      <c r="D152" s="491" t="s">
        <v>368</v>
      </c>
      <c r="E152" s="460">
        <v>287670.5</v>
      </c>
      <c r="F152" s="460">
        <v>2000</v>
      </c>
      <c r="G152" s="460"/>
      <c r="H152" s="460">
        <f t="shared" si="38"/>
        <v>289670.5</v>
      </c>
    </row>
    <row r="153" spans="1:8" s="1" customFormat="1" ht="12" customHeight="1" x14ac:dyDescent="0.25">
      <c r="A153" s="449"/>
      <c r="B153" s="457"/>
      <c r="C153" s="467">
        <v>4260</v>
      </c>
      <c r="D153" s="491" t="s">
        <v>369</v>
      </c>
      <c r="E153" s="460">
        <v>7158944</v>
      </c>
      <c r="F153" s="460"/>
      <c r="G153" s="460">
        <v>10000</v>
      </c>
      <c r="H153" s="460">
        <f t="shared" si="38"/>
        <v>7148944</v>
      </c>
    </row>
    <row r="154" spans="1:8" s="1" customFormat="1" ht="12" customHeight="1" x14ac:dyDescent="0.25">
      <c r="A154" s="449"/>
      <c r="B154" s="457"/>
      <c r="C154" s="453">
        <v>4270</v>
      </c>
      <c r="D154" s="491" t="s">
        <v>370</v>
      </c>
      <c r="E154" s="460">
        <v>416565</v>
      </c>
      <c r="F154" s="460">
        <v>42000</v>
      </c>
      <c r="G154" s="460"/>
      <c r="H154" s="460">
        <f t="shared" si="38"/>
        <v>458565</v>
      </c>
    </row>
    <row r="155" spans="1:8" s="1" customFormat="1" ht="12" customHeight="1" x14ac:dyDescent="0.25">
      <c r="A155" s="449"/>
      <c r="B155" s="457"/>
      <c r="C155" s="467">
        <v>4300</v>
      </c>
      <c r="D155" s="491" t="s">
        <v>337</v>
      </c>
      <c r="E155" s="460">
        <v>1198053.2</v>
      </c>
      <c r="F155" s="460">
        <v>68900</v>
      </c>
      <c r="G155" s="460"/>
      <c r="H155" s="460">
        <f t="shared" si="38"/>
        <v>1266953.2</v>
      </c>
    </row>
    <row r="156" spans="1:8" s="1" customFormat="1" ht="12" customHeight="1" x14ac:dyDescent="0.25">
      <c r="A156" s="449"/>
      <c r="B156" s="457"/>
      <c r="C156" s="453">
        <v>4700</v>
      </c>
      <c r="D156" s="515" t="s">
        <v>371</v>
      </c>
      <c r="E156" s="460">
        <v>105386</v>
      </c>
      <c r="F156" s="460">
        <v>1800</v>
      </c>
      <c r="G156" s="460"/>
      <c r="H156" s="460">
        <f t="shared" si="38"/>
        <v>107186</v>
      </c>
    </row>
    <row r="157" spans="1:8" s="1" customFormat="1" ht="12" customHeight="1" x14ac:dyDescent="0.25">
      <c r="A157" s="449"/>
      <c r="B157" s="457"/>
      <c r="C157" s="494">
        <v>4710</v>
      </c>
      <c r="D157" s="515" t="s">
        <v>339</v>
      </c>
      <c r="E157" s="460">
        <v>341105</v>
      </c>
      <c r="F157" s="460"/>
      <c r="G157" s="460">
        <v>1800</v>
      </c>
      <c r="H157" s="460">
        <f t="shared" si="38"/>
        <v>339305</v>
      </c>
    </row>
    <row r="158" spans="1:8" s="1" customFormat="1" ht="12" customHeight="1" x14ac:dyDescent="0.25">
      <c r="A158" s="449"/>
      <c r="B158" s="457"/>
      <c r="C158" s="467">
        <v>4790</v>
      </c>
      <c r="D158" s="1" t="s">
        <v>372</v>
      </c>
      <c r="E158" s="460"/>
      <c r="F158" s="460"/>
      <c r="G158" s="460"/>
      <c r="H158" s="460">
        <f t="shared" si="38"/>
        <v>0</v>
      </c>
    </row>
    <row r="159" spans="1:8" s="1" customFormat="1" ht="12" customHeight="1" x14ac:dyDescent="0.25">
      <c r="A159" s="449"/>
      <c r="B159" s="457"/>
      <c r="C159" s="513">
        <v>4800</v>
      </c>
      <c r="D159" s="1" t="s">
        <v>373</v>
      </c>
      <c r="E159" s="463">
        <v>4653981.09</v>
      </c>
      <c r="F159" s="463"/>
      <c r="G159" s="463">
        <v>44100</v>
      </c>
      <c r="H159" s="460">
        <f t="shared" si="38"/>
        <v>4609881.09</v>
      </c>
    </row>
    <row r="160" spans="1:8" s="1" customFormat="1" ht="12" customHeight="1" x14ac:dyDescent="0.25">
      <c r="A160" s="449"/>
      <c r="B160" s="457">
        <v>80103</v>
      </c>
      <c r="C160" s="443"/>
      <c r="D160" s="516" t="s">
        <v>214</v>
      </c>
      <c r="E160" s="456">
        <v>594513.39</v>
      </c>
      <c r="F160" s="456">
        <f>F161</f>
        <v>0</v>
      </c>
      <c r="G160" s="456">
        <f>SUM(G161)</f>
        <v>4000</v>
      </c>
      <c r="H160" s="455">
        <f>SUM(E160+F160-G160)</f>
        <v>590513.39</v>
      </c>
    </row>
    <row r="161" spans="1:8" s="1" customFormat="1" ht="12" customHeight="1" x14ac:dyDescent="0.25">
      <c r="A161" s="449"/>
      <c r="B161" s="457"/>
      <c r="C161" s="443"/>
      <c r="D161" s="567" t="s">
        <v>367</v>
      </c>
      <c r="E161" s="490">
        <v>396134.19</v>
      </c>
      <c r="F161" s="490">
        <f>SUM(F162:F162)</f>
        <v>0</v>
      </c>
      <c r="G161" s="490">
        <f>SUM(G162:G162)</f>
        <v>4000</v>
      </c>
      <c r="H161" s="490">
        <f>SUM(E161+F161-G161)</f>
        <v>392134.19</v>
      </c>
    </row>
    <row r="162" spans="1:8" s="1" customFormat="1" ht="12" customHeight="1" x14ac:dyDescent="0.25">
      <c r="A162" s="449"/>
      <c r="B162" s="457"/>
      <c r="C162" s="467">
        <v>4800</v>
      </c>
      <c r="D162" s="1" t="s">
        <v>373</v>
      </c>
      <c r="E162" s="460">
        <v>41671.19</v>
      </c>
      <c r="F162" s="460"/>
      <c r="G162" s="460">
        <v>4000</v>
      </c>
      <c r="H162" s="460">
        <f t="shared" ref="H162" si="39">SUM(E162+F162-G162)</f>
        <v>37671.19</v>
      </c>
    </row>
    <row r="163" spans="1:8" s="1" customFormat="1" ht="12" customHeight="1" x14ac:dyDescent="0.25">
      <c r="A163" s="449"/>
      <c r="B163" s="457">
        <v>80104</v>
      </c>
      <c r="C163" s="443"/>
      <c r="D163" s="464" t="s">
        <v>16</v>
      </c>
      <c r="E163" s="456">
        <v>65353412.730000004</v>
      </c>
      <c r="F163" s="456">
        <f>SUM(F164,F166)</f>
        <v>91900</v>
      </c>
      <c r="G163" s="456">
        <f>SUM(G164,G166)</f>
        <v>995900</v>
      </c>
      <c r="H163" s="455">
        <f>SUM(E163+F163-G163)</f>
        <v>64449412.730000004</v>
      </c>
    </row>
    <row r="164" spans="1:8" s="1" customFormat="1" ht="12" customHeight="1" x14ac:dyDescent="0.25">
      <c r="A164" s="449"/>
      <c r="B164" s="457"/>
      <c r="C164" s="443"/>
      <c r="D164" s="568" t="s">
        <v>374</v>
      </c>
      <c r="E164" s="490">
        <v>13577273</v>
      </c>
      <c r="F164" s="490">
        <f>SUM(F165:F165)</f>
        <v>0</v>
      </c>
      <c r="G164" s="490">
        <f>SUM(G165:G165)</f>
        <v>800000</v>
      </c>
      <c r="H164" s="490">
        <f t="shared" ref="H164" si="40">SUM(E164+F164-G164)</f>
        <v>12777273</v>
      </c>
    </row>
    <row r="165" spans="1:8" s="1" customFormat="1" ht="12" customHeight="1" x14ac:dyDescent="0.25">
      <c r="A165" s="449"/>
      <c r="B165" s="457"/>
      <c r="C165" s="453">
        <v>2540</v>
      </c>
      <c r="D165" s="459" t="s">
        <v>375</v>
      </c>
      <c r="E165" s="460">
        <v>9183881.1999999993</v>
      </c>
      <c r="F165" s="460"/>
      <c r="G165" s="460">
        <v>800000</v>
      </c>
      <c r="H165" s="460">
        <f>SUM(E165+F165-G165)</f>
        <v>8383881.1999999993</v>
      </c>
    </row>
    <row r="166" spans="1:8" s="1" customFormat="1" ht="12" customHeight="1" x14ac:dyDescent="0.25">
      <c r="A166" s="449"/>
      <c r="B166" s="457"/>
      <c r="C166" s="443"/>
      <c r="D166" s="567" t="s">
        <v>367</v>
      </c>
      <c r="E166" s="490">
        <v>51416139.730000004</v>
      </c>
      <c r="F166" s="490">
        <f>SUM(F167:F181)</f>
        <v>91900</v>
      </c>
      <c r="G166" s="490">
        <f>SUM(G167:G181)</f>
        <v>195900</v>
      </c>
      <c r="H166" s="490">
        <f>SUM(E166+F166-G166)</f>
        <v>51312139.730000004</v>
      </c>
    </row>
    <row r="167" spans="1:8" s="1" customFormat="1" ht="12" customHeight="1" x14ac:dyDescent="0.25">
      <c r="A167" s="449"/>
      <c r="B167" s="457"/>
      <c r="C167" s="513">
        <v>3020</v>
      </c>
      <c r="D167" s="491" t="s">
        <v>334</v>
      </c>
      <c r="E167" s="460">
        <v>405802</v>
      </c>
      <c r="F167" s="460">
        <v>8500</v>
      </c>
      <c r="G167" s="460">
        <v>31500</v>
      </c>
      <c r="H167" s="460">
        <f t="shared" ref="H167" si="41">SUM(E167+F167-G167)</f>
        <v>382802</v>
      </c>
    </row>
    <row r="168" spans="1:8" s="1" customFormat="1" ht="11.25" customHeight="1" x14ac:dyDescent="0.25">
      <c r="A168" s="449"/>
      <c r="B168" s="457"/>
      <c r="C168" s="443" t="s">
        <v>376</v>
      </c>
      <c r="D168" s="491" t="s">
        <v>343</v>
      </c>
      <c r="E168" s="460">
        <v>1070186</v>
      </c>
      <c r="F168" s="460"/>
      <c r="G168" s="460">
        <v>400</v>
      </c>
      <c r="H168" s="460">
        <f>SUM(E168+F168-G168)</f>
        <v>1069786</v>
      </c>
    </row>
    <row r="169" spans="1:8" s="1" customFormat="1" ht="11.25" customHeight="1" x14ac:dyDescent="0.25">
      <c r="A169" s="449"/>
      <c r="B169" s="457"/>
      <c r="C169" s="443" t="s">
        <v>328</v>
      </c>
      <c r="D169" s="491" t="s">
        <v>329</v>
      </c>
      <c r="E169" s="460">
        <v>578208.65</v>
      </c>
      <c r="F169" s="460">
        <v>32390</v>
      </c>
      <c r="G169" s="460"/>
      <c r="H169" s="460">
        <f>SUM(E169+F169-G169)</f>
        <v>610598.65</v>
      </c>
    </row>
    <row r="170" spans="1:8" s="1" customFormat="1" ht="11.25" customHeight="1" x14ac:dyDescent="0.25">
      <c r="A170" s="449"/>
      <c r="B170" s="457"/>
      <c r="C170" s="443" t="s">
        <v>377</v>
      </c>
      <c r="D170" s="491" t="s">
        <v>368</v>
      </c>
      <c r="E170" s="460">
        <v>122396.5</v>
      </c>
      <c r="F170" s="460">
        <v>360</v>
      </c>
      <c r="G170" s="460"/>
      <c r="H170" s="460">
        <f>SUM(E170+F170-G170)</f>
        <v>122756.5</v>
      </c>
    </row>
    <row r="171" spans="1:8" s="1" customFormat="1" ht="11.25" customHeight="1" x14ac:dyDescent="0.25">
      <c r="A171" s="449"/>
      <c r="B171" s="457"/>
      <c r="C171" s="467">
        <v>4260</v>
      </c>
      <c r="D171" s="491" t="s">
        <v>369</v>
      </c>
      <c r="E171" s="460">
        <v>2483871</v>
      </c>
      <c r="F171" s="460"/>
      <c r="G171" s="460">
        <f>139000+650+8500</f>
        <v>148150</v>
      </c>
      <c r="H171" s="460">
        <f t="shared" ref="H171:H172" si="42">SUM(E171+F171-G171)</f>
        <v>2335721</v>
      </c>
    </row>
    <row r="172" spans="1:8" s="1" customFormat="1" ht="12" customHeight="1" x14ac:dyDescent="0.25">
      <c r="A172" s="449"/>
      <c r="B172" s="457"/>
      <c r="C172" s="467">
        <v>4270</v>
      </c>
      <c r="D172" s="491" t="s">
        <v>370</v>
      </c>
      <c r="E172" s="460">
        <v>368960</v>
      </c>
      <c r="F172" s="460">
        <v>28000</v>
      </c>
      <c r="G172" s="460"/>
      <c r="H172" s="460">
        <f t="shared" si="42"/>
        <v>396960</v>
      </c>
    </row>
    <row r="173" spans="1:8" s="1" customFormat="1" ht="12" customHeight="1" x14ac:dyDescent="0.25">
      <c r="A173" s="449"/>
      <c r="B173" s="457"/>
      <c r="C173" s="467">
        <v>4280</v>
      </c>
      <c r="D173" s="491" t="s">
        <v>378</v>
      </c>
      <c r="E173" s="460">
        <v>43402</v>
      </c>
      <c r="F173" s="460"/>
      <c r="G173" s="460">
        <v>1480</v>
      </c>
      <c r="H173" s="460">
        <f>SUM(E173+F173-G173)</f>
        <v>41922</v>
      </c>
    </row>
    <row r="174" spans="1:8" s="1" customFormat="1" ht="12" customHeight="1" x14ac:dyDescent="0.25">
      <c r="A174" s="449"/>
      <c r="B174" s="457"/>
      <c r="C174" s="467">
        <v>4300</v>
      </c>
      <c r="D174" s="491" t="s">
        <v>337</v>
      </c>
      <c r="E174" s="460">
        <v>841144</v>
      </c>
      <c r="F174" s="460">
        <f>10000+10000</f>
        <v>20000</v>
      </c>
      <c r="G174" s="460"/>
      <c r="H174" s="460">
        <f t="shared" ref="H174:H187" si="43">SUM(E174+F174-G174)</f>
        <v>861144</v>
      </c>
    </row>
    <row r="175" spans="1:8" s="1" customFormat="1" ht="12" customHeight="1" x14ac:dyDescent="0.25">
      <c r="A175" s="449"/>
      <c r="B175" s="457"/>
      <c r="C175" s="467">
        <v>4360</v>
      </c>
      <c r="D175" s="491" t="s">
        <v>379</v>
      </c>
      <c r="E175" s="460">
        <v>25547</v>
      </c>
      <c r="F175" s="460">
        <v>650</v>
      </c>
      <c r="G175" s="460"/>
      <c r="H175" s="460">
        <f t="shared" si="43"/>
        <v>26197</v>
      </c>
    </row>
    <row r="176" spans="1:8" s="1" customFormat="1" ht="12" customHeight="1" x14ac:dyDescent="0.25">
      <c r="A176" s="449"/>
      <c r="B176" s="457"/>
      <c r="C176" s="467">
        <v>4390</v>
      </c>
      <c r="D176" s="491" t="s">
        <v>380</v>
      </c>
      <c r="E176" s="460">
        <v>21722</v>
      </c>
      <c r="F176" s="460"/>
      <c r="G176" s="460">
        <v>1531</v>
      </c>
      <c r="H176" s="460">
        <f t="shared" si="43"/>
        <v>20191</v>
      </c>
    </row>
    <row r="177" spans="1:8" s="1" customFormat="1" ht="12" customHeight="1" x14ac:dyDescent="0.25">
      <c r="A177" s="449"/>
      <c r="B177" s="457"/>
      <c r="C177" s="467">
        <v>4410</v>
      </c>
      <c r="D177" s="491" t="s">
        <v>381</v>
      </c>
      <c r="E177" s="460">
        <v>5533.16</v>
      </c>
      <c r="F177" s="460"/>
      <c r="G177" s="460">
        <v>879</v>
      </c>
      <c r="H177" s="460">
        <f t="shared" si="43"/>
        <v>4654.16</v>
      </c>
    </row>
    <row r="178" spans="1:8" s="1" customFormat="1" ht="12" customHeight="1" x14ac:dyDescent="0.25">
      <c r="A178" s="449"/>
      <c r="B178" s="457"/>
      <c r="C178" s="467">
        <v>4430</v>
      </c>
      <c r="D178" s="491" t="s">
        <v>382</v>
      </c>
      <c r="E178" s="460">
        <v>18209</v>
      </c>
      <c r="F178" s="460"/>
      <c r="G178" s="460">
        <v>500</v>
      </c>
      <c r="H178" s="460">
        <f t="shared" si="43"/>
        <v>17709</v>
      </c>
    </row>
    <row r="179" spans="1:8" s="1" customFormat="1" ht="12" customHeight="1" x14ac:dyDescent="0.25">
      <c r="A179" s="449"/>
      <c r="B179" s="457"/>
      <c r="C179" s="453">
        <v>4700</v>
      </c>
      <c r="D179" s="471" t="s">
        <v>371</v>
      </c>
      <c r="E179" s="463">
        <v>79710</v>
      </c>
      <c r="F179" s="463">
        <v>2000</v>
      </c>
      <c r="G179" s="463"/>
      <c r="H179" s="460">
        <f t="shared" si="43"/>
        <v>81710</v>
      </c>
    </row>
    <row r="180" spans="1:8" s="1" customFormat="1" ht="12" customHeight="1" x14ac:dyDescent="0.25">
      <c r="A180" s="449"/>
      <c r="B180" s="457"/>
      <c r="C180" s="467">
        <v>4710</v>
      </c>
      <c r="D180" s="491" t="s">
        <v>339</v>
      </c>
      <c r="E180" s="463">
        <v>193271</v>
      </c>
      <c r="F180" s="463"/>
      <c r="G180" s="463">
        <v>1000</v>
      </c>
      <c r="H180" s="460">
        <f t="shared" si="43"/>
        <v>192271</v>
      </c>
    </row>
    <row r="181" spans="1:8" s="1" customFormat="1" ht="12" customHeight="1" x14ac:dyDescent="0.25">
      <c r="A181" s="449"/>
      <c r="B181" s="457"/>
      <c r="C181" s="467">
        <v>4800</v>
      </c>
      <c r="D181" s="1" t="s">
        <v>373</v>
      </c>
      <c r="E181" s="463">
        <v>1404638</v>
      </c>
      <c r="F181" s="463"/>
      <c r="G181" s="463">
        <f>460+10000</f>
        <v>10460</v>
      </c>
      <c r="H181" s="460">
        <f t="shared" si="43"/>
        <v>1394178</v>
      </c>
    </row>
    <row r="182" spans="1:8" s="1" customFormat="1" ht="12" customHeight="1" x14ac:dyDescent="0.25">
      <c r="A182" s="449"/>
      <c r="B182" s="457">
        <v>80107</v>
      </c>
      <c r="C182" s="443"/>
      <c r="D182" s="464" t="s">
        <v>383</v>
      </c>
      <c r="E182" s="456">
        <v>8860024.0600000005</v>
      </c>
      <c r="F182" s="456">
        <f>SUM(F183)</f>
        <v>0</v>
      </c>
      <c r="G182" s="456">
        <f>SUM(G183)</f>
        <v>12800</v>
      </c>
      <c r="H182" s="455">
        <f t="shared" si="43"/>
        <v>8847224.0600000005</v>
      </c>
    </row>
    <row r="183" spans="1:8" s="1" customFormat="1" ht="12" customHeight="1" x14ac:dyDescent="0.25">
      <c r="A183" s="449"/>
      <c r="B183" s="457"/>
      <c r="C183" s="443"/>
      <c r="D183" s="567" t="s">
        <v>367</v>
      </c>
      <c r="E183" s="490">
        <v>8860024.0600000005</v>
      </c>
      <c r="F183" s="490">
        <f>SUM(F184:F184)</f>
        <v>0</v>
      </c>
      <c r="G183" s="490">
        <f>SUM(G184:G184)</f>
        <v>12800</v>
      </c>
      <c r="H183" s="490">
        <f t="shared" si="43"/>
        <v>8847224.0600000005</v>
      </c>
    </row>
    <row r="184" spans="1:8" s="1" customFormat="1" ht="12" customHeight="1" x14ac:dyDescent="0.25">
      <c r="A184" s="449"/>
      <c r="B184" s="457"/>
      <c r="C184" s="467">
        <v>4800</v>
      </c>
      <c r="D184" s="1" t="s">
        <v>373</v>
      </c>
      <c r="E184" s="460">
        <v>436741.06</v>
      </c>
      <c r="F184" s="460"/>
      <c r="G184" s="460">
        <v>12800</v>
      </c>
      <c r="H184" s="460">
        <f t="shared" si="43"/>
        <v>423941.06</v>
      </c>
    </row>
    <row r="185" spans="1:8" s="1" customFormat="1" ht="12" customHeight="1" x14ac:dyDescent="0.25">
      <c r="A185" s="433"/>
      <c r="B185" s="457">
        <v>80148</v>
      </c>
      <c r="C185" s="443"/>
      <c r="D185" s="464" t="s">
        <v>18</v>
      </c>
      <c r="E185" s="455">
        <v>5993630.6600000001</v>
      </c>
      <c r="F185" s="456">
        <f>SUM(F186)</f>
        <v>24000</v>
      </c>
      <c r="G185" s="456">
        <f>SUM(G186)</f>
        <v>0</v>
      </c>
      <c r="H185" s="455">
        <f t="shared" si="43"/>
        <v>6017630.6600000001</v>
      </c>
    </row>
    <row r="186" spans="1:8" s="1" customFormat="1" ht="12" customHeight="1" x14ac:dyDescent="0.25">
      <c r="A186" s="433"/>
      <c r="B186" s="457"/>
      <c r="C186" s="443"/>
      <c r="D186" s="567" t="s">
        <v>367</v>
      </c>
      <c r="E186" s="490">
        <v>5993630.6600000001</v>
      </c>
      <c r="F186" s="569">
        <f>SUM(F187:F187)</f>
        <v>24000</v>
      </c>
      <c r="G186" s="569">
        <f>SUM(G187:G187)</f>
        <v>0</v>
      </c>
      <c r="H186" s="490">
        <f t="shared" si="43"/>
        <v>6017630.6600000001</v>
      </c>
    </row>
    <row r="187" spans="1:8" s="1" customFormat="1" ht="12" customHeight="1" x14ac:dyDescent="0.25">
      <c r="A187" s="438"/>
      <c r="B187" s="496"/>
      <c r="C187" s="517">
        <v>4210</v>
      </c>
      <c r="D187" s="464" t="s">
        <v>329</v>
      </c>
      <c r="E187" s="455">
        <v>587705</v>
      </c>
      <c r="F187" s="456">
        <v>24000</v>
      </c>
      <c r="G187" s="456"/>
      <c r="H187" s="456">
        <f t="shared" si="43"/>
        <v>611705</v>
      </c>
    </row>
    <row r="188" spans="1:8" s="1" customFormat="1" ht="12" customHeight="1" x14ac:dyDescent="0.25">
      <c r="A188" s="433"/>
      <c r="B188" s="457">
        <v>80149</v>
      </c>
      <c r="C188" s="467"/>
      <c r="D188" s="491" t="s">
        <v>384</v>
      </c>
      <c r="E188" s="460"/>
      <c r="F188" s="463"/>
      <c r="G188" s="463"/>
      <c r="H188" s="463"/>
    </row>
    <row r="189" spans="1:8" s="1" customFormat="1" ht="12" customHeight="1" x14ac:dyDescent="0.25">
      <c r="A189" s="433"/>
      <c r="B189" s="457"/>
      <c r="C189" s="467"/>
      <c r="D189" s="491" t="s">
        <v>385</v>
      </c>
      <c r="E189" s="460"/>
      <c r="F189" s="463"/>
      <c r="G189" s="463"/>
      <c r="H189" s="463"/>
    </row>
    <row r="190" spans="1:8" s="1" customFormat="1" ht="12" customHeight="1" x14ac:dyDescent="0.25">
      <c r="A190" s="433"/>
      <c r="B190" s="457"/>
      <c r="C190" s="467"/>
      <c r="D190" s="491" t="s">
        <v>386</v>
      </c>
      <c r="E190" s="460"/>
      <c r="F190" s="463"/>
      <c r="G190" s="463"/>
      <c r="H190" s="463"/>
    </row>
    <row r="191" spans="1:8" s="1" customFormat="1" ht="12" customHeight="1" x14ac:dyDescent="0.25">
      <c r="A191" s="433"/>
      <c r="B191" s="457"/>
      <c r="C191" s="443"/>
      <c r="D191" s="464" t="s">
        <v>387</v>
      </c>
      <c r="E191" s="455">
        <v>11501617.98</v>
      </c>
      <c r="F191" s="456">
        <f>SUM(F192,F194)</f>
        <v>800000</v>
      </c>
      <c r="G191" s="456">
        <f>SUM(G192,G194)</f>
        <v>1000</v>
      </c>
      <c r="H191" s="455">
        <f>SUM(E191+F191-G191)</f>
        <v>12300617.98</v>
      </c>
    </row>
    <row r="192" spans="1:8" s="1" customFormat="1" ht="12" customHeight="1" x14ac:dyDescent="0.25">
      <c r="A192" s="433"/>
      <c r="B192" s="457"/>
      <c r="C192" s="443"/>
      <c r="D192" s="568" t="s">
        <v>374</v>
      </c>
      <c r="E192" s="490">
        <v>4724285.5199999996</v>
      </c>
      <c r="F192" s="490">
        <f>SUM(F193:F193)</f>
        <v>800000</v>
      </c>
      <c r="G192" s="490">
        <f>SUM(G193:G193)</f>
        <v>0</v>
      </c>
      <c r="H192" s="490">
        <f t="shared" ref="H192" si="44">SUM(E192+F192-G192)</f>
        <v>5524285.5199999996</v>
      </c>
    </row>
    <row r="193" spans="1:8" s="1" customFormat="1" ht="12" customHeight="1" x14ac:dyDescent="0.25">
      <c r="A193" s="433"/>
      <c r="B193" s="457"/>
      <c r="C193" s="453">
        <v>2540</v>
      </c>
      <c r="D193" s="459" t="s">
        <v>375</v>
      </c>
      <c r="E193" s="460">
        <v>4568710.4099999992</v>
      </c>
      <c r="F193" s="460">
        <v>800000</v>
      </c>
      <c r="G193" s="460"/>
      <c r="H193" s="460">
        <f>SUM(E193+F193-G193)</f>
        <v>5368710.4099999992</v>
      </c>
    </row>
    <row r="194" spans="1:8" s="1" customFormat="1" ht="12" customHeight="1" x14ac:dyDescent="0.25">
      <c r="A194" s="433"/>
      <c r="B194" s="457"/>
      <c r="C194" s="443"/>
      <c r="D194" s="567" t="s">
        <v>367</v>
      </c>
      <c r="E194" s="490">
        <v>6777332.4600000009</v>
      </c>
      <c r="F194" s="569">
        <f>SUM(F195:F195)</f>
        <v>0</v>
      </c>
      <c r="G194" s="569">
        <f>SUM(G195:G195)</f>
        <v>1000</v>
      </c>
      <c r="H194" s="490">
        <f t="shared" ref="H194:H195" si="45">SUM(E194+F194-G194)</f>
        <v>6776332.4600000009</v>
      </c>
    </row>
    <row r="195" spans="1:8" s="1" customFormat="1" ht="12" customHeight="1" x14ac:dyDescent="0.25">
      <c r="A195" s="433"/>
      <c r="B195" s="457"/>
      <c r="C195" s="467">
        <v>4710</v>
      </c>
      <c r="D195" s="3" t="s">
        <v>339</v>
      </c>
      <c r="E195" s="460">
        <v>36451</v>
      </c>
      <c r="F195" s="460"/>
      <c r="G195" s="463">
        <v>1000</v>
      </c>
      <c r="H195" s="463">
        <f t="shared" si="45"/>
        <v>35451</v>
      </c>
    </row>
    <row r="196" spans="1:8" s="1" customFormat="1" ht="12" customHeight="1" x14ac:dyDescent="0.25">
      <c r="A196" s="433"/>
      <c r="B196" s="457">
        <v>80150</v>
      </c>
      <c r="C196" s="443"/>
      <c r="D196" s="491" t="s">
        <v>384</v>
      </c>
      <c r="E196" s="463"/>
      <c r="F196" s="463"/>
      <c r="G196" s="463"/>
      <c r="H196" s="463"/>
    </row>
    <row r="197" spans="1:8" s="1" customFormat="1" ht="12" customHeight="1" x14ac:dyDescent="0.25">
      <c r="A197" s="433"/>
      <c r="B197" s="457"/>
      <c r="C197" s="443"/>
      <c r="D197" s="491" t="s">
        <v>388</v>
      </c>
      <c r="E197" s="463"/>
      <c r="F197" s="463"/>
      <c r="G197" s="463"/>
      <c r="H197" s="463"/>
    </row>
    <row r="198" spans="1:8" s="1" customFormat="1" ht="12" customHeight="1" x14ac:dyDescent="0.25">
      <c r="A198" s="433"/>
      <c r="B198" s="457"/>
      <c r="C198" s="443"/>
      <c r="D198" s="464" t="s">
        <v>389</v>
      </c>
      <c r="E198" s="455">
        <v>25284671.369999997</v>
      </c>
      <c r="F198" s="456">
        <f>SUM(F199)</f>
        <v>0</v>
      </c>
      <c r="G198" s="456">
        <f>SUM(G199)</f>
        <v>13000</v>
      </c>
      <c r="H198" s="455">
        <f>SUM(E198+F198-G198)</f>
        <v>25271671.369999997</v>
      </c>
    </row>
    <row r="199" spans="1:8" s="1" customFormat="1" ht="12" customHeight="1" x14ac:dyDescent="0.25">
      <c r="A199" s="433"/>
      <c r="B199" s="457"/>
      <c r="C199" s="443"/>
      <c r="D199" s="567" t="s">
        <v>367</v>
      </c>
      <c r="E199" s="490">
        <v>23831603.359999996</v>
      </c>
      <c r="F199" s="490">
        <f>SUM(F200:F200)</f>
        <v>0</v>
      </c>
      <c r="G199" s="490">
        <f>SUM(G200:G200)</f>
        <v>13000</v>
      </c>
      <c r="H199" s="490">
        <f t="shared" ref="H199:H200" si="46">SUM(E199+F199-G199)</f>
        <v>23818603.359999996</v>
      </c>
    </row>
    <row r="200" spans="1:8" s="1" customFormat="1" ht="12" customHeight="1" x14ac:dyDescent="0.25">
      <c r="A200" s="433"/>
      <c r="B200" s="457"/>
      <c r="C200" s="513">
        <v>4800</v>
      </c>
      <c r="D200" s="1" t="s">
        <v>373</v>
      </c>
      <c r="E200" s="460">
        <v>1154628.7</v>
      </c>
      <c r="F200" s="460"/>
      <c r="G200" s="460">
        <v>13000</v>
      </c>
      <c r="H200" s="463">
        <f t="shared" si="46"/>
        <v>1141628.7</v>
      </c>
    </row>
    <row r="201" spans="1:8" s="1" customFormat="1" ht="12" customHeight="1" x14ac:dyDescent="0.25">
      <c r="A201" s="433"/>
      <c r="B201" s="457">
        <v>80195</v>
      </c>
      <c r="C201" s="443"/>
      <c r="D201" s="516" t="s">
        <v>52</v>
      </c>
      <c r="E201" s="456">
        <v>10403904.76</v>
      </c>
      <c r="F201" s="456">
        <f>SUM(F202,F205,)</f>
        <v>15000</v>
      </c>
      <c r="G201" s="456">
        <f>SUM(G202,G205,)</f>
        <v>40000</v>
      </c>
      <c r="H201" s="455">
        <f>SUM(E201+F201-G201)</f>
        <v>10378904.76</v>
      </c>
    </row>
    <row r="202" spans="1:8" s="1" customFormat="1" ht="12" customHeight="1" x14ac:dyDescent="0.25">
      <c r="A202" s="433"/>
      <c r="B202" s="457"/>
      <c r="C202" s="443"/>
      <c r="D202" s="568" t="s">
        <v>390</v>
      </c>
      <c r="E202" s="490">
        <v>1518951.41</v>
      </c>
      <c r="F202" s="490">
        <f>SUM(F203:F204)</f>
        <v>15000</v>
      </c>
      <c r="G202" s="490">
        <f>SUM(G203:G204)</f>
        <v>15000</v>
      </c>
      <c r="H202" s="490">
        <f>SUM(E202+F202-G202)</f>
        <v>1518951.41</v>
      </c>
    </row>
    <row r="203" spans="1:8" s="1" customFormat="1" ht="12" customHeight="1" x14ac:dyDescent="0.25">
      <c r="A203" s="433"/>
      <c r="B203" s="457"/>
      <c r="C203" s="467">
        <v>4170</v>
      </c>
      <c r="D203" s="491" t="s">
        <v>344</v>
      </c>
      <c r="E203" s="460">
        <v>16000</v>
      </c>
      <c r="F203" s="460">
        <v>15000</v>
      </c>
      <c r="G203" s="460"/>
      <c r="H203" s="460">
        <f t="shared" ref="H203:H207" si="47">SUM(E203+F203-G203)</f>
        <v>31000</v>
      </c>
    </row>
    <row r="204" spans="1:8" s="1" customFormat="1" ht="12" customHeight="1" x14ac:dyDescent="0.25">
      <c r="A204" s="433"/>
      <c r="B204" s="457"/>
      <c r="C204" s="494">
        <v>4240</v>
      </c>
      <c r="D204" s="493" t="s">
        <v>368</v>
      </c>
      <c r="E204" s="460">
        <v>69750</v>
      </c>
      <c r="F204" s="460"/>
      <c r="G204" s="460">
        <v>15000</v>
      </c>
      <c r="H204" s="460">
        <f t="shared" si="47"/>
        <v>54750</v>
      </c>
    </row>
    <row r="205" spans="1:8" s="1" customFormat="1" ht="12" customHeight="1" x14ac:dyDescent="0.25">
      <c r="A205" s="433"/>
      <c r="B205" s="457"/>
      <c r="C205" s="443"/>
      <c r="D205" s="579" t="s">
        <v>391</v>
      </c>
      <c r="E205" s="490">
        <v>55992</v>
      </c>
      <c r="F205" s="490">
        <f>SUM(F206:F207)</f>
        <v>0</v>
      </c>
      <c r="G205" s="490">
        <f>SUM(G206:G207)</f>
        <v>25000</v>
      </c>
      <c r="H205" s="490">
        <f t="shared" si="47"/>
        <v>30992</v>
      </c>
    </row>
    <row r="206" spans="1:8" s="1" customFormat="1" ht="12" customHeight="1" x14ac:dyDescent="0.25">
      <c r="A206" s="433"/>
      <c r="B206" s="457"/>
      <c r="C206" s="443" t="s">
        <v>392</v>
      </c>
      <c r="D206" s="491" t="s">
        <v>327</v>
      </c>
      <c r="E206" s="460">
        <v>46204.6</v>
      </c>
      <c r="F206" s="460"/>
      <c r="G206" s="460">
        <v>20630</v>
      </c>
      <c r="H206" s="460">
        <f t="shared" si="47"/>
        <v>25574.6</v>
      </c>
    </row>
    <row r="207" spans="1:8" s="1" customFormat="1" ht="12" customHeight="1" x14ac:dyDescent="0.25">
      <c r="A207" s="433"/>
      <c r="B207" s="457"/>
      <c r="C207" s="443" t="s">
        <v>393</v>
      </c>
      <c r="D207" s="491" t="s">
        <v>327</v>
      </c>
      <c r="E207" s="460">
        <v>9787.4</v>
      </c>
      <c r="F207" s="460"/>
      <c r="G207" s="460">
        <v>4370</v>
      </c>
      <c r="H207" s="460">
        <f t="shared" si="47"/>
        <v>5417.4</v>
      </c>
    </row>
    <row r="208" spans="1:8" s="1" customFormat="1" ht="12" customHeight="1" thickBot="1" x14ac:dyDescent="0.3">
      <c r="A208" s="450" t="s">
        <v>394</v>
      </c>
      <c r="B208" s="449"/>
      <c r="C208" s="450"/>
      <c r="D208" s="451" t="s">
        <v>395</v>
      </c>
      <c r="E208" s="447">
        <v>12239997.83</v>
      </c>
      <c r="F208" s="452">
        <f>SUM(F209,F212,F226,)</f>
        <v>320938</v>
      </c>
      <c r="G208" s="452">
        <f>SUM(G209,G212,G226,)</f>
        <v>319000</v>
      </c>
      <c r="H208" s="447">
        <f t="shared" ref="H208:H224" si="48">SUM(E208+F208-G208)</f>
        <v>12241935.83</v>
      </c>
    </row>
    <row r="209" spans="1:8" s="1" customFormat="1" ht="12" customHeight="1" thickTop="1" x14ac:dyDescent="0.25">
      <c r="A209" s="450"/>
      <c r="B209" s="457">
        <v>85149</v>
      </c>
      <c r="C209" s="469"/>
      <c r="D209" s="496" t="s">
        <v>396</v>
      </c>
      <c r="E209" s="455">
        <v>413790</v>
      </c>
      <c r="F209" s="456">
        <f>SUM(F210)</f>
        <v>0</v>
      </c>
      <c r="G209" s="456">
        <f>SUM(G210)</f>
        <v>223500</v>
      </c>
      <c r="H209" s="455">
        <f t="shared" ref="H209:H211" si="49">SUM(E209+F209-G209)</f>
        <v>190290</v>
      </c>
    </row>
    <row r="210" spans="1:8" s="1" customFormat="1" ht="12" customHeight="1" x14ac:dyDescent="0.25">
      <c r="A210" s="450"/>
      <c r="B210" s="449"/>
      <c r="C210" s="443"/>
      <c r="D210" s="567" t="s">
        <v>397</v>
      </c>
      <c r="E210" s="553">
        <v>413790</v>
      </c>
      <c r="F210" s="569">
        <f>SUM(F211:F211)</f>
        <v>0</v>
      </c>
      <c r="G210" s="569">
        <f>SUM(G211:G211)</f>
        <v>223500</v>
      </c>
      <c r="H210" s="490">
        <f t="shared" si="49"/>
        <v>190290</v>
      </c>
    </row>
    <row r="211" spans="1:8" s="1" customFormat="1" ht="12" customHeight="1" x14ac:dyDescent="0.25">
      <c r="A211" s="450"/>
      <c r="B211" s="449"/>
      <c r="C211" s="467">
        <v>4280</v>
      </c>
      <c r="D211" s="491" t="s">
        <v>378</v>
      </c>
      <c r="E211" s="460">
        <v>372990</v>
      </c>
      <c r="F211" s="463"/>
      <c r="G211" s="463">
        <v>223500</v>
      </c>
      <c r="H211" s="463">
        <f t="shared" si="49"/>
        <v>149490</v>
      </c>
    </row>
    <row r="212" spans="1:8" s="1" customFormat="1" ht="12" customHeight="1" x14ac:dyDescent="0.25">
      <c r="A212" s="450"/>
      <c r="B212" s="467">
        <v>85154</v>
      </c>
      <c r="C212" s="469"/>
      <c r="D212" s="496" t="s">
        <v>398</v>
      </c>
      <c r="E212" s="455">
        <v>6691152.8300000001</v>
      </c>
      <c r="F212" s="456">
        <f>SUM(F213,F217,F219,)</f>
        <v>77438</v>
      </c>
      <c r="G212" s="456">
        <f>SUM(G213,G217,G219,)</f>
        <v>75500</v>
      </c>
      <c r="H212" s="455">
        <f t="shared" si="48"/>
        <v>6693090.8300000001</v>
      </c>
    </row>
    <row r="213" spans="1:8" s="1" customFormat="1" ht="12" customHeight="1" x14ac:dyDescent="0.25">
      <c r="A213" s="450"/>
      <c r="B213" s="467"/>
      <c r="C213" s="443"/>
      <c r="D213" s="567" t="s">
        <v>397</v>
      </c>
      <c r="E213" s="553">
        <v>1745691.95</v>
      </c>
      <c r="F213" s="569">
        <f>SUM(F214:F216)</f>
        <v>35000</v>
      </c>
      <c r="G213" s="569">
        <f>SUM(G214:G216)</f>
        <v>70000</v>
      </c>
      <c r="H213" s="490">
        <f t="shared" si="48"/>
        <v>1710691.95</v>
      </c>
    </row>
    <row r="214" spans="1:8" s="1" customFormat="1" ht="48.75" customHeight="1" x14ac:dyDescent="0.25">
      <c r="A214" s="450"/>
      <c r="B214" s="467"/>
      <c r="C214" s="458" t="s">
        <v>399</v>
      </c>
      <c r="D214" s="459" t="s">
        <v>400</v>
      </c>
      <c r="E214" s="463">
        <v>891482</v>
      </c>
      <c r="F214" s="463">
        <v>20000</v>
      </c>
      <c r="G214" s="463"/>
      <c r="H214" s="460">
        <f>SUM(E214+F214-G214)</f>
        <v>911482</v>
      </c>
    </row>
    <row r="215" spans="1:8" s="1" customFormat="1" ht="12" customHeight="1" x14ac:dyDescent="0.25">
      <c r="A215" s="450"/>
      <c r="B215" s="467"/>
      <c r="C215" s="518">
        <v>4170</v>
      </c>
      <c r="D215" s="519" t="s">
        <v>344</v>
      </c>
      <c r="E215" s="460">
        <v>80000</v>
      </c>
      <c r="F215" s="463">
        <v>15000</v>
      </c>
      <c r="G215" s="463"/>
      <c r="H215" s="463">
        <f t="shared" si="48"/>
        <v>95000</v>
      </c>
    </row>
    <row r="216" spans="1:8" s="1" customFormat="1" ht="12" customHeight="1" x14ac:dyDescent="0.25">
      <c r="A216" s="450"/>
      <c r="B216" s="467"/>
      <c r="C216" s="504">
        <v>4300</v>
      </c>
      <c r="D216" s="505" t="s">
        <v>337</v>
      </c>
      <c r="E216" s="520">
        <v>365841.95</v>
      </c>
      <c r="F216" s="463"/>
      <c r="G216" s="463">
        <v>70000</v>
      </c>
      <c r="H216" s="463">
        <f t="shared" si="48"/>
        <v>295841.95</v>
      </c>
    </row>
    <row r="217" spans="1:8" s="1" customFormat="1" ht="12" customHeight="1" x14ac:dyDescent="0.25">
      <c r="A217" s="450"/>
      <c r="B217" s="467"/>
      <c r="C217" s="443"/>
      <c r="D217" s="567" t="s">
        <v>367</v>
      </c>
      <c r="E217" s="490">
        <v>0</v>
      </c>
      <c r="F217" s="569">
        <f>SUM(F218:F218)</f>
        <v>35000</v>
      </c>
      <c r="G217" s="569">
        <f>SUM(G218:G218)</f>
        <v>0</v>
      </c>
      <c r="H217" s="490">
        <f t="shared" si="48"/>
        <v>35000</v>
      </c>
    </row>
    <row r="218" spans="1:8" s="1" customFormat="1" ht="12" customHeight="1" x14ac:dyDescent="0.25">
      <c r="A218" s="450"/>
      <c r="B218" s="467"/>
      <c r="C218" s="494">
        <v>4240</v>
      </c>
      <c r="D218" s="493" t="s">
        <v>368</v>
      </c>
      <c r="E218" s="520">
        <v>0</v>
      </c>
      <c r="F218" s="463">
        <v>35000</v>
      </c>
      <c r="G218" s="463"/>
      <c r="H218" s="463">
        <f t="shared" si="48"/>
        <v>35000</v>
      </c>
    </row>
    <row r="219" spans="1:8" s="1" customFormat="1" ht="12" customHeight="1" x14ac:dyDescent="0.25">
      <c r="A219" s="450"/>
      <c r="B219" s="467"/>
      <c r="C219" s="443"/>
      <c r="D219" s="567" t="s">
        <v>401</v>
      </c>
      <c r="E219" s="490">
        <v>3180242</v>
      </c>
      <c r="F219" s="569">
        <f>SUM(F220:F225)</f>
        <v>7438</v>
      </c>
      <c r="G219" s="569">
        <f>SUM(G220:G225)</f>
        <v>5500</v>
      </c>
      <c r="H219" s="490">
        <f t="shared" ref="H219:H225" si="50">SUM(E219+F219-G219)</f>
        <v>3182180</v>
      </c>
    </row>
    <row r="220" spans="1:8" s="1" customFormat="1" ht="12" customHeight="1" x14ac:dyDescent="0.25">
      <c r="A220" s="450"/>
      <c r="B220" s="467"/>
      <c r="C220" s="494">
        <v>4010</v>
      </c>
      <c r="D220" s="493" t="s">
        <v>327</v>
      </c>
      <c r="E220" s="460">
        <v>512309</v>
      </c>
      <c r="F220" s="463">
        <f>1024+586</f>
        <v>1610</v>
      </c>
      <c r="G220" s="463"/>
      <c r="H220" s="463">
        <f t="shared" si="48"/>
        <v>513919</v>
      </c>
    </row>
    <row r="221" spans="1:8" s="1" customFormat="1" ht="12" customHeight="1" x14ac:dyDescent="0.25">
      <c r="A221" s="450"/>
      <c r="B221" s="467"/>
      <c r="C221" s="494">
        <v>4110</v>
      </c>
      <c r="D221" s="493" t="s">
        <v>335</v>
      </c>
      <c r="E221" s="460">
        <v>98392</v>
      </c>
      <c r="F221" s="463">
        <f>184+105</f>
        <v>289</v>
      </c>
      <c r="G221" s="463"/>
      <c r="H221" s="463">
        <f t="shared" si="48"/>
        <v>98681</v>
      </c>
    </row>
    <row r="222" spans="1:8" s="1" customFormat="1" ht="12" customHeight="1" x14ac:dyDescent="0.25">
      <c r="A222" s="450"/>
      <c r="B222" s="467"/>
      <c r="C222" s="494">
        <v>4120</v>
      </c>
      <c r="D222" s="493" t="s">
        <v>336</v>
      </c>
      <c r="E222" s="460">
        <v>12653</v>
      </c>
      <c r="F222" s="463">
        <f>25+14</f>
        <v>39</v>
      </c>
      <c r="G222" s="463"/>
      <c r="H222" s="463">
        <f t="shared" si="48"/>
        <v>12692</v>
      </c>
    </row>
    <row r="223" spans="1:8" s="1" customFormat="1" ht="12" customHeight="1" x14ac:dyDescent="0.25">
      <c r="A223" s="450"/>
      <c r="B223" s="467"/>
      <c r="C223" s="492" t="s">
        <v>328</v>
      </c>
      <c r="D223" s="493" t="s">
        <v>329</v>
      </c>
      <c r="E223" s="460">
        <v>14000</v>
      </c>
      <c r="F223" s="463">
        <v>5500</v>
      </c>
      <c r="G223" s="463"/>
      <c r="H223" s="463">
        <f t="shared" si="48"/>
        <v>19500</v>
      </c>
    </row>
    <row r="224" spans="1:8" s="1" customFormat="1" ht="12" customHeight="1" x14ac:dyDescent="0.25">
      <c r="A224" s="450"/>
      <c r="B224" s="467"/>
      <c r="C224" s="494">
        <v>4280</v>
      </c>
      <c r="D224" s="493" t="s">
        <v>378</v>
      </c>
      <c r="E224" s="460">
        <v>4500</v>
      </c>
      <c r="F224" s="463"/>
      <c r="G224" s="463">
        <v>2500</v>
      </c>
      <c r="H224" s="463">
        <f t="shared" si="48"/>
        <v>2000</v>
      </c>
    </row>
    <row r="225" spans="1:8" s="1" customFormat="1" ht="12" customHeight="1" x14ac:dyDescent="0.25">
      <c r="A225" s="450"/>
      <c r="B225" s="467"/>
      <c r="C225" s="504">
        <v>4300</v>
      </c>
      <c r="D225" s="505" t="s">
        <v>337</v>
      </c>
      <c r="E225" s="460">
        <v>2317430</v>
      </c>
      <c r="F225" s="463"/>
      <c r="G225" s="463">
        <v>3000</v>
      </c>
      <c r="H225" s="463">
        <f t="shared" si="50"/>
        <v>2314430</v>
      </c>
    </row>
    <row r="226" spans="1:8" s="1" customFormat="1" ht="12" customHeight="1" x14ac:dyDescent="0.25">
      <c r="A226" s="450"/>
      <c r="B226" s="457">
        <v>85195</v>
      </c>
      <c r="C226" s="443"/>
      <c r="D226" s="464" t="s">
        <v>52</v>
      </c>
      <c r="E226" s="455">
        <v>5074540</v>
      </c>
      <c r="F226" s="455">
        <f>SUM(F227)</f>
        <v>243500</v>
      </c>
      <c r="G226" s="455">
        <f>SUM(G227)</f>
        <v>20000</v>
      </c>
      <c r="H226" s="455">
        <f>SUM(E226+F226-G226)</f>
        <v>5298040</v>
      </c>
    </row>
    <row r="227" spans="1:8" s="1" customFormat="1" ht="12" customHeight="1" x14ac:dyDescent="0.25">
      <c r="A227" s="450"/>
      <c r="B227" s="457"/>
      <c r="C227" s="443"/>
      <c r="D227" s="567" t="s">
        <v>397</v>
      </c>
      <c r="E227" s="490">
        <v>408290</v>
      </c>
      <c r="F227" s="569">
        <f>SUM(F228:F230)</f>
        <v>243500</v>
      </c>
      <c r="G227" s="569">
        <f>SUM(G228:G230)</f>
        <v>20000</v>
      </c>
      <c r="H227" s="490">
        <f t="shared" ref="H227:H230" si="51">SUM(E227+F227-G227)</f>
        <v>631790</v>
      </c>
    </row>
    <row r="228" spans="1:8" s="1" customFormat="1" ht="48.75" customHeight="1" x14ac:dyDescent="0.25">
      <c r="A228" s="450"/>
      <c r="B228" s="457"/>
      <c r="C228" s="458" t="s">
        <v>399</v>
      </c>
      <c r="D228" s="459" t="s">
        <v>400</v>
      </c>
      <c r="E228" s="463">
        <v>247500</v>
      </c>
      <c r="F228" s="463">
        <v>20000</v>
      </c>
      <c r="G228" s="463"/>
      <c r="H228" s="460">
        <f>SUM(E228+F228-G228)</f>
        <v>267500</v>
      </c>
    </row>
    <row r="229" spans="1:8" s="1" customFormat="1" ht="12" customHeight="1" x14ac:dyDescent="0.25">
      <c r="A229" s="450"/>
      <c r="B229" s="457"/>
      <c r="C229" s="494">
        <v>4280</v>
      </c>
      <c r="D229" s="493" t="s">
        <v>378</v>
      </c>
      <c r="E229" s="460">
        <v>105000</v>
      </c>
      <c r="F229" s="463">
        <v>223500</v>
      </c>
      <c r="G229" s="463"/>
      <c r="H229" s="463">
        <f t="shared" si="51"/>
        <v>328500</v>
      </c>
    </row>
    <row r="230" spans="1:8" s="1" customFormat="1" ht="12" customHeight="1" x14ac:dyDescent="0.25">
      <c r="A230" s="450"/>
      <c r="B230" s="457"/>
      <c r="C230" s="504">
        <v>4300</v>
      </c>
      <c r="D230" s="505" t="s">
        <v>337</v>
      </c>
      <c r="E230" s="460">
        <v>50000</v>
      </c>
      <c r="F230" s="463"/>
      <c r="G230" s="463">
        <v>20000</v>
      </c>
      <c r="H230" s="463">
        <f t="shared" si="51"/>
        <v>30000</v>
      </c>
    </row>
    <row r="231" spans="1:8" s="1" customFormat="1" ht="12" customHeight="1" thickBot="1" x14ac:dyDescent="0.3">
      <c r="A231" s="450" t="s">
        <v>293</v>
      </c>
      <c r="B231" s="449"/>
      <c r="C231" s="450"/>
      <c r="D231" s="451" t="s">
        <v>294</v>
      </c>
      <c r="E231" s="512">
        <v>93220535.410000011</v>
      </c>
      <c r="F231" s="452">
        <f>SUM(F232,F248,F260,F266,F272)</f>
        <v>2047031.75</v>
      </c>
      <c r="G231" s="452">
        <f>SUM(G232,G248,G260,G266,G272)</f>
        <v>145327.74</v>
      </c>
      <c r="H231" s="447">
        <f>SUM(E231+F231-G231)</f>
        <v>95122239.420000017</v>
      </c>
    </row>
    <row r="232" spans="1:8" s="1" customFormat="1" ht="12" customHeight="1" thickTop="1" x14ac:dyDescent="0.25">
      <c r="A232" s="450"/>
      <c r="B232" s="457">
        <v>85202</v>
      </c>
      <c r="C232" s="443"/>
      <c r="D232" s="479" t="s">
        <v>295</v>
      </c>
      <c r="E232" s="521">
        <v>27189360.59</v>
      </c>
      <c r="F232" s="522">
        <f>SUM(F233,F243,)</f>
        <v>605432.29</v>
      </c>
      <c r="G232" s="522">
        <f>SUM(G233,G243,)</f>
        <v>55964</v>
      </c>
      <c r="H232" s="521">
        <f t="shared" ref="H232:H264" si="52">SUM(E232+F232-G232)</f>
        <v>27738828.879999999</v>
      </c>
    </row>
    <row r="233" spans="1:8" s="1" customFormat="1" ht="12" customHeight="1" x14ac:dyDescent="0.25">
      <c r="A233" s="450"/>
      <c r="B233" s="467"/>
      <c r="C233" s="443"/>
      <c r="D233" s="567" t="s">
        <v>402</v>
      </c>
      <c r="E233" s="580">
        <v>6810589.9900000002</v>
      </c>
      <c r="F233" s="581">
        <f>SUM(F234:F242)</f>
        <v>576974.29</v>
      </c>
      <c r="G233" s="581">
        <f>SUM(G234:G242)</f>
        <v>55964</v>
      </c>
      <c r="H233" s="580">
        <f t="shared" si="52"/>
        <v>7331600.2800000003</v>
      </c>
    </row>
    <row r="234" spans="1:8" s="1" customFormat="1" ht="12" customHeight="1" x14ac:dyDescent="0.25">
      <c r="A234" s="450"/>
      <c r="B234" s="467"/>
      <c r="C234" s="494">
        <v>3020</v>
      </c>
      <c r="D234" s="493" t="s">
        <v>334</v>
      </c>
      <c r="E234" s="523">
        <v>49032</v>
      </c>
      <c r="F234" s="524">
        <v>37962</v>
      </c>
      <c r="G234" s="524"/>
      <c r="H234" s="524">
        <f t="shared" si="52"/>
        <v>86994</v>
      </c>
    </row>
    <row r="235" spans="1:8" s="1" customFormat="1" ht="12" customHeight="1" x14ac:dyDescent="0.25">
      <c r="A235" s="450"/>
      <c r="B235" s="467"/>
      <c r="C235" s="467">
        <v>4010</v>
      </c>
      <c r="D235" s="491" t="s">
        <v>327</v>
      </c>
      <c r="E235" s="523">
        <v>4057423.72</v>
      </c>
      <c r="F235" s="524">
        <f>62000+286824+145965.26</f>
        <v>494789.26</v>
      </c>
      <c r="G235" s="524"/>
      <c r="H235" s="524">
        <f t="shared" si="52"/>
        <v>4552212.9800000004</v>
      </c>
    </row>
    <row r="236" spans="1:8" s="1" customFormat="1" ht="12" customHeight="1" x14ac:dyDescent="0.25">
      <c r="A236" s="450"/>
      <c r="B236" s="467"/>
      <c r="C236" s="494">
        <v>4040</v>
      </c>
      <c r="D236" s="493" t="s">
        <v>343</v>
      </c>
      <c r="E236" s="523">
        <v>248142</v>
      </c>
      <c r="F236" s="524"/>
      <c r="G236" s="524">
        <v>46000</v>
      </c>
      <c r="H236" s="524">
        <f t="shared" si="52"/>
        <v>202142</v>
      </c>
    </row>
    <row r="237" spans="1:8" s="1" customFormat="1" ht="12" customHeight="1" x14ac:dyDescent="0.25">
      <c r="A237" s="450"/>
      <c r="B237" s="467"/>
      <c r="C237" s="467">
        <v>4110</v>
      </c>
      <c r="D237" s="491" t="s">
        <v>335</v>
      </c>
      <c r="E237" s="523">
        <v>766008.5</v>
      </c>
      <c r="F237" s="524">
        <f>8850+19062.6</f>
        <v>27912.6</v>
      </c>
      <c r="G237" s="524"/>
      <c r="H237" s="524">
        <f t="shared" si="52"/>
        <v>793921.1</v>
      </c>
    </row>
    <row r="238" spans="1:8" s="1" customFormat="1" ht="12" customHeight="1" x14ac:dyDescent="0.25">
      <c r="A238" s="450"/>
      <c r="B238" s="467"/>
      <c r="C238" s="467">
        <v>4120</v>
      </c>
      <c r="D238" s="491" t="s">
        <v>336</v>
      </c>
      <c r="E238" s="523">
        <v>106312.04</v>
      </c>
      <c r="F238" s="524">
        <f>1000.88</f>
        <v>1000.88</v>
      </c>
      <c r="G238" s="524">
        <f>4600</f>
        <v>4600</v>
      </c>
      <c r="H238" s="524">
        <f t="shared" si="52"/>
        <v>102712.92</v>
      </c>
    </row>
    <row r="239" spans="1:8" s="1" customFormat="1" ht="12" customHeight="1" x14ac:dyDescent="0.25">
      <c r="A239" s="450"/>
      <c r="B239" s="467"/>
      <c r="C239" s="492" t="s">
        <v>328</v>
      </c>
      <c r="D239" s="493" t="s">
        <v>329</v>
      </c>
      <c r="E239" s="523">
        <v>100033.60000000001</v>
      </c>
      <c r="F239" s="524">
        <v>6434</v>
      </c>
      <c r="G239" s="524">
        <v>5364</v>
      </c>
      <c r="H239" s="524">
        <f t="shared" si="52"/>
        <v>101103.6</v>
      </c>
    </row>
    <row r="240" spans="1:8" s="1" customFormat="1" ht="12" customHeight="1" x14ac:dyDescent="0.25">
      <c r="A240" s="450"/>
      <c r="B240" s="525"/>
      <c r="C240" s="494">
        <v>4580</v>
      </c>
      <c r="D240" s="493" t="s">
        <v>403</v>
      </c>
      <c r="E240" s="524">
        <v>2560</v>
      </c>
      <c r="F240" s="523">
        <v>2680</v>
      </c>
      <c r="G240" s="523"/>
      <c r="H240" s="524">
        <f>SUM(E240+F240-G240)</f>
        <v>5240</v>
      </c>
    </row>
    <row r="241" spans="1:8" s="1" customFormat="1" ht="12" customHeight="1" x14ac:dyDescent="0.25">
      <c r="A241" s="450"/>
      <c r="B241" s="525"/>
      <c r="C241" s="494">
        <v>4610</v>
      </c>
      <c r="D241" s="526" t="s">
        <v>404</v>
      </c>
      <c r="E241" s="524">
        <v>2000</v>
      </c>
      <c r="F241" s="523">
        <v>2895</v>
      </c>
      <c r="G241" s="523"/>
      <c r="H241" s="524">
        <f>SUM(E241+F241-G241)</f>
        <v>4895</v>
      </c>
    </row>
    <row r="242" spans="1:8" s="1" customFormat="1" ht="12" customHeight="1" x14ac:dyDescent="0.25">
      <c r="A242" s="527"/>
      <c r="B242" s="528"/>
      <c r="C242" s="507">
        <v>4710</v>
      </c>
      <c r="D242" s="508" t="s">
        <v>339</v>
      </c>
      <c r="E242" s="522">
        <v>7198.45</v>
      </c>
      <c r="F242" s="521">
        <f>3000+300.55</f>
        <v>3300.55</v>
      </c>
      <c r="G242" s="521"/>
      <c r="H242" s="522">
        <f t="shared" ref="H242" si="53">SUM(E242+F242-G242)</f>
        <v>10499</v>
      </c>
    </row>
    <row r="243" spans="1:8" s="1" customFormat="1" ht="12" customHeight="1" x14ac:dyDescent="0.25">
      <c r="A243" s="450"/>
      <c r="B243" s="525"/>
      <c r="C243" s="443"/>
      <c r="D243" s="567" t="s">
        <v>405</v>
      </c>
      <c r="E243" s="490">
        <v>6025024</v>
      </c>
      <c r="F243" s="490">
        <f>SUM(F244:F247)</f>
        <v>28458</v>
      </c>
      <c r="G243" s="490">
        <f>SUM(G244:G247)</f>
        <v>0</v>
      </c>
      <c r="H243" s="490">
        <f t="shared" si="52"/>
        <v>6053482</v>
      </c>
    </row>
    <row r="244" spans="1:8" s="1" customFormat="1" ht="12" customHeight="1" x14ac:dyDescent="0.25">
      <c r="A244" s="450"/>
      <c r="B244" s="525"/>
      <c r="C244" s="467">
        <v>4010</v>
      </c>
      <c r="D244" s="491" t="s">
        <v>327</v>
      </c>
      <c r="E244" s="460">
        <v>3412910</v>
      </c>
      <c r="F244" s="460">
        <f>15424</f>
        <v>15424</v>
      </c>
      <c r="G244" s="460"/>
      <c r="H244" s="460">
        <f t="shared" si="52"/>
        <v>3428334</v>
      </c>
    </row>
    <row r="245" spans="1:8" s="1" customFormat="1" ht="12" customHeight="1" x14ac:dyDescent="0.25">
      <c r="A245" s="450"/>
      <c r="B245" s="525"/>
      <c r="C245" s="467">
        <v>4110</v>
      </c>
      <c r="D245" s="491" t="s">
        <v>335</v>
      </c>
      <c r="E245" s="524">
        <v>608253</v>
      </c>
      <c r="F245" s="523">
        <f>2656</f>
        <v>2656</v>
      </c>
      <c r="G245" s="523"/>
      <c r="H245" s="460">
        <f t="shared" si="52"/>
        <v>610909</v>
      </c>
    </row>
    <row r="246" spans="1:8" s="1" customFormat="1" ht="12" customHeight="1" x14ac:dyDescent="0.25">
      <c r="A246" s="450"/>
      <c r="B246" s="525"/>
      <c r="C246" s="467">
        <v>4120</v>
      </c>
      <c r="D246" s="491" t="s">
        <v>336</v>
      </c>
      <c r="E246" s="524">
        <v>86513</v>
      </c>
      <c r="F246" s="523">
        <f>378</f>
        <v>378</v>
      </c>
      <c r="G246" s="523"/>
      <c r="H246" s="460">
        <f t="shared" si="52"/>
        <v>86891</v>
      </c>
    </row>
    <row r="247" spans="1:8" s="1" customFormat="1" ht="12" customHeight="1" x14ac:dyDescent="0.25">
      <c r="A247" s="450"/>
      <c r="B247" s="525"/>
      <c r="C247" s="494">
        <v>4440</v>
      </c>
      <c r="D247" s="493" t="s">
        <v>359</v>
      </c>
      <c r="E247" s="524">
        <v>113475</v>
      </c>
      <c r="F247" s="523">
        <v>10000</v>
      </c>
      <c r="G247" s="523"/>
      <c r="H247" s="460">
        <f t="shared" si="52"/>
        <v>123475</v>
      </c>
    </row>
    <row r="248" spans="1:8" s="1" customFormat="1" ht="12" customHeight="1" x14ac:dyDescent="0.25">
      <c r="A248" s="450"/>
      <c r="B248" s="467">
        <v>85203</v>
      </c>
      <c r="C248" s="433"/>
      <c r="D248" s="496" t="s">
        <v>155</v>
      </c>
      <c r="E248" s="455">
        <v>1901657</v>
      </c>
      <c r="F248" s="456">
        <f>SUM(F249,F253)</f>
        <v>81238.720000000001</v>
      </c>
      <c r="G248" s="456">
        <f>SUM(G249,G253)</f>
        <v>32850</v>
      </c>
      <c r="H248" s="455">
        <f t="shared" si="52"/>
        <v>1950045.72</v>
      </c>
    </row>
    <row r="249" spans="1:8" s="1" customFormat="1" ht="12" customHeight="1" x14ac:dyDescent="0.25">
      <c r="A249" s="450"/>
      <c r="B249" s="467"/>
      <c r="C249" s="504"/>
      <c r="D249" s="575" t="s">
        <v>406</v>
      </c>
      <c r="E249" s="490">
        <v>381172.2</v>
      </c>
      <c r="F249" s="569">
        <f>SUM(F250:F252)</f>
        <v>22394</v>
      </c>
      <c r="G249" s="569">
        <f>SUM(G250:G252)</f>
        <v>0</v>
      </c>
      <c r="H249" s="490">
        <f t="shared" si="52"/>
        <v>403566.2</v>
      </c>
    </row>
    <row r="250" spans="1:8" s="1" customFormat="1" ht="12" customHeight="1" x14ac:dyDescent="0.25">
      <c r="A250" s="450"/>
      <c r="B250" s="467"/>
      <c r="C250" s="467">
        <v>4010</v>
      </c>
      <c r="D250" s="491" t="s">
        <v>327</v>
      </c>
      <c r="E250" s="460">
        <v>168795.2</v>
      </c>
      <c r="F250" s="463">
        <v>18433</v>
      </c>
      <c r="G250" s="463"/>
      <c r="H250" s="460">
        <f t="shared" si="52"/>
        <v>187228.2</v>
      </c>
    </row>
    <row r="251" spans="1:8" s="1" customFormat="1" ht="12" customHeight="1" x14ac:dyDescent="0.25">
      <c r="A251" s="450"/>
      <c r="B251" s="467"/>
      <c r="C251" s="467">
        <v>4110</v>
      </c>
      <c r="D251" s="491" t="s">
        <v>335</v>
      </c>
      <c r="E251" s="460">
        <v>22948</v>
      </c>
      <c r="F251" s="463">
        <v>3903</v>
      </c>
      <c r="G251" s="463"/>
      <c r="H251" s="460">
        <f t="shared" si="52"/>
        <v>26851</v>
      </c>
    </row>
    <row r="252" spans="1:8" s="1" customFormat="1" ht="12" customHeight="1" x14ac:dyDescent="0.25">
      <c r="A252" s="450"/>
      <c r="B252" s="467"/>
      <c r="C252" s="467">
        <v>4120</v>
      </c>
      <c r="D252" s="491" t="s">
        <v>336</v>
      </c>
      <c r="E252" s="460">
        <v>3763</v>
      </c>
      <c r="F252" s="463">
        <v>58</v>
      </c>
      <c r="G252" s="463"/>
      <c r="H252" s="460">
        <f t="shared" si="52"/>
        <v>3821</v>
      </c>
    </row>
    <row r="253" spans="1:8" s="1" customFormat="1" ht="24.75" customHeight="1" x14ac:dyDescent="0.25">
      <c r="A253" s="450"/>
      <c r="B253" s="448"/>
      <c r="C253" s="504"/>
      <c r="D253" s="568" t="s">
        <v>407</v>
      </c>
      <c r="E253" s="490">
        <v>1520484.8</v>
      </c>
      <c r="F253" s="569">
        <f>SUM(F254:F259)</f>
        <v>58844.72</v>
      </c>
      <c r="G253" s="569">
        <f>SUM(G254:G259)</f>
        <v>32850</v>
      </c>
      <c r="H253" s="490">
        <f t="shared" si="52"/>
        <v>1546479.52</v>
      </c>
    </row>
    <row r="254" spans="1:8" s="1" customFormat="1" ht="12" customHeight="1" x14ac:dyDescent="0.25">
      <c r="A254" s="450"/>
      <c r="B254" s="448"/>
      <c r="C254" s="467">
        <v>4010</v>
      </c>
      <c r="D254" s="491" t="s">
        <v>327</v>
      </c>
      <c r="E254" s="460">
        <v>790252.96</v>
      </c>
      <c r="F254" s="463">
        <v>25244.720000000001</v>
      </c>
      <c r="G254" s="463">
        <v>10000</v>
      </c>
      <c r="H254" s="460">
        <f t="shared" si="52"/>
        <v>805497.67999999993</v>
      </c>
    </row>
    <row r="255" spans="1:8" s="1" customFormat="1" ht="12" customHeight="1" x14ac:dyDescent="0.25">
      <c r="A255" s="450"/>
      <c r="B255" s="448"/>
      <c r="C255" s="494">
        <v>4040</v>
      </c>
      <c r="D255" s="493" t="s">
        <v>343</v>
      </c>
      <c r="E255" s="460">
        <v>40124</v>
      </c>
      <c r="F255" s="463"/>
      <c r="G255" s="463">
        <v>14000</v>
      </c>
      <c r="H255" s="460">
        <f t="shared" si="52"/>
        <v>26124</v>
      </c>
    </row>
    <row r="256" spans="1:8" s="1" customFormat="1" ht="12" customHeight="1" x14ac:dyDescent="0.25">
      <c r="A256" s="450"/>
      <c r="B256" s="448"/>
      <c r="C256" s="467">
        <v>4110</v>
      </c>
      <c r="D256" s="491" t="s">
        <v>335</v>
      </c>
      <c r="E256" s="460">
        <v>169276.5</v>
      </c>
      <c r="F256" s="463"/>
      <c r="G256" s="463">
        <v>8850</v>
      </c>
      <c r="H256" s="460">
        <f t="shared" si="52"/>
        <v>160426.5</v>
      </c>
    </row>
    <row r="257" spans="1:8" s="1" customFormat="1" ht="12" customHeight="1" x14ac:dyDescent="0.25">
      <c r="A257" s="450"/>
      <c r="B257" s="448"/>
      <c r="C257" s="467">
        <v>4120</v>
      </c>
      <c r="D257" s="491" t="s">
        <v>336</v>
      </c>
      <c r="E257" s="460">
        <v>24740.640000000003</v>
      </c>
      <c r="F257" s="463">
        <v>1600</v>
      </c>
      <c r="G257" s="463"/>
      <c r="H257" s="460">
        <f t="shared" si="52"/>
        <v>26340.640000000003</v>
      </c>
    </row>
    <row r="258" spans="1:8" s="1" customFormat="1" ht="12" customHeight="1" x14ac:dyDescent="0.25">
      <c r="A258" s="450"/>
      <c r="B258" s="448"/>
      <c r="C258" s="494">
        <v>4170</v>
      </c>
      <c r="D258" s="493" t="s">
        <v>344</v>
      </c>
      <c r="E258" s="460">
        <v>38900</v>
      </c>
      <c r="F258" s="463">
        <v>18000</v>
      </c>
      <c r="G258" s="463"/>
      <c r="H258" s="460">
        <f t="shared" si="52"/>
        <v>56900</v>
      </c>
    </row>
    <row r="259" spans="1:8" s="1" customFormat="1" ht="12" customHeight="1" x14ac:dyDescent="0.25">
      <c r="A259" s="450"/>
      <c r="B259" s="448"/>
      <c r="C259" s="494">
        <v>4260</v>
      </c>
      <c r="D259" s="493" t="s">
        <v>369</v>
      </c>
      <c r="E259" s="460">
        <v>75429</v>
      </c>
      <c r="F259" s="463">
        <v>14000</v>
      </c>
      <c r="G259" s="463"/>
      <c r="H259" s="460">
        <f t="shared" si="52"/>
        <v>89429</v>
      </c>
    </row>
    <row r="260" spans="1:8" s="1" customFormat="1" ht="12" customHeight="1" x14ac:dyDescent="0.25">
      <c r="A260" s="450"/>
      <c r="B260" s="467">
        <v>85219</v>
      </c>
      <c r="C260" s="469"/>
      <c r="D260" s="496" t="s">
        <v>309</v>
      </c>
      <c r="E260" s="455">
        <v>21924309.339999996</v>
      </c>
      <c r="F260" s="456">
        <f>SUM(F261,)</f>
        <v>1272478</v>
      </c>
      <c r="G260" s="456">
        <f>SUM(G261,)</f>
        <v>0</v>
      </c>
      <c r="H260" s="455">
        <f t="shared" si="52"/>
        <v>23196787.339999996</v>
      </c>
    </row>
    <row r="261" spans="1:8" s="1" customFormat="1" ht="12" customHeight="1" x14ac:dyDescent="0.25">
      <c r="A261" s="450"/>
      <c r="B261" s="467"/>
      <c r="C261" s="443"/>
      <c r="D261" s="567" t="s">
        <v>408</v>
      </c>
      <c r="E261" s="490">
        <v>21595212.339999996</v>
      </c>
      <c r="F261" s="569">
        <f>SUM(F262:F264)</f>
        <v>1272478</v>
      </c>
      <c r="G261" s="569">
        <f>SUM(G262:G264)</f>
        <v>0</v>
      </c>
      <c r="H261" s="490">
        <f t="shared" si="52"/>
        <v>22867690.339999996</v>
      </c>
    </row>
    <row r="262" spans="1:8" s="1" customFormat="1" ht="12" customHeight="1" x14ac:dyDescent="0.25">
      <c r="A262" s="450"/>
      <c r="B262" s="467"/>
      <c r="C262" s="467">
        <v>4010</v>
      </c>
      <c r="D262" s="491" t="s">
        <v>327</v>
      </c>
      <c r="E262" s="460">
        <v>15149996.939999999</v>
      </c>
      <c r="F262" s="463">
        <f>197048+823500+91988</f>
        <v>1112536</v>
      </c>
      <c r="G262" s="463"/>
      <c r="H262" s="463">
        <f t="shared" si="52"/>
        <v>16262532.939999999</v>
      </c>
    </row>
    <row r="263" spans="1:8" s="1" customFormat="1" ht="12" customHeight="1" x14ac:dyDescent="0.25">
      <c r="A263" s="450"/>
      <c r="B263" s="467"/>
      <c r="C263" s="467">
        <v>4110</v>
      </c>
      <c r="D263" s="491" t="s">
        <v>335</v>
      </c>
      <c r="E263" s="460">
        <v>2714729</v>
      </c>
      <c r="F263" s="463">
        <f>143463+1430</f>
        <v>144893</v>
      </c>
      <c r="G263" s="463"/>
      <c r="H263" s="463">
        <f t="shared" si="52"/>
        <v>2859622</v>
      </c>
    </row>
    <row r="264" spans="1:8" s="1" customFormat="1" ht="12" customHeight="1" x14ac:dyDescent="0.25">
      <c r="A264" s="450"/>
      <c r="B264" s="467"/>
      <c r="C264" s="467">
        <v>4120</v>
      </c>
      <c r="D264" s="491" t="s">
        <v>336</v>
      </c>
      <c r="E264" s="460">
        <v>295726</v>
      </c>
      <c r="F264" s="463">
        <f>14847+202</f>
        <v>15049</v>
      </c>
      <c r="G264" s="463"/>
      <c r="H264" s="463">
        <f t="shared" si="52"/>
        <v>310775</v>
      </c>
    </row>
    <row r="265" spans="1:8" s="1" customFormat="1" ht="12" customHeight="1" x14ac:dyDescent="0.25">
      <c r="A265" s="450"/>
      <c r="B265" s="467">
        <v>85220</v>
      </c>
      <c r="C265" s="469"/>
      <c r="D265" s="457" t="s">
        <v>409</v>
      </c>
      <c r="E265" s="460"/>
      <c r="F265" s="463"/>
      <c r="G265" s="463"/>
      <c r="H265" s="463"/>
    </row>
    <row r="266" spans="1:8" s="1" customFormat="1" ht="12" customHeight="1" x14ac:dyDescent="0.25">
      <c r="A266" s="450"/>
      <c r="B266" s="465"/>
      <c r="C266" s="469"/>
      <c r="D266" s="496" t="s">
        <v>410</v>
      </c>
      <c r="E266" s="455">
        <v>1096090.46</v>
      </c>
      <c r="F266" s="456">
        <f>SUM(F268)</f>
        <v>55369</v>
      </c>
      <c r="G266" s="456">
        <f>SUM(G268)</f>
        <v>0</v>
      </c>
      <c r="H266" s="455">
        <f t="shared" ref="H266:H271" si="54">SUM(E266+F266-G266)</f>
        <v>1151459.46</v>
      </c>
    </row>
    <row r="267" spans="1:8" s="1" customFormat="1" ht="12" customHeight="1" x14ac:dyDescent="0.25">
      <c r="A267" s="450"/>
      <c r="B267" s="465"/>
      <c r="C267" s="467"/>
      <c r="D267" s="457" t="s">
        <v>411</v>
      </c>
      <c r="E267" s="460"/>
      <c r="F267" s="463"/>
      <c r="G267" s="463"/>
      <c r="H267" s="463"/>
    </row>
    <row r="268" spans="1:8" s="1" customFormat="1" ht="12" customHeight="1" x14ac:dyDescent="0.25">
      <c r="A268" s="450"/>
      <c r="B268" s="467"/>
      <c r="C268" s="443"/>
      <c r="D268" s="573" t="s">
        <v>412</v>
      </c>
      <c r="E268" s="490">
        <v>1052910.46</v>
      </c>
      <c r="F268" s="569">
        <f>SUM(F269:F271)</f>
        <v>55369</v>
      </c>
      <c r="G268" s="569">
        <f>SUM(G269:G271)</f>
        <v>0</v>
      </c>
      <c r="H268" s="490">
        <f t="shared" si="54"/>
        <v>1108279.46</v>
      </c>
    </row>
    <row r="269" spans="1:8" s="1" customFormat="1" ht="12" customHeight="1" x14ac:dyDescent="0.25">
      <c r="A269" s="450"/>
      <c r="B269" s="467"/>
      <c r="C269" s="467">
        <v>4010</v>
      </c>
      <c r="D269" s="491" t="s">
        <v>327</v>
      </c>
      <c r="E269" s="460">
        <v>669447.46</v>
      </c>
      <c r="F269" s="463">
        <f>40003+7402</f>
        <v>47405</v>
      </c>
      <c r="G269" s="463"/>
      <c r="H269" s="463">
        <f t="shared" si="54"/>
        <v>716852.46</v>
      </c>
    </row>
    <row r="270" spans="1:8" s="1" customFormat="1" ht="12" customHeight="1" x14ac:dyDescent="0.25">
      <c r="A270" s="450"/>
      <c r="B270" s="467"/>
      <c r="C270" s="467">
        <v>4110</v>
      </c>
      <c r="D270" s="491" t="s">
        <v>335</v>
      </c>
      <c r="E270" s="460">
        <v>120151</v>
      </c>
      <c r="F270" s="463">
        <f>6984</f>
        <v>6984</v>
      </c>
      <c r="G270" s="463"/>
      <c r="H270" s="463">
        <f t="shared" si="54"/>
        <v>127135</v>
      </c>
    </row>
    <row r="271" spans="1:8" s="1" customFormat="1" ht="12" customHeight="1" x14ac:dyDescent="0.25">
      <c r="A271" s="450"/>
      <c r="B271" s="467"/>
      <c r="C271" s="467">
        <v>4120</v>
      </c>
      <c r="D271" s="491" t="s">
        <v>336</v>
      </c>
      <c r="E271" s="460">
        <v>16266</v>
      </c>
      <c r="F271" s="463">
        <f>980</f>
        <v>980</v>
      </c>
      <c r="G271" s="463"/>
      <c r="H271" s="463">
        <f t="shared" si="54"/>
        <v>17246</v>
      </c>
    </row>
    <row r="272" spans="1:8" s="1" customFormat="1" ht="12" customHeight="1" x14ac:dyDescent="0.25">
      <c r="A272" s="449"/>
      <c r="B272" s="457">
        <v>85295</v>
      </c>
      <c r="C272" s="443"/>
      <c r="D272" s="464" t="s">
        <v>52</v>
      </c>
      <c r="E272" s="455">
        <v>7566787.25</v>
      </c>
      <c r="F272" s="455">
        <f>SUM(F273,F278,)</f>
        <v>32513.74</v>
      </c>
      <c r="G272" s="455">
        <f>SUM(G273,G278,)</f>
        <v>56513.74</v>
      </c>
      <c r="H272" s="455">
        <f t="shared" ref="H272:H316" si="55">SUM(E272+F272-G272)</f>
        <v>7542787.25</v>
      </c>
    </row>
    <row r="273" spans="1:8" s="1" customFormat="1" ht="24" customHeight="1" x14ac:dyDescent="0.25">
      <c r="A273" s="449"/>
      <c r="B273" s="457"/>
      <c r="C273" s="443"/>
      <c r="D273" s="582" t="s">
        <v>413</v>
      </c>
      <c r="E273" s="490">
        <v>846450.38</v>
      </c>
      <c r="F273" s="569">
        <f>SUM(F274:F277)</f>
        <v>32000</v>
      </c>
      <c r="G273" s="569">
        <f>SUM(G274:G277)</f>
        <v>56000</v>
      </c>
      <c r="H273" s="490">
        <f>SUM(E273+F273-G273)</f>
        <v>822450.38</v>
      </c>
    </row>
    <row r="274" spans="1:8" s="1" customFormat="1" ht="12" customHeight="1" x14ac:dyDescent="0.25">
      <c r="A274" s="449"/>
      <c r="B274" s="457"/>
      <c r="C274" s="467">
        <v>4010</v>
      </c>
      <c r="D274" s="491" t="s">
        <v>327</v>
      </c>
      <c r="E274" s="483">
        <v>459985.4</v>
      </c>
      <c r="F274" s="463">
        <v>4000</v>
      </c>
      <c r="G274" s="463"/>
      <c r="H274" s="463">
        <f t="shared" ref="H274:H282" si="56">SUM(E274+F274-G274)</f>
        <v>463985.4</v>
      </c>
    </row>
    <row r="275" spans="1:8" s="1" customFormat="1" ht="12" customHeight="1" x14ac:dyDescent="0.25">
      <c r="A275" s="449"/>
      <c r="B275" s="457"/>
      <c r="C275" s="467">
        <v>4110</v>
      </c>
      <c r="D275" s="491" t="s">
        <v>335</v>
      </c>
      <c r="E275" s="514">
        <v>102254.44</v>
      </c>
      <c r="F275" s="463"/>
      <c r="G275" s="463">
        <v>52000</v>
      </c>
      <c r="H275" s="463">
        <f t="shared" si="56"/>
        <v>50254.44</v>
      </c>
    </row>
    <row r="276" spans="1:8" s="1" customFormat="1" ht="12" customHeight="1" x14ac:dyDescent="0.25">
      <c r="A276" s="449"/>
      <c r="B276" s="457"/>
      <c r="C276" s="467">
        <v>4120</v>
      </c>
      <c r="D276" s="491" t="s">
        <v>336</v>
      </c>
      <c r="E276" s="514">
        <v>16960.34</v>
      </c>
      <c r="F276" s="463"/>
      <c r="G276" s="463">
        <v>4000</v>
      </c>
      <c r="H276" s="463">
        <f t="shared" si="56"/>
        <v>12960.34</v>
      </c>
    </row>
    <row r="277" spans="1:8" s="1" customFormat="1" ht="12" customHeight="1" x14ac:dyDescent="0.25">
      <c r="A277" s="449"/>
      <c r="B277" s="457"/>
      <c r="C277" s="494">
        <v>4260</v>
      </c>
      <c r="D277" s="493" t="s">
        <v>369</v>
      </c>
      <c r="E277" s="514">
        <v>94571</v>
      </c>
      <c r="F277" s="463">
        <v>28000</v>
      </c>
      <c r="G277" s="463"/>
      <c r="H277" s="463">
        <f t="shared" si="56"/>
        <v>122571</v>
      </c>
    </row>
    <row r="278" spans="1:8" s="1" customFormat="1" ht="11.25" customHeight="1" x14ac:dyDescent="0.25">
      <c r="A278" s="449"/>
      <c r="B278" s="457"/>
      <c r="C278" s="443"/>
      <c r="D278" s="583" t="s">
        <v>414</v>
      </c>
      <c r="E278" s="490">
        <v>1196308.0499999998</v>
      </c>
      <c r="F278" s="569">
        <f>SUM(F279:F282)</f>
        <v>513.74</v>
      </c>
      <c r="G278" s="569">
        <f>SUM(G279:G282)</f>
        <v>513.74</v>
      </c>
      <c r="H278" s="490">
        <f t="shared" si="56"/>
        <v>1196308.0499999998</v>
      </c>
    </row>
    <row r="279" spans="1:8" s="1" customFormat="1" ht="11.25" customHeight="1" x14ac:dyDescent="0.25">
      <c r="A279" s="449"/>
      <c r="B279" s="457"/>
      <c r="C279" s="504">
        <v>4017</v>
      </c>
      <c r="D279" s="529" t="s">
        <v>327</v>
      </c>
      <c r="E279" s="460">
        <v>213525.48</v>
      </c>
      <c r="F279" s="463">
        <v>460.16</v>
      </c>
      <c r="G279" s="463"/>
      <c r="H279" s="463">
        <f t="shared" si="56"/>
        <v>213985.64</v>
      </c>
    </row>
    <row r="280" spans="1:8" s="1" customFormat="1" ht="11.25" customHeight="1" x14ac:dyDescent="0.25">
      <c r="A280" s="449"/>
      <c r="B280" s="457"/>
      <c r="C280" s="504">
        <v>4019</v>
      </c>
      <c r="D280" s="529" t="s">
        <v>327</v>
      </c>
      <c r="E280" s="460">
        <v>24889.629999999997</v>
      </c>
      <c r="F280" s="463">
        <v>53.58</v>
      </c>
      <c r="G280" s="463"/>
      <c r="H280" s="463">
        <f t="shared" si="56"/>
        <v>24943.21</v>
      </c>
    </row>
    <row r="281" spans="1:8" s="1" customFormat="1" ht="11.25" customHeight="1" x14ac:dyDescent="0.25">
      <c r="A281" s="449"/>
      <c r="B281" s="457"/>
      <c r="C281" s="453">
        <v>4717</v>
      </c>
      <c r="D281" s="497" t="s">
        <v>339</v>
      </c>
      <c r="E281" s="460">
        <v>3289.0200000000004</v>
      </c>
      <c r="F281" s="463"/>
      <c r="G281" s="463">
        <v>460.16</v>
      </c>
      <c r="H281" s="463">
        <f t="shared" si="56"/>
        <v>2828.8600000000006</v>
      </c>
    </row>
    <row r="282" spans="1:8" s="1" customFormat="1" ht="11.25" customHeight="1" x14ac:dyDescent="0.25">
      <c r="A282" s="449"/>
      <c r="B282" s="457"/>
      <c r="C282" s="453">
        <v>4719</v>
      </c>
      <c r="D282" s="497" t="s">
        <v>339</v>
      </c>
      <c r="E282" s="460">
        <v>383.38</v>
      </c>
      <c r="F282" s="463"/>
      <c r="G282" s="463">
        <v>53.58</v>
      </c>
      <c r="H282" s="463">
        <f t="shared" si="56"/>
        <v>329.8</v>
      </c>
    </row>
    <row r="283" spans="1:8" s="1" customFormat="1" ht="12" customHeight="1" thickBot="1" x14ac:dyDescent="0.3">
      <c r="A283" s="448">
        <v>853</v>
      </c>
      <c r="B283" s="449"/>
      <c r="C283" s="450"/>
      <c r="D283" s="451" t="s">
        <v>415</v>
      </c>
      <c r="E283" s="447">
        <v>9172490.8599999994</v>
      </c>
      <c r="F283" s="452">
        <f>SUM(F284)</f>
        <v>241505.15</v>
      </c>
      <c r="G283" s="452">
        <f>SUM(G284)</f>
        <v>18800</v>
      </c>
      <c r="H283" s="447">
        <f t="shared" si="55"/>
        <v>9395196.0099999998</v>
      </c>
    </row>
    <row r="284" spans="1:8" s="1" customFormat="1" ht="12" customHeight="1" thickTop="1" x14ac:dyDescent="0.25">
      <c r="A284" s="450"/>
      <c r="B284" s="457">
        <v>85395</v>
      </c>
      <c r="C284" s="443"/>
      <c r="D284" s="464" t="s">
        <v>52</v>
      </c>
      <c r="E284" s="455">
        <v>9172490.8599999994</v>
      </c>
      <c r="F284" s="455">
        <f>SUM(F285,F287)</f>
        <v>241505.15</v>
      </c>
      <c r="G284" s="455">
        <f>SUM(G285,G287)</f>
        <v>18800</v>
      </c>
      <c r="H284" s="455">
        <f t="shared" si="55"/>
        <v>9395196.0099999998</v>
      </c>
    </row>
    <row r="285" spans="1:8" s="1" customFormat="1" ht="12" customHeight="1" x14ac:dyDescent="0.25">
      <c r="A285" s="450"/>
      <c r="B285" s="449"/>
      <c r="C285" s="443"/>
      <c r="D285" s="567" t="s">
        <v>397</v>
      </c>
      <c r="E285" s="490">
        <v>1488764.22</v>
      </c>
      <c r="F285" s="569">
        <f>SUM(F286:F286)</f>
        <v>198717.15</v>
      </c>
      <c r="G285" s="569">
        <f>SUM(G286:G286)</f>
        <v>0</v>
      </c>
      <c r="H285" s="490">
        <f t="shared" si="55"/>
        <v>1687481.3699999999</v>
      </c>
    </row>
    <row r="286" spans="1:8" s="1" customFormat="1" ht="12" customHeight="1" x14ac:dyDescent="0.25">
      <c r="A286" s="450"/>
      <c r="B286" s="449"/>
      <c r="C286" s="530">
        <v>2510</v>
      </c>
      <c r="D286" s="531" t="s">
        <v>416</v>
      </c>
      <c r="E286" s="463">
        <v>1361864.22</v>
      </c>
      <c r="F286" s="463">
        <v>198717.15</v>
      </c>
      <c r="G286" s="463"/>
      <c r="H286" s="463">
        <f t="shared" si="55"/>
        <v>1560581.3699999999</v>
      </c>
    </row>
    <row r="287" spans="1:8" s="1" customFormat="1" ht="12" customHeight="1" x14ac:dyDescent="0.25">
      <c r="A287" s="449"/>
      <c r="B287" s="457"/>
      <c r="C287" s="443"/>
      <c r="D287" s="567" t="s">
        <v>417</v>
      </c>
      <c r="E287" s="490">
        <v>6353401</v>
      </c>
      <c r="F287" s="569">
        <f>SUM(F288:F295)</f>
        <v>42788</v>
      </c>
      <c r="G287" s="569">
        <f>SUM(G288:G295)</f>
        <v>18800</v>
      </c>
      <c r="H287" s="490">
        <f>SUM(E287+F287-G287)</f>
        <v>6377389</v>
      </c>
    </row>
    <row r="288" spans="1:8" s="1" customFormat="1" ht="12" customHeight="1" x14ac:dyDescent="0.25">
      <c r="A288" s="449"/>
      <c r="B288" s="457"/>
      <c r="C288" s="467">
        <v>4010</v>
      </c>
      <c r="D288" s="491" t="s">
        <v>327</v>
      </c>
      <c r="E288" s="460">
        <v>2748546</v>
      </c>
      <c r="F288" s="463">
        <f>13066</f>
        <v>13066</v>
      </c>
      <c r="G288" s="463"/>
      <c r="H288" s="463">
        <f>SUM(E288+F288-G288)</f>
        <v>2761612</v>
      </c>
    </row>
    <row r="289" spans="1:8" s="1" customFormat="1" ht="12" customHeight="1" x14ac:dyDescent="0.25">
      <c r="A289" s="449"/>
      <c r="B289" s="457"/>
      <c r="C289" s="467">
        <v>4110</v>
      </c>
      <c r="D289" s="491" t="s">
        <v>335</v>
      </c>
      <c r="E289" s="460">
        <v>473737</v>
      </c>
      <c r="F289" s="463">
        <f>2212</f>
        <v>2212</v>
      </c>
      <c r="G289" s="463"/>
      <c r="H289" s="463">
        <f t="shared" ref="H289:H295" si="57">SUM(E289+F289-G289)</f>
        <v>475949</v>
      </c>
    </row>
    <row r="290" spans="1:8" s="1" customFormat="1" ht="12" customHeight="1" x14ac:dyDescent="0.25">
      <c r="A290" s="449"/>
      <c r="B290" s="457"/>
      <c r="C290" s="467">
        <v>4120</v>
      </c>
      <c r="D290" s="491" t="s">
        <v>336</v>
      </c>
      <c r="E290" s="460">
        <v>49020</v>
      </c>
      <c r="F290" s="463">
        <f>320</f>
        <v>320</v>
      </c>
      <c r="G290" s="463"/>
      <c r="H290" s="463">
        <f t="shared" si="57"/>
        <v>49340</v>
      </c>
    </row>
    <row r="291" spans="1:8" s="1" customFormat="1" ht="12" customHeight="1" x14ac:dyDescent="0.25">
      <c r="A291" s="449"/>
      <c r="B291" s="457"/>
      <c r="C291" s="494">
        <v>4220</v>
      </c>
      <c r="D291" s="493" t="s">
        <v>330</v>
      </c>
      <c r="E291" s="514">
        <v>1841200</v>
      </c>
      <c r="F291" s="463"/>
      <c r="G291" s="463">
        <v>18800</v>
      </c>
      <c r="H291" s="463">
        <f t="shared" si="57"/>
        <v>1822400</v>
      </c>
    </row>
    <row r="292" spans="1:8" s="1" customFormat="1" ht="12" customHeight="1" x14ac:dyDescent="0.25">
      <c r="A292" s="449"/>
      <c r="B292" s="457"/>
      <c r="C292" s="494">
        <v>4280</v>
      </c>
      <c r="D292" s="493" t="s">
        <v>378</v>
      </c>
      <c r="E292" s="460">
        <v>4400</v>
      </c>
      <c r="F292" s="460">
        <v>800</v>
      </c>
      <c r="G292" s="463"/>
      <c r="H292" s="463">
        <f t="shared" si="57"/>
        <v>5200</v>
      </c>
    </row>
    <row r="293" spans="1:8" s="1" customFormat="1" ht="12" customHeight="1" x14ac:dyDescent="0.25">
      <c r="A293" s="449"/>
      <c r="B293" s="457"/>
      <c r="C293" s="494">
        <v>4300</v>
      </c>
      <c r="D293" s="493" t="s">
        <v>337</v>
      </c>
      <c r="E293" s="514">
        <v>124000</v>
      </c>
      <c r="F293" s="463">
        <v>16000</v>
      </c>
      <c r="G293" s="463"/>
      <c r="H293" s="463">
        <f t="shared" si="57"/>
        <v>140000</v>
      </c>
    </row>
    <row r="294" spans="1:8" s="1" customFormat="1" ht="12" customHeight="1" x14ac:dyDescent="0.25">
      <c r="A294" s="449"/>
      <c r="B294" s="457"/>
      <c r="C294" s="494">
        <v>4440</v>
      </c>
      <c r="D294" s="493" t="s">
        <v>359</v>
      </c>
      <c r="E294" s="514">
        <v>103943</v>
      </c>
      <c r="F294" s="463">
        <f>8390</f>
        <v>8390</v>
      </c>
      <c r="G294" s="463"/>
      <c r="H294" s="463">
        <f t="shared" si="57"/>
        <v>112333</v>
      </c>
    </row>
    <row r="295" spans="1:8" s="1" customFormat="1" ht="12" customHeight="1" x14ac:dyDescent="0.25">
      <c r="A295" s="449"/>
      <c r="B295" s="457"/>
      <c r="C295" s="453">
        <v>4700</v>
      </c>
      <c r="D295" s="459" t="s">
        <v>371</v>
      </c>
      <c r="E295" s="514">
        <v>6000</v>
      </c>
      <c r="F295" s="463">
        <v>2000</v>
      </c>
      <c r="G295" s="463"/>
      <c r="H295" s="463">
        <f t="shared" si="57"/>
        <v>8000</v>
      </c>
    </row>
    <row r="296" spans="1:8" s="1" customFormat="1" ht="12" customHeight="1" thickBot="1" x14ac:dyDescent="0.3">
      <c r="A296" s="449">
        <v>855</v>
      </c>
      <c r="B296" s="448"/>
      <c r="C296" s="450"/>
      <c r="D296" s="451" t="s">
        <v>312</v>
      </c>
      <c r="E296" s="447">
        <v>16746507.9</v>
      </c>
      <c r="F296" s="452">
        <f>SUM(F299,F302,F311)</f>
        <v>619703</v>
      </c>
      <c r="G296" s="452">
        <f>SUM(G299,G302,G311)</f>
        <v>0</v>
      </c>
      <c r="H296" s="447">
        <f t="shared" si="55"/>
        <v>17366210.899999999</v>
      </c>
    </row>
    <row r="297" spans="1:8" s="1" customFormat="1" ht="12" customHeight="1" thickTop="1" x14ac:dyDescent="0.25">
      <c r="A297" s="449"/>
      <c r="B297" s="467">
        <v>85502</v>
      </c>
      <c r="C297" s="443"/>
      <c r="D297" s="474" t="s">
        <v>418</v>
      </c>
      <c r="E297" s="532"/>
      <c r="F297" s="533"/>
      <c r="G297" s="533"/>
      <c r="H297" s="534"/>
    </row>
    <row r="298" spans="1:8" s="1" customFormat="1" ht="12" customHeight="1" x14ac:dyDescent="0.25">
      <c r="A298" s="449"/>
      <c r="B298" s="467"/>
      <c r="C298" s="443"/>
      <c r="D298" s="474" t="s">
        <v>419</v>
      </c>
      <c r="E298" s="532"/>
      <c r="F298" s="533"/>
      <c r="G298" s="533"/>
      <c r="H298" s="534"/>
    </row>
    <row r="299" spans="1:8" s="1" customFormat="1" ht="12" customHeight="1" x14ac:dyDescent="0.25">
      <c r="A299" s="449"/>
      <c r="B299" s="467"/>
      <c r="C299" s="443"/>
      <c r="D299" s="479" t="s">
        <v>420</v>
      </c>
      <c r="E299" s="455">
        <v>1451021</v>
      </c>
      <c r="F299" s="455">
        <f>SUM(F300)</f>
        <v>7898</v>
      </c>
      <c r="G299" s="455">
        <f>SUM(G300)</f>
        <v>0</v>
      </c>
      <c r="H299" s="455">
        <f t="shared" ref="H299:H301" si="58">SUM(E299+F299-G299)</f>
        <v>1458919</v>
      </c>
    </row>
    <row r="300" spans="1:8" s="1" customFormat="1" ht="12" customHeight="1" x14ac:dyDescent="0.25">
      <c r="A300" s="449"/>
      <c r="B300" s="467"/>
      <c r="C300" s="443"/>
      <c r="D300" s="567" t="s">
        <v>408</v>
      </c>
      <c r="E300" s="490">
        <v>1171961</v>
      </c>
      <c r="F300" s="569">
        <f>SUM(F301:F301)</f>
        <v>7898</v>
      </c>
      <c r="G300" s="569">
        <f>SUM(G301:G301)</f>
        <v>0</v>
      </c>
      <c r="H300" s="490">
        <f t="shared" si="58"/>
        <v>1179859</v>
      </c>
    </row>
    <row r="301" spans="1:8" s="1" customFormat="1" ht="12" customHeight="1" x14ac:dyDescent="0.25">
      <c r="A301" s="487"/>
      <c r="B301" s="517"/>
      <c r="C301" s="517">
        <v>4010</v>
      </c>
      <c r="D301" s="464" t="s">
        <v>327</v>
      </c>
      <c r="E301" s="455">
        <v>750788</v>
      </c>
      <c r="F301" s="456">
        <v>7898</v>
      </c>
      <c r="G301" s="456"/>
      <c r="H301" s="456">
        <f t="shared" si="58"/>
        <v>758686</v>
      </c>
    </row>
    <row r="302" spans="1:8" s="1" customFormat="1" ht="12" customHeight="1" x14ac:dyDescent="0.25">
      <c r="A302" s="449"/>
      <c r="B302" s="467">
        <v>85504</v>
      </c>
      <c r="C302" s="443"/>
      <c r="D302" s="470" t="s">
        <v>421</v>
      </c>
      <c r="E302" s="455">
        <v>2393928.7599999998</v>
      </c>
      <c r="F302" s="455">
        <f>SUM(F303,F307,)</f>
        <v>440293</v>
      </c>
      <c r="G302" s="455">
        <f>SUM(G303,G307,)</f>
        <v>0</v>
      </c>
      <c r="H302" s="455">
        <f t="shared" si="55"/>
        <v>2834221.76</v>
      </c>
    </row>
    <row r="303" spans="1:8" s="1" customFormat="1" ht="12" customHeight="1" x14ac:dyDescent="0.25">
      <c r="A303" s="449"/>
      <c r="B303" s="448"/>
      <c r="C303" s="443"/>
      <c r="D303" s="575" t="s">
        <v>422</v>
      </c>
      <c r="E303" s="490">
        <v>1276953.06</v>
      </c>
      <c r="F303" s="569">
        <f>SUM(F304:F306)</f>
        <v>228947</v>
      </c>
      <c r="G303" s="569">
        <f>SUM(G304:G306)</f>
        <v>0</v>
      </c>
      <c r="H303" s="490">
        <f t="shared" si="55"/>
        <v>1505900.06</v>
      </c>
    </row>
    <row r="304" spans="1:8" s="1" customFormat="1" ht="12" customHeight="1" x14ac:dyDescent="0.25">
      <c r="A304" s="449"/>
      <c r="B304" s="448"/>
      <c r="C304" s="467">
        <v>4010</v>
      </c>
      <c r="D304" s="491" t="s">
        <v>327</v>
      </c>
      <c r="E304" s="460">
        <v>754053.06</v>
      </c>
      <c r="F304" s="463">
        <f>5188+176253+12415</f>
        <v>193856</v>
      </c>
      <c r="G304" s="463"/>
      <c r="H304" s="463">
        <f t="shared" si="55"/>
        <v>947909.06</v>
      </c>
    </row>
    <row r="305" spans="1:8" s="1" customFormat="1" ht="12" customHeight="1" x14ac:dyDescent="0.25">
      <c r="A305" s="449"/>
      <c r="B305" s="448"/>
      <c r="C305" s="467">
        <v>4110</v>
      </c>
      <c r="D305" s="491" t="s">
        <v>335</v>
      </c>
      <c r="E305" s="460">
        <v>164517</v>
      </c>
      <c r="F305" s="463">
        <f>30773</f>
        <v>30773</v>
      </c>
      <c r="G305" s="463"/>
      <c r="H305" s="463">
        <f t="shared" si="55"/>
        <v>195290</v>
      </c>
    </row>
    <row r="306" spans="1:8" s="1" customFormat="1" ht="12" customHeight="1" x14ac:dyDescent="0.25">
      <c r="A306" s="449"/>
      <c r="B306" s="448"/>
      <c r="C306" s="467">
        <v>4120</v>
      </c>
      <c r="D306" s="491" t="s">
        <v>336</v>
      </c>
      <c r="E306" s="460">
        <v>22634</v>
      </c>
      <c r="F306" s="463">
        <f>4318</f>
        <v>4318</v>
      </c>
      <c r="G306" s="463"/>
      <c r="H306" s="463">
        <f t="shared" si="55"/>
        <v>26952</v>
      </c>
    </row>
    <row r="307" spans="1:8" s="1" customFormat="1" ht="12" customHeight="1" x14ac:dyDescent="0.25">
      <c r="A307" s="449"/>
      <c r="B307" s="448"/>
      <c r="C307" s="443"/>
      <c r="D307" s="575" t="s">
        <v>423</v>
      </c>
      <c r="E307" s="490">
        <v>1116525.7</v>
      </c>
      <c r="F307" s="569">
        <f>SUM(F308:F310)</f>
        <v>211346</v>
      </c>
      <c r="G307" s="569">
        <f>SUM(G308:G310)</f>
        <v>0</v>
      </c>
      <c r="H307" s="490">
        <f t="shared" si="55"/>
        <v>1327871.7</v>
      </c>
    </row>
    <row r="308" spans="1:8" s="1" customFormat="1" ht="12" customHeight="1" x14ac:dyDescent="0.25">
      <c r="A308" s="449"/>
      <c r="B308" s="448"/>
      <c r="C308" s="467">
        <v>4010</v>
      </c>
      <c r="D308" s="491" t="s">
        <v>327</v>
      </c>
      <c r="E308" s="460">
        <v>785539</v>
      </c>
      <c r="F308" s="463">
        <f>176254</f>
        <v>176254</v>
      </c>
      <c r="G308" s="463"/>
      <c r="H308" s="463">
        <f t="shared" si="55"/>
        <v>961793</v>
      </c>
    </row>
    <row r="309" spans="1:8" s="1" customFormat="1" ht="12" customHeight="1" x14ac:dyDescent="0.25">
      <c r="A309" s="449"/>
      <c r="B309" s="448"/>
      <c r="C309" s="467">
        <v>4110</v>
      </c>
      <c r="D309" s="491" t="s">
        <v>335</v>
      </c>
      <c r="E309" s="460">
        <v>152933</v>
      </c>
      <c r="F309" s="463">
        <f>30774</f>
        <v>30774</v>
      </c>
      <c r="G309" s="463"/>
      <c r="H309" s="463">
        <f t="shared" si="55"/>
        <v>183707</v>
      </c>
    </row>
    <row r="310" spans="1:8" s="1" customFormat="1" ht="12" customHeight="1" x14ac:dyDescent="0.25">
      <c r="A310" s="449"/>
      <c r="B310" s="448"/>
      <c r="C310" s="467">
        <v>4120</v>
      </c>
      <c r="D310" s="491" t="s">
        <v>336</v>
      </c>
      <c r="E310" s="460">
        <v>22158</v>
      </c>
      <c r="F310" s="463">
        <f>4318</f>
        <v>4318</v>
      </c>
      <c r="G310" s="463"/>
      <c r="H310" s="463">
        <f t="shared" si="55"/>
        <v>26476</v>
      </c>
    </row>
    <row r="311" spans="1:8" s="1" customFormat="1" ht="12" customHeight="1" x14ac:dyDescent="0.25">
      <c r="A311" s="450"/>
      <c r="B311" s="518">
        <v>85516</v>
      </c>
      <c r="C311" s="535"/>
      <c r="D311" s="536" t="s">
        <v>424</v>
      </c>
      <c r="E311" s="521">
        <v>12303036.25</v>
      </c>
      <c r="F311" s="522">
        <f>SUM(F312)</f>
        <v>171512</v>
      </c>
      <c r="G311" s="522">
        <f>SUM(G312)</f>
        <v>0</v>
      </c>
      <c r="H311" s="521">
        <f t="shared" si="55"/>
        <v>12474548.25</v>
      </c>
    </row>
    <row r="312" spans="1:8" s="1" customFormat="1" ht="12" customHeight="1" x14ac:dyDescent="0.25">
      <c r="A312" s="450"/>
      <c r="B312" s="537"/>
      <c r="C312" s="535"/>
      <c r="D312" s="584" t="s">
        <v>425</v>
      </c>
      <c r="E312" s="580">
        <v>10293434.25</v>
      </c>
      <c r="F312" s="581">
        <f>SUM(F313:F316)</f>
        <v>171512</v>
      </c>
      <c r="G312" s="581">
        <f>SUM(G313:G316)</f>
        <v>0</v>
      </c>
      <c r="H312" s="580">
        <f t="shared" si="55"/>
        <v>10464946.25</v>
      </c>
    </row>
    <row r="313" spans="1:8" s="1" customFormat="1" ht="12" customHeight="1" x14ac:dyDescent="0.25">
      <c r="A313" s="450"/>
      <c r="B313" s="525"/>
      <c r="C313" s="518">
        <v>4010</v>
      </c>
      <c r="D313" s="519" t="s">
        <v>327</v>
      </c>
      <c r="E313" s="523">
        <v>6575149</v>
      </c>
      <c r="F313" s="524">
        <v>128033</v>
      </c>
      <c r="G313" s="524"/>
      <c r="H313" s="524">
        <f t="shared" si="55"/>
        <v>6703182</v>
      </c>
    </row>
    <row r="314" spans="1:8" s="1" customFormat="1" ht="12" customHeight="1" x14ac:dyDescent="0.25">
      <c r="A314" s="450"/>
      <c r="B314" s="525"/>
      <c r="C314" s="518">
        <v>4110</v>
      </c>
      <c r="D314" s="519" t="s">
        <v>335</v>
      </c>
      <c r="E314" s="523">
        <v>1169327</v>
      </c>
      <c r="F314" s="524">
        <v>19659</v>
      </c>
      <c r="G314" s="524"/>
      <c r="H314" s="524">
        <f t="shared" si="55"/>
        <v>1188986</v>
      </c>
    </row>
    <row r="315" spans="1:8" s="1" customFormat="1" ht="12" customHeight="1" x14ac:dyDescent="0.25">
      <c r="A315" s="450"/>
      <c r="B315" s="525"/>
      <c r="C315" s="518">
        <v>4120</v>
      </c>
      <c r="D315" s="519" t="s">
        <v>336</v>
      </c>
      <c r="E315" s="523">
        <v>145305</v>
      </c>
      <c r="F315" s="524">
        <v>2758</v>
      </c>
      <c r="G315" s="524"/>
      <c r="H315" s="524">
        <f t="shared" si="55"/>
        <v>148063</v>
      </c>
    </row>
    <row r="316" spans="1:8" s="1" customFormat="1" ht="12" customHeight="1" x14ac:dyDescent="0.25">
      <c r="A316" s="450"/>
      <c r="B316" s="525"/>
      <c r="C316" s="494">
        <v>4440</v>
      </c>
      <c r="D316" s="493" t="s">
        <v>359</v>
      </c>
      <c r="E316" s="523">
        <v>250326</v>
      </c>
      <c r="F316" s="524">
        <v>21062</v>
      </c>
      <c r="G316" s="524"/>
      <c r="H316" s="524">
        <f t="shared" si="55"/>
        <v>271388</v>
      </c>
    </row>
    <row r="317" spans="1:8" s="1" customFormat="1" ht="12" customHeight="1" thickBot="1" x14ac:dyDescent="0.3">
      <c r="A317" s="448">
        <v>900</v>
      </c>
      <c r="B317" s="449"/>
      <c r="C317" s="450"/>
      <c r="D317" s="451" t="s">
        <v>426</v>
      </c>
      <c r="E317" s="447">
        <v>99644495.429999992</v>
      </c>
      <c r="F317" s="452">
        <f>SUM(F318,F321,F325,F341,)</f>
        <v>263839.2</v>
      </c>
      <c r="G317" s="452">
        <f>SUM(G318,G321,G325,G341,)</f>
        <v>243135</v>
      </c>
      <c r="H317" s="447">
        <f t="shared" ref="H317:H325" si="59">SUM(E317+F317-G317)</f>
        <v>99665199.629999995</v>
      </c>
    </row>
    <row r="318" spans="1:8" s="1" customFormat="1" ht="12" customHeight="1" thickTop="1" x14ac:dyDescent="0.25">
      <c r="A318" s="448"/>
      <c r="B318" s="467">
        <v>90002</v>
      </c>
      <c r="C318" s="465"/>
      <c r="D318" s="538" t="s">
        <v>427</v>
      </c>
      <c r="E318" s="455">
        <v>43706484.43</v>
      </c>
      <c r="F318" s="456">
        <f>SUM(F319)</f>
        <v>0</v>
      </c>
      <c r="G318" s="456">
        <f>SUM(G319)</f>
        <v>96340</v>
      </c>
      <c r="H318" s="455">
        <f t="shared" ref="H318:H324" si="60">SUM(E318+F318-G318)</f>
        <v>43610144.43</v>
      </c>
    </row>
    <row r="319" spans="1:8" s="1" customFormat="1" ht="12" customHeight="1" x14ac:dyDescent="0.25">
      <c r="A319" s="448"/>
      <c r="B319" s="442"/>
      <c r="C319" s="467"/>
      <c r="D319" s="585" t="s">
        <v>428</v>
      </c>
      <c r="E319" s="586">
        <v>42499382.43</v>
      </c>
      <c r="F319" s="569">
        <f>SUM(F320:F320)</f>
        <v>0</v>
      </c>
      <c r="G319" s="569">
        <f>SUM(G320:G320)</f>
        <v>96340</v>
      </c>
      <c r="H319" s="490">
        <f t="shared" si="60"/>
        <v>42403042.43</v>
      </c>
    </row>
    <row r="320" spans="1:8" s="1" customFormat="1" ht="23.25" customHeight="1" x14ac:dyDescent="0.25">
      <c r="A320" s="448"/>
      <c r="B320" s="442"/>
      <c r="C320" s="453">
        <v>4600</v>
      </c>
      <c r="D320" s="459" t="s">
        <v>429</v>
      </c>
      <c r="E320" s="514">
        <v>906339.81</v>
      </c>
      <c r="F320" s="463"/>
      <c r="G320" s="463">
        <f>50000+46340</f>
        <v>96340</v>
      </c>
      <c r="H320" s="463">
        <f t="shared" si="60"/>
        <v>809999.81</v>
      </c>
    </row>
    <row r="321" spans="1:8" s="1" customFormat="1" ht="12" customHeight="1" x14ac:dyDescent="0.25">
      <c r="A321" s="448"/>
      <c r="B321" s="504">
        <v>90004</v>
      </c>
      <c r="C321" s="504"/>
      <c r="D321" s="516" t="s">
        <v>430</v>
      </c>
      <c r="E321" s="455">
        <v>3128388.1</v>
      </c>
      <c r="F321" s="456">
        <f>SUM(F322)</f>
        <v>50000</v>
      </c>
      <c r="G321" s="456">
        <f>SUM(G322)</f>
        <v>50000</v>
      </c>
      <c r="H321" s="455">
        <f t="shared" si="60"/>
        <v>3128388.1</v>
      </c>
    </row>
    <row r="322" spans="1:8" s="1" customFormat="1" ht="12" customHeight="1" x14ac:dyDescent="0.25">
      <c r="A322" s="448"/>
      <c r="B322" s="442"/>
      <c r="C322" s="467"/>
      <c r="D322" s="572" t="s">
        <v>326</v>
      </c>
      <c r="E322" s="586">
        <v>2586724</v>
      </c>
      <c r="F322" s="569">
        <f>SUM(F323:F324)</f>
        <v>50000</v>
      </c>
      <c r="G322" s="569">
        <f>SUM(G323:G324)</f>
        <v>50000</v>
      </c>
      <c r="H322" s="490">
        <f t="shared" si="60"/>
        <v>2586724</v>
      </c>
    </row>
    <row r="323" spans="1:8" s="1" customFormat="1" ht="12" customHeight="1" x14ac:dyDescent="0.25">
      <c r="A323" s="448"/>
      <c r="B323" s="442"/>
      <c r="C323" s="492" t="s">
        <v>328</v>
      </c>
      <c r="D323" s="493" t="s">
        <v>329</v>
      </c>
      <c r="E323" s="514">
        <v>135224</v>
      </c>
      <c r="F323" s="463">
        <v>50000</v>
      </c>
      <c r="G323" s="463"/>
      <c r="H323" s="463">
        <f t="shared" si="60"/>
        <v>185224</v>
      </c>
    </row>
    <row r="324" spans="1:8" s="1" customFormat="1" ht="12" customHeight="1" x14ac:dyDescent="0.25">
      <c r="A324" s="448"/>
      <c r="B324" s="442"/>
      <c r="C324" s="467">
        <v>4300</v>
      </c>
      <c r="D324" s="491" t="s">
        <v>337</v>
      </c>
      <c r="E324" s="514">
        <v>2097920</v>
      </c>
      <c r="F324" s="463"/>
      <c r="G324" s="463">
        <v>50000</v>
      </c>
      <c r="H324" s="463">
        <f t="shared" si="60"/>
        <v>2047920</v>
      </c>
    </row>
    <row r="325" spans="1:8" s="1" customFormat="1" ht="12" customHeight="1" x14ac:dyDescent="0.25">
      <c r="A325" s="448"/>
      <c r="B325" s="467">
        <v>90013</v>
      </c>
      <c r="C325" s="450"/>
      <c r="D325" s="464" t="s">
        <v>431</v>
      </c>
      <c r="E325" s="455">
        <v>2749498</v>
      </c>
      <c r="F325" s="456">
        <f>SUM(F326)</f>
        <v>85135</v>
      </c>
      <c r="G325" s="456">
        <f>SUM(G326)</f>
        <v>38795</v>
      </c>
      <c r="H325" s="455">
        <f t="shared" si="59"/>
        <v>2795838</v>
      </c>
    </row>
    <row r="326" spans="1:8" s="1" customFormat="1" ht="12" customHeight="1" x14ac:dyDescent="0.25">
      <c r="A326" s="448"/>
      <c r="B326" s="467"/>
      <c r="C326" s="467"/>
      <c r="D326" s="552" t="s">
        <v>432</v>
      </c>
      <c r="E326" s="490">
        <v>2749498</v>
      </c>
      <c r="F326" s="587">
        <f>SUM(F327:F340)</f>
        <v>85135</v>
      </c>
      <c r="G326" s="587">
        <f>SUM(G327:G340)</f>
        <v>38795</v>
      </c>
      <c r="H326" s="490">
        <f>SUM(E326+F326-G326)</f>
        <v>2795838</v>
      </c>
    </row>
    <row r="327" spans="1:8" s="1" customFormat="1" ht="12" customHeight="1" x14ac:dyDescent="0.25">
      <c r="A327" s="448"/>
      <c r="B327" s="467"/>
      <c r="C327" s="494">
        <v>3020</v>
      </c>
      <c r="D327" s="493" t="s">
        <v>334</v>
      </c>
      <c r="E327" s="460">
        <v>7353</v>
      </c>
      <c r="F327" s="463"/>
      <c r="G327" s="463">
        <v>1000</v>
      </c>
      <c r="H327" s="463">
        <f t="shared" ref="H327:H357" si="61">SUM(E327+F327-G327)</f>
        <v>6353</v>
      </c>
    </row>
    <row r="328" spans="1:8" s="1" customFormat="1" ht="12" customHeight="1" x14ac:dyDescent="0.25">
      <c r="A328" s="448"/>
      <c r="B328" s="467"/>
      <c r="C328" s="467">
        <v>4010</v>
      </c>
      <c r="D328" s="457" t="s">
        <v>327</v>
      </c>
      <c r="E328" s="460">
        <v>1396332</v>
      </c>
      <c r="F328" s="463">
        <f>14995+4284</f>
        <v>19279</v>
      </c>
      <c r="G328" s="463"/>
      <c r="H328" s="463">
        <f t="shared" si="61"/>
        <v>1415611</v>
      </c>
    </row>
    <row r="329" spans="1:8" s="1" customFormat="1" ht="12" customHeight="1" x14ac:dyDescent="0.25">
      <c r="A329" s="448"/>
      <c r="B329" s="467"/>
      <c r="C329" s="494">
        <v>4040</v>
      </c>
      <c r="D329" s="493" t="s">
        <v>343</v>
      </c>
      <c r="E329" s="460">
        <v>107985</v>
      </c>
      <c r="F329" s="463"/>
      <c r="G329" s="463">
        <v>12719</v>
      </c>
      <c r="H329" s="463">
        <f t="shared" si="61"/>
        <v>95266</v>
      </c>
    </row>
    <row r="330" spans="1:8" s="1" customFormat="1" ht="12" customHeight="1" x14ac:dyDescent="0.25">
      <c r="A330" s="448"/>
      <c r="B330" s="467"/>
      <c r="C330" s="518">
        <v>4110</v>
      </c>
      <c r="D330" s="519" t="s">
        <v>335</v>
      </c>
      <c r="E330" s="460">
        <v>268397</v>
      </c>
      <c r="F330" s="463">
        <v>737</v>
      </c>
      <c r="G330" s="463"/>
      <c r="H330" s="463">
        <f t="shared" si="61"/>
        <v>269134</v>
      </c>
    </row>
    <row r="331" spans="1:8" s="1" customFormat="1" ht="12" customHeight="1" x14ac:dyDescent="0.25">
      <c r="A331" s="448"/>
      <c r="B331" s="467"/>
      <c r="C331" s="518">
        <v>4120</v>
      </c>
      <c r="D331" s="519" t="s">
        <v>336</v>
      </c>
      <c r="E331" s="460">
        <v>37032</v>
      </c>
      <c r="F331" s="463">
        <v>105</v>
      </c>
      <c r="G331" s="463">
        <f>800+3000</f>
        <v>3800</v>
      </c>
      <c r="H331" s="463">
        <f t="shared" si="61"/>
        <v>33337</v>
      </c>
    </row>
    <row r="332" spans="1:8" s="1" customFormat="1" ht="12" customHeight="1" x14ac:dyDescent="0.25">
      <c r="A332" s="448"/>
      <c r="B332" s="467"/>
      <c r="C332" s="518">
        <v>4170</v>
      </c>
      <c r="D332" s="519" t="s">
        <v>344</v>
      </c>
      <c r="E332" s="460">
        <v>40888</v>
      </c>
      <c r="F332" s="463"/>
      <c r="G332" s="463">
        <f>10345</f>
        <v>10345</v>
      </c>
      <c r="H332" s="463">
        <f t="shared" si="61"/>
        <v>30543</v>
      </c>
    </row>
    <row r="333" spans="1:8" s="1" customFormat="1" ht="12" customHeight="1" x14ac:dyDescent="0.25">
      <c r="A333" s="448"/>
      <c r="B333" s="467"/>
      <c r="C333" s="492" t="s">
        <v>328</v>
      </c>
      <c r="D333" s="493" t="s">
        <v>329</v>
      </c>
      <c r="E333" s="460">
        <v>91990</v>
      </c>
      <c r="F333" s="463">
        <v>41214</v>
      </c>
      <c r="G333" s="463"/>
      <c r="H333" s="463">
        <f t="shared" si="61"/>
        <v>133204</v>
      </c>
    </row>
    <row r="334" spans="1:8" s="1" customFormat="1" ht="12" customHeight="1" x14ac:dyDescent="0.25">
      <c r="A334" s="448"/>
      <c r="B334" s="467"/>
      <c r="C334" s="494">
        <v>4220</v>
      </c>
      <c r="D334" s="493" t="s">
        <v>330</v>
      </c>
      <c r="E334" s="460">
        <v>31625</v>
      </c>
      <c r="F334" s="463">
        <v>8000</v>
      </c>
      <c r="G334" s="463"/>
      <c r="H334" s="463">
        <f t="shared" si="61"/>
        <v>39625</v>
      </c>
    </row>
    <row r="335" spans="1:8" s="1" customFormat="1" ht="12" customHeight="1" x14ac:dyDescent="0.25">
      <c r="A335" s="448"/>
      <c r="B335" s="467"/>
      <c r="C335" s="492" t="s">
        <v>433</v>
      </c>
      <c r="D335" s="539" t="s">
        <v>434</v>
      </c>
      <c r="E335" s="460">
        <v>60470</v>
      </c>
      <c r="F335" s="463">
        <v>10000</v>
      </c>
      <c r="G335" s="463"/>
      <c r="H335" s="463">
        <f t="shared" si="61"/>
        <v>70470</v>
      </c>
    </row>
    <row r="336" spans="1:8" s="1" customFormat="1" ht="12" customHeight="1" x14ac:dyDescent="0.25">
      <c r="A336" s="448"/>
      <c r="B336" s="467"/>
      <c r="C336" s="504">
        <v>4260</v>
      </c>
      <c r="D336" s="505" t="s">
        <v>369</v>
      </c>
      <c r="E336" s="460">
        <v>140884</v>
      </c>
      <c r="F336" s="463"/>
      <c r="G336" s="463">
        <v>8400</v>
      </c>
      <c r="H336" s="463">
        <f t="shared" si="61"/>
        <v>132484</v>
      </c>
    </row>
    <row r="337" spans="1:8" s="1" customFormat="1" ht="12" customHeight="1" x14ac:dyDescent="0.25">
      <c r="A337" s="448"/>
      <c r="B337" s="467"/>
      <c r="C337" s="504">
        <v>4280</v>
      </c>
      <c r="D337" s="505" t="s">
        <v>378</v>
      </c>
      <c r="E337" s="460">
        <v>2100</v>
      </c>
      <c r="F337" s="463">
        <v>800</v>
      </c>
      <c r="G337" s="463"/>
      <c r="H337" s="463">
        <f t="shared" si="61"/>
        <v>2900</v>
      </c>
    </row>
    <row r="338" spans="1:8" s="1" customFormat="1" ht="12" customHeight="1" x14ac:dyDescent="0.25">
      <c r="A338" s="448"/>
      <c r="B338" s="467"/>
      <c r="C338" s="494">
        <v>4530</v>
      </c>
      <c r="D338" s="493" t="s">
        <v>435</v>
      </c>
      <c r="E338" s="460">
        <v>5000</v>
      </c>
      <c r="F338" s="463"/>
      <c r="G338" s="463">
        <v>1031</v>
      </c>
      <c r="H338" s="463">
        <f t="shared" si="61"/>
        <v>3969</v>
      </c>
    </row>
    <row r="339" spans="1:8" s="1" customFormat="1" ht="12" customHeight="1" x14ac:dyDescent="0.25">
      <c r="A339" s="448"/>
      <c r="B339" s="467"/>
      <c r="C339" s="494">
        <v>4610</v>
      </c>
      <c r="D339" s="526" t="s">
        <v>404</v>
      </c>
      <c r="E339" s="460">
        <v>1500</v>
      </c>
      <c r="F339" s="463">
        <v>5000</v>
      </c>
      <c r="G339" s="463"/>
      <c r="H339" s="463">
        <f t="shared" si="61"/>
        <v>6500</v>
      </c>
    </row>
    <row r="340" spans="1:8" s="1" customFormat="1" ht="12" customHeight="1" x14ac:dyDescent="0.25">
      <c r="A340" s="448"/>
      <c r="B340" s="467"/>
      <c r="C340" s="494">
        <v>4710</v>
      </c>
      <c r="D340" s="493" t="s">
        <v>339</v>
      </c>
      <c r="E340" s="460">
        <v>4886</v>
      </c>
      <c r="F340" s="463"/>
      <c r="G340" s="463">
        <v>1500</v>
      </c>
      <c r="H340" s="463">
        <f t="shared" si="61"/>
        <v>3386</v>
      </c>
    </row>
    <row r="341" spans="1:8" s="1" customFormat="1" ht="11.25" customHeight="1" x14ac:dyDescent="0.25">
      <c r="A341" s="448"/>
      <c r="B341" s="518">
        <v>90095</v>
      </c>
      <c r="C341" s="540"/>
      <c r="D341" s="464" t="s">
        <v>52</v>
      </c>
      <c r="E341" s="521">
        <v>24459872.599999998</v>
      </c>
      <c r="F341" s="522">
        <f>SUM(F342,F344,F348)</f>
        <v>128704.2</v>
      </c>
      <c r="G341" s="522">
        <f>SUM(G342,G344,G348)</f>
        <v>58000</v>
      </c>
      <c r="H341" s="521">
        <f t="shared" si="61"/>
        <v>24530576.799999997</v>
      </c>
    </row>
    <row r="342" spans="1:8" s="1" customFormat="1" ht="11.25" customHeight="1" x14ac:dyDescent="0.25">
      <c r="A342" s="448"/>
      <c r="B342" s="518"/>
      <c r="C342" s="443"/>
      <c r="D342" s="585" t="s">
        <v>428</v>
      </c>
      <c r="E342" s="569">
        <v>6426481.6600000001</v>
      </c>
      <c r="F342" s="569">
        <f>SUM(F343:F343)</f>
        <v>50000</v>
      </c>
      <c r="G342" s="569">
        <f>SUM(G343:G343)</f>
        <v>0</v>
      </c>
      <c r="H342" s="490">
        <f t="shared" si="61"/>
        <v>6476481.6600000001</v>
      </c>
    </row>
    <row r="343" spans="1:8" s="1" customFormat="1" ht="11.25" customHeight="1" x14ac:dyDescent="0.25">
      <c r="A343" s="448"/>
      <c r="B343" s="518"/>
      <c r="C343" s="457">
        <v>4300</v>
      </c>
      <c r="D343" s="491" t="s">
        <v>337</v>
      </c>
      <c r="E343" s="463">
        <v>2814324.28</v>
      </c>
      <c r="F343" s="463">
        <v>50000</v>
      </c>
      <c r="G343" s="463"/>
      <c r="H343" s="460">
        <f t="shared" si="61"/>
        <v>2864324.28</v>
      </c>
    </row>
    <row r="344" spans="1:8" s="1" customFormat="1" ht="11.25" customHeight="1" x14ac:dyDescent="0.25">
      <c r="A344" s="448"/>
      <c r="B344" s="518"/>
      <c r="C344" s="518"/>
      <c r="D344" s="573" t="s">
        <v>333</v>
      </c>
      <c r="E344" s="580">
        <v>2297984.4699999997</v>
      </c>
      <c r="F344" s="581">
        <f>SUM(F345:F347)</f>
        <v>20704.2</v>
      </c>
      <c r="G344" s="581">
        <f>SUM(G345:G347)</f>
        <v>0</v>
      </c>
      <c r="H344" s="580">
        <f t="shared" si="61"/>
        <v>2318688.67</v>
      </c>
    </row>
    <row r="345" spans="1:8" s="1" customFormat="1" ht="11.25" customHeight="1" x14ac:dyDescent="0.25">
      <c r="A345" s="448"/>
      <c r="B345" s="518"/>
      <c r="C345" s="467">
        <v>4010</v>
      </c>
      <c r="D345" s="491" t="s">
        <v>327</v>
      </c>
      <c r="E345" s="523">
        <v>426714.1</v>
      </c>
      <c r="F345" s="524">
        <f>1711+18661.2</f>
        <v>20372.2</v>
      </c>
      <c r="G345" s="524"/>
      <c r="H345" s="524">
        <f t="shared" si="61"/>
        <v>447086.3</v>
      </c>
    </row>
    <row r="346" spans="1:8" s="1" customFormat="1" ht="11.25" customHeight="1" x14ac:dyDescent="0.25">
      <c r="A346" s="448"/>
      <c r="B346" s="518"/>
      <c r="C346" s="518">
        <v>4110</v>
      </c>
      <c r="D346" s="519" t="s">
        <v>335</v>
      </c>
      <c r="E346" s="523">
        <v>65437</v>
      </c>
      <c r="F346" s="524">
        <f>290</f>
        <v>290</v>
      </c>
      <c r="G346" s="524"/>
      <c r="H346" s="524">
        <f t="shared" si="61"/>
        <v>65727</v>
      </c>
    </row>
    <row r="347" spans="1:8" s="1" customFormat="1" ht="11.25" customHeight="1" x14ac:dyDescent="0.25">
      <c r="A347" s="448"/>
      <c r="B347" s="518"/>
      <c r="C347" s="518">
        <v>4120</v>
      </c>
      <c r="D347" s="519" t="s">
        <v>336</v>
      </c>
      <c r="E347" s="523">
        <v>9466.369999999999</v>
      </c>
      <c r="F347" s="524">
        <f>42</f>
        <v>42</v>
      </c>
      <c r="G347" s="524"/>
      <c r="H347" s="524">
        <f t="shared" si="61"/>
        <v>9508.369999999999</v>
      </c>
    </row>
    <row r="348" spans="1:8" s="1" customFormat="1" ht="22.5" customHeight="1" x14ac:dyDescent="0.25">
      <c r="A348" s="448"/>
      <c r="B348" s="518"/>
      <c r="C348" s="467"/>
      <c r="D348" s="579" t="s">
        <v>436</v>
      </c>
      <c r="E348" s="586">
        <v>332600</v>
      </c>
      <c r="F348" s="569">
        <f>SUM(F349:F351)</f>
        <v>58000</v>
      </c>
      <c r="G348" s="569">
        <f>SUM(G349:G351)</f>
        <v>58000</v>
      </c>
      <c r="H348" s="490">
        <f t="shared" si="61"/>
        <v>332600</v>
      </c>
    </row>
    <row r="349" spans="1:8" s="1" customFormat="1" ht="11.25" customHeight="1" x14ac:dyDescent="0.25">
      <c r="A349" s="448"/>
      <c r="B349" s="518"/>
      <c r="C349" s="494">
        <v>4260</v>
      </c>
      <c r="D349" s="493" t="s">
        <v>369</v>
      </c>
      <c r="E349" s="514">
        <v>170000</v>
      </c>
      <c r="F349" s="463">
        <v>30000</v>
      </c>
      <c r="G349" s="463"/>
      <c r="H349" s="463">
        <f t="shared" si="61"/>
        <v>200000</v>
      </c>
    </row>
    <row r="350" spans="1:8" s="1" customFormat="1" ht="11.25" customHeight="1" x14ac:dyDescent="0.25">
      <c r="A350" s="448"/>
      <c r="B350" s="518"/>
      <c r="C350" s="494">
        <v>4270</v>
      </c>
      <c r="D350" s="493" t="s">
        <v>370</v>
      </c>
      <c r="E350" s="514">
        <v>80000</v>
      </c>
      <c r="F350" s="463"/>
      <c r="G350" s="463">
        <v>58000</v>
      </c>
      <c r="H350" s="463">
        <f t="shared" si="61"/>
        <v>22000</v>
      </c>
    </row>
    <row r="351" spans="1:8" s="1" customFormat="1" ht="11.25" customHeight="1" x14ac:dyDescent="0.25">
      <c r="A351" s="448"/>
      <c r="B351" s="518"/>
      <c r="C351" s="467">
        <v>4300</v>
      </c>
      <c r="D351" s="491" t="s">
        <v>337</v>
      </c>
      <c r="E351" s="514">
        <v>60000</v>
      </c>
      <c r="F351" s="463">
        <v>28000</v>
      </c>
      <c r="G351" s="463"/>
      <c r="H351" s="463">
        <f t="shared" si="61"/>
        <v>88000</v>
      </c>
    </row>
    <row r="352" spans="1:8" s="1" customFormat="1" ht="12" customHeight="1" thickBot="1" x14ac:dyDescent="0.3">
      <c r="A352" s="448">
        <v>921</v>
      </c>
      <c r="B352" s="449"/>
      <c r="C352" s="450"/>
      <c r="D352" s="451" t="s">
        <v>437</v>
      </c>
      <c r="E352" s="447">
        <v>23638337.709999997</v>
      </c>
      <c r="F352" s="452">
        <f>SUM(F353,)</f>
        <v>15000</v>
      </c>
      <c r="G352" s="452">
        <f>SUM(G353,)</f>
        <v>15000</v>
      </c>
      <c r="H352" s="447">
        <f t="shared" si="61"/>
        <v>23638337.709999997</v>
      </c>
    </row>
    <row r="353" spans="1:8" s="1" customFormat="1" ht="12" customHeight="1" thickTop="1" x14ac:dyDescent="0.25">
      <c r="A353" s="448"/>
      <c r="B353" s="467">
        <v>92195</v>
      </c>
      <c r="C353" s="467"/>
      <c r="D353" s="499" t="s">
        <v>52</v>
      </c>
      <c r="E353" s="455">
        <v>1259820</v>
      </c>
      <c r="F353" s="455">
        <f>SUM(F354)</f>
        <v>15000</v>
      </c>
      <c r="G353" s="455">
        <f>SUM(G354)</f>
        <v>15000</v>
      </c>
      <c r="H353" s="455">
        <f t="shared" si="61"/>
        <v>1259820</v>
      </c>
    </row>
    <row r="354" spans="1:8" s="1" customFormat="1" ht="12" customHeight="1" x14ac:dyDescent="0.25">
      <c r="A354" s="448"/>
      <c r="B354" s="442"/>
      <c r="C354" s="467"/>
      <c r="D354" s="575" t="s">
        <v>346</v>
      </c>
      <c r="E354" s="490">
        <v>1259820</v>
      </c>
      <c r="F354" s="569">
        <f>SUM(F355:F357)</f>
        <v>15000</v>
      </c>
      <c r="G354" s="569">
        <f>SUM(G355:G357)</f>
        <v>15000</v>
      </c>
      <c r="H354" s="490">
        <f t="shared" si="61"/>
        <v>1259820</v>
      </c>
    </row>
    <row r="355" spans="1:8" s="1" customFormat="1" ht="12" customHeight="1" x14ac:dyDescent="0.25">
      <c r="A355" s="448"/>
      <c r="B355" s="442"/>
      <c r="C355" s="494">
        <v>3040</v>
      </c>
      <c r="D355" s="459" t="s">
        <v>438</v>
      </c>
      <c r="E355" s="460">
        <v>18000</v>
      </c>
      <c r="F355" s="463">
        <v>10000</v>
      </c>
      <c r="G355" s="463"/>
      <c r="H355" s="463">
        <f t="shared" si="61"/>
        <v>28000</v>
      </c>
    </row>
    <row r="356" spans="1:8" s="1" customFormat="1" ht="12" customHeight="1" x14ac:dyDescent="0.25">
      <c r="A356" s="448"/>
      <c r="B356" s="442"/>
      <c r="C356" s="492" t="s">
        <v>328</v>
      </c>
      <c r="D356" s="493" t="s">
        <v>329</v>
      </c>
      <c r="E356" s="460">
        <v>19700</v>
      </c>
      <c r="F356" s="463">
        <v>5000</v>
      </c>
      <c r="G356" s="463"/>
      <c r="H356" s="463">
        <f t="shared" si="61"/>
        <v>24700</v>
      </c>
    </row>
    <row r="357" spans="1:8" s="1" customFormat="1" ht="12" customHeight="1" x14ac:dyDescent="0.25">
      <c r="A357" s="486"/>
      <c r="B357" s="541"/>
      <c r="C357" s="517">
        <v>4300</v>
      </c>
      <c r="D357" s="464" t="s">
        <v>337</v>
      </c>
      <c r="E357" s="455">
        <v>219000</v>
      </c>
      <c r="F357" s="456"/>
      <c r="G357" s="456">
        <f>10000+5000</f>
        <v>15000</v>
      </c>
      <c r="H357" s="456">
        <f t="shared" si="61"/>
        <v>204000</v>
      </c>
    </row>
    <row r="358" spans="1:8" s="1" customFormat="1" ht="19.5" customHeight="1" thickBot="1" x14ac:dyDescent="0.3">
      <c r="A358" s="448"/>
      <c r="B358" s="457"/>
      <c r="C358" s="467"/>
      <c r="D358" s="446" t="s">
        <v>439</v>
      </c>
      <c r="E358" s="447">
        <v>393568063.09000003</v>
      </c>
      <c r="F358" s="447">
        <f>SUM(F359,F363,F370,F480,F506,)</f>
        <v>14067943.4</v>
      </c>
      <c r="G358" s="447">
        <f>SUM(G359,G363,G370,G480,G506,)</f>
        <v>97025</v>
      </c>
      <c r="H358" s="447">
        <f>SUM(E358+F358-G358)</f>
        <v>407538981.49000001</v>
      </c>
    </row>
    <row r="359" spans="1:8" s="1" customFormat="1" ht="17.25" customHeight="1" thickTop="1" thickBot="1" x14ac:dyDescent="0.3">
      <c r="A359" s="448">
        <v>750</v>
      </c>
      <c r="B359" s="449"/>
      <c r="C359" s="450"/>
      <c r="D359" s="451" t="s">
        <v>340</v>
      </c>
      <c r="E359" s="447">
        <v>12400560</v>
      </c>
      <c r="F359" s="452">
        <f>SUM(F360,)</f>
        <v>22325</v>
      </c>
      <c r="G359" s="452">
        <f>SUM(G360,)</f>
        <v>0</v>
      </c>
      <c r="H359" s="447">
        <f>SUM(E359+F359-G359)</f>
        <v>12422885</v>
      </c>
    </row>
    <row r="360" spans="1:8" s="1" customFormat="1" ht="12" customHeight="1" thickTop="1" x14ac:dyDescent="0.25">
      <c r="A360" s="448"/>
      <c r="B360" s="443" t="s">
        <v>440</v>
      </c>
      <c r="C360" s="467"/>
      <c r="D360" s="464" t="s">
        <v>441</v>
      </c>
      <c r="E360" s="455">
        <v>4650380</v>
      </c>
      <c r="F360" s="456">
        <f>SUM(F361)</f>
        <v>22325</v>
      </c>
      <c r="G360" s="456">
        <f>SUM(G361)</f>
        <v>0</v>
      </c>
      <c r="H360" s="455">
        <f>SUM(E360+F360-G360)</f>
        <v>4672705</v>
      </c>
    </row>
    <row r="361" spans="1:8" s="1" customFormat="1" ht="12" customHeight="1" x14ac:dyDescent="0.25">
      <c r="A361" s="448"/>
      <c r="B361" s="443"/>
      <c r="C361" s="443"/>
      <c r="D361" s="567" t="s">
        <v>442</v>
      </c>
      <c r="E361" s="490">
        <v>4650380</v>
      </c>
      <c r="F361" s="569">
        <f>SUM(F362:F362)</f>
        <v>22325</v>
      </c>
      <c r="G361" s="569">
        <f>SUM(G362:G362)</f>
        <v>0</v>
      </c>
      <c r="H361" s="490">
        <f>SUM(E361+F361-G361)</f>
        <v>4672705</v>
      </c>
    </row>
    <row r="362" spans="1:8" s="1" customFormat="1" ht="12" customHeight="1" x14ac:dyDescent="0.25">
      <c r="A362" s="448"/>
      <c r="B362" s="443"/>
      <c r="C362" s="494">
        <v>4440</v>
      </c>
      <c r="D362" s="493" t="s">
        <v>359</v>
      </c>
      <c r="E362" s="460">
        <v>563418</v>
      </c>
      <c r="F362" s="460">
        <v>22325</v>
      </c>
      <c r="G362" s="460"/>
      <c r="H362" s="460">
        <f t="shared" ref="H362:H369" si="62">SUM(E362+F362-G362)</f>
        <v>585743</v>
      </c>
    </row>
    <row r="363" spans="1:8" s="1" customFormat="1" ht="12.75" customHeight="1" thickBot="1" x14ac:dyDescent="0.3">
      <c r="A363" s="449">
        <v>752</v>
      </c>
      <c r="B363" s="449"/>
      <c r="C363" s="450"/>
      <c r="D363" s="451" t="s">
        <v>282</v>
      </c>
      <c r="E363" s="447">
        <v>80000</v>
      </c>
      <c r="F363" s="447">
        <f>SUM(F364)</f>
        <v>0</v>
      </c>
      <c r="G363" s="447">
        <f>SUM(G364)</f>
        <v>5311</v>
      </c>
      <c r="H363" s="447">
        <f t="shared" si="62"/>
        <v>74689</v>
      </c>
    </row>
    <row r="364" spans="1:8" s="1" customFormat="1" ht="12" customHeight="1" thickTop="1" x14ac:dyDescent="0.25">
      <c r="A364" s="449"/>
      <c r="B364" s="504">
        <v>75224</v>
      </c>
      <c r="C364" s="504"/>
      <c r="D364" s="516" t="s">
        <v>300</v>
      </c>
      <c r="E364" s="455">
        <v>80000</v>
      </c>
      <c r="F364" s="456">
        <f>SUM(F365)</f>
        <v>0</v>
      </c>
      <c r="G364" s="456">
        <f>SUM(G365)</f>
        <v>5311</v>
      </c>
      <c r="H364" s="455">
        <f t="shared" si="62"/>
        <v>74689</v>
      </c>
    </row>
    <row r="365" spans="1:8" s="1" customFormat="1" ht="12" customHeight="1" x14ac:dyDescent="0.25">
      <c r="A365" s="449"/>
      <c r="B365" s="542"/>
      <c r="C365" s="504"/>
      <c r="D365" s="588" t="s">
        <v>443</v>
      </c>
      <c r="E365" s="553">
        <v>80000</v>
      </c>
      <c r="F365" s="569">
        <f>SUM(F366:F369)</f>
        <v>0</v>
      </c>
      <c r="G365" s="569">
        <f>SUM(G366:G369)</f>
        <v>5311</v>
      </c>
      <c r="H365" s="490">
        <f t="shared" si="62"/>
        <v>74689</v>
      </c>
    </row>
    <row r="366" spans="1:8" s="1" customFormat="1" ht="12" customHeight="1" x14ac:dyDescent="0.25">
      <c r="A366" s="449"/>
      <c r="B366" s="542"/>
      <c r="C366" s="467">
        <v>4110</v>
      </c>
      <c r="D366" s="491" t="s">
        <v>335</v>
      </c>
      <c r="E366" s="460">
        <v>2000</v>
      </c>
      <c r="F366" s="463"/>
      <c r="G366" s="463">
        <v>44</v>
      </c>
      <c r="H366" s="463">
        <f t="shared" si="62"/>
        <v>1956</v>
      </c>
    </row>
    <row r="367" spans="1:8" s="1" customFormat="1" ht="12" customHeight="1" x14ac:dyDescent="0.25">
      <c r="A367" s="449"/>
      <c r="B367" s="542"/>
      <c r="C367" s="467">
        <v>4120</v>
      </c>
      <c r="D367" s="1" t="s">
        <v>336</v>
      </c>
      <c r="E367" s="460">
        <v>300</v>
      </c>
      <c r="F367" s="463"/>
      <c r="G367" s="463">
        <v>17</v>
      </c>
      <c r="H367" s="463">
        <f t="shared" si="62"/>
        <v>283</v>
      </c>
    </row>
    <row r="368" spans="1:8" s="1" customFormat="1" ht="12" customHeight="1" x14ac:dyDescent="0.25">
      <c r="A368" s="449"/>
      <c r="B368" s="467"/>
      <c r="C368" s="467">
        <v>4170</v>
      </c>
      <c r="D368" s="491" t="s">
        <v>344</v>
      </c>
      <c r="E368" s="463">
        <v>47700</v>
      </c>
      <c r="F368" s="460"/>
      <c r="G368" s="460">
        <v>4650</v>
      </c>
      <c r="H368" s="463">
        <f t="shared" si="62"/>
        <v>43050</v>
      </c>
    </row>
    <row r="369" spans="1:8" s="1" customFormat="1" ht="12" customHeight="1" x14ac:dyDescent="0.25">
      <c r="A369" s="449"/>
      <c r="B369" s="467"/>
      <c r="C369" s="467">
        <v>4300</v>
      </c>
      <c r="D369" s="491" t="s">
        <v>337</v>
      </c>
      <c r="E369" s="463">
        <v>30000</v>
      </c>
      <c r="F369" s="460"/>
      <c r="G369" s="460">
        <v>600</v>
      </c>
      <c r="H369" s="463">
        <f t="shared" si="62"/>
        <v>29400</v>
      </c>
    </row>
    <row r="370" spans="1:8" s="1" customFormat="1" ht="12" customHeight="1" thickBot="1" x14ac:dyDescent="0.3">
      <c r="A370" s="449">
        <v>801</v>
      </c>
      <c r="B370" s="449"/>
      <c r="C370" s="450"/>
      <c r="D370" s="451" t="s">
        <v>288</v>
      </c>
      <c r="E370" s="512">
        <v>212757345.20999992</v>
      </c>
      <c r="F370" s="452">
        <f>SUM(F371,F379,F384,F387,F395,F401,F412,F435,F443,F451,F455,F458,F468,F476,F427,F407)</f>
        <v>11746514</v>
      </c>
      <c r="G370" s="452">
        <f>SUM(G371,G379,G384,G387,G395,G401,G412,G435,G443,G451,G455,G458,G468,G476,G427,G407)</f>
        <v>91714</v>
      </c>
      <c r="H370" s="447">
        <f>SUM(E370+F370-G370)</f>
        <v>224412145.20999992</v>
      </c>
    </row>
    <row r="371" spans="1:8" s="1" customFormat="1" ht="12" customHeight="1" thickTop="1" x14ac:dyDescent="0.25">
      <c r="A371" s="449"/>
      <c r="B371" s="457">
        <v>80102</v>
      </c>
      <c r="C371" s="443"/>
      <c r="D371" s="464" t="s">
        <v>21</v>
      </c>
      <c r="E371" s="456">
        <v>17599732.059999999</v>
      </c>
      <c r="F371" s="456">
        <f>SUM(F372)</f>
        <v>2543900</v>
      </c>
      <c r="G371" s="456">
        <f>SUM(G372)</f>
        <v>0</v>
      </c>
      <c r="H371" s="455">
        <f>SUM(E371+F371-G371)</f>
        <v>20143632.059999999</v>
      </c>
    </row>
    <row r="372" spans="1:8" s="1" customFormat="1" ht="12" customHeight="1" x14ac:dyDescent="0.25">
      <c r="A372" s="449"/>
      <c r="B372" s="457"/>
      <c r="C372" s="443"/>
      <c r="D372" s="567" t="s">
        <v>367</v>
      </c>
      <c r="E372" s="490">
        <v>17599732.059999999</v>
      </c>
      <c r="F372" s="490">
        <f>SUM(F373:F378)</f>
        <v>2543900</v>
      </c>
      <c r="G372" s="490">
        <f>SUM(G373:G378)</f>
        <v>0</v>
      </c>
      <c r="H372" s="490">
        <f>SUM(E372+F372-G372)</f>
        <v>20143632.059999999</v>
      </c>
    </row>
    <row r="373" spans="1:8" s="1" customFormat="1" ht="12" customHeight="1" x14ac:dyDescent="0.25">
      <c r="A373" s="449"/>
      <c r="B373" s="457"/>
      <c r="C373" s="467">
        <v>4010</v>
      </c>
      <c r="D373" s="491" t="s">
        <v>327</v>
      </c>
      <c r="E373" s="460">
        <v>2506057.8199999998</v>
      </c>
      <c r="F373" s="460">
        <v>417000</v>
      </c>
      <c r="G373" s="460"/>
      <c r="H373" s="460">
        <f t="shared" ref="H373:H377" si="63">SUM(E373+F373-G373)</f>
        <v>2923057.82</v>
      </c>
    </row>
    <row r="374" spans="1:8" s="1" customFormat="1" ht="12" customHeight="1" x14ac:dyDescent="0.25">
      <c r="A374" s="449"/>
      <c r="B374" s="457"/>
      <c r="C374" s="467">
        <v>4110</v>
      </c>
      <c r="D374" s="491" t="s">
        <v>335</v>
      </c>
      <c r="E374" s="460">
        <v>2457759</v>
      </c>
      <c r="F374" s="460">
        <v>425000</v>
      </c>
      <c r="G374" s="460"/>
      <c r="H374" s="460">
        <f t="shared" si="63"/>
        <v>2882759</v>
      </c>
    </row>
    <row r="375" spans="1:8" s="1" customFormat="1" ht="12" customHeight="1" x14ac:dyDescent="0.25">
      <c r="A375" s="449"/>
      <c r="B375" s="457"/>
      <c r="C375" s="467">
        <v>4120</v>
      </c>
      <c r="D375" s="1" t="s">
        <v>336</v>
      </c>
      <c r="E375" s="460">
        <v>335569</v>
      </c>
      <c r="F375" s="460">
        <v>4900</v>
      </c>
      <c r="G375" s="460"/>
      <c r="H375" s="460">
        <f t="shared" si="63"/>
        <v>340469</v>
      </c>
    </row>
    <row r="376" spans="1:8" s="1" customFormat="1" ht="12" customHeight="1" x14ac:dyDescent="0.25">
      <c r="A376" s="449"/>
      <c r="B376" s="457"/>
      <c r="C376" s="467">
        <v>4710</v>
      </c>
      <c r="D376" s="1" t="s">
        <v>339</v>
      </c>
      <c r="E376" s="460">
        <v>31833</v>
      </c>
      <c r="F376" s="460">
        <v>7000</v>
      </c>
      <c r="G376" s="460"/>
      <c r="H376" s="460">
        <f t="shared" si="63"/>
        <v>38833</v>
      </c>
    </row>
    <row r="377" spans="1:8" s="1" customFormat="1" ht="12" customHeight="1" x14ac:dyDescent="0.25">
      <c r="A377" s="449"/>
      <c r="B377" s="457"/>
      <c r="C377" s="467">
        <v>4780</v>
      </c>
      <c r="D377" s="1" t="s">
        <v>444</v>
      </c>
      <c r="E377" s="460">
        <v>11759</v>
      </c>
      <c r="F377" s="460">
        <v>5000</v>
      </c>
      <c r="G377" s="460"/>
      <c r="H377" s="460">
        <f t="shared" si="63"/>
        <v>16759</v>
      </c>
    </row>
    <row r="378" spans="1:8" s="1" customFormat="1" ht="12" customHeight="1" x14ac:dyDescent="0.25">
      <c r="A378" s="449"/>
      <c r="B378" s="457"/>
      <c r="C378" s="443" t="s">
        <v>445</v>
      </c>
      <c r="D378" s="1" t="s">
        <v>372</v>
      </c>
      <c r="E378" s="460">
        <v>9992957.5199999996</v>
      </c>
      <c r="F378" s="460">
        <v>1685000</v>
      </c>
      <c r="G378" s="460"/>
      <c r="H378" s="460">
        <f>SUM(E378+F378-G378)</f>
        <v>11677957.52</v>
      </c>
    </row>
    <row r="379" spans="1:8" s="1" customFormat="1" ht="12" customHeight="1" x14ac:dyDescent="0.25">
      <c r="A379" s="449"/>
      <c r="B379" s="457">
        <v>80107</v>
      </c>
      <c r="C379" s="443"/>
      <c r="D379" s="464" t="s">
        <v>383</v>
      </c>
      <c r="E379" s="456">
        <v>1749454</v>
      </c>
      <c r="F379" s="456">
        <f>SUM(F380)</f>
        <v>70000</v>
      </c>
      <c r="G379" s="456">
        <f>SUM(G380)</f>
        <v>0</v>
      </c>
      <c r="H379" s="455">
        <f t="shared" ref="H379:H383" si="64">SUM(E379+F379-G379)</f>
        <v>1819454</v>
      </c>
    </row>
    <row r="380" spans="1:8" s="1" customFormat="1" ht="12" customHeight="1" x14ac:dyDescent="0.25">
      <c r="A380" s="449"/>
      <c r="B380" s="457"/>
      <c r="C380" s="443"/>
      <c r="D380" s="567" t="s">
        <v>367</v>
      </c>
      <c r="E380" s="490">
        <v>1749454</v>
      </c>
      <c r="F380" s="490">
        <f>SUM(F381:F383)</f>
        <v>70000</v>
      </c>
      <c r="G380" s="490">
        <f>SUM(G381:G383)</f>
        <v>0</v>
      </c>
      <c r="H380" s="490">
        <f t="shared" si="64"/>
        <v>1819454</v>
      </c>
    </row>
    <row r="381" spans="1:8" s="1" customFormat="1" ht="12" customHeight="1" x14ac:dyDescent="0.25">
      <c r="A381" s="449"/>
      <c r="B381" s="457"/>
      <c r="C381" s="443" t="s">
        <v>446</v>
      </c>
      <c r="D381" s="491" t="s">
        <v>335</v>
      </c>
      <c r="E381" s="460">
        <v>262393</v>
      </c>
      <c r="F381" s="460">
        <v>6500</v>
      </c>
      <c r="G381" s="460"/>
      <c r="H381" s="460">
        <f t="shared" si="64"/>
        <v>268893</v>
      </c>
    </row>
    <row r="382" spans="1:8" s="1" customFormat="1" ht="12.75" x14ac:dyDescent="0.25">
      <c r="A382" s="449"/>
      <c r="B382" s="457"/>
      <c r="C382" s="443" t="s">
        <v>447</v>
      </c>
      <c r="D382" s="1" t="s">
        <v>336</v>
      </c>
      <c r="E382" s="460">
        <v>24144</v>
      </c>
      <c r="F382" s="460">
        <v>3500</v>
      </c>
      <c r="G382" s="460"/>
      <c r="H382" s="460">
        <f t="shared" si="64"/>
        <v>27644</v>
      </c>
    </row>
    <row r="383" spans="1:8" s="1" customFormat="1" ht="12.75" x14ac:dyDescent="0.25">
      <c r="A383" s="449"/>
      <c r="B383" s="457"/>
      <c r="C383" s="467">
        <v>4790</v>
      </c>
      <c r="D383" s="1" t="s">
        <v>372</v>
      </c>
      <c r="E383" s="460">
        <v>1284148</v>
      </c>
      <c r="F383" s="460">
        <v>60000</v>
      </c>
      <c r="G383" s="460"/>
      <c r="H383" s="460">
        <f t="shared" si="64"/>
        <v>1344148</v>
      </c>
    </row>
    <row r="384" spans="1:8" s="1" customFormat="1" ht="12.75" x14ac:dyDescent="0.25">
      <c r="A384" s="449"/>
      <c r="B384" s="457">
        <v>80113</v>
      </c>
      <c r="C384" s="443"/>
      <c r="D384" s="516" t="s">
        <v>448</v>
      </c>
      <c r="E384" s="456">
        <v>847730</v>
      </c>
      <c r="F384" s="456">
        <f>SUM(F385)</f>
        <v>6500</v>
      </c>
      <c r="G384" s="456">
        <f>SUM(G385)</f>
        <v>0</v>
      </c>
      <c r="H384" s="455">
        <f>SUM(E384+F384-G384)</f>
        <v>854230</v>
      </c>
    </row>
    <row r="385" spans="1:8" s="1" customFormat="1" ht="12.75" x14ac:dyDescent="0.25">
      <c r="A385" s="449"/>
      <c r="B385" s="457"/>
      <c r="C385" s="443"/>
      <c r="D385" s="567" t="s">
        <v>367</v>
      </c>
      <c r="E385" s="490">
        <v>847730</v>
      </c>
      <c r="F385" s="490">
        <f>SUM(F386:F386)</f>
        <v>6500</v>
      </c>
      <c r="G385" s="490">
        <f>SUM(G386:G386)</f>
        <v>0</v>
      </c>
      <c r="H385" s="490">
        <f>SUM(E385+F385-G385)</f>
        <v>854230</v>
      </c>
    </row>
    <row r="386" spans="1:8" s="1" customFormat="1" ht="12.75" x14ac:dyDescent="0.25">
      <c r="A386" s="449"/>
      <c r="B386" s="457"/>
      <c r="C386" s="443" t="s">
        <v>446</v>
      </c>
      <c r="D386" s="491" t="s">
        <v>335</v>
      </c>
      <c r="E386" s="460">
        <v>98750</v>
      </c>
      <c r="F386" s="460">
        <v>6500</v>
      </c>
      <c r="G386" s="460"/>
      <c r="H386" s="460">
        <f t="shared" ref="H386:H394" si="65">SUM(E386+F386-G386)</f>
        <v>105250</v>
      </c>
    </row>
    <row r="387" spans="1:8" s="1" customFormat="1" ht="12.75" x14ac:dyDescent="0.25">
      <c r="A387" s="449"/>
      <c r="B387" s="457">
        <v>80115</v>
      </c>
      <c r="C387" s="443"/>
      <c r="D387" s="464" t="s">
        <v>22</v>
      </c>
      <c r="E387" s="455">
        <v>64991522.119999997</v>
      </c>
      <c r="F387" s="456">
        <f>SUM(F388)</f>
        <v>3500750</v>
      </c>
      <c r="G387" s="456">
        <f>SUM(G388)</f>
        <v>0</v>
      </c>
      <c r="H387" s="455">
        <f t="shared" si="65"/>
        <v>68492272.120000005</v>
      </c>
    </row>
    <row r="388" spans="1:8" s="1" customFormat="1" ht="12.75" x14ac:dyDescent="0.25">
      <c r="A388" s="449"/>
      <c r="B388" s="457"/>
      <c r="C388" s="443"/>
      <c r="D388" s="567" t="s">
        <v>367</v>
      </c>
      <c r="E388" s="490">
        <v>60835192.68</v>
      </c>
      <c r="F388" s="490">
        <f>SUM(F389:F394)</f>
        <v>3500750</v>
      </c>
      <c r="G388" s="490">
        <f>SUM(G389:G394)</f>
        <v>0</v>
      </c>
      <c r="H388" s="490">
        <f t="shared" si="65"/>
        <v>64335942.68</v>
      </c>
    </row>
    <row r="389" spans="1:8" s="1" customFormat="1" ht="12.75" x14ac:dyDescent="0.25">
      <c r="A389" s="449"/>
      <c r="B389" s="457"/>
      <c r="C389" s="467">
        <v>4010</v>
      </c>
      <c r="D389" s="491" t="s">
        <v>327</v>
      </c>
      <c r="E389" s="460">
        <v>7689821.4199999999</v>
      </c>
      <c r="F389" s="460">
        <v>482500</v>
      </c>
      <c r="G389" s="463"/>
      <c r="H389" s="463">
        <f t="shared" si="65"/>
        <v>8172321.4199999999</v>
      </c>
    </row>
    <row r="390" spans="1:8" s="1" customFormat="1" ht="12.75" x14ac:dyDescent="0.25">
      <c r="A390" s="449"/>
      <c r="B390" s="457"/>
      <c r="C390" s="467">
        <v>4110</v>
      </c>
      <c r="D390" s="491" t="s">
        <v>335</v>
      </c>
      <c r="E390" s="460">
        <v>7883472</v>
      </c>
      <c r="F390" s="460">
        <v>564200</v>
      </c>
      <c r="G390" s="463"/>
      <c r="H390" s="463">
        <f t="shared" si="65"/>
        <v>8447672</v>
      </c>
    </row>
    <row r="391" spans="1:8" s="1" customFormat="1" ht="12.75" x14ac:dyDescent="0.25">
      <c r="A391" s="449"/>
      <c r="B391" s="457"/>
      <c r="C391" s="467">
        <v>4120</v>
      </c>
      <c r="D391" s="491" t="s">
        <v>336</v>
      </c>
      <c r="E391" s="460">
        <v>1098564</v>
      </c>
      <c r="F391" s="460">
        <v>21000</v>
      </c>
      <c r="G391" s="463"/>
      <c r="H391" s="463">
        <f t="shared" si="65"/>
        <v>1119564</v>
      </c>
    </row>
    <row r="392" spans="1:8" s="1" customFormat="1" ht="12.75" x14ac:dyDescent="0.25">
      <c r="A392" s="449"/>
      <c r="B392" s="457"/>
      <c r="C392" s="467">
        <v>4240</v>
      </c>
      <c r="D392" s="491" t="s">
        <v>368</v>
      </c>
      <c r="E392" s="460">
        <v>378341.65</v>
      </c>
      <c r="F392" s="460">
        <v>195000</v>
      </c>
      <c r="G392" s="463"/>
      <c r="H392" s="463">
        <f t="shared" si="65"/>
        <v>573341.65</v>
      </c>
    </row>
    <row r="393" spans="1:8" s="1" customFormat="1" ht="12.75" x14ac:dyDescent="0.25">
      <c r="A393" s="449"/>
      <c r="B393" s="457"/>
      <c r="C393" s="467">
        <v>4710</v>
      </c>
      <c r="D393" s="491" t="s">
        <v>339</v>
      </c>
      <c r="E393" s="460">
        <v>269980</v>
      </c>
      <c r="F393" s="460">
        <v>1050</v>
      </c>
      <c r="G393" s="463"/>
      <c r="H393" s="463">
        <f t="shared" si="65"/>
        <v>271030</v>
      </c>
    </row>
    <row r="394" spans="1:8" s="1" customFormat="1" ht="12.75" x14ac:dyDescent="0.25">
      <c r="A394" s="449"/>
      <c r="B394" s="457"/>
      <c r="C394" s="467">
        <v>4790</v>
      </c>
      <c r="D394" s="491" t="s">
        <v>372</v>
      </c>
      <c r="E394" s="460">
        <v>32963102.609999999</v>
      </c>
      <c r="F394" s="460">
        <v>2237000</v>
      </c>
      <c r="G394" s="463"/>
      <c r="H394" s="463">
        <f t="shared" si="65"/>
        <v>35200102.609999999</v>
      </c>
    </row>
    <row r="395" spans="1:8" s="1" customFormat="1" ht="12.75" x14ac:dyDescent="0.25">
      <c r="A395" s="449"/>
      <c r="B395" s="457">
        <v>80116</v>
      </c>
      <c r="C395" s="443"/>
      <c r="D395" s="464" t="s">
        <v>232</v>
      </c>
      <c r="E395" s="455">
        <v>11714379.280000001</v>
      </c>
      <c r="F395" s="456">
        <f>SUM(F396)</f>
        <v>170500</v>
      </c>
      <c r="G395" s="456">
        <f>SUM(G396)</f>
        <v>0</v>
      </c>
      <c r="H395" s="455">
        <f>SUM(E395+F395-G395)</f>
        <v>11884879.280000001</v>
      </c>
    </row>
    <row r="396" spans="1:8" s="1" customFormat="1" ht="12.75" x14ac:dyDescent="0.25">
      <c r="A396" s="449"/>
      <c r="B396" s="457"/>
      <c r="C396" s="443"/>
      <c r="D396" s="567" t="s">
        <v>367</v>
      </c>
      <c r="E396" s="490">
        <v>1285859.98</v>
      </c>
      <c r="F396" s="490">
        <f>SUM(F397:F400)</f>
        <v>170500</v>
      </c>
      <c r="G396" s="490">
        <f>SUM(G397:G397)</f>
        <v>0</v>
      </c>
      <c r="H396" s="490">
        <f>SUM(E396+F396-G396)</f>
        <v>1456359.98</v>
      </c>
    </row>
    <row r="397" spans="1:8" s="1" customFormat="1" ht="12.75" x14ac:dyDescent="0.25">
      <c r="A397" s="449"/>
      <c r="B397" s="457"/>
      <c r="C397" s="443" t="s">
        <v>449</v>
      </c>
      <c r="D397" s="491" t="s">
        <v>327</v>
      </c>
      <c r="E397" s="460">
        <v>212728.66</v>
      </c>
      <c r="F397" s="460">
        <v>12000</v>
      </c>
      <c r="G397" s="460"/>
      <c r="H397" s="460">
        <f t="shared" ref="H397:H401" si="66">SUM(E397+F397-G397)</f>
        <v>224728.66</v>
      </c>
    </row>
    <row r="398" spans="1:8" s="1" customFormat="1" ht="12.75" x14ac:dyDescent="0.25">
      <c r="A398" s="449"/>
      <c r="B398" s="457"/>
      <c r="C398" s="443" t="s">
        <v>446</v>
      </c>
      <c r="D398" s="491" t="s">
        <v>335</v>
      </c>
      <c r="E398" s="460">
        <v>168007</v>
      </c>
      <c r="F398" s="460">
        <v>35000</v>
      </c>
      <c r="G398" s="460"/>
      <c r="H398" s="460">
        <f t="shared" si="66"/>
        <v>203007</v>
      </c>
    </row>
    <row r="399" spans="1:8" s="1" customFormat="1" ht="12.75" x14ac:dyDescent="0.25">
      <c r="A399" s="449"/>
      <c r="B399" s="457"/>
      <c r="C399" s="443" t="s">
        <v>447</v>
      </c>
      <c r="D399" s="491" t="s">
        <v>336</v>
      </c>
      <c r="E399" s="460">
        <v>25647</v>
      </c>
      <c r="F399" s="460">
        <v>3500</v>
      </c>
      <c r="G399" s="460"/>
      <c r="H399" s="460">
        <f t="shared" si="66"/>
        <v>29147</v>
      </c>
    </row>
    <row r="400" spans="1:8" s="1" customFormat="1" ht="12.75" x14ac:dyDescent="0.25">
      <c r="A400" s="449"/>
      <c r="B400" s="457"/>
      <c r="C400" s="443" t="s">
        <v>445</v>
      </c>
      <c r="D400" s="491" t="s">
        <v>372</v>
      </c>
      <c r="E400" s="460">
        <v>680798.32</v>
      </c>
      <c r="F400" s="460">
        <v>120000</v>
      </c>
      <c r="G400" s="460"/>
      <c r="H400" s="460">
        <f t="shared" si="66"/>
        <v>800798.32</v>
      </c>
    </row>
    <row r="401" spans="1:8" s="1" customFormat="1" ht="12.75" x14ac:dyDescent="0.25">
      <c r="A401" s="449"/>
      <c r="B401" s="457">
        <v>80117</v>
      </c>
      <c r="C401" s="443"/>
      <c r="D401" s="464" t="s">
        <v>243</v>
      </c>
      <c r="E401" s="455">
        <v>11951524.640000001</v>
      </c>
      <c r="F401" s="456">
        <f>SUM(F402)</f>
        <v>415000</v>
      </c>
      <c r="G401" s="456">
        <f>SUM(G402)</f>
        <v>0</v>
      </c>
      <c r="H401" s="455">
        <f t="shared" si="66"/>
        <v>12366524.640000001</v>
      </c>
    </row>
    <row r="402" spans="1:8" s="1" customFormat="1" ht="12.75" x14ac:dyDescent="0.25">
      <c r="A402" s="449"/>
      <c r="B402" s="457"/>
      <c r="C402" s="443"/>
      <c r="D402" s="567" t="s">
        <v>367</v>
      </c>
      <c r="E402" s="490">
        <v>7490116.46</v>
      </c>
      <c r="F402" s="490">
        <f>SUM(F403:F406)</f>
        <v>415000</v>
      </c>
      <c r="G402" s="490">
        <f>SUM(G403:G406)</f>
        <v>0</v>
      </c>
      <c r="H402" s="490">
        <f>SUM(E402+F402-G402)</f>
        <v>7905116.46</v>
      </c>
    </row>
    <row r="403" spans="1:8" s="1" customFormat="1" ht="12.75" x14ac:dyDescent="0.25">
      <c r="A403" s="449"/>
      <c r="B403" s="457"/>
      <c r="C403" s="467" t="s">
        <v>449</v>
      </c>
      <c r="D403" s="491" t="s">
        <v>327</v>
      </c>
      <c r="E403" s="460">
        <v>356654.16</v>
      </c>
      <c r="F403" s="460">
        <v>89000</v>
      </c>
      <c r="G403" s="460"/>
      <c r="H403" s="460">
        <f>SUM(E403+F403-G403)</f>
        <v>445654.16</v>
      </c>
    </row>
    <row r="404" spans="1:8" s="1" customFormat="1" ht="12.75" x14ac:dyDescent="0.25">
      <c r="A404" s="449"/>
      <c r="B404" s="457"/>
      <c r="C404" s="443" t="s">
        <v>446</v>
      </c>
      <c r="D404" s="491" t="s">
        <v>335</v>
      </c>
      <c r="E404" s="460">
        <v>883598</v>
      </c>
      <c r="F404" s="460">
        <v>65000</v>
      </c>
      <c r="G404" s="460"/>
      <c r="H404" s="460">
        <f>SUM(E404+F404-G404)</f>
        <v>948598</v>
      </c>
    </row>
    <row r="405" spans="1:8" s="1" customFormat="1" ht="12.75" x14ac:dyDescent="0.25">
      <c r="A405" s="449"/>
      <c r="B405" s="457"/>
      <c r="C405" s="443">
        <v>4240</v>
      </c>
      <c r="D405" s="491" t="s">
        <v>368</v>
      </c>
      <c r="E405" s="460">
        <v>31756.2</v>
      </c>
      <c r="F405" s="460">
        <v>30000</v>
      </c>
      <c r="G405" s="460"/>
      <c r="H405" s="460">
        <f>SUM(E405+F405-G405)</f>
        <v>61756.2</v>
      </c>
    </row>
    <row r="406" spans="1:8" s="1" customFormat="1" ht="12.75" x14ac:dyDescent="0.25">
      <c r="A406" s="449"/>
      <c r="B406" s="457"/>
      <c r="C406" s="543" t="s">
        <v>445</v>
      </c>
      <c r="D406" s="491" t="s">
        <v>372</v>
      </c>
      <c r="E406" s="460">
        <v>4266882</v>
      </c>
      <c r="F406" s="460">
        <v>231000</v>
      </c>
      <c r="G406" s="463"/>
      <c r="H406" s="463">
        <f t="shared" ref="H406" si="67">SUM(E406+F406-G406)</f>
        <v>4497882</v>
      </c>
    </row>
    <row r="407" spans="1:8" s="1" customFormat="1" ht="12.75" x14ac:dyDescent="0.25">
      <c r="A407" s="449"/>
      <c r="B407" s="457">
        <v>80118</v>
      </c>
      <c r="C407" s="443"/>
      <c r="D407" s="464" t="s">
        <v>450</v>
      </c>
      <c r="E407" s="455">
        <v>1892202</v>
      </c>
      <c r="F407" s="456">
        <f>SUM(F408)</f>
        <v>166500</v>
      </c>
      <c r="G407" s="456">
        <f>SUM(G408)</f>
        <v>0</v>
      </c>
      <c r="H407" s="455">
        <f>SUM(E407+F407-G407)</f>
        <v>2058702</v>
      </c>
    </row>
    <row r="408" spans="1:8" s="1" customFormat="1" ht="12.75" x14ac:dyDescent="0.25">
      <c r="A408" s="449"/>
      <c r="B408" s="457"/>
      <c r="C408" s="443"/>
      <c r="D408" s="567" t="s">
        <v>367</v>
      </c>
      <c r="E408" s="490">
        <v>1892202</v>
      </c>
      <c r="F408" s="490">
        <f>SUM(F409:F411)</f>
        <v>166500</v>
      </c>
      <c r="G408" s="490">
        <f>SUM(G409:G411)</f>
        <v>0</v>
      </c>
      <c r="H408" s="490">
        <f>SUM(E408+F408-G408)</f>
        <v>2058702</v>
      </c>
    </row>
    <row r="409" spans="1:8" s="1" customFormat="1" ht="12.75" x14ac:dyDescent="0.25">
      <c r="A409" s="449"/>
      <c r="B409" s="457"/>
      <c r="C409" s="543" t="s">
        <v>446</v>
      </c>
      <c r="D409" s="491" t="s">
        <v>335</v>
      </c>
      <c r="E409" s="460">
        <v>231096</v>
      </c>
      <c r="F409" s="483">
        <v>60000</v>
      </c>
      <c r="G409" s="482"/>
      <c r="H409" s="483">
        <f t="shared" ref="H409:H411" si="68">SUM(E409+F409-G409)</f>
        <v>291096</v>
      </c>
    </row>
    <row r="410" spans="1:8" s="1" customFormat="1" ht="12.75" x14ac:dyDescent="0.25">
      <c r="A410" s="449"/>
      <c r="B410" s="457"/>
      <c r="C410" s="543">
        <v>4120</v>
      </c>
      <c r="D410" s="491" t="s">
        <v>336</v>
      </c>
      <c r="E410" s="460">
        <v>33445</v>
      </c>
      <c r="F410" s="460">
        <v>3500</v>
      </c>
      <c r="G410" s="463"/>
      <c r="H410" s="460">
        <f t="shared" si="68"/>
        <v>36945</v>
      </c>
    </row>
    <row r="411" spans="1:8" s="1" customFormat="1" ht="12.75" x14ac:dyDescent="0.25">
      <c r="A411" s="449"/>
      <c r="B411" s="457"/>
      <c r="C411" s="543" t="s">
        <v>445</v>
      </c>
      <c r="D411" s="491" t="s">
        <v>372</v>
      </c>
      <c r="E411" s="460">
        <v>876988</v>
      </c>
      <c r="F411" s="460">
        <v>103000</v>
      </c>
      <c r="G411" s="463"/>
      <c r="H411" s="460">
        <f t="shared" si="68"/>
        <v>979988</v>
      </c>
    </row>
    <row r="412" spans="1:8" s="1" customFormat="1" ht="12.75" x14ac:dyDescent="0.25">
      <c r="A412" s="449"/>
      <c r="B412" s="467">
        <v>80120</v>
      </c>
      <c r="C412" s="469"/>
      <c r="D412" s="496" t="s">
        <v>23</v>
      </c>
      <c r="E412" s="455">
        <v>45765337.079999991</v>
      </c>
      <c r="F412" s="456">
        <f>SUM(F413,)</f>
        <v>1337014</v>
      </c>
      <c r="G412" s="456">
        <f>SUM(G413,)</f>
        <v>45714</v>
      </c>
      <c r="H412" s="455">
        <f>SUM(E412+F412-G412)</f>
        <v>47056637.079999991</v>
      </c>
    </row>
    <row r="413" spans="1:8" s="1" customFormat="1" ht="12.75" x14ac:dyDescent="0.25">
      <c r="A413" s="449"/>
      <c r="B413" s="467"/>
      <c r="C413" s="443"/>
      <c r="D413" s="567" t="s">
        <v>367</v>
      </c>
      <c r="E413" s="490">
        <v>36569277.779999994</v>
      </c>
      <c r="F413" s="490">
        <f>SUM(F414:F426)</f>
        <v>1337014</v>
      </c>
      <c r="G413" s="490">
        <f>SUM(G414:G426)</f>
        <v>45714</v>
      </c>
      <c r="H413" s="490">
        <f>SUM(E413+F413-G413)</f>
        <v>37860577.779999994</v>
      </c>
    </row>
    <row r="414" spans="1:8" s="1" customFormat="1" ht="12.75" x14ac:dyDescent="0.25">
      <c r="A414" s="449"/>
      <c r="B414" s="467"/>
      <c r="C414" s="467">
        <v>4010</v>
      </c>
      <c r="D414" s="491" t="s">
        <v>327</v>
      </c>
      <c r="E414" s="460">
        <v>3887748.24</v>
      </c>
      <c r="F414" s="460">
        <v>335500</v>
      </c>
      <c r="G414" s="463"/>
      <c r="H414" s="463">
        <f t="shared" ref="H414:H425" si="69">SUM(E414+F414-G414)</f>
        <v>4223248.24</v>
      </c>
    </row>
    <row r="415" spans="1:8" s="1" customFormat="1" ht="12.75" x14ac:dyDescent="0.25">
      <c r="A415" s="487"/>
      <c r="B415" s="517"/>
      <c r="C415" s="517">
        <v>4040</v>
      </c>
      <c r="D415" s="464" t="s">
        <v>343</v>
      </c>
      <c r="E415" s="455">
        <v>359002</v>
      </c>
      <c r="F415" s="455"/>
      <c r="G415" s="456">
        <v>16500</v>
      </c>
      <c r="H415" s="456">
        <f>E415+F415-G415</f>
        <v>342502</v>
      </c>
    </row>
    <row r="416" spans="1:8" s="1" customFormat="1" ht="12.75" x14ac:dyDescent="0.25">
      <c r="A416" s="449"/>
      <c r="B416" s="467"/>
      <c r="C416" s="467" t="s">
        <v>446</v>
      </c>
      <c r="D416" s="491" t="s">
        <v>335</v>
      </c>
      <c r="E416" s="460">
        <v>4607692</v>
      </c>
      <c r="F416" s="460">
        <v>251750</v>
      </c>
      <c r="G416" s="460"/>
      <c r="H416" s="463">
        <f t="shared" si="69"/>
        <v>4859442</v>
      </c>
    </row>
    <row r="417" spans="1:8" s="1" customFormat="1" ht="12.75" x14ac:dyDescent="0.25">
      <c r="A417" s="449"/>
      <c r="B417" s="467"/>
      <c r="C417" s="467">
        <v>4170</v>
      </c>
      <c r="D417" s="491" t="s">
        <v>344</v>
      </c>
      <c r="E417" s="460">
        <v>8000</v>
      </c>
      <c r="F417" s="460"/>
      <c r="G417" s="460">
        <v>2000</v>
      </c>
      <c r="H417" s="463">
        <f t="shared" si="69"/>
        <v>6000</v>
      </c>
    </row>
    <row r="418" spans="1:8" s="1" customFormat="1" ht="12.75" x14ac:dyDescent="0.25">
      <c r="A418" s="449"/>
      <c r="B418" s="467"/>
      <c r="C418" s="467">
        <v>4210</v>
      </c>
      <c r="D418" s="491" t="s">
        <v>329</v>
      </c>
      <c r="E418" s="460">
        <v>192036.86</v>
      </c>
      <c r="F418" s="460">
        <v>23000</v>
      </c>
      <c r="G418" s="460"/>
      <c r="H418" s="463">
        <f t="shared" si="69"/>
        <v>215036.86</v>
      </c>
    </row>
    <row r="419" spans="1:8" s="1" customFormat="1" ht="12.75" x14ac:dyDescent="0.25">
      <c r="A419" s="449"/>
      <c r="B419" s="467"/>
      <c r="C419" s="467">
        <v>4270</v>
      </c>
      <c r="D419" s="491" t="s">
        <v>370</v>
      </c>
      <c r="E419" s="460">
        <v>102188</v>
      </c>
      <c r="F419" s="460">
        <v>3500</v>
      </c>
      <c r="G419" s="460"/>
      <c r="H419" s="463">
        <f t="shared" si="69"/>
        <v>105688</v>
      </c>
    </row>
    <row r="420" spans="1:8" s="1" customFormat="1" ht="12.75" x14ac:dyDescent="0.25">
      <c r="A420" s="449"/>
      <c r="B420" s="467"/>
      <c r="C420" s="467">
        <v>4300</v>
      </c>
      <c r="D420" s="491" t="s">
        <v>337</v>
      </c>
      <c r="E420" s="460">
        <v>337726</v>
      </c>
      <c r="F420" s="460">
        <v>13214</v>
      </c>
      <c r="G420" s="460"/>
      <c r="H420" s="463">
        <f t="shared" si="69"/>
        <v>350940</v>
      </c>
    </row>
    <row r="421" spans="1:8" s="1" customFormat="1" ht="12.75" x14ac:dyDescent="0.25">
      <c r="A421" s="449"/>
      <c r="B421" s="467"/>
      <c r="C421" s="467">
        <v>4390</v>
      </c>
      <c r="D421" s="491" t="s">
        <v>380</v>
      </c>
      <c r="E421" s="460">
        <v>8000</v>
      </c>
      <c r="F421" s="460"/>
      <c r="G421" s="460">
        <v>1714</v>
      </c>
      <c r="H421" s="463">
        <f t="shared" si="69"/>
        <v>6286</v>
      </c>
    </row>
    <row r="422" spans="1:8" s="1" customFormat="1" ht="12.75" x14ac:dyDescent="0.25">
      <c r="A422" s="449"/>
      <c r="B422" s="467"/>
      <c r="C422" s="467">
        <v>4410</v>
      </c>
      <c r="D422" s="491" t="s">
        <v>381</v>
      </c>
      <c r="E422" s="460">
        <v>18340</v>
      </c>
      <c r="F422" s="460">
        <v>5000</v>
      </c>
      <c r="G422" s="460"/>
      <c r="H422" s="463">
        <f t="shared" si="69"/>
        <v>23340</v>
      </c>
    </row>
    <row r="423" spans="1:8" s="1" customFormat="1" ht="12.75" x14ac:dyDescent="0.25">
      <c r="A423" s="449"/>
      <c r="B423" s="467"/>
      <c r="C423" s="467">
        <v>4420</v>
      </c>
      <c r="D423" s="491" t="s">
        <v>451</v>
      </c>
      <c r="E423" s="460">
        <v>5000</v>
      </c>
      <c r="F423" s="460"/>
      <c r="G423" s="460">
        <v>5000</v>
      </c>
      <c r="H423" s="463">
        <f t="shared" si="69"/>
        <v>0</v>
      </c>
    </row>
    <row r="424" spans="1:8" s="1" customFormat="1" ht="12.75" x14ac:dyDescent="0.25">
      <c r="A424" s="449"/>
      <c r="B424" s="467"/>
      <c r="C424" s="467">
        <v>4710</v>
      </c>
      <c r="D424" s="491" t="s">
        <v>339</v>
      </c>
      <c r="E424" s="460">
        <v>119389</v>
      </c>
      <c r="F424" s="460">
        <v>8050</v>
      </c>
      <c r="G424" s="460"/>
      <c r="H424" s="463">
        <f t="shared" si="69"/>
        <v>127439</v>
      </c>
    </row>
    <row r="425" spans="1:8" s="1" customFormat="1" ht="12.75" x14ac:dyDescent="0.25">
      <c r="A425" s="449"/>
      <c r="B425" s="467"/>
      <c r="C425" s="467" t="s">
        <v>445</v>
      </c>
      <c r="D425" s="491" t="s">
        <v>372</v>
      </c>
      <c r="E425" s="460">
        <v>20224879</v>
      </c>
      <c r="F425" s="460">
        <v>697000</v>
      </c>
      <c r="G425" s="460"/>
      <c r="H425" s="463">
        <f t="shared" si="69"/>
        <v>20921879</v>
      </c>
    </row>
    <row r="426" spans="1:8" s="1" customFormat="1" ht="12.75" x14ac:dyDescent="0.25">
      <c r="A426" s="449"/>
      <c r="B426" s="467"/>
      <c r="C426" s="467">
        <v>4800</v>
      </c>
      <c r="D426" s="491" t="s">
        <v>373</v>
      </c>
      <c r="E426" s="460">
        <v>1793400.12</v>
      </c>
      <c r="F426" s="460"/>
      <c r="G426" s="460">
        <v>20500</v>
      </c>
      <c r="H426" s="463">
        <f>E426+F426-G426</f>
        <v>1772900.12</v>
      </c>
    </row>
    <row r="427" spans="1:8" s="1" customFormat="1" ht="12.75" x14ac:dyDescent="0.25">
      <c r="A427" s="449"/>
      <c r="B427" s="467">
        <v>80132</v>
      </c>
      <c r="C427" s="469"/>
      <c r="D427" s="496" t="s">
        <v>452</v>
      </c>
      <c r="E427" s="455">
        <v>8574789.1999999993</v>
      </c>
      <c r="F427" s="456">
        <f>SUM(F428)</f>
        <v>391000</v>
      </c>
      <c r="G427" s="456">
        <f>SUM(G428)</f>
        <v>14500</v>
      </c>
      <c r="H427" s="455">
        <f>SUM(E427+F427-G427)</f>
        <v>8951289.1999999993</v>
      </c>
    </row>
    <row r="428" spans="1:8" s="1" customFormat="1" ht="12.75" x14ac:dyDescent="0.25">
      <c r="A428" s="449"/>
      <c r="B428" s="467"/>
      <c r="C428" s="443"/>
      <c r="D428" s="567" t="s">
        <v>367</v>
      </c>
      <c r="E428" s="490">
        <v>8574789.1999999993</v>
      </c>
      <c r="F428" s="490">
        <f>SUM(F429:F434)</f>
        <v>391000</v>
      </c>
      <c r="G428" s="490">
        <f>SUM(G429:G434)</f>
        <v>14500</v>
      </c>
      <c r="H428" s="490">
        <f>SUM(E428+F428-G428)</f>
        <v>8951289.1999999993</v>
      </c>
    </row>
    <row r="429" spans="1:8" s="1" customFormat="1" ht="12.75" x14ac:dyDescent="0.25">
      <c r="A429" s="449"/>
      <c r="B429" s="457"/>
      <c r="C429" s="458">
        <v>4010</v>
      </c>
      <c r="D429" s="491" t="s">
        <v>327</v>
      </c>
      <c r="E429" s="460">
        <v>856312.82000000007</v>
      </c>
      <c r="F429" s="460">
        <v>37000</v>
      </c>
      <c r="G429" s="483"/>
      <c r="H429" s="483">
        <f t="shared" ref="H429:H434" si="70">SUM(E429+F429-G429)</f>
        <v>893312.82000000007</v>
      </c>
    </row>
    <row r="430" spans="1:8" s="1" customFormat="1" ht="12.75" x14ac:dyDescent="0.25">
      <c r="A430" s="449"/>
      <c r="B430" s="457"/>
      <c r="C430" s="458" t="s">
        <v>447</v>
      </c>
      <c r="D430" s="491" t="s">
        <v>336</v>
      </c>
      <c r="E430" s="460">
        <v>162884</v>
      </c>
      <c r="F430" s="460"/>
      <c r="G430" s="460">
        <v>10000</v>
      </c>
      <c r="H430" s="460">
        <f t="shared" si="70"/>
        <v>152884</v>
      </c>
    </row>
    <row r="431" spans="1:8" s="1" customFormat="1" ht="12.75" x14ac:dyDescent="0.25">
      <c r="A431" s="449"/>
      <c r="B431" s="457"/>
      <c r="C431" s="458" t="s">
        <v>446</v>
      </c>
      <c r="D431" s="491" t="s">
        <v>335</v>
      </c>
      <c r="E431" s="460">
        <v>1205303</v>
      </c>
      <c r="F431" s="460">
        <v>19500</v>
      </c>
      <c r="G431" s="460"/>
      <c r="H431" s="460">
        <f t="shared" si="70"/>
        <v>1224803</v>
      </c>
    </row>
    <row r="432" spans="1:8" s="1" customFormat="1" ht="12.75" x14ac:dyDescent="0.25">
      <c r="A432" s="449"/>
      <c r="B432" s="457"/>
      <c r="C432" s="458">
        <v>4300</v>
      </c>
      <c r="D432" s="491" t="s">
        <v>337</v>
      </c>
      <c r="E432" s="460">
        <v>53000</v>
      </c>
      <c r="F432" s="460">
        <v>14500</v>
      </c>
      <c r="G432" s="460"/>
      <c r="H432" s="460">
        <f t="shared" si="70"/>
        <v>67500</v>
      </c>
    </row>
    <row r="433" spans="1:8" s="1" customFormat="1" ht="12.75" x14ac:dyDescent="0.25">
      <c r="A433" s="449"/>
      <c r="B433" s="457"/>
      <c r="C433" s="458" t="s">
        <v>445</v>
      </c>
      <c r="D433" s="491" t="s">
        <v>372</v>
      </c>
      <c r="E433" s="460">
        <v>4924508.34</v>
      </c>
      <c r="F433" s="460">
        <v>320000</v>
      </c>
      <c r="G433" s="460"/>
      <c r="H433" s="460">
        <f t="shared" si="70"/>
        <v>5244508.34</v>
      </c>
    </row>
    <row r="434" spans="1:8" s="1" customFormat="1" ht="12.75" x14ac:dyDescent="0.25">
      <c r="A434" s="449"/>
      <c r="B434" s="457"/>
      <c r="C434" s="458">
        <v>4800</v>
      </c>
      <c r="D434" s="491" t="s">
        <v>373</v>
      </c>
      <c r="E434" s="460">
        <v>410000</v>
      </c>
      <c r="F434" s="460"/>
      <c r="G434" s="460">
        <v>4500</v>
      </c>
      <c r="H434" s="460">
        <f t="shared" si="70"/>
        <v>405500</v>
      </c>
    </row>
    <row r="435" spans="1:8" s="1" customFormat="1" ht="12.75" x14ac:dyDescent="0.25">
      <c r="A435" s="449"/>
      <c r="B435" s="457">
        <v>80134</v>
      </c>
      <c r="C435" s="443"/>
      <c r="D435" s="479" t="s">
        <v>453</v>
      </c>
      <c r="E435" s="455">
        <v>18089827.32</v>
      </c>
      <c r="F435" s="456">
        <f>SUM(F436)</f>
        <v>775300</v>
      </c>
      <c r="G435" s="456">
        <f>SUM(G436)</f>
        <v>0</v>
      </c>
      <c r="H435" s="455">
        <f>SUM(E435+F435-G435)</f>
        <v>18865127.32</v>
      </c>
    </row>
    <row r="436" spans="1:8" s="1" customFormat="1" ht="12.75" x14ac:dyDescent="0.25">
      <c r="A436" s="449"/>
      <c r="B436" s="457"/>
      <c r="C436" s="443"/>
      <c r="D436" s="567" t="s">
        <v>367</v>
      </c>
      <c r="E436" s="490">
        <v>17881327.32</v>
      </c>
      <c r="F436" s="490">
        <f>SUM(F437:F442)</f>
        <v>775300</v>
      </c>
      <c r="G436" s="490">
        <f>SUM(G437:G442)</f>
        <v>0</v>
      </c>
      <c r="H436" s="490">
        <f>SUM(E436+F436-G436)</f>
        <v>18656627.32</v>
      </c>
    </row>
    <row r="437" spans="1:8" s="1" customFormat="1" ht="12.75" x14ac:dyDescent="0.25">
      <c r="A437" s="449"/>
      <c r="B437" s="457"/>
      <c r="C437" s="467">
        <v>4010</v>
      </c>
      <c r="D437" s="491" t="s">
        <v>327</v>
      </c>
      <c r="E437" s="460">
        <v>896685.2</v>
      </c>
      <c r="F437" s="460">
        <v>45000</v>
      </c>
      <c r="G437" s="463"/>
      <c r="H437" s="463">
        <f t="shared" ref="H437" si="71">SUM(E437+F437-G437)</f>
        <v>941685.2</v>
      </c>
    </row>
    <row r="438" spans="1:8" s="1" customFormat="1" ht="12.75" x14ac:dyDescent="0.25">
      <c r="A438" s="449"/>
      <c r="B438" s="457"/>
      <c r="C438" s="467">
        <v>4110</v>
      </c>
      <c r="D438" s="491" t="s">
        <v>335</v>
      </c>
      <c r="E438" s="460">
        <v>2044028</v>
      </c>
      <c r="F438" s="460">
        <v>265000</v>
      </c>
      <c r="G438" s="463"/>
      <c r="H438" s="463">
        <f>SUM(E438+F438-G438)</f>
        <v>2309028</v>
      </c>
    </row>
    <row r="439" spans="1:8" s="1" customFormat="1" ht="12.75" x14ac:dyDescent="0.25">
      <c r="A439" s="449"/>
      <c r="B439" s="457"/>
      <c r="C439" s="467">
        <v>4120</v>
      </c>
      <c r="D439" s="491" t="s">
        <v>336</v>
      </c>
      <c r="E439" s="460">
        <v>261424</v>
      </c>
      <c r="F439" s="460">
        <v>15400</v>
      </c>
      <c r="G439" s="463"/>
      <c r="H439" s="463">
        <f>SUM(E439+F439-G439)</f>
        <v>276824</v>
      </c>
    </row>
    <row r="440" spans="1:8" s="1" customFormat="1" ht="12.75" x14ac:dyDescent="0.25">
      <c r="A440" s="449"/>
      <c r="B440" s="457"/>
      <c r="C440" s="453">
        <v>4710</v>
      </c>
      <c r="D440" s="471" t="s">
        <v>339</v>
      </c>
      <c r="E440" s="460">
        <v>37529</v>
      </c>
      <c r="F440" s="460">
        <v>4900</v>
      </c>
      <c r="G440" s="463"/>
      <c r="H440" s="463">
        <f>SUM(E440+F440-G440)</f>
        <v>42429</v>
      </c>
    </row>
    <row r="441" spans="1:8" s="1" customFormat="1" ht="12.75" x14ac:dyDescent="0.25">
      <c r="A441" s="449"/>
      <c r="B441" s="457"/>
      <c r="C441" s="453">
        <v>4780</v>
      </c>
      <c r="D441" s="515" t="s">
        <v>444</v>
      </c>
      <c r="E441" s="460">
        <v>20389</v>
      </c>
      <c r="F441" s="460">
        <v>6000</v>
      </c>
      <c r="G441" s="463"/>
      <c r="H441" s="463">
        <f>SUM(E441+F441-G441)</f>
        <v>26389</v>
      </c>
    </row>
    <row r="442" spans="1:8" s="1" customFormat="1" ht="12.75" x14ac:dyDescent="0.25">
      <c r="A442" s="449"/>
      <c r="B442" s="457"/>
      <c r="C442" s="513">
        <v>4790</v>
      </c>
      <c r="D442" s="1" t="s">
        <v>372</v>
      </c>
      <c r="E442" s="460">
        <v>9836240.620000001</v>
      </c>
      <c r="F442" s="460">
        <v>439000</v>
      </c>
      <c r="G442" s="463"/>
      <c r="H442" s="463">
        <f t="shared" ref="H442" si="72">SUM(E442+F442-G442)</f>
        <v>10275240.620000001</v>
      </c>
    </row>
    <row r="443" spans="1:8" s="1" customFormat="1" ht="12" customHeight="1" x14ac:dyDescent="0.25">
      <c r="A443" s="449"/>
      <c r="B443" s="453">
        <v>80140</v>
      </c>
      <c r="C443" s="458"/>
      <c r="D443" s="454" t="s">
        <v>27</v>
      </c>
      <c r="E443" s="455">
        <v>5628204.3200000003</v>
      </c>
      <c r="F443" s="455">
        <f>SUM(F444)</f>
        <v>605000</v>
      </c>
      <c r="G443" s="455">
        <f>SUM(G444)</f>
        <v>30000</v>
      </c>
      <c r="H443" s="455">
        <f>SUM(E443+F443-G443)</f>
        <v>6203204.3200000003</v>
      </c>
    </row>
    <row r="444" spans="1:8" s="1" customFormat="1" ht="12.75" x14ac:dyDescent="0.25">
      <c r="A444" s="449"/>
      <c r="B444" s="467"/>
      <c r="C444" s="458"/>
      <c r="D444" s="567" t="s">
        <v>367</v>
      </c>
      <c r="E444" s="490">
        <v>5628204.3200000003</v>
      </c>
      <c r="F444" s="490">
        <f>SUM(F445:F450)</f>
        <v>605000</v>
      </c>
      <c r="G444" s="490">
        <f>SUM(G445:G450)</f>
        <v>30000</v>
      </c>
      <c r="H444" s="490">
        <f t="shared" ref="H444:H457" si="73">SUM(E444+F444-G444)</f>
        <v>6203204.3200000003</v>
      </c>
    </row>
    <row r="445" spans="1:8" s="1" customFormat="1" ht="12.75" x14ac:dyDescent="0.25">
      <c r="A445" s="449"/>
      <c r="B445" s="467"/>
      <c r="C445" s="492">
        <v>4010</v>
      </c>
      <c r="D445" s="493" t="s">
        <v>327</v>
      </c>
      <c r="E445" s="460">
        <v>698002.5</v>
      </c>
      <c r="F445" s="460">
        <v>160000</v>
      </c>
      <c r="G445" s="460"/>
      <c r="H445" s="460">
        <f t="shared" si="73"/>
        <v>858002.5</v>
      </c>
    </row>
    <row r="446" spans="1:8" s="1" customFormat="1" ht="12.75" x14ac:dyDescent="0.25">
      <c r="A446" s="449"/>
      <c r="B446" s="467"/>
      <c r="C446" s="458" t="s">
        <v>446</v>
      </c>
      <c r="D446" s="491" t="s">
        <v>335</v>
      </c>
      <c r="E446" s="460">
        <v>607792</v>
      </c>
      <c r="F446" s="460">
        <v>90000</v>
      </c>
      <c r="G446" s="460"/>
      <c r="H446" s="460">
        <f t="shared" si="73"/>
        <v>697792</v>
      </c>
    </row>
    <row r="447" spans="1:8" s="1" customFormat="1" ht="12" customHeight="1" x14ac:dyDescent="0.25">
      <c r="A447" s="449"/>
      <c r="B447" s="467"/>
      <c r="C447" s="458" t="s">
        <v>454</v>
      </c>
      <c r="D447" s="515" t="s">
        <v>455</v>
      </c>
      <c r="E447" s="460">
        <v>130000</v>
      </c>
      <c r="F447" s="460"/>
      <c r="G447" s="460">
        <v>30000</v>
      </c>
      <c r="H447" s="460">
        <f t="shared" si="73"/>
        <v>100000</v>
      </c>
    </row>
    <row r="448" spans="1:8" s="1" customFormat="1" ht="12.75" x14ac:dyDescent="0.25">
      <c r="A448" s="449"/>
      <c r="B448" s="467"/>
      <c r="C448" s="492" t="s">
        <v>377</v>
      </c>
      <c r="D448" s="515" t="s">
        <v>368</v>
      </c>
      <c r="E448" s="460">
        <v>66957.899999999994</v>
      </c>
      <c r="F448" s="460">
        <v>75000</v>
      </c>
      <c r="G448" s="460"/>
      <c r="H448" s="460">
        <f t="shared" si="73"/>
        <v>141957.9</v>
      </c>
    </row>
    <row r="449" spans="1:8" s="1" customFormat="1" ht="12.75" x14ac:dyDescent="0.25">
      <c r="A449" s="449"/>
      <c r="B449" s="467"/>
      <c r="C449" s="458" t="s">
        <v>456</v>
      </c>
      <c r="D449" s="3" t="s">
        <v>337</v>
      </c>
      <c r="E449" s="460">
        <v>225148.79999999999</v>
      </c>
      <c r="F449" s="460">
        <v>30000</v>
      </c>
      <c r="G449" s="460"/>
      <c r="H449" s="460">
        <f t="shared" si="73"/>
        <v>255148.79999999999</v>
      </c>
    </row>
    <row r="450" spans="1:8" s="1" customFormat="1" ht="12.75" x14ac:dyDescent="0.25">
      <c r="A450" s="449"/>
      <c r="B450" s="467"/>
      <c r="C450" s="458" t="s">
        <v>445</v>
      </c>
      <c r="D450" s="1" t="s">
        <v>372</v>
      </c>
      <c r="E450" s="460">
        <v>2459743.08</v>
      </c>
      <c r="F450" s="460">
        <v>250000</v>
      </c>
      <c r="G450" s="460"/>
      <c r="H450" s="460">
        <f t="shared" si="73"/>
        <v>2709743.08</v>
      </c>
    </row>
    <row r="451" spans="1:8" s="1" customFormat="1" ht="12.75" x14ac:dyDescent="0.25">
      <c r="A451" s="449"/>
      <c r="B451" s="457">
        <v>80142</v>
      </c>
      <c r="C451" s="443"/>
      <c r="D451" s="544" t="s">
        <v>29</v>
      </c>
      <c r="E451" s="455">
        <v>182881.26</v>
      </c>
      <c r="F451" s="456">
        <f>SUM(F452)</f>
        <v>6250</v>
      </c>
      <c r="G451" s="456">
        <f>SUM(G452)</f>
        <v>0</v>
      </c>
      <c r="H451" s="455">
        <f t="shared" si="73"/>
        <v>189131.26</v>
      </c>
    </row>
    <row r="452" spans="1:8" s="1" customFormat="1" ht="12.75" x14ac:dyDescent="0.25">
      <c r="A452" s="449"/>
      <c r="B452" s="457"/>
      <c r="C452" s="443"/>
      <c r="D452" s="567" t="s">
        <v>367</v>
      </c>
      <c r="E452" s="490">
        <v>182881.26</v>
      </c>
      <c r="F452" s="490">
        <f>SUM(F453:F454)</f>
        <v>6250</v>
      </c>
      <c r="G452" s="490">
        <f>SUM(G453:G454)</f>
        <v>0</v>
      </c>
      <c r="H452" s="490">
        <f t="shared" si="73"/>
        <v>189131.26</v>
      </c>
    </row>
    <row r="453" spans="1:8" s="1" customFormat="1" ht="12.75" x14ac:dyDescent="0.25">
      <c r="A453" s="449"/>
      <c r="B453" s="457"/>
      <c r="C453" s="467">
        <v>4010</v>
      </c>
      <c r="D453" s="491" t="s">
        <v>327</v>
      </c>
      <c r="E453" s="460">
        <v>133383.26</v>
      </c>
      <c r="F453" s="460">
        <v>3000</v>
      </c>
      <c r="G453" s="463"/>
      <c r="H453" s="463">
        <f t="shared" si="73"/>
        <v>136383.26</v>
      </c>
    </row>
    <row r="454" spans="1:8" s="1" customFormat="1" ht="12.75" x14ac:dyDescent="0.25">
      <c r="A454" s="449"/>
      <c r="B454" s="457"/>
      <c r="C454" s="443" t="s">
        <v>446</v>
      </c>
      <c r="D454" s="1" t="s">
        <v>335</v>
      </c>
      <c r="E454" s="460">
        <v>26146</v>
      </c>
      <c r="F454" s="460">
        <v>3250</v>
      </c>
      <c r="G454" s="463"/>
      <c r="H454" s="463">
        <f t="shared" si="73"/>
        <v>29396</v>
      </c>
    </row>
    <row r="455" spans="1:8" s="1" customFormat="1" ht="12.75" x14ac:dyDescent="0.25">
      <c r="A455" s="449"/>
      <c r="B455" s="457">
        <v>80148</v>
      </c>
      <c r="C455" s="443"/>
      <c r="D455" s="464" t="s">
        <v>18</v>
      </c>
      <c r="E455" s="455">
        <v>571781</v>
      </c>
      <c r="F455" s="456">
        <f>SUM(F456)</f>
        <v>3250</v>
      </c>
      <c r="G455" s="456">
        <f>SUM(G456)</f>
        <v>0</v>
      </c>
      <c r="H455" s="455">
        <f t="shared" si="73"/>
        <v>575031</v>
      </c>
    </row>
    <row r="456" spans="1:8" s="1" customFormat="1" ht="12.75" x14ac:dyDescent="0.25">
      <c r="A456" s="449"/>
      <c r="B456" s="457"/>
      <c r="C456" s="443"/>
      <c r="D456" s="567" t="s">
        <v>367</v>
      </c>
      <c r="E456" s="490">
        <v>571781</v>
      </c>
      <c r="F456" s="569">
        <f>SUM(F457:F457)</f>
        <v>3250</v>
      </c>
      <c r="G456" s="569">
        <f>SUM(G457:G457)</f>
        <v>0</v>
      </c>
      <c r="H456" s="490">
        <f t="shared" si="73"/>
        <v>575031</v>
      </c>
    </row>
    <row r="457" spans="1:8" s="1" customFormat="1" ht="12.75" x14ac:dyDescent="0.25">
      <c r="A457" s="449"/>
      <c r="B457" s="457"/>
      <c r="C457" s="467" t="s">
        <v>446</v>
      </c>
      <c r="D457" s="491" t="s">
        <v>335</v>
      </c>
      <c r="E457" s="460">
        <v>52600</v>
      </c>
      <c r="F457" s="463">
        <v>3250</v>
      </c>
      <c r="G457" s="463"/>
      <c r="H457" s="463">
        <f t="shared" si="73"/>
        <v>55850</v>
      </c>
    </row>
    <row r="458" spans="1:8" s="1" customFormat="1" ht="12.75" x14ac:dyDescent="0.25">
      <c r="A458" s="449"/>
      <c r="B458" s="457">
        <v>80151</v>
      </c>
      <c r="C458" s="443"/>
      <c r="D458" s="464" t="s">
        <v>263</v>
      </c>
      <c r="E458" s="455">
        <v>656930.79</v>
      </c>
      <c r="F458" s="456">
        <f>SUM(F459)</f>
        <v>8000</v>
      </c>
      <c r="G458" s="456">
        <f>SUM(G459)</f>
        <v>0</v>
      </c>
      <c r="H458" s="455">
        <f>SUM(E458+F458-G458)</f>
        <v>664930.79</v>
      </c>
    </row>
    <row r="459" spans="1:8" s="1" customFormat="1" ht="12.75" x14ac:dyDescent="0.25">
      <c r="A459" s="449"/>
      <c r="B459" s="457"/>
      <c r="C459" s="443"/>
      <c r="D459" s="567" t="s">
        <v>367</v>
      </c>
      <c r="E459" s="490">
        <v>601938.5</v>
      </c>
      <c r="F459" s="569">
        <f>SUM(F460:F460)</f>
        <v>8000</v>
      </c>
      <c r="G459" s="569">
        <f>SUM(G460:G460)</f>
        <v>0</v>
      </c>
      <c r="H459" s="490">
        <f t="shared" ref="H459:H460" si="74">SUM(E459+F459-G459)</f>
        <v>609938.5</v>
      </c>
    </row>
    <row r="460" spans="1:8" s="1" customFormat="1" ht="12.75" x14ac:dyDescent="0.25">
      <c r="A460" s="449"/>
      <c r="B460" s="457"/>
      <c r="C460" s="467">
        <v>4010</v>
      </c>
      <c r="D460" s="491" t="s">
        <v>327</v>
      </c>
      <c r="E460" s="460">
        <v>200114.4</v>
      </c>
      <c r="F460" s="460">
        <v>8000</v>
      </c>
      <c r="G460" s="460"/>
      <c r="H460" s="463">
        <f t="shared" si="74"/>
        <v>208114.4</v>
      </c>
    </row>
    <row r="461" spans="1:8" s="1" customFormat="1" ht="12.75" x14ac:dyDescent="0.25">
      <c r="A461" s="449"/>
      <c r="B461" s="457">
        <v>80152</v>
      </c>
      <c r="C461" s="443"/>
      <c r="D461" s="491" t="s">
        <v>384</v>
      </c>
      <c r="E461" s="460"/>
      <c r="F461" s="460"/>
      <c r="G461" s="460"/>
      <c r="H461" s="463"/>
    </row>
    <row r="462" spans="1:8" s="1" customFormat="1" ht="12.75" x14ac:dyDescent="0.25">
      <c r="A462" s="449"/>
      <c r="B462" s="457"/>
      <c r="C462" s="443"/>
      <c r="D462" s="491" t="s">
        <v>388</v>
      </c>
      <c r="E462" s="460"/>
      <c r="F462" s="460"/>
      <c r="G462" s="460"/>
      <c r="H462" s="463"/>
    </row>
    <row r="463" spans="1:8" s="1" customFormat="1" ht="12.75" x14ac:dyDescent="0.25">
      <c r="A463" s="449"/>
      <c r="B463" s="457"/>
      <c r="C463" s="443"/>
      <c r="D463" s="491" t="s">
        <v>457</v>
      </c>
      <c r="E463" s="460"/>
      <c r="F463" s="460"/>
      <c r="G463" s="460"/>
      <c r="H463" s="463"/>
    </row>
    <row r="464" spans="1:8" s="1" customFormat="1" ht="12.75" x14ac:dyDescent="0.25">
      <c r="A464" s="449"/>
      <c r="B464" s="457"/>
      <c r="C464" s="443"/>
      <c r="D464" s="457" t="s">
        <v>458</v>
      </c>
      <c r="E464" s="460"/>
      <c r="F464" s="460"/>
      <c r="G464" s="460"/>
      <c r="H464" s="463"/>
    </row>
    <row r="465" spans="1:8" s="1" customFormat="1" ht="12.75" x14ac:dyDescent="0.25">
      <c r="A465" s="449"/>
      <c r="B465" s="457"/>
      <c r="C465" s="443"/>
      <c r="D465" s="457" t="s">
        <v>459</v>
      </c>
      <c r="E465" s="460"/>
      <c r="F465" s="460"/>
      <c r="G465" s="460"/>
      <c r="H465" s="463"/>
    </row>
    <row r="466" spans="1:8" s="1" customFormat="1" ht="12.75" x14ac:dyDescent="0.25">
      <c r="A466" s="449"/>
      <c r="B466" s="457"/>
      <c r="C466" s="443"/>
      <c r="D466" s="491" t="s">
        <v>460</v>
      </c>
      <c r="E466" s="460"/>
      <c r="F466" s="460"/>
      <c r="G466" s="460"/>
      <c r="H466" s="463"/>
    </row>
    <row r="467" spans="1:8" s="1" customFormat="1" ht="12.75" x14ac:dyDescent="0.25">
      <c r="A467" s="449"/>
      <c r="B467" s="457"/>
      <c r="C467" s="443"/>
      <c r="D467" s="457" t="s">
        <v>461</v>
      </c>
      <c r="E467" s="460"/>
      <c r="F467" s="460"/>
      <c r="G467" s="460"/>
      <c r="H467" s="463"/>
    </row>
    <row r="468" spans="1:8" s="1" customFormat="1" ht="12.75" x14ac:dyDescent="0.25">
      <c r="A468" s="449"/>
      <c r="B468" s="457"/>
      <c r="C468" s="443"/>
      <c r="D468" s="496" t="s">
        <v>462</v>
      </c>
      <c r="E468" s="455">
        <v>8616948.4499999993</v>
      </c>
      <c r="F468" s="456">
        <f>SUM(F469)</f>
        <v>1745850</v>
      </c>
      <c r="G468" s="456">
        <f>SUM(G469)</f>
        <v>1500</v>
      </c>
      <c r="H468" s="455">
        <f>SUM(E468+F468-G468)</f>
        <v>10361298.449999999</v>
      </c>
    </row>
    <row r="469" spans="1:8" s="1" customFormat="1" ht="12.75" x14ac:dyDescent="0.25">
      <c r="A469" s="449"/>
      <c r="B469" s="448"/>
      <c r="C469" s="443"/>
      <c r="D469" s="567" t="s">
        <v>367</v>
      </c>
      <c r="E469" s="490">
        <v>6631107.7599999998</v>
      </c>
      <c r="F469" s="490">
        <f>SUM(F470:F475)</f>
        <v>1745850</v>
      </c>
      <c r="G469" s="490">
        <f>SUM(G470:G475)</f>
        <v>1500</v>
      </c>
      <c r="H469" s="490">
        <f t="shared" ref="H469:H475" si="75">SUM(E469+F469-G469)</f>
        <v>8375457.7599999998</v>
      </c>
    </row>
    <row r="470" spans="1:8" s="1" customFormat="1" ht="12.75" x14ac:dyDescent="0.25">
      <c r="A470" s="449"/>
      <c r="B470" s="448"/>
      <c r="C470" s="467">
        <v>4110</v>
      </c>
      <c r="D470" s="491" t="s">
        <v>335</v>
      </c>
      <c r="E470" s="460">
        <v>928716</v>
      </c>
      <c r="F470" s="460">
        <v>231000</v>
      </c>
      <c r="G470" s="460"/>
      <c r="H470" s="463">
        <f t="shared" si="75"/>
        <v>1159716</v>
      </c>
    </row>
    <row r="471" spans="1:8" s="1" customFormat="1" ht="12.75" x14ac:dyDescent="0.25">
      <c r="A471" s="449"/>
      <c r="B471" s="448"/>
      <c r="C471" s="467">
        <v>4120</v>
      </c>
      <c r="D471" s="491" t="s">
        <v>336</v>
      </c>
      <c r="E471" s="460">
        <v>133280</v>
      </c>
      <c r="F471" s="460">
        <v>17850</v>
      </c>
      <c r="G471" s="460"/>
      <c r="H471" s="463">
        <f t="shared" si="75"/>
        <v>151130</v>
      </c>
    </row>
    <row r="472" spans="1:8" s="1" customFormat="1" ht="12.75" x14ac:dyDescent="0.25">
      <c r="A472" s="487"/>
      <c r="B472" s="486"/>
      <c r="C472" s="517">
        <v>4210</v>
      </c>
      <c r="D472" s="545" t="s">
        <v>329</v>
      </c>
      <c r="E472" s="455">
        <v>0</v>
      </c>
      <c r="F472" s="455">
        <v>1500</v>
      </c>
      <c r="G472" s="455"/>
      <c r="H472" s="456">
        <f t="shared" si="75"/>
        <v>1500</v>
      </c>
    </row>
    <row r="473" spans="1:8" s="1" customFormat="1" ht="12.75" x14ac:dyDescent="0.25">
      <c r="A473" s="449"/>
      <c r="B473" s="448"/>
      <c r="C473" s="467" t="s">
        <v>456</v>
      </c>
      <c r="D473" s="3" t="s">
        <v>337</v>
      </c>
      <c r="E473" s="460">
        <v>6241</v>
      </c>
      <c r="F473" s="460">
        <v>1000</v>
      </c>
      <c r="G473" s="460"/>
      <c r="H473" s="463">
        <f t="shared" si="75"/>
        <v>7241</v>
      </c>
    </row>
    <row r="474" spans="1:8" s="1" customFormat="1" ht="12.75" x14ac:dyDescent="0.25">
      <c r="A474" s="449"/>
      <c r="B474" s="448"/>
      <c r="C474" s="467">
        <v>4710</v>
      </c>
      <c r="D474" s="3" t="s">
        <v>339</v>
      </c>
      <c r="E474" s="460">
        <v>61966</v>
      </c>
      <c r="F474" s="460"/>
      <c r="G474" s="460">
        <v>1500</v>
      </c>
      <c r="H474" s="463">
        <f t="shared" si="75"/>
        <v>60466</v>
      </c>
    </row>
    <row r="475" spans="1:8" s="1" customFormat="1" ht="12.75" x14ac:dyDescent="0.25">
      <c r="A475" s="449"/>
      <c r="B475" s="467"/>
      <c r="C475" s="467">
        <v>4790</v>
      </c>
      <c r="D475" s="1" t="s">
        <v>372</v>
      </c>
      <c r="E475" s="460">
        <v>4640289.26</v>
      </c>
      <c r="F475" s="460">
        <v>1494500</v>
      </c>
      <c r="G475" s="460"/>
      <c r="H475" s="463">
        <f t="shared" si="75"/>
        <v>6134789.2599999998</v>
      </c>
    </row>
    <row r="476" spans="1:8" s="1" customFormat="1" ht="12.75" x14ac:dyDescent="0.25">
      <c r="A476" s="449"/>
      <c r="B476" s="457">
        <v>80195</v>
      </c>
      <c r="C476" s="443"/>
      <c r="D476" s="464" t="s">
        <v>52</v>
      </c>
      <c r="E476" s="455">
        <v>11801913.91</v>
      </c>
      <c r="F476" s="456">
        <f>SUM(F477,)</f>
        <v>1700</v>
      </c>
      <c r="G476" s="456">
        <f>SUM(G477,)</f>
        <v>0</v>
      </c>
      <c r="H476" s="455">
        <f>SUM(E476+F476-G476)</f>
        <v>11803613.91</v>
      </c>
    </row>
    <row r="477" spans="1:8" s="1" customFormat="1" ht="12.75" x14ac:dyDescent="0.25">
      <c r="A477" s="449"/>
      <c r="B477" s="457"/>
      <c r="C477" s="443"/>
      <c r="D477" s="567" t="s">
        <v>367</v>
      </c>
      <c r="E477" s="490">
        <v>1189945</v>
      </c>
      <c r="F477" s="569">
        <f>SUM(F478:F479)</f>
        <v>1700</v>
      </c>
      <c r="G477" s="569">
        <f>SUM(G478:G478)</f>
        <v>0</v>
      </c>
      <c r="H477" s="490">
        <f t="shared" ref="H477" si="76">SUM(E477+F477-G477)</f>
        <v>1191645</v>
      </c>
    </row>
    <row r="478" spans="1:8" s="1" customFormat="1" ht="12.75" x14ac:dyDescent="0.25">
      <c r="A478" s="449"/>
      <c r="B478" s="457"/>
      <c r="C478" s="467">
        <v>4010</v>
      </c>
      <c r="D478" s="491" t="s">
        <v>327</v>
      </c>
      <c r="E478" s="460">
        <v>15960</v>
      </c>
      <c r="F478" s="463">
        <v>1500</v>
      </c>
      <c r="G478" s="463"/>
      <c r="H478" s="460">
        <f>SUM(E478+F478-G478)</f>
        <v>17460</v>
      </c>
    </row>
    <row r="479" spans="1:8" s="1" customFormat="1" ht="12.75" x14ac:dyDescent="0.25">
      <c r="A479" s="449"/>
      <c r="B479" s="457"/>
      <c r="C479" s="467">
        <v>4110</v>
      </c>
      <c r="D479" s="491" t="s">
        <v>335</v>
      </c>
      <c r="E479" s="460">
        <v>3538</v>
      </c>
      <c r="F479" s="463">
        <v>200</v>
      </c>
      <c r="G479" s="463"/>
      <c r="H479" s="460">
        <f>SUM(E479+F479-G479)</f>
        <v>3738</v>
      </c>
    </row>
    <row r="480" spans="1:8" s="1" customFormat="1" ht="13.5" thickBot="1" x14ac:dyDescent="0.3">
      <c r="A480" s="449">
        <v>854</v>
      </c>
      <c r="B480" s="449"/>
      <c r="C480" s="450"/>
      <c r="D480" s="451" t="s">
        <v>463</v>
      </c>
      <c r="E480" s="447">
        <v>35718152.200000003</v>
      </c>
      <c r="F480" s="452">
        <f>SUM(F484,F499,F481,F489,F495)</f>
        <v>1645200</v>
      </c>
      <c r="G480" s="452">
        <f>SUM(G484,G499,G481)</f>
        <v>0</v>
      </c>
      <c r="H480" s="447">
        <f t="shared" ref="H480:H484" si="77">SUM(E480+F480-G480)</f>
        <v>37363352.200000003</v>
      </c>
    </row>
    <row r="481" spans="1:8" s="1" customFormat="1" ht="13.5" thickTop="1" x14ac:dyDescent="0.25">
      <c r="A481" s="449"/>
      <c r="B481" s="467">
        <v>85404</v>
      </c>
      <c r="C481" s="450"/>
      <c r="D481" s="496" t="s">
        <v>464</v>
      </c>
      <c r="E481" s="546">
        <v>582677</v>
      </c>
      <c r="F481" s="547">
        <f>SUM(F482)</f>
        <v>500</v>
      </c>
      <c r="G481" s="547">
        <f t="shared" ref="G481:G482" si="78">SUM(G482)</f>
        <v>0</v>
      </c>
      <c r="H481" s="547">
        <f>E481+F481-G481</f>
        <v>583177</v>
      </c>
    </row>
    <row r="482" spans="1:8" s="1" customFormat="1" ht="12.75" x14ac:dyDescent="0.25">
      <c r="A482" s="449"/>
      <c r="B482" s="449"/>
      <c r="C482" s="450"/>
      <c r="D482" s="567" t="s">
        <v>367</v>
      </c>
      <c r="E482" s="548">
        <v>582677</v>
      </c>
      <c r="F482" s="549">
        <f>SUM(F483)</f>
        <v>500</v>
      </c>
      <c r="G482" s="549">
        <f t="shared" si="78"/>
        <v>0</v>
      </c>
      <c r="H482" s="549">
        <f>E482+F482-G482</f>
        <v>583177</v>
      </c>
    </row>
    <row r="483" spans="1:8" s="1" customFormat="1" ht="12.75" x14ac:dyDescent="0.25">
      <c r="A483" s="449"/>
      <c r="B483" s="449"/>
      <c r="C483" s="443" t="s">
        <v>446</v>
      </c>
      <c r="D483" s="550" t="s">
        <v>335</v>
      </c>
      <c r="E483" s="460">
        <v>84662</v>
      </c>
      <c r="F483" s="463">
        <v>500</v>
      </c>
      <c r="G483" s="463"/>
      <c r="H483" s="460">
        <f>E483+F483-G483</f>
        <v>85162</v>
      </c>
    </row>
    <row r="484" spans="1:8" s="1" customFormat="1" ht="12.75" x14ac:dyDescent="0.25">
      <c r="A484" s="449"/>
      <c r="B484" s="467">
        <v>85406</v>
      </c>
      <c r="C484" s="465"/>
      <c r="D484" s="496" t="s">
        <v>465</v>
      </c>
      <c r="E484" s="455">
        <v>6269155.5199999996</v>
      </c>
      <c r="F484" s="456">
        <f>SUM(F485)</f>
        <v>668000</v>
      </c>
      <c r="G484" s="456">
        <f>SUM(G485)</f>
        <v>0</v>
      </c>
      <c r="H484" s="455">
        <f t="shared" si="77"/>
        <v>6937155.5199999996</v>
      </c>
    </row>
    <row r="485" spans="1:8" s="1" customFormat="1" ht="12.75" x14ac:dyDescent="0.25">
      <c r="A485" s="449"/>
      <c r="B485" s="467"/>
      <c r="C485" s="443"/>
      <c r="D485" s="567" t="s">
        <v>367</v>
      </c>
      <c r="E485" s="490">
        <v>6145250.5</v>
      </c>
      <c r="F485" s="490">
        <f>SUM(F486:F488)</f>
        <v>668000</v>
      </c>
      <c r="G485" s="490">
        <f>SUM(G486:G488)</f>
        <v>0</v>
      </c>
      <c r="H485" s="490">
        <f>SUM(E485+F485-G485)</f>
        <v>6813250.5</v>
      </c>
    </row>
    <row r="486" spans="1:8" s="1" customFormat="1" ht="12.75" x14ac:dyDescent="0.25">
      <c r="A486" s="449"/>
      <c r="B486" s="467"/>
      <c r="C486" s="443" t="s">
        <v>449</v>
      </c>
      <c r="D486" s="491" t="s">
        <v>327</v>
      </c>
      <c r="E486" s="460">
        <v>533335.52</v>
      </c>
      <c r="F486" s="460">
        <v>60000</v>
      </c>
      <c r="G486" s="460"/>
      <c r="H486" s="460">
        <f t="shared" ref="H486:H488" si="79">SUM(E486+F486-G486)</f>
        <v>593335.52</v>
      </c>
    </row>
    <row r="487" spans="1:8" s="1" customFormat="1" ht="12.75" x14ac:dyDescent="0.25">
      <c r="A487" s="449"/>
      <c r="B487" s="467"/>
      <c r="C487" s="443" t="s">
        <v>446</v>
      </c>
      <c r="D487" s="491" t="s">
        <v>335</v>
      </c>
      <c r="E487" s="460">
        <v>824152</v>
      </c>
      <c r="F487" s="460">
        <v>37000</v>
      </c>
      <c r="G487" s="460"/>
      <c r="H487" s="460">
        <f>E487+F487-G487</f>
        <v>861152</v>
      </c>
    </row>
    <row r="488" spans="1:8" s="1" customFormat="1" ht="12.75" x14ac:dyDescent="0.25">
      <c r="A488" s="449"/>
      <c r="B488" s="467"/>
      <c r="C488" s="443" t="s">
        <v>445</v>
      </c>
      <c r="D488" s="491" t="s">
        <v>372</v>
      </c>
      <c r="E488" s="460">
        <v>3727593.58</v>
      </c>
      <c r="F488" s="460">
        <v>571000</v>
      </c>
      <c r="G488" s="460"/>
      <c r="H488" s="460">
        <f t="shared" si="79"/>
        <v>4298593.58</v>
      </c>
    </row>
    <row r="489" spans="1:8" s="1" customFormat="1" ht="12.75" x14ac:dyDescent="0.25">
      <c r="A489" s="449"/>
      <c r="B489" s="467">
        <v>85410</v>
      </c>
      <c r="C489" s="443"/>
      <c r="D489" s="551" t="s">
        <v>34</v>
      </c>
      <c r="E489" s="455">
        <v>17567960.93</v>
      </c>
      <c r="F489" s="455">
        <f>SUM(F490)</f>
        <v>388500</v>
      </c>
      <c r="G489" s="455">
        <f>SUM(G490)</f>
        <v>0</v>
      </c>
      <c r="H489" s="455">
        <f>SUM(E489+F489-G489)</f>
        <v>17956460.93</v>
      </c>
    </row>
    <row r="490" spans="1:8" s="1" customFormat="1" ht="12.75" x14ac:dyDescent="0.25">
      <c r="A490" s="449"/>
      <c r="C490" s="443"/>
      <c r="D490" s="552" t="s">
        <v>367</v>
      </c>
      <c r="E490" s="553">
        <v>4257878.0199999996</v>
      </c>
      <c r="F490" s="553">
        <f>SUM(F491:F494)</f>
        <v>388500</v>
      </c>
      <c r="G490" s="553">
        <f>SUM(G491:G494)</f>
        <v>0</v>
      </c>
      <c r="H490" s="553">
        <f t="shared" ref="H490:H494" si="80">SUM(E490+F490-G490)</f>
        <v>4646378.0199999996</v>
      </c>
    </row>
    <row r="491" spans="1:8" s="1" customFormat="1" ht="12.75" x14ac:dyDescent="0.25">
      <c r="A491" s="449"/>
      <c r="B491" s="467"/>
      <c r="C491" s="443" t="s">
        <v>449</v>
      </c>
      <c r="D491" s="491" t="s">
        <v>327</v>
      </c>
      <c r="E491" s="460">
        <v>1111520.92</v>
      </c>
      <c r="F491" s="460">
        <v>170000</v>
      </c>
      <c r="G491" s="460">
        <f t="shared" ref="G491:G494" si="81">SUM(G492:G495)</f>
        <v>0</v>
      </c>
      <c r="H491" s="460">
        <f t="shared" si="80"/>
        <v>1281520.92</v>
      </c>
    </row>
    <row r="492" spans="1:8" s="1" customFormat="1" ht="12.75" x14ac:dyDescent="0.25">
      <c r="A492" s="449"/>
      <c r="B492" s="467"/>
      <c r="C492" s="443" t="s">
        <v>446</v>
      </c>
      <c r="D492" s="491" t="s">
        <v>335</v>
      </c>
      <c r="E492" s="460">
        <v>444447</v>
      </c>
      <c r="F492" s="460">
        <v>35000</v>
      </c>
      <c r="G492" s="460">
        <f t="shared" si="81"/>
        <v>0</v>
      </c>
      <c r="H492" s="460">
        <f t="shared" si="80"/>
        <v>479447</v>
      </c>
    </row>
    <row r="493" spans="1:8" s="1" customFormat="1" ht="12.75" x14ac:dyDescent="0.25">
      <c r="A493" s="449"/>
      <c r="B493" s="467"/>
      <c r="C493" s="443" t="s">
        <v>447</v>
      </c>
      <c r="D493" s="491" t="s">
        <v>336</v>
      </c>
      <c r="E493" s="460">
        <v>55908</v>
      </c>
      <c r="F493" s="460">
        <v>3500</v>
      </c>
      <c r="G493" s="460">
        <f t="shared" si="81"/>
        <v>0</v>
      </c>
      <c r="H493" s="460">
        <f t="shared" si="80"/>
        <v>59408</v>
      </c>
    </row>
    <row r="494" spans="1:8" s="1" customFormat="1" ht="12.75" x14ac:dyDescent="0.25">
      <c r="A494" s="449"/>
      <c r="B494" s="467"/>
      <c r="C494" s="443" t="s">
        <v>445</v>
      </c>
      <c r="D494" s="491" t="s">
        <v>372</v>
      </c>
      <c r="E494" s="460">
        <v>1130238</v>
      </c>
      <c r="F494" s="460">
        <v>180000</v>
      </c>
      <c r="G494" s="460">
        <f t="shared" si="81"/>
        <v>0</v>
      </c>
      <c r="H494" s="460">
        <f t="shared" si="80"/>
        <v>1310238</v>
      </c>
    </row>
    <row r="495" spans="1:8" s="1" customFormat="1" ht="12.75" x14ac:dyDescent="0.25">
      <c r="A495" s="449"/>
      <c r="B495" s="467">
        <v>85417</v>
      </c>
      <c r="C495" s="443"/>
      <c r="D495" s="551" t="s">
        <v>35</v>
      </c>
      <c r="E495" s="455">
        <v>274422.3</v>
      </c>
      <c r="F495" s="455">
        <f>SUM(F496)</f>
        <v>2500</v>
      </c>
      <c r="G495" s="455">
        <f>SUM(G496)</f>
        <v>0</v>
      </c>
      <c r="H495" s="455">
        <f>SUM(E495+F495-G495)</f>
        <v>276922.3</v>
      </c>
    </row>
    <row r="496" spans="1:8" s="1" customFormat="1" ht="12.75" x14ac:dyDescent="0.25">
      <c r="A496" s="449"/>
      <c r="C496" s="443"/>
      <c r="D496" s="552" t="s">
        <v>367</v>
      </c>
      <c r="E496" s="553">
        <v>274422.3</v>
      </c>
      <c r="F496" s="553">
        <f>SUM(F497:F498)</f>
        <v>2500</v>
      </c>
      <c r="G496" s="553">
        <f>SUM(G497:G498)</f>
        <v>0</v>
      </c>
      <c r="H496" s="553">
        <f t="shared" ref="H496:H505" si="82">SUM(E496+F496-G496)</f>
        <v>276922.3</v>
      </c>
    </row>
    <row r="497" spans="1:8" s="1" customFormat="1" ht="12.75" x14ac:dyDescent="0.25">
      <c r="A497" s="449"/>
      <c r="B497" s="467"/>
      <c r="C497" s="443" t="s">
        <v>449</v>
      </c>
      <c r="D497" s="491" t="s">
        <v>327</v>
      </c>
      <c r="E497" s="460">
        <v>73992</v>
      </c>
      <c r="F497" s="460">
        <v>1000</v>
      </c>
      <c r="G497" s="460"/>
      <c r="H497" s="460">
        <f t="shared" si="82"/>
        <v>74992</v>
      </c>
    </row>
    <row r="498" spans="1:8" s="1" customFormat="1" ht="12.75" x14ac:dyDescent="0.25">
      <c r="A498" s="449"/>
      <c r="B498" s="467"/>
      <c r="C498" s="443" t="s">
        <v>446</v>
      </c>
      <c r="D498" s="491" t="s">
        <v>335</v>
      </c>
      <c r="E498" s="460">
        <v>13228</v>
      </c>
      <c r="F498" s="460">
        <v>1500</v>
      </c>
      <c r="G498" s="460"/>
      <c r="H498" s="460">
        <f t="shared" si="82"/>
        <v>14728</v>
      </c>
    </row>
    <row r="499" spans="1:8" s="1" customFormat="1" ht="12.75" x14ac:dyDescent="0.25">
      <c r="A499" s="449"/>
      <c r="B499" s="467">
        <v>85420</v>
      </c>
      <c r="C499" s="465"/>
      <c r="D499" s="496" t="s">
        <v>36</v>
      </c>
      <c r="E499" s="455">
        <v>9387552.3599999994</v>
      </c>
      <c r="F499" s="456">
        <f>SUM(F500)</f>
        <v>585700</v>
      </c>
      <c r="G499" s="456">
        <f>SUM(G500)</f>
        <v>0</v>
      </c>
      <c r="H499" s="455">
        <f t="shared" si="82"/>
        <v>9973252.3599999994</v>
      </c>
    </row>
    <row r="500" spans="1:8" s="1" customFormat="1" ht="12.75" x14ac:dyDescent="0.25">
      <c r="A500" s="449"/>
      <c r="B500" s="457"/>
      <c r="C500" s="443"/>
      <c r="D500" s="567" t="s">
        <v>367</v>
      </c>
      <c r="E500" s="490">
        <v>9122552.3599999994</v>
      </c>
      <c r="F500" s="490">
        <f>SUM(F501:F505)</f>
        <v>585700</v>
      </c>
      <c r="G500" s="490">
        <f>SUM(G501:G505)</f>
        <v>0</v>
      </c>
      <c r="H500" s="490">
        <f t="shared" si="82"/>
        <v>9708252.3599999994</v>
      </c>
    </row>
    <row r="501" spans="1:8" s="1" customFormat="1" ht="12.75" x14ac:dyDescent="0.25">
      <c r="A501" s="449"/>
      <c r="B501" s="457"/>
      <c r="C501" s="453">
        <v>4010</v>
      </c>
      <c r="D501" s="491" t="s">
        <v>327</v>
      </c>
      <c r="E501" s="460">
        <v>1043009.4</v>
      </c>
      <c r="F501" s="460">
        <v>80000</v>
      </c>
      <c r="G501" s="460"/>
      <c r="H501" s="460">
        <f t="shared" si="82"/>
        <v>1123009.3999999999</v>
      </c>
    </row>
    <row r="502" spans="1:8" s="1" customFormat="1" ht="12.75" x14ac:dyDescent="0.25">
      <c r="A502" s="449"/>
      <c r="B502" s="457"/>
      <c r="C502" s="467">
        <v>4110</v>
      </c>
      <c r="D502" s="491" t="s">
        <v>335</v>
      </c>
      <c r="E502" s="460">
        <v>920000</v>
      </c>
      <c r="F502" s="460">
        <v>140000</v>
      </c>
      <c r="G502" s="460"/>
      <c r="H502" s="460">
        <f t="shared" si="82"/>
        <v>1060000</v>
      </c>
    </row>
    <row r="503" spans="1:8" s="1" customFormat="1" ht="12.75" x14ac:dyDescent="0.25">
      <c r="A503" s="449"/>
      <c r="B503" s="457"/>
      <c r="C503" s="467">
        <v>4120</v>
      </c>
      <c r="D503" s="491" t="s">
        <v>336</v>
      </c>
      <c r="E503" s="460">
        <v>121200</v>
      </c>
      <c r="F503" s="460">
        <v>7700</v>
      </c>
      <c r="G503" s="460"/>
      <c r="H503" s="460">
        <f t="shared" si="82"/>
        <v>128900</v>
      </c>
    </row>
    <row r="504" spans="1:8" s="1" customFormat="1" ht="12.75" x14ac:dyDescent="0.25">
      <c r="A504" s="449"/>
      <c r="B504" s="457"/>
      <c r="C504" s="467">
        <v>4780</v>
      </c>
      <c r="D504" s="491" t="s">
        <v>444</v>
      </c>
      <c r="E504" s="460">
        <v>57059</v>
      </c>
      <c r="F504" s="460">
        <v>23000</v>
      </c>
      <c r="G504" s="460"/>
      <c r="H504" s="460">
        <f t="shared" si="82"/>
        <v>80059</v>
      </c>
    </row>
    <row r="505" spans="1:8" s="1" customFormat="1" ht="12.75" x14ac:dyDescent="0.25">
      <c r="A505" s="449"/>
      <c r="B505" s="457"/>
      <c r="C505" s="467">
        <v>4790</v>
      </c>
      <c r="D505" s="491" t="s">
        <v>372</v>
      </c>
      <c r="E505" s="460">
        <v>3708858.96</v>
      </c>
      <c r="F505" s="460">
        <v>335000</v>
      </c>
      <c r="G505" s="460"/>
      <c r="H505" s="460">
        <f t="shared" si="82"/>
        <v>4043858.96</v>
      </c>
    </row>
    <row r="506" spans="1:8" s="1" customFormat="1" ht="12" customHeight="1" thickBot="1" x14ac:dyDescent="0.3">
      <c r="A506" s="449">
        <v>855</v>
      </c>
      <c r="B506" s="449"/>
      <c r="C506" s="450"/>
      <c r="D506" s="451" t="s">
        <v>312</v>
      </c>
      <c r="E506" s="512">
        <v>23540980.460000001</v>
      </c>
      <c r="F506" s="452">
        <f>SUM(F507,F512,)</f>
        <v>653904.4</v>
      </c>
      <c r="G506" s="452">
        <f>SUM(G507,G512,)</f>
        <v>0</v>
      </c>
      <c r="H506" s="447">
        <f>SUM(E506+F506-G506)</f>
        <v>24194884.859999999</v>
      </c>
    </row>
    <row r="507" spans="1:8" s="1" customFormat="1" ht="12" customHeight="1" thickTop="1" x14ac:dyDescent="0.25">
      <c r="A507" s="449"/>
      <c r="B507" s="467">
        <v>85508</v>
      </c>
      <c r="C507" s="465"/>
      <c r="D507" s="554" t="s">
        <v>466</v>
      </c>
      <c r="E507" s="455">
        <v>5011810.9400000004</v>
      </c>
      <c r="F507" s="455">
        <f>SUM(F508)</f>
        <v>110737</v>
      </c>
      <c r="G507" s="455">
        <f>SUM(G508)</f>
        <v>0</v>
      </c>
      <c r="H507" s="455">
        <f t="shared" ref="H507:H555" si="83">SUM(E507+F507-G507)</f>
        <v>5122547.9400000004</v>
      </c>
    </row>
    <row r="508" spans="1:8" s="1" customFormat="1" ht="12" customHeight="1" x14ac:dyDescent="0.25">
      <c r="A508" s="449"/>
      <c r="B508" s="448"/>
      <c r="C508" s="443"/>
      <c r="D508" s="575" t="s">
        <v>467</v>
      </c>
      <c r="E508" s="490">
        <v>947669.86</v>
      </c>
      <c r="F508" s="569">
        <f>SUM(F509:F511)</f>
        <v>110737</v>
      </c>
      <c r="G508" s="569">
        <f>SUM(G509:G511)</f>
        <v>0</v>
      </c>
      <c r="H508" s="490">
        <f t="shared" si="83"/>
        <v>1058406.8599999999</v>
      </c>
    </row>
    <row r="509" spans="1:8" s="1" customFormat="1" ht="12" customHeight="1" x14ac:dyDescent="0.25">
      <c r="A509" s="449"/>
      <c r="B509" s="448"/>
      <c r="C509" s="467">
        <v>4010</v>
      </c>
      <c r="D509" s="491" t="s">
        <v>327</v>
      </c>
      <c r="E509" s="460">
        <v>655580.86</v>
      </c>
      <c r="F509" s="463">
        <f>92351</f>
        <v>92351</v>
      </c>
      <c r="G509" s="463"/>
      <c r="H509" s="463">
        <f t="shared" si="83"/>
        <v>747931.86</v>
      </c>
    </row>
    <row r="510" spans="1:8" s="1" customFormat="1" ht="12" customHeight="1" x14ac:dyDescent="0.25">
      <c r="A510" s="449"/>
      <c r="B510" s="448"/>
      <c r="C510" s="467">
        <v>4110</v>
      </c>
      <c r="D510" s="491" t="s">
        <v>335</v>
      </c>
      <c r="E510" s="460">
        <v>115006</v>
      </c>
      <c r="F510" s="463">
        <f>16124</f>
        <v>16124</v>
      </c>
      <c r="G510" s="463"/>
      <c r="H510" s="463">
        <f t="shared" si="83"/>
        <v>131130</v>
      </c>
    </row>
    <row r="511" spans="1:8" s="1" customFormat="1" ht="12" customHeight="1" x14ac:dyDescent="0.25">
      <c r="A511" s="449"/>
      <c r="B511" s="448"/>
      <c r="C511" s="467">
        <v>4120</v>
      </c>
      <c r="D511" s="491" t="s">
        <v>336</v>
      </c>
      <c r="E511" s="460">
        <v>16154</v>
      </c>
      <c r="F511" s="463">
        <f>2262</f>
        <v>2262</v>
      </c>
      <c r="G511" s="463"/>
      <c r="H511" s="463">
        <f t="shared" si="83"/>
        <v>18416</v>
      </c>
    </row>
    <row r="512" spans="1:8" s="1" customFormat="1" ht="12" customHeight="1" x14ac:dyDescent="0.25">
      <c r="A512" s="448"/>
      <c r="B512" s="467">
        <v>85510</v>
      </c>
      <c r="C512" s="443"/>
      <c r="D512" s="464" t="s">
        <v>198</v>
      </c>
      <c r="E512" s="455">
        <v>18222622.52</v>
      </c>
      <c r="F512" s="455">
        <f>SUM(F513,F518,F522,F526,)</f>
        <v>543167.4</v>
      </c>
      <c r="G512" s="455">
        <f>SUM(G513,G518,G522,G526,)</f>
        <v>0</v>
      </c>
      <c r="H512" s="455">
        <f t="shared" si="83"/>
        <v>18765789.919999998</v>
      </c>
    </row>
    <row r="513" spans="1:8" s="1" customFormat="1" ht="12" customHeight="1" x14ac:dyDescent="0.25">
      <c r="A513" s="448"/>
      <c r="B513" s="467"/>
      <c r="C513" s="443"/>
      <c r="D513" s="567" t="s">
        <v>468</v>
      </c>
      <c r="E513" s="490">
        <v>5999319.4800000004</v>
      </c>
      <c r="F513" s="569">
        <f>SUM(F514:F517)</f>
        <v>63053.4</v>
      </c>
      <c r="G513" s="569">
        <f>SUM(G514:G517)</f>
        <v>0</v>
      </c>
      <c r="H513" s="490">
        <f t="shared" ref="H513:H525" si="84">SUM(E513+F513-G513)</f>
        <v>6062372.8800000008</v>
      </c>
    </row>
    <row r="514" spans="1:8" s="1" customFormat="1" ht="12" customHeight="1" x14ac:dyDescent="0.25">
      <c r="A514" s="448"/>
      <c r="B514" s="467"/>
      <c r="C514" s="504">
        <v>4010</v>
      </c>
      <c r="D514" s="505" t="s">
        <v>327</v>
      </c>
      <c r="E514" s="460">
        <v>3434956.7800000003</v>
      </c>
      <c r="F514" s="463">
        <f>11989+31882.4</f>
        <v>43871.4</v>
      </c>
      <c r="G514" s="463"/>
      <c r="H514" s="463">
        <f t="shared" si="84"/>
        <v>3478828.18</v>
      </c>
    </row>
    <row r="515" spans="1:8" s="1" customFormat="1" ht="12" customHeight="1" x14ac:dyDescent="0.25">
      <c r="A515" s="448"/>
      <c r="B515" s="467"/>
      <c r="C515" s="504">
        <v>4110</v>
      </c>
      <c r="D515" s="505" t="s">
        <v>469</v>
      </c>
      <c r="E515" s="460">
        <v>601856</v>
      </c>
      <c r="F515" s="463">
        <f>2065+5490</f>
        <v>7555</v>
      </c>
      <c r="G515" s="463"/>
      <c r="H515" s="463">
        <f t="shared" si="84"/>
        <v>609411</v>
      </c>
    </row>
    <row r="516" spans="1:8" s="1" customFormat="1" ht="12" customHeight="1" x14ac:dyDescent="0.25">
      <c r="A516" s="448"/>
      <c r="B516" s="467"/>
      <c r="C516" s="504">
        <v>4120</v>
      </c>
      <c r="D516" s="505" t="s">
        <v>336</v>
      </c>
      <c r="E516" s="460">
        <v>85630</v>
      </c>
      <c r="F516" s="463">
        <f>294+781</f>
        <v>1075</v>
      </c>
      <c r="G516" s="463"/>
      <c r="H516" s="463">
        <f t="shared" si="84"/>
        <v>86705</v>
      </c>
    </row>
    <row r="517" spans="1:8" s="1" customFormat="1" ht="12" customHeight="1" x14ac:dyDescent="0.25">
      <c r="A517" s="448"/>
      <c r="B517" s="467"/>
      <c r="C517" s="494">
        <v>4440</v>
      </c>
      <c r="D517" s="493" t="s">
        <v>359</v>
      </c>
      <c r="E517" s="460">
        <v>130723</v>
      </c>
      <c r="F517" s="463">
        <f>10552</f>
        <v>10552</v>
      </c>
      <c r="G517" s="463"/>
      <c r="H517" s="463">
        <f t="shared" si="84"/>
        <v>141275</v>
      </c>
    </row>
    <row r="518" spans="1:8" s="1" customFormat="1" ht="12" customHeight="1" x14ac:dyDescent="0.25">
      <c r="A518" s="448"/>
      <c r="B518" s="467"/>
      <c r="C518" s="443"/>
      <c r="D518" s="573" t="s">
        <v>470</v>
      </c>
      <c r="E518" s="490">
        <v>2914103</v>
      </c>
      <c r="F518" s="569">
        <f>SUM(F519:F521)</f>
        <v>259557</v>
      </c>
      <c r="G518" s="569">
        <f>SUM(G519:G521)</f>
        <v>0</v>
      </c>
      <c r="H518" s="490">
        <f t="shared" si="84"/>
        <v>3173660</v>
      </c>
    </row>
    <row r="519" spans="1:8" s="1" customFormat="1" ht="12" customHeight="1" x14ac:dyDescent="0.25">
      <c r="A519" s="448"/>
      <c r="B519" s="467"/>
      <c r="C519" s="467">
        <v>4010</v>
      </c>
      <c r="D519" s="491" t="s">
        <v>327</v>
      </c>
      <c r="E519" s="460">
        <v>1793453</v>
      </c>
      <c r="F519" s="463">
        <v>216460</v>
      </c>
      <c r="G519" s="463"/>
      <c r="H519" s="463">
        <f t="shared" si="84"/>
        <v>2009913</v>
      </c>
    </row>
    <row r="520" spans="1:8" s="1" customFormat="1" ht="12" customHeight="1" x14ac:dyDescent="0.25">
      <c r="A520" s="448"/>
      <c r="B520" s="467"/>
      <c r="C520" s="467">
        <v>4110</v>
      </c>
      <c r="D520" s="491" t="s">
        <v>335</v>
      </c>
      <c r="E520" s="460">
        <v>321786</v>
      </c>
      <c r="F520" s="463">
        <v>37794</v>
      </c>
      <c r="G520" s="463"/>
      <c r="H520" s="463">
        <f t="shared" si="84"/>
        <v>359580</v>
      </c>
    </row>
    <row r="521" spans="1:8" s="1" customFormat="1" ht="12" customHeight="1" x14ac:dyDescent="0.25">
      <c r="A521" s="448"/>
      <c r="B521" s="467"/>
      <c r="C521" s="467">
        <v>4120</v>
      </c>
      <c r="D521" s="491" t="s">
        <v>336</v>
      </c>
      <c r="E521" s="460">
        <v>45154</v>
      </c>
      <c r="F521" s="463">
        <v>5303</v>
      </c>
      <c r="G521" s="463"/>
      <c r="H521" s="463">
        <f t="shared" si="84"/>
        <v>50457</v>
      </c>
    </row>
    <row r="522" spans="1:8" s="1" customFormat="1" ht="12" customHeight="1" x14ac:dyDescent="0.25">
      <c r="A522" s="448"/>
      <c r="B522" s="467"/>
      <c r="C522" s="443"/>
      <c r="D522" s="573" t="s">
        <v>471</v>
      </c>
      <c r="E522" s="490">
        <v>2476760.88</v>
      </c>
      <c r="F522" s="569">
        <f>SUM(F523:F525)</f>
        <v>105898</v>
      </c>
      <c r="G522" s="569">
        <f>SUM(G523:G525)</f>
        <v>0</v>
      </c>
      <c r="H522" s="490">
        <f>SUM(E522+F522-G522)</f>
        <v>2582658.88</v>
      </c>
    </row>
    <row r="523" spans="1:8" s="1" customFormat="1" ht="12" customHeight="1" x14ac:dyDescent="0.25">
      <c r="A523" s="448"/>
      <c r="B523" s="467"/>
      <c r="C523" s="467">
        <v>4010</v>
      </c>
      <c r="D523" s="491" t="s">
        <v>327</v>
      </c>
      <c r="E523" s="514">
        <v>1541310.88</v>
      </c>
      <c r="F523" s="463">
        <v>88314</v>
      </c>
      <c r="G523" s="463"/>
      <c r="H523" s="463">
        <f t="shared" si="84"/>
        <v>1629624.88</v>
      </c>
    </row>
    <row r="524" spans="1:8" s="1" customFormat="1" ht="12" customHeight="1" x14ac:dyDescent="0.25">
      <c r="A524" s="448"/>
      <c r="B524" s="467"/>
      <c r="C524" s="467">
        <v>4110</v>
      </c>
      <c r="D524" s="491" t="s">
        <v>335</v>
      </c>
      <c r="E524" s="514">
        <v>271534</v>
      </c>
      <c r="F524" s="463">
        <v>15420</v>
      </c>
      <c r="G524" s="463"/>
      <c r="H524" s="463">
        <f t="shared" si="84"/>
        <v>286954</v>
      </c>
    </row>
    <row r="525" spans="1:8" s="1" customFormat="1" ht="12" customHeight="1" x14ac:dyDescent="0.25">
      <c r="A525" s="448"/>
      <c r="B525" s="467"/>
      <c r="C525" s="467">
        <v>4120</v>
      </c>
      <c r="D525" s="491" t="s">
        <v>336</v>
      </c>
      <c r="E525" s="514">
        <v>38898</v>
      </c>
      <c r="F525" s="463">
        <v>2164</v>
      </c>
      <c r="G525" s="463"/>
      <c r="H525" s="463">
        <f t="shared" si="84"/>
        <v>41062</v>
      </c>
    </row>
    <row r="526" spans="1:8" s="1" customFormat="1" ht="12" customHeight="1" x14ac:dyDescent="0.25">
      <c r="A526" s="448"/>
      <c r="B526" s="467"/>
      <c r="C526" s="443"/>
      <c r="D526" s="574" t="s">
        <v>472</v>
      </c>
      <c r="E526" s="490">
        <v>2374315.16</v>
      </c>
      <c r="F526" s="569">
        <f>SUM(F527:F529)</f>
        <v>114659</v>
      </c>
      <c r="G526" s="569">
        <f>SUM(G527:G529)</f>
        <v>0</v>
      </c>
      <c r="H526" s="490">
        <f t="shared" si="83"/>
        <v>2488974.16</v>
      </c>
    </row>
    <row r="527" spans="1:8" s="1" customFormat="1" ht="12" customHeight="1" x14ac:dyDescent="0.25">
      <c r="A527" s="448"/>
      <c r="B527" s="467"/>
      <c r="C527" s="467">
        <v>4010</v>
      </c>
      <c r="D527" s="491" t="s">
        <v>327</v>
      </c>
      <c r="E527" s="460">
        <v>1512587.16</v>
      </c>
      <c r="F527" s="463">
        <v>95620</v>
      </c>
      <c r="G527" s="463"/>
      <c r="H527" s="463">
        <f t="shared" si="83"/>
        <v>1608207.16</v>
      </c>
    </row>
    <row r="528" spans="1:8" s="1" customFormat="1" ht="12" customHeight="1" x14ac:dyDescent="0.25">
      <c r="A528" s="448"/>
      <c r="B528" s="467"/>
      <c r="C528" s="467">
        <v>4110</v>
      </c>
      <c r="D528" s="491" t="s">
        <v>335</v>
      </c>
      <c r="E528" s="460">
        <v>254892</v>
      </c>
      <c r="F528" s="463">
        <v>16695.5</v>
      </c>
      <c r="G528" s="463"/>
      <c r="H528" s="463">
        <f t="shared" si="83"/>
        <v>271587.5</v>
      </c>
    </row>
    <row r="529" spans="1:8" s="1" customFormat="1" ht="12" customHeight="1" x14ac:dyDescent="0.25">
      <c r="A529" s="486"/>
      <c r="B529" s="517"/>
      <c r="C529" s="517">
        <v>4120</v>
      </c>
      <c r="D529" s="464" t="s">
        <v>336</v>
      </c>
      <c r="E529" s="455">
        <v>31013</v>
      </c>
      <c r="F529" s="456">
        <v>2343.5</v>
      </c>
      <c r="G529" s="456"/>
      <c r="H529" s="456">
        <f t="shared" si="83"/>
        <v>33356.5</v>
      </c>
    </row>
    <row r="530" spans="1:8" s="1" customFormat="1" ht="20.25" customHeight="1" thickBot="1" x14ac:dyDescent="0.3">
      <c r="A530" s="442"/>
      <c r="B530" s="457"/>
      <c r="C530" s="467"/>
      <c r="D530" s="446" t="s">
        <v>473</v>
      </c>
      <c r="E530" s="447">
        <v>58521738.350000001</v>
      </c>
      <c r="F530" s="447">
        <f>SUM(F531,F547)</f>
        <v>5474030</v>
      </c>
      <c r="G530" s="447">
        <f>SUM(G531,G547)</f>
        <v>22844.63</v>
      </c>
      <c r="H530" s="447">
        <f t="shared" si="83"/>
        <v>63972923.719999999</v>
      </c>
    </row>
    <row r="531" spans="1:8" s="1" customFormat="1" ht="12.75" customHeight="1" thickTop="1" thickBot="1" x14ac:dyDescent="0.3">
      <c r="A531" s="555">
        <v>852</v>
      </c>
      <c r="B531" s="555"/>
      <c r="C531" s="504"/>
      <c r="D531" s="556" t="s">
        <v>294</v>
      </c>
      <c r="E531" s="447">
        <v>6929452.6699999999</v>
      </c>
      <c r="F531" s="447">
        <f>SUM(F532,F536,F540,F543,)</f>
        <v>666831</v>
      </c>
      <c r="G531" s="447">
        <f>SUM(G532,G536,G540,G543,)</f>
        <v>18914</v>
      </c>
      <c r="H531" s="447">
        <f t="shared" si="83"/>
        <v>7577369.6699999999</v>
      </c>
    </row>
    <row r="532" spans="1:8" s="1" customFormat="1" ht="12" customHeight="1" thickTop="1" x14ac:dyDescent="0.25">
      <c r="A532" s="555"/>
      <c r="B532" s="504">
        <v>85203</v>
      </c>
      <c r="C532" s="557"/>
      <c r="D532" s="516" t="s">
        <v>155</v>
      </c>
      <c r="E532" s="455">
        <v>1876140</v>
      </c>
      <c r="F532" s="456">
        <f>SUM(F533)</f>
        <v>6728</v>
      </c>
      <c r="G532" s="456">
        <f>SUM(G533)</f>
        <v>0</v>
      </c>
      <c r="H532" s="455">
        <f t="shared" si="83"/>
        <v>1882868</v>
      </c>
    </row>
    <row r="533" spans="1:8" s="1" customFormat="1" ht="12" customHeight="1" x14ac:dyDescent="0.25">
      <c r="A533" s="555"/>
      <c r="B533" s="504"/>
      <c r="C533" s="557"/>
      <c r="D533" s="574" t="s">
        <v>474</v>
      </c>
      <c r="E533" s="553">
        <v>1694340</v>
      </c>
      <c r="F533" s="569">
        <f>SUM(F534:F535)</f>
        <v>6728</v>
      </c>
      <c r="G533" s="569">
        <f>SUM(G534:G535)</f>
        <v>0</v>
      </c>
      <c r="H533" s="490">
        <f t="shared" si="83"/>
        <v>1701068</v>
      </c>
    </row>
    <row r="534" spans="1:8" s="1" customFormat="1" ht="12" customHeight="1" x14ac:dyDescent="0.25">
      <c r="A534" s="555"/>
      <c r="B534" s="467"/>
      <c r="C534" s="467">
        <v>4010</v>
      </c>
      <c r="D534" s="491" t="s">
        <v>327</v>
      </c>
      <c r="E534" s="460">
        <v>1191169</v>
      </c>
      <c r="F534" s="463">
        <v>5750</v>
      </c>
      <c r="G534" s="463"/>
      <c r="H534" s="463">
        <f t="shared" si="83"/>
        <v>1196919</v>
      </c>
    </row>
    <row r="535" spans="1:8" s="1" customFormat="1" ht="12" customHeight="1" x14ac:dyDescent="0.25">
      <c r="A535" s="555"/>
      <c r="B535" s="467"/>
      <c r="C535" s="467">
        <v>4110</v>
      </c>
      <c r="D535" s="491" t="s">
        <v>335</v>
      </c>
      <c r="E535" s="460">
        <v>218287</v>
      </c>
      <c r="F535" s="463">
        <v>978</v>
      </c>
      <c r="G535" s="463"/>
      <c r="H535" s="463">
        <f t="shared" si="83"/>
        <v>219265</v>
      </c>
    </row>
    <row r="536" spans="1:8" s="1" customFormat="1" ht="12" customHeight="1" x14ac:dyDescent="0.25">
      <c r="A536" s="555"/>
      <c r="B536" s="457">
        <v>85219</v>
      </c>
      <c r="C536" s="443"/>
      <c r="D536" s="464" t="s">
        <v>309</v>
      </c>
      <c r="E536" s="455">
        <v>209838</v>
      </c>
      <c r="F536" s="456">
        <f t="shared" ref="F536:G536" si="85">SUM(F537)</f>
        <v>32245</v>
      </c>
      <c r="G536" s="456">
        <f t="shared" si="85"/>
        <v>0</v>
      </c>
      <c r="H536" s="455">
        <f t="shared" ref="H536:H539" si="86">SUM(E536+F536-G536)</f>
        <v>242083</v>
      </c>
    </row>
    <row r="537" spans="1:8" s="1" customFormat="1" ht="12" customHeight="1" x14ac:dyDescent="0.25">
      <c r="A537" s="555"/>
      <c r="B537" s="504"/>
      <c r="C537" s="557"/>
      <c r="D537" s="582" t="s">
        <v>475</v>
      </c>
      <c r="E537" s="553">
        <v>209838</v>
      </c>
      <c r="F537" s="569">
        <f>SUM(F538:F539)</f>
        <v>32245</v>
      </c>
      <c r="G537" s="569">
        <f>SUM(G538:G539)</f>
        <v>0</v>
      </c>
      <c r="H537" s="490">
        <f t="shared" si="86"/>
        <v>242083</v>
      </c>
    </row>
    <row r="538" spans="1:8" s="1" customFormat="1" ht="12" customHeight="1" x14ac:dyDescent="0.25">
      <c r="A538" s="555"/>
      <c r="B538" s="467"/>
      <c r="C538" s="467">
        <v>3110</v>
      </c>
      <c r="D538" s="491" t="s">
        <v>476</v>
      </c>
      <c r="E538" s="460">
        <v>206737</v>
      </c>
      <c r="F538" s="463">
        <v>31768</v>
      </c>
      <c r="G538" s="463"/>
      <c r="H538" s="463">
        <f t="shared" si="86"/>
        <v>238505</v>
      </c>
    </row>
    <row r="539" spans="1:8" s="1" customFormat="1" ht="12" customHeight="1" x14ac:dyDescent="0.25">
      <c r="A539" s="555"/>
      <c r="B539" s="467"/>
      <c r="C539" s="492" t="s">
        <v>328</v>
      </c>
      <c r="D539" s="493" t="s">
        <v>329</v>
      </c>
      <c r="E539" s="460">
        <v>3101</v>
      </c>
      <c r="F539" s="463">
        <v>477</v>
      </c>
      <c r="G539" s="463"/>
      <c r="H539" s="463">
        <f t="shared" si="86"/>
        <v>3578</v>
      </c>
    </row>
    <row r="540" spans="1:8" s="1" customFormat="1" ht="12" customHeight="1" x14ac:dyDescent="0.25">
      <c r="A540" s="555"/>
      <c r="B540" s="457">
        <v>85228</v>
      </c>
      <c r="C540" s="443"/>
      <c r="D540" s="479" t="s">
        <v>487</v>
      </c>
      <c r="E540" s="455">
        <v>4754169</v>
      </c>
      <c r="F540" s="456">
        <f>SUM(F541)</f>
        <v>627858</v>
      </c>
      <c r="G540" s="456">
        <f>SUM(G541)</f>
        <v>0</v>
      </c>
      <c r="H540" s="455">
        <f t="shared" ref="H540:H542" si="87">SUM(E540+F540-G540)</f>
        <v>5382027</v>
      </c>
    </row>
    <row r="541" spans="1:8" s="1" customFormat="1" ht="12" customHeight="1" x14ac:dyDescent="0.25">
      <c r="A541" s="555"/>
      <c r="B541" s="457"/>
      <c r="C541" s="443"/>
      <c r="D541" s="567" t="s">
        <v>397</v>
      </c>
      <c r="E541" s="553">
        <v>4754169</v>
      </c>
      <c r="F541" s="569">
        <f>SUM(F542:F542)</f>
        <v>627858</v>
      </c>
      <c r="G541" s="569">
        <f>SUM(G542:G542)</f>
        <v>0</v>
      </c>
      <c r="H541" s="490">
        <f t="shared" si="87"/>
        <v>5382027</v>
      </c>
    </row>
    <row r="542" spans="1:8" s="1" customFormat="1" ht="48.75" customHeight="1" x14ac:dyDescent="0.25">
      <c r="A542" s="555"/>
      <c r="B542" s="457"/>
      <c r="C542" s="458" t="s">
        <v>399</v>
      </c>
      <c r="D542" s="471" t="s">
        <v>400</v>
      </c>
      <c r="E542" s="460">
        <v>4754169</v>
      </c>
      <c r="F542" s="460">
        <v>627858</v>
      </c>
      <c r="G542" s="460"/>
      <c r="H542" s="463">
        <f t="shared" si="87"/>
        <v>5382027</v>
      </c>
    </row>
    <row r="543" spans="1:8" s="1" customFormat="1" ht="12" customHeight="1" x14ac:dyDescent="0.25">
      <c r="A543" s="457"/>
      <c r="B543" s="457">
        <v>85231</v>
      </c>
      <c r="C543" s="443"/>
      <c r="D543" s="464" t="s">
        <v>311</v>
      </c>
      <c r="E543" s="455">
        <v>53600</v>
      </c>
      <c r="F543" s="456">
        <f>SUM(F544)</f>
        <v>0</v>
      </c>
      <c r="G543" s="456">
        <f>SUM(G544)</f>
        <v>18914</v>
      </c>
      <c r="H543" s="455">
        <f t="shared" si="83"/>
        <v>34686</v>
      </c>
    </row>
    <row r="544" spans="1:8" s="1" customFormat="1" ht="12" customHeight="1" x14ac:dyDescent="0.25">
      <c r="A544" s="457"/>
      <c r="B544" s="504"/>
      <c r="C544" s="557"/>
      <c r="D544" s="574" t="s">
        <v>408</v>
      </c>
      <c r="E544" s="553">
        <v>53600</v>
      </c>
      <c r="F544" s="569">
        <f>SUM(F545:F546)</f>
        <v>0</v>
      </c>
      <c r="G544" s="569">
        <f>SUM(G545:G546)</f>
        <v>18914</v>
      </c>
      <c r="H544" s="490">
        <f t="shared" si="83"/>
        <v>34686</v>
      </c>
    </row>
    <row r="545" spans="1:8" s="1" customFormat="1" ht="12" customHeight="1" x14ac:dyDescent="0.25">
      <c r="A545" s="457"/>
      <c r="B545" s="467"/>
      <c r="C545" s="467">
        <v>3110</v>
      </c>
      <c r="D545" s="491" t="s">
        <v>476</v>
      </c>
      <c r="E545" s="460">
        <v>35600</v>
      </c>
      <c r="F545" s="460"/>
      <c r="G545" s="460">
        <v>10450</v>
      </c>
      <c r="H545" s="463">
        <f t="shared" si="83"/>
        <v>25150</v>
      </c>
    </row>
    <row r="546" spans="1:8" s="1" customFormat="1" ht="12" customHeight="1" x14ac:dyDescent="0.25">
      <c r="A546" s="457"/>
      <c r="B546" s="449"/>
      <c r="C546" s="467">
        <v>4300</v>
      </c>
      <c r="D546" s="491" t="s">
        <v>337</v>
      </c>
      <c r="E546" s="463">
        <v>18000</v>
      </c>
      <c r="F546" s="463"/>
      <c r="G546" s="463">
        <v>8464</v>
      </c>
      <c r="H546" s="463">
        <f t="shared" si="83"/>
        <v>9536</v>
      </c>
    </row>
    <row r="547" spans="1:8" s="1" customFormat="1" ht="12" customHeight="1" thickBot="1" x14ac:dyDescent="0.3">
      <c r="A547" s="449">
        <v>855</v>
      </c>
      <c r="B547" s="449"/>
      <c r="C547" s="450"/>
      <c r="D547" s="451" t="s">
        <v>312</v>
      </c>
      <c r="E547" s="447">
        <v>44524619</v>
      </c>
      <c r="F547" s="447">
        <f>SUM(F548,F558)</f>
        <v>4807199</v>
      </c>
      <c r="G547" s="447">
        <f>SUM(G548,G558)</f>
        <v>3930.63</v>
      </c>
      <c r="H547" s="447">
        <f t="shared" si="83"/>
        <v>49327887.369999997</v>
      </c>
    </row>
    <row r="548" spans="1:8" s="1" customFormat="1" ht="36.75" customHeight="1" thickTop="1" x14ac:dyDescent="0.25">
      <c r="A548" s="449"/>
      <c r="B548" s="453">
        <v>85502</v>
      </c>
      <c r="C548" s="443"/>
      <c r="D548" s="454" t="s">
        <v>313</v>
      </c>
      <c r="E548" s="455">
        <v>43765784</v>
      </c>
      <c r="F548" s="456">
        <f>SUM(F549,F554)</f>
        <v>4717199</v>
      </c>
      <c r="G548" s="456">
        <f>SUM(G549,G554)</f>
        <v>2406.85</v>
      </c>
      <c r="H548" s="455">
        <f t="shared" si="83"/>
        <v>48480576.149999999</v>
      </c>
    </row>
    <row r="549" spans="1:8" s="1" customFormat="1" ht="12" customHeight="1" x14ac:dyDescent="0.25">
      <c r="A549" s="457"/>
      <c r="B549" s="542"/>
      <c r="C549" s="557"/>
      <c r="D549" s="574" t="s">
        <v>408</v>
      </c>
      <c r="E549" s="490">
        <v>43746284</v>
      </c>
      <c r="F549" s="569">
        <f>SUM(F550:F553)</f>
        <v>4712250</v>
      </c>
      <c r="G549" s="569">
        <f>SUM(G550:G553)</f>
        <v>2406.85</v>
      </c>
      <c r="H549" s="490">
        <f t="shared" si="83"/>
        <v>48456127.149999999</v>
      </c>
    </row>
    <row r="550" spans="1:8" s="1" customFormat="1" ht="12" customHeight="1" x14ac:dyDescent="0.25">
      <c r="A550" s="457"/>
      <c r="B550" s="542"/>
      <c r="C550" s="467">
        <v>3110</v>
      </c>
      <c r="D550" s="491" t="s">
        <v>476</v>
      </c>
      <c r="E550" s="460">
        <v>38355040</v>
      </c>
      <c r="F550" s="460">
        <v>4050000</v>
      </c>
      <c r="G550" s="460">
        <v>2406.85</v>
      </c>
      <c r="H550" s="463">
        <f t="shared" si="83"/>
        <v>42402633.149999999</v>
      </c>
    </row>
    <row r="551" spans="1:8" s="1" customFormat="1" ht="12" customHeight="1" x14ac:dyDescent="0.25">
      <c r="A551" s="457"/>
      <c r="B551" s="457"/>
      <c r="C551" s="467">
        <v>4010</v>
      </c>
      <c r="D551" s="491" t="s">
        <v>327</v>
      </c>
      <c r="E551" s="460">
        <v>892579</v>
      </c>
      <c r="F551" s="460">
        <v>114576</v>
      </c>
      <c r="G551" s="460"/>
      <c r="H551" s="463">
        <f t="shared" si="83"/>
        <v>1007155</v>
      </c>
    </row>
    <row r="552" spans="1:8" s="1" customFormat="1" ht="12" customHeight="1" x14ac:dyDescent="0.25">
      <c r="A552" s="457"/>
      <c r="B552" s="457"/>
      <c r="C552" s="467">
        <v>4110</v>
      </c>
      <c r="D552" s="491" t="s">
        <v>335</v>
      </c>
      <c r="E552" s="460">
        <v>4314981</v>
      </c>
      <c r="F552" s="460">
        <v>544866</v>
      </c>
      <c r="G552" s="460"/>
      <c r="H552" s="463">
        <f t="shared" si="83"/>
        <v>4859847</v>
      </c>
    </row>
    <row r="553" spans="1:8" s="1" customFormat="1" ht="12" customHeight="1" x14ac:dyDescent="0.25">
      <c r="A553" s="457"/>
      <c r="B553" s="457"/>
      <c r="C553" s="467">
        <v>4120</v>
      </c>
      <c r="D553" s="491" t="s">
        <v>336</v>
      </c>
      <c r="E553" s="460">
        <v>23882</v>
      </c>
      <c r="F553" s="460">
        <v>2808</v>
      </c>
      <c r="G553" s="460"/>
      <c r="H553" s="463">
        <f t="shared" si="83"/>
        <v>26690</v>
      </c>
    </row>
    <row r="554" spans="1:8" s="1" customFormat="1" ht="12" customHeight="1" x14ac:dyDescent="0.25">
      <c r="A554" s="457"/>
      <c r="B554" s="457"/>
      <c r="C554" s="557"/>
      <c r="D554" s="574" t="s">
        <v>477</v>
      </c>
      <c r="E554" s="490">
        <v>19500</v>
      </c>
      <c r="F554" s="569">
        <f>SUM(F555:F555)</f>
        <v>4949</v>
      </c>
      <c r="G554" s="569">
        <f>SUM(G555:G555)</f>
        <v>0</v>
      </c>
      <c r="H554" s="490">
        <f t="shared" si="83"/>
        <v>24449</v>
      </c>
    </row>
    <row r="555" spans="1:8" s="1" customFormat="1" ht="12" customHeight="1" x14ac:dyDescent="0.25">
      <c r="A555" s="457"/>
      <c r="B555" s="457"/>
      <c r="C555" s="467">
        <v>3110</v>
      </c>
      <c r="D555" s="491" t="s">
        <v>476</v>
      </c>
      <c r="E555" s="460">
        <v>17500</v>
      </c>
      <c r="F555" s="460">
        <v>4949</v>
      </c>
      <c r="G555" s="460"/>
      <c r="H555" s="463">
        <f t="shared" si="83"/>
        <v>22449</v>
      </c>
    </row>
    <row r="556" spans="1:8" s="1" customFormat="1" ht="12" customHeight="1" x14ac:dyDescent="0.25">
      <c r="A556" s="457"/>
      <c r="B556" s="457">
        <v>85513</v>
      </c>
      <c r="C556" s="443"/>
      <c r="D556" s="457" t="s">
        <v>316</v>
      </c>
      <c r="E556" s="460"/>
      <c r="F556" s="460"/>
      <c r="G556" s="460"/>
      <c r="H556" s="463"/>
    </row>
    <row r="557" spans="1:8" s="1" customFormat="1" ht="12" customHeight="1" x14ac:dyDescent="0.25">
      <c r="A557" s="457"/>
      <c r="B557" s="442"/>
      <c r="C557" s="443"/>
      <c r="D557" s="474" t="s">
        <v>317</v>
      </c>
      <c r="E557" s="460"/>
      <c r="F557" s="460"/>
      <c r="G557" s="460"/>
      <c r="H557" s="463"/>
    </row>
    <row r="558" spans="1:8" s="1" customFormat="1" ht="12" customHeight="1" x14ac:dyDescent="0.25">
      <c r="A558" s="450"/>
      <c r="B558" s="457"/>
      <c r="C558" s="443"/>
      <c r="D558" s="464" t="s">
        <v>318</v>
      </c>
      <c r="E558" s="455">
        <v>755977</v>
      </c>
      <c r="F558" s="456">
        <f>SUM(F559)</f>
        <v>90000</v>
      </c>
      <c r="G558" s="456">
        <f>SUM(G559)</f>
        <v>1523.78</v>
      </c>
      <c r="H558" s="455">
        <f t="shared" ref="H558:H560" si="88">SUM(E558+F558-G558)</f>
        <v>844453.22</v>
      </c>
    </row>
    <row r="559" spans="1:8" s="1" customFormat="1" ht="12" customHeight="1" x14ac:dyDescent="0.25">
      <c r="A559" s="450"/>
      <c r="B559" s="504"/>
      <c r="C559" s="557"/>
      <c r="D559" s="574" t="s">
        <v>408</v>
      </c>
      <c r="E559" s="553">
        <v>755977</v>
      </c>
      <c r="F559" s="569">
        <f>SUM(F560:F560)</f>
        <v>90000</v>
      </c>
      <c r="G559" s="569">
        <f>SUM(G560:G560)</f>
        <v>1523.78</v>
      </c>
      <c r="H559" s="490">
        <f t="shared" si="88"/>
        <v>844453.22</v>
      </c>
    </row>
    <row r="560" spans="1:8" s="1" customFormat="1" ht="12" customHeight="1" x14ac:dyDescent="0.25">
      <c r="A560" s="450"/>
      <c r="B560" s="467"/>
      <c r="C560" s="494">
        <v>4130</v>
      </c>
      <c r="D560" s="493" t="s">
        <v>478</v>
      </c>
      <c r="E560" s="460">
        <v>755977</v>
      </c>
      <c r="F560" s="460">
        <v>90000</v>
      </c>
      <c r="G560" s="460">
        <v>1523.78</v>
      </c>
      <c r="H560" s="463">
        <f t="shared" si="88"/>
        <v>844453.22</v>
      </c>
    </row>
    <row r="561" spans="1:8" s="1" customFormat="1" ht="20.25" customHeight="1" thickBot="1" x14ac:dyDescent="0.3">
      <c r="A561" s="558"/>
      <c r="B561" s="457"/>
      <c r="C561" s="467"/>
      <c r="D561" s="446" t="s">
        <v>479</v>
      </c>
      <c r="E561" s="447">
        <v>27733836.169999998</v>
      </c>
      <c r="F561" s="447">
        <f>SUM(F562,F567,F577,)</f>
        <v>162000</v>
      </c>
      <c r="G561" s="447">
        <f>SUM(G562,G567,G577,)</f>
        <v>48822</v>
      </c>
      <c r="H561" s="447">
        <f>SUM(E561+F561-G561)</f>
        <v>27847014.169999998</v>
      </c>
    </row>
    <row r="562" spans="1:8" s="1" customFormat="1" ht="16.5" customHeight="1" thickTop="1" thickBot="1" x14ac:dyDescent="0.3">
      <c r="A562" s="559" t="s">
        <v>480</v>
      </c>
      <c r="B562" s="449"/>
      <c r="C562" s="450"/>
      <c r="D562" s="556" t="s">
        <v>481</v>
      </c>
      <c r="E562" s="447">
        <v>1563940</v>
      </c>
      <c r="F562" s="452">
        <f t="shared" ref="F562:G563" si="89">SUM(F563)</f>
        <v>2000</v>
      </c>
      <c r="G562" s="452">
        <f t="shared" si="89"/>
        <v>2000</v>
      </c>
      <c r="H562" s="447">
        <f>SUM(E562+F562-G562)</f>
        <v>1563940</v>
      </c>
    </row>
    <row r="563" spans="1:8" s="1" customFormat="1" ht="12" customHeight="1" thickTop="1" x14ac:dyDescent="0.25">
      <c r="A563" s="449"/>
      <c r="B563" s="504">
        <v>71015</v>
      </c>
      <c r="C563" s="560"/>
      <c r="D563" s="516" t="s">
        <v>482</v>
      </c>
      <c r="E563" s="455">
        <v>1108522</v>
      </c>
      <c r="F563" s="456">
        <f t="shared" si="89"/>
        <v>2000</v>
      </c>
      <c r="G563" s="456">
        <f t="shared" si="89"/>
        <v>2000</v>
      </c>
      <c r="H563" s="455">
        <f>SUM(E563+F563-G563)</f>
        <v>1108522</v>
      </c>
    </row>
    <row r="564" spans="1:8" s="1" customFormat="1" ht="12" customHeight="1" x14ac:dyDescent="0.25">
      <c r="A564" s="449"/>
      <c r="B564" s="542"/>
      <c r="C564" s="504"/>
      <c r="D564" s="589" t="s">
        <v>483</v>
      </c>
      <c r="E564" s="490">
        <v>1108522</v>
      </c>
      <c r="F564" s="490">
        <f>SUM(F565:F566)</f>
        <v>2000</v>
      </c>
      <c r="G564" s="490">
        <f>SUM(G565:G566)</f>
        <v>2000</v>
      </c>
      <c r="H564" s="490">
        <f>SUM(E564+F564-G564)</f>
        <v>1108522</v>
      </c>
    </row>
    <row r="565" spans="1:8" s="1" customFormat="1" ht="12" customHeight="1" x14ac:dyDescent="0.25">
      <c r="A565" s="433"/>
      <c r="B565" s="469"/>
      <c r="C565" s="492" t="s">
        <v>328</v>
      </c>
      <c r="D565" s="493" t="s">
        <v>329</v>
      </c>
      <c r="E565" s="460">
        <v>10000</v>
      </c>
      <c r="F565" s="460"/>
      <c r="G565" s="460">
        <v>2000</v>
      </c>
      <c r="H565" s="463">
        <f t="shared" ref="H565:H576" si="90">SUM(E565+F565-G565)</f>
        <v>8000</v>
      </c>
    </row>
    <row r="566" spans="1:8" s="1" customFormat="1" ht="12" customHeight="1" x14ac:dyDescent="0.25">
      <c r="A566" s="433"/>
      <c r="B566" s="469"/>
      <c r="C566" s="494">
        <v>4260</v>
      </c>
      <c r="D566" s="493" t="s">
        <v>369</v>
      </c>
      <c r="E566" s="463">
        <v>22000</v>
      </c>
      <c r="F566" s="463">
        <v>2000</v>
      </c>
      <c r="G566" s="463"/>
      <c r="H566" s="463">
        <f t="shared" si="90"/>
        <v>24000</v>
      </c>
    </row>
    <row r="567" spans="1:8" s="1" customFormat="1" ht="12" customHeight="1" thickBot="1" x14ac:dyDescent="0.3">
      <c r="A567" s="449">
        <v>752</v>
      </c>
      <c r="B567" s="449"/>
      <c r="C567" s="450"/>
      <c r="D567" s="451" t="s">
        <v>282</v>
      </c>
      <c r="E567" s="447">
        <v>75970</v>
      </c>
      <c r="F567" s="447">
        <f>SUM(F568,)</f>
        <v>0</v>
      </c>
      <c r="G567" s="447">
        <f>SUM(G568,)</f>
        <v>6822</v>
      </c>
      <c r="H567" s="447">
        <f t="shared" si="90"/>
        <v>69148</v>
      </c>
    </row>
    <row r="568" spans="1:8" s="1" customFormat="1" ht="12" customHeight="1" thickTop="1" x14ac:dyDescent="0.25">
      <c r="A568" s="449"/>
      <c r="B568" s="504">
        <v>75224</v>
      </c>
      <c r="C568" s="504"/>
      <c r="D568" s="516" t="s">
        <v>300</v>
      </c>
      <c r="E568" s="455">
        <v>59000</v>
      </c>
      <c r="F568" s="456">
        <f>SUM(F569)</f>
        <v>0</v>
      </c>
      <c r="G568" s="456">
        <f>SUM(G569)</f>
        <v>6822</v>
      </c>
      <c r="H568" s="455">
        <f t="shared" si="90"/>
        <v>52178</v>
      </c>
    </row>
    <row r="569" spans="1:8" s="1" customFormat="1" ht="12" customHeight="1" x14ac:dyDescent="0.25">
      <c r="A569" s="449"/>
      <c r="B569" s="542"/>
      <c r="C569" s="504"/>
      <c r="D569" s="588" t="s">
        <v>443</v>
      </c>
      <c r="E569" s="553">
        <v>59000</v>
      </c>
      <c r="F569" s="569">
        <f>SUM(F570:F576)</f>
        <v>0</v>
      </c>
      <c r="G569" s="569">
        <f>SUM(G570:G576)</f>
        <v>6822</v>
      </c>
      <c r="H569" s="490">
        <f t="shared" si="90"/>
        <v>52178</v>
      </c>
    </row>
    <row r="570" spans="1:8" s="1" customFormat="1" ht="12" customHeight="1" x14ac:dyDescent="0.25">
      <c r="A570" s="449"/>
      <c r="B570" s="467"/>
      <c r="C570" s="467">
        <v>4110</v>
      </c>
      <c r="D570" s="491" t="s">
        <v>335</v>
      </c>
      <c r="E570" s="463">
        <v>5187</v>
      </c>
      <c r="F570" s="460"/>
      <c r="G570" s="460">
        <v>74.12</v>
      </c>
      <c r="H570" s="463">
        <f t="shared" si="90"/>
        <v>5112.88</v>
      </c>
    </row>
    <row r="571" spans="1:8" s="1" customFormat="1" ht="12" customHeight="1" x14ac:dyDescent="0.25">
      <c r="A571" s="449"/>
      <c r="B571" s="467"/>
      <c r="C571" s="467">
        <v>4120</v>
      </c>
      <c r="D571" s="491" t="s">
        <v>336</v>
      </c>
      <c r="E571" s="463">
        <v>776</v>
      </c>
      <c r="F571" s="460"/>
      <c r="G571" s="460">
        <v>36.08</v>
      </c>
      <c r="H571" s="463">
        <f t="shared" si="90"/>
        <v>739.92</v>
      </c>
    </row>
    <row r="572" spans="1:8" s="1" customFormat="1" ht="12" customHeight="1" x14ac:dyDescent="0.25">
      <c r="A572" s="449"/>
      <c r="B572" s="467"/>
      <c r="C572" s="467">
        <v>4170</v>
      </c>
      <c r="D572" s="491" t="s">
        <v>344</v>
      </c>
      <c r="E572" s="463">
        <v>30400</v>
      </c>
      <c r="F572" s="460"/>
      <c r="G572" s="460">
        <v>200</v>
      </c>
      <c r="H572" s="463">
        <f t="shared" si="90"/>
        <v>30200</v>
      </c>
    </row>
    <row r="573" spans="1:8" s="1" customFormat="1" ht="12" customHeight="1" x14ac:dyDescent="0.25">
      <c r="A573" s="449"/>
      <c r="B573" s="467"/>
      <c r="C573" s="443" t="s">
        <v>328</v>
      </c>
      <c r="D573" s="491" t="s">
        <v>329</v>
      </c>
      <c r="E573" s="463">
        <v>6821</v>
      </c>
      <c r="F573" s="460"/>
      <c r="G573" s="460">
        <v>4922.3</v>
      </c>
      <c r="H573" s="463">
        <f t="shared" si="90"/>
        <v>1898.6999999999998</v>
      </c>
    </row>
    <row r="574" spans="1:8" s="1" customFormat="1" ht="12" customHeight="1" x14ac:dyDescent="0.25">
      <c r="A574" s="449"/>
      <c r="B574" s="467"/>
      <c r="C574" s="458" t="s">
        <v>433</v>
      </c>
      <c r="D574" s="561" t="s">
        <v>434</v>
      </c>
      <c r="E574" s="463">
        <v>500</v>
      </c>
      <c r="F574" s="460"/>
      <c r="G574" s="460">
        <v>500</v>
      </c>
      <c r="H574" s="463">
        <f t="shared" si="90"/>
        <v>0</v>
      </c>
    </row>
    <row r="575" spans="1:8" s="1" customFormat="1" ht="12" customHeight="1" x14ac:dyDescent="0.25">
      <c r="A575" s="449"/>
      <c r="B575" s="467"/>
      <c r="C575" s="467">
        <v>4270</v>
      </c>
      <c r="D575" s="491" t="s">
        <v>370</v>
      </c>
      <c r="E575" s="463">
        <v>100</v>
      </c>
      <c r="F575" s="460"/>
      <c r="G575" s="460">
        <v>100</v>
      </c>
      <c r="H575" s="463">
        <f t="shared" si="90"/>
        <v>0</v>
      </c>
    </row>
    <row r="576" spans="1:8" s="1" customFormat="1" ht="12" customHeight="1" x14ac:dyDescent="0.25">
      <c r="A576" s="449"/>
      <c r="B576" s="467"/>
      <c r="C576" s="458" t="s">
        <v>484</v>
      </c>
      <c r="D576" s="491" t="s">
        <v>339</v>
      </c>
      <c r="E576" s="463">
        <v>1216</v>
      </c>
      <c r="F576" s="460"/>
      <c r="G576" s="460">
        <v>989.5</v>
      </c>
      <c r="H576" s="463">
        <f t="shared" si="90"/>
        <v>226.5</v>
      </c>
    </row>
    <row r="577" spans="1:8" s="1" customFormat="1" ht="12" customHeight="1" thickBot="1" x14ac:dyDescent="0.3">
      <c r="A577" s="449">
        <v>754</v>
      </c>
      <c r="B577" s="449"/>
      <c r="C577" s="450"/>
      <c r="D577" s="451" t="s">
        <v>321</v>
      </c>
      <c r="E577" s="447">
        <v>23576558.550000004</v>
      </c>
      <c r="F577" s="452">
        <f t="shared" ref="F577:G578" si="91">SUM(F578)</f>
        <v>160000</v>
      </c>
      <c r="G577" s="452">
        <f t="shared" si="91"/>
        <v>40000</v>
      </c>
      <c r="H577" s="447">
        <f>SUM(E577+F577-G577)</f>
        <v>23696558.550000004</v>
      </c>
    </row>
    <row r="578" spans="1:8" s="1" customFormat="1" ht="12" customHeight="1" thickTop="1" x14ac:dyDescent="0.25">
      <c r="A578" s="442"/>
      <c r="B578" s="467">
        <v>75411</v>
      </c>
      <c r="C578" s="469"/>
      <c r="D578" s="562" t="s">
        <v>100</v>
      </c>
      <c r="E578" s="455">
        <v>23576558.550000004</v>
      </c>
      <c r="F578" s="456">
        <f t="shared" si="91"/>
        <v>160000</v>
      </c>
      <c r="G578" s="456">
        <f t="shared" si="91"/>
        <v>40000</v>
      </c>
      <c r="H578" s="455">
        <f>SUM(E578+F578-G578)</f>
        <v>23696558.550000004</v>
      </c>
    </row>
    <row r="579" spans="1:8" s="1" customFormat="1" ht="12" customHeight="1" x14ac:dyDescent="0.25">
      <c r="A579" s="433"/>
      <c r="B579" s="469"/>
      <c r="C579" s="467"/>
      <c r="D579" s="585" t="s">
        <v>103</v>
      </c>
      <c r="E579" s="490">
        <v>23576558.550000004</v>
      </c>
      <c r="F579" s="490">
        <f>SUM(F580:F584)</f>
        <v>160000</v>
      </c>
      <c r="G579" s="490">
        <f>SUM(G580:G584)</f>
        <v>40000</v>
      </c>
      <c r="H579" s="490">
        <f>SUM(E579+F579-G579)</f>
        <v>23696558.550000004</v>
      </c>
    </row>
    <row r="580" spans="1:8" s="1" customFormat="1" ht="21.75" customHeight="1" x14ac:dyDescent="0.25">
      <c r="A580" s="438"/>
      <c r="B580" s="563"/>
      <c r="C580" s="488">
        <v>3070</v>
      </c>
      <c r="D580" s="564" t="s">
        <v>485</v>
      </c>
      <c r="E580" s="455">
        <v>1735481.2899999998</v>
      </c>
      <c r="F580" s="455"/>
      <c r="G580" s="455">
        <v>40000</v>
      </c>
      <c r="H580" s="456">
        <f t="shared" ref="H580:H584" si="92">SUM(E580+F580-G580)</f>
        <v>1695481.2899999998</v>
      </c>
    </row>
    <row r="581" spans="1:8" s="1" customFormat="1" ht="12" customHeight="1" x14ac:dyDescent="0.25">
      <c r="A581" s="433"/>
      <c r="B581" s="469"/>
      <c r="C581" s="492" t="s">
        <v>328</v>
      </c>
      <c r="D581" s="493" t="s">
        <v>329</v>
      </c>
      <c r="E581" s="463">
        <v>281189</v>
      </c>
      <c r="F581" s="463">
        <v>25000</v>
      </c>
      <c r="G581" s="463"/>
      <c r="H581" s="463">
        <f t="shared" si="92"/>
        <v>306189</v>
      </c>
    </row>
    <row r="582" spans="1:8" s="1" customFormat="1" ht="12" customHeight="1" x14ac:dyDescent="0.25">
      <c r="A582" s="433"/>
      <c r="B582" s="469"/>
      <c r="C582" s="494">
        <v>4260</v>
      </c>
      <c r="D582" s="493" t="s">
        <v>369</v>
      </c>
      <c r="E582" s="463">
        <v>268120.98</v>
      </c>
      <c r="F582" s="463">
        <v>10000</v>
      </c>
      <c r="G582" s="463"/>
      <c r="H582" s="463">
        <f t="shared" si="92"/>
        <v>278120.98</v>
      </c>
    </row>
    <row r="583" spans="1:8" s="1" customFormat="1" ht="12" customHeight="1" x14ac:dyDescent="0.25">
      <c r="A583" s="433"/>
      <c r="B583" s="469"/>
      <c r="C583" s="494">
        <v>4280</v>
      </c>
      <c r="D583" s="493" t="s">
        <v>378</v>
      </c>
      <c r="E583" s="463">
        <v>75000</v>
      </c>
      <c r="F583" s="463">
        <v>5000</v>
      </c>
      <c r="G583" s="463"/>
      <c r="H583" s="463">
        <f t="shared" si="92"/>
        <v>80000</v>
      </c>
    </row>
    <row r="584" spans="1:8" s="1" customFormat="1" ht="12" customHeight="1" x14ac:dyDescent="0.25">
      <c r="A584" s="433"/>
      <c r="B584" s="469"/>
      <c r="C584" s="494">
        <v>6050</v>
      </c>
      <c r="D584" s="493" t="s">
        <v>486</v>
      </c>
      <c r="E584" s="460">
        <v>0</v>
      </c>
      <c r="F584" s="460">
        <v>120000</v>
      </c>
      <c r="G584" s="460"/>
      <c r="H584" s="463">
        <f t="shared" si="92"/>
        <v>120000</v>
      </c>
    </row>
    <row r="585" spans="1:8" s="1" customFormat="1" ht="3.75" customHeight="1" x14ac:dyDescent="0.25">
      <c r="A585" s="565"/>
      <c r="B585" s="565"/>
      <c r="C585" s="566"/>
      <c r="D585" s="551"/>
      <c r="E585" s="455"/>
      <c r="F585" s="455"/>
      <c r="G585" s="455"/>
      <c r="H585" s="455"/>
    </row>
    <row r="586" spans="1:8" s="1" customFormat="1" ht="12.95" customHeight="1" x14ac:dyDescent="0.25"/>
    <row r="587" spans="1:8" s="1" customFormat="1" ht="12.95" customHeight="1" x14ac:dyDescent="0.25"/>
    <row r="588" spans="1:8" s="1" customFormat="1" ht="12.95" customHeight="1" x14ac:dyDescent="0.25"/>
    <row r="589" spans="1:8" s="1" customFormat="1" ht="12.95" customHeight="1" x14ac:dyDescent="0.25"/>
    <row r="590" spans="1:8" s="1" customFormat="1" ht="12.95" customHeight="1" x14ac:dyDescent="0.25"/>
    <row r="591" spans="1:8" s="1" customFormat="1" ht="12.95" customHeight="1" x14ac:dyDescent="0.25"/>
    <row r="592" spans="1:8" s="1" customFormat="1" ht="12.95" customHeight="1" x14ac:dyDescent="0.25"/>
    <row r="593" s="1" customFormat="1" ht="12.95" customHeight="1" x14ac:dyDescent="0.25"/>
    <row r="594" s="1" customFormat="1" ht="12.95" customHeight="1" x14ac:dyDescent="0.25"/>
    <row r="595" s="1" customFormat="1" ht="12.95" customHeight="1" x14ac:dyDescent="0.25"/>
    <row r="596" s="1" customFormat="1" ht="12.95" customHeight="1" x14ac:dyDescent="0.25"/>
    <row r="597" s="1" customFormat="1" ht="12.95" customHeight="1" x14ac:dyDescent="0.25"/>
    <row r="598" s="1" customFormat="1" ht="12.95" customHeight="1" x14ac:dyDescent="0.25"/>
    <row r="599" s="1" customFormat="1" ht="12.95" customHeight="1" x14ac:dyDescent="0.25"/>
    <row r="600" s="1" customFormat="1" ht="12.95" customHeight="1" x14ac:dyDescent="0.25"/>
    <row r="601" s="1" customFormat="1" ht="12.95" customHeight="1" x14ac:dyDescent="0.25"/>
    <row r="602" s="1" customFormat="1" ht="12.95" customHeight="1" x14ac:dyDescent="0.25"/>
    <row r="603" s="1" customFormat="1" ht="12.95" customHeight="1" x14ac:dyDescent="0.25"/>
    <row r="604" s="1" customFormat="1" ht="12.95" customHeight="1" x14ac:dyDescent="0.25"/>
    <row r="605" s="1" customFormat="1" ht="12.95" customHeight="1" x14ac:dyDescent="0.25"/>
    <row r="606" s="1" customFormat="1" ht="12.95" customHeight="1" x14ac:dyDescent="0.25"/>
    <row r="607" s="1" customFormat="1" ht="12.95" customHeight="1" x14ac:dyDescent="0.25"/>
    <row r="608" s="1" customFormat="1" ht="12.95" customHeight="1" x14ac:dyDescent="0.25"/>
    <row r="609" s="1" customFormat="1" ht="12.95" customHeight="1" x14ac:dyDescent="0.25"/>
    <row r="610" s="1" customFormat="1" ht="12.95" customHeight="1" x14ac:dyDescent="0.25"/>
    <row r="611" s="1" customFormat="1" ht="12.95" customHeight="1" x14ac:dyDescent="0.25"/>
    <row r="612" s="1" customFormat="1" ht="12.95" customHeight="1" x14ac:dyDescent="0.25"/>
    <row r="613" s="1" customFormat="1" ht="12.95" customHeight="1" x14ac:dyDescent="0.25"/>
    <row r="614" s="1" customFormat="1" ht="12.95" customHeight="1" x14ac:dyDescent="0.25"/>
    <row r="615" s="1" customFormat="1" ht="12.95" customHeight="1" x14ac:dyDescent="0.25"/>
    <row r="616" s="1" customFormat="1" ht="12.95" customHeight="1" x14ac:dyDescent="0.25"/>
    <row r="617" s="1" customFormat="1" ht="12.95" customHeight="1" x14ac:dyDescent="0.25"/>
    <row r="618" s="1" customFormat="1" ht="12.95" customHeight="1" x14ac:dyDescent="0.25"/>
    <row r="619" s="1" customFormat="1" ht="12.95" customHeight="1" x14ac:dyDescent="0.25"/>
    <row r="620" s="1" customFormat="1" ht="12.95" customHeight="1" x14ac:dyDescent="0.25"/>
    <row r="621" s="1" customFormat="1" ht="12.95" customHeight="1" x14ac:dyDescent="0.25"/>
    <row r="622" s="1" customFormat="1" ht="12.95" customHeight="1" x14ac:dyDescent="0.25"/>
    <row r="623" s="1" customFormat="1" ht="12.95" customHeight="1" x14ac:dyDescent="0.25"/>
    <row r="624" s="1" customFormat="1" ht="12.95" customHeight="1" x14ac:dyDescent="0.25"/>
    <row r="625" s="1" customFormat="1" ht="12.95" customHeight="1" x14ac:dyDescent="0.25"/>
    <row r="626" s="1" customFormat="1" ht="12.95" customHeight="1" x14ac:dyDescent="0.25"/>
    <row r="627" s="1" customFormat="1" ht="12.95" customHeight="1" x14ac:dyDescent="0.25"/>
    <row r="628" s="1" customFormat="1" ht="12.95" customHeight="1" x14ac:dyDescent="0.25"/>
    <row r="629" s="1" customFormat="1" ht="12.95" customHeight="1" x14ac:dyDescent="0.25"/>
    <row r="630" s="1" customFormat="1" ht="12.95" customHeight="1" x14ac:dyDescent="0.25"/>
    <row r="631" s="1" customFormat="1" ht="12.95" customHeight="1" x14ac:dyDescent="0.25"/>
    <row r="632" s="1" customFormat="1" ht="12.95" customHeight="1" x14ac:dyDescent="0.25"/>
    <row r="633" s="1" customFormat="1" ht="12.95" customHeight="1" x14ac:dyDescent="0.25"/>
    <row r="634" s="1" customFormat="1" ht="12.95" customHeight="1" x14ac:dyDescent="0.25"/>
    <row r="635" s="1" customFormat="1" ht="12.95" customHeight="1" x14ac:dyDescent="0.25"/>
    <row r="636" s="1" customFormat="1" ht="12.95" customHeight="1" x14ac:dyDescent="0.25"/>
    <row r="637" s="1" customFormat="1" ht="12.95" customHeight="1" x14ac:dyDescent="0.25"/>
    <row r="638" s="1" customFormat="1" ht="12.95" customHeight="1" x14ac:dyDescent="0.25"/>
    <row r="639" s="1" customFormat="1" ht="12.95" customHeight="1" x14ac:dyDescent="0.25"/>
    <row r="640" s="1" customFormat="1" ht="12.95" customHeight="1" x14ac:dyDescent="0.25"/>
    <row r="641" s="1" customFormat="1" ht="12.95" customHeight="1" x14ac:dyDescent="0.25"/>
    <row r="642" s="1" customFormat="1" ht="12.95" customHeight="1" x14ac:dyDescent="0.25"/>
    <row r="643" s="1" customFormat="1" ht="12.95" customHeight="1" x14ac:dyDescent="0.25"/>
    <row r="644" s="1" customFormat="1" ht="12.95" customHeight="1" x14ac:dyDescent="0.25"/>
    <row r="645" s="1" customFormat="1" ht="12.95" customHeight="1" x14ac:dyDescent="0.25"/>
    <row r="646" s="1" customFormat="1" ht="12.95" customHeight="1" x14ac:dyDescent="0.25"/>
    <row r="647" s="1" customFormat="1" ht="12.95" customHeight="1" x14ac:dyDescent="0.25"/>
    <row r="648" s="1" customFormat="1" ht="12.95" customHeight="1" x14ac:dyDescent="0.25"/>
    <row r="649" s="1" customFormat="1" ht="12.95" customHeight="1" x14ac:dyDescent="0.25"/>
    <row r="650" s="1" customFormat="1" ht="12.95" customHeight="1" x14ac:dyDescent="0.25"/>
    <row r="651" s="1" customFormat="1" ht="12.95" customHeight="1" x14ac:dyDescent="0.25"/>
    <row r="652" s="1" customFormat="1" ht="12.95" customHeight="1" x14ac:dyDescent="0.25"/>
    <row r="653" s="64" customFormat="1" ht="12.95" customHeight="1" x14ac:dyDescent="0.3"/>
    <row r="654" s="64" customFormat="1" ht="12.95" customHeight="1" x14ac:dyDescent="0.3"/>
    <row r="655" s="64" customFormat="1" ht="12.95" customHeight="1" x14ac:dyDescent="0.3"/>
    <row r="656" s="64" customFormat="1" ht="12.95" customHeight="1" x14ac:dyDescent="0.3"/>
    <row r="657" s="64" customFormat="1" ht="12.95" customHeight="1" x14ac:dyDescent="0.3"/>
    <row r="658" s="64" customFormat="1" ht="12.95" customHeight="1" x14ac:dyDescent="0.3"/>
    <row r="659" s="64" customFormat="1" ht="12.95" customHeight="1" x14ac:dyDescent="0.3"/>
    <row r="660" s="64" customFormat="1" ht="12.95" customHeight="1" x14ac:dyDescent="0.3"/>
    <row r="661" s="64" customFormat="1" ht="12.95" customHeight="1" x14ac:dyDescent="0.3"/>
    <row r="662" s="64" customFormat="1" ht="12.95" customHeight="1" x14ac:dyDescent="0.3"/>
    <row r="663" s="64" customFormat="1" ht="12.95" customHeight="1" x14ac:dyDescent="0.3"/>
    <row r="664" s="64" customFormat="1" ht="12.95" customHeight="1" x14ac:dyDescent="0.3"/>
    <row r="665" s="64" customFormat="1" ht="12.75" customHeight="1" x14ac:dyDescent="0.3"/>
    <row r="666" s="64" customFormat="1" ht="12.75" customHeight="1" x14ac:dyDescent="0.3"/>
    <row r="667" s="64" customFormat="1" ht="12.75" customHeight="1" x14ac:dyDescent="0.3"/>
    <row r="668" s="64" customFormat="1" ht="12.75" customHeight="1" x14ac:dyDescent="0.3"/>
    <row r="669" s="64" customFormat="1" ht="12.75" customHeight="1" x14ac:dyDescent="0.3"/>
    <row r="670" s="64" customFormat="1" ht="12.75" customHeight="1" x14ac:dyDescent="0.3"/>
    <row r="671" s="64" customFormat="1" ht="12.75" customHeight="1" x14ac:dyDescent="0.3"/>
    <row r="672" s="64" customFormat="1" ht="12.75" customHeight="1" x14ac:dyDescent="0.3"/>
    <row r="673" s="64" customFormat="1" ht="12.75" customHeight="1" x14ac:dyDescent="0.3"/>
    <row r="674" s="64" customFormat="1" ht="12.75" customHeight="1" x14ac:dyDescent="0.3"/>
    <row r="675" s="64" customFormat="1" ht="12.75" customHeight="1" x14ac:dyDescent="0.3"/>
    <row r="676" s="64" customFormat="1" ht="12.75" customHeight="1" x14ac:dyDescent="0.3"/>
    <row r="677" s="64" customFormat="1" ht="12.75" customHeight="1" x14ac:dyDescent="0.3"/>
    <row r="678" s="64" customFormat="1" ht="12.75" customHeight="1" x14ac:dyDescent="0.3"/>
    <row r="679" s="64" customFormat="1" ht="12.75" customHeight="1" x14ac:dyDescent="0.3"/>
    <row r="680" s="64" customFormat="1" ht="12.75" customHeight="1" x14ac:dyDescent="0.3"/>
    <row r="681" s="64" customFormat="1" ht="12.75" customHeight="1" x14ac:dyDescent="0.3"/>
    <row r="682" s="64" customFormat="1" ht="12.75" customHeight="1" x14ac:dyDescent="0.3"/>
    <row r="683" s="64" customFormat="1" ht="12.75" customHeight="1" x14ac:dyDescent="0.3"/>
    <row r="684" s="64" customFormat="1" ht="12.75" customHeight="1" x14ac:dyDescent="0.3"/>
    <row r="685" s="64" customFormat="1" ht="12.75" customHeight="1" x14ac:dyDescent="0.3"/>
    <row r="686" s="64" customFormat="1" ht="12.75" customHeight="1" x14ac:dyDescent="0.3"/>
    <row r="687" s="64" customFormat="1" ht="12.75" customHeight="1" x14ac:dyDescent="0.3"/>
    <row r="688" s="64" customFormat="1" ht="12.75" customHeight="1" x14ac:dyDescent="0.3"/>
    <row r="689" s="64" customFormat="1" ht="12.75" customHeight="1" x14ac:dyDescent="0.3"/>
    <row r="690" s="64" customFormat="1" ht="12.75" customHeight="1" x14ac:dyDescent="0.3"/>
    <row r="691" s="64" customFormat="1" ht="12.75" customHeight="1" x14ac:dyDescent="0.3"/>
    <row r="692" s="64" customFormat="1" ht="12.75" customHeight="1" x14ac:dyDescent="0.3"/>
    <row r="693" s="64" customFormat="1" ht="12.75" customHeight="1" x14ac:dyDescent="0.3"/>
    <row r="694" s="64" customFormat="1" ht="12.75" customHeight="1" x14ac:dyDescent="0.3"/>
    <row r="695" s="64" customFormat="1" ht="12.75" customHeight="1" x14ac:dyDescent="0.3"/>
    <row r="696" s="64" customFormat="1" ht="12.75" customHeight="1" x14ac:dyDescent="0.3"/>
    <row r="697" s="64" customFormat="1" ht="12.75" customHeight="1" x14ac:dyDescent="0.3"/>
    <row r="698" s="64" customFormat="1" ht="12.75" customHeight="1" x14ac:dyDescent="0.3"/>
    <row r="699" s="64" customFormat="1" ht="12.75" customHeight="1" x14ac:dyDescent="0.3"/>
    <row r="700" s="64" customFormat="1" ht="12.75" customHeight="1" x14ac:dyDescent="0.3"/>
    <row r="701" s="64" customFormat="1" ht="12.75" customHeight="1" x14ac:dyDescent="0.3"/>
    <row r="702" s="64" customFormat="1" ht="12.75" customHeight="1" x14ac:dyDescent="0.3"/>
    <row r="703" s="64" customFormat="1" ht="12.75" customHeight="1" x14ac:dyDescent="0.3"/>
    <row r="704" s="64" customFormat="1" ht="12.75" customHeight="1" x14ac:dyDescent="0.3"/>
    <row r="705" s="64" customFormat="1" ht="12.75" customHeight="1" x14ac:dyDescent="0.3"/>
    <row r="706" s="64" customFormat="1" ht="12.75" customHeight="1" x14ac:dyDescent="0.3"/>
    <row r="707" s="64" customFormat="1" ht="12.75" customHeight="1" x14ac:dyDescent="0.3"/>
    <row r="708" s="64" customFormat="1" ht="12.75" customHeight="1" x14ac:dyDescent="0.3"/>
    <row r="709" s="64" customFormat="1" ht="12.75" customHeight="1" x14ac:dyDescent="0.3"/>
    <row r="710" s="64" customFormat="1" ht="12.75" customHeight="1" x14ac:dyDescent="0.3"/>
    <row r="711" s="64" customFormat="1" ht="12.75" customHeight="1" x14ac:dyDescent="0.3"/>
    <row r="712" s="64" customFormat="1" ht="12.75" customHeight="1" x14ac:dyDescent="0.3"/>
    <row r="713" s="64" customFormat="1" ht="12.75" customHeight="1" x14ac:dyDescent="0.3"/>
    <row r="714" s="64" customFormat="1" ht="12.75" customHeight="1" x14ac:dyDescent="0.3"/>
    <row r="715" s="64" customFormat="1" ht="12.75" customHeight="1" x14ac:dyDescent="0.3"/>
    <row r="716" s="64" customFormat="1" ht="12.75" customHeight="1" x14ac:dyDescent="0.3"/>
    <row r="717" s="64" customFormat="1" ht="12.75" customHeight="1" x14ac:dyDescent="0.3"/>
    <row r="718" s="64" customFormat="1" ht="12.75" customHeight="1" x14ac:dyDescent="0.3"/>
    <row r="719" s="64" customFormat="1" ht="12.75" customHeight="1" x14ac:dyDescent="0.3"/>
    <row r="720" s="64" customFormat="1" ht="12.75" customHeight="1" x14ac:dyDescent="0.3"/>
    <row r="721" s="64" customFormat="1" ht="12.75" customHeight="1" x14ac:dyDescent="0.3"/>
    <row r="722" s="64" customFormat="1" ht="12.75" customHeight="1" x14ac:dyDescent="0.3"/>
    <row r="723" s="64" customFormat="1" ht="12.75" customHeight="1" x14ac:dyDescent="0.3"/>
    <row r="724" s="64" customFormat="1" ht="12.75" customHeight="1" x14ac:dyDescent="0.3"/>
    <row r="725" s="64" customFormat="1" ht="12.75" customHeight="1" x14ac:dyDescent="0.3"/>
    <row r="726" s="64" customFormat="1" ht="12.75" customHeight="1" x14ac:dyDescent="0.3"/>
    <row r="727" s="64" customFormat="1" ht="12.75" customHeight="1" x14ac:dyDescent="0.3"/>
    <row r="728" s="64" customFormat="1" ht="12.75" customHeight="1" x14ac:dyDescent="0.3"/>
    <row r="729" s="64" customFormat="1" ht="12.75" customHeight="1" x14ac:dyDescent="0.3"/>
    <row r="730" s="64" customFormat="1" ht="12.75" customHeight="1" x14ac:dyDescent="0.3"/>
    <row r="731" s="64" customFormat="1" ht="12.75" customHeight="1" x14ac:dyDescent="0.3"/>
    <row r="732" s="64" customFormat="1" ht="12.75" customHeight="1" x14ac:dyDescent="0.3"/>
    <row r="733" s="64" customFormat="1" ht="12.75" customHeight="1" x14ac:dyDescent="0.3"/>
    <row r="734" s="64" customFormat="1" ht="12.75" customHeight="1" x14ac:dyDescent="0.3"/>
    <row r="735" s="64" customFormat="1" ht="12.75" customHeight="1" x14ac:dyDescent="0.3"/>
    <row r="736" s="64" customFormat="1" ht="12.75" customHeight="1" x14ac:dyDescent="0.3"/>
    <row r="737" s="64" customFormat="1" ht="12.75" customHeight="1" x14ac:dyDescent="0.3"/>
    <row r="738" s="64" customFormat="1" ht="12.75" customHeight="1" x14ac:dyDescent="0.3"/>
    <row r="739" s="64" customFormat="1" ht="12.75" customHeight="1" x14ac:dyDescent="0.3"/>
    <row r="740" s="64" customFormat="1" ht="12.75" customHeight="1" x14ac:dyDescent="0.3"/>
    <row r="741" s="64" customFormat="1" ht="12.75" customHeight="1" x14ac:dyDescent="0.3"/>
    <row r="742" s="64" customFormat="1" ht="12.75" customHeight="1" x14ac:dyDescent="0.3"/>
    <row r="743" s="64" customFormat="1" ht="12.75" customHeight="1" x14ac:dyDescent="0.3"/>
    <row r="744" s="64" customFormat="1" ht="12.75" customHeight="1" x14ac:dyDescent="0.3"/>
    <row r="745" s="64" customFormat="1" ht="12.75" customHeight="1" x14ac:dyDescent="0.3"/>
    <row r="746" s="64" customFormat="1" ht="12.75" customHeight="1" x14ac:dyDescent="0.3"/>
    <row r="747" s="64" customFormat="1" ht="12.75" customHeight="1" x14ac:dyDescent="0.3"/>
    <row r="748" s="64" customFormat="1" ht="12.75" customHeight="1" x14ac:dyDescent="0.3"/>
    <row r="749" s="64" customFormat="1" ht="12.75" customHeight="1" x14ac:dyDescent="0.3"/>
    <row r="750" s="64" customFormat="1" ht="12.75" customHeight="1" x14ac:dyDescent="0.3"/>
    <row r="751" s="64" customFormat="1" ht="12.75" customHeight="1" x14ac:dyDescent="0.3"/>
    <row r="752" s="64" customFormat="1" ht="12.75" customHeight="1" x14ac:dyDescent="0.3"/>
    <row r="753" s="64" customFormat="1" ht="12.75" customHeight="1" x14ac:dyDescent="0.3"/>
    <row r="754" s="64" customFormat="1" ht="12.75" customHeight="1" x14ac:dyDescent="0.3"/>
    <row r="755" s="64" customFormat="1" ht="12.75" customHeight="1" x14ac:dyDescent="0.3"/>
    <row r="756" s="64" customFormat="1" ht="12.75" customHeight="1" x14ac:dyDescent="0.3"/>
    <row r="757" s="64" customFormat="1" ht="12.75" customHeight="1" x14ac:dyDescent="0.3"/>
    <row r="758" s="64" customFormat="1" ht="12.75" customHeight="1" x14ac:dyDescent="0.3"/>
    <row r="759" s="64" customFormat="1" ht="12.75" customHeight="1" x14ac:dyDescent="0.3"/>
    <row r="760" s="64" customFormat="1" ht="12.75" customHeight="1" x14ac:dyDescent="0.3"/>
    <row r="761" s="64" customFormat="1" ht="12.75" customHeight="1" x14ac:dyDescent="0.3"/>
    <row r="762" s="64" customFormat="1" ht="12.75" customHeight="1" x14ac:dyDescent="0.3"/>
    <row r="763" s="64" customFormat="1" ht="12.75" customHeight="1" x14ac:dyDescent="0.3"/>
    <row r="764" s="64" customFormat="1" ht="12.75" customHeight="1" x14ac:dyDescent="0.3"/>
    <row r="765" s="64" customFormat="1" ht="12.75" customHeight="1" x14ac:dyDescent="0.3"/>
    <row r="766" s="64" customFormat="1" ht="12.75" customHeight="1" x14ac:dyDescent="0.3"/>
    <row r="767" s="64" customFormat="1" ht="12.75" customHeight="1" x14ac:dyDescent="0.3"/>
    <row r="768" s="64" customFormat="1" ht="12.75" customHeight="1" x14ac:dyDescent="0.3"/>
    <row r="769" s="64" customFormat="1" ht="12.75" customHeight="1" x14ac:dyDescent="0.3"/>
    <row r="770" s="64" customFormat="1" ht="12.75" customHeight="1" x14ac:dyDescent="0.3"/>
    <row r="771" s="64" customFormat="1" ht="12.75" customHeight="1" x14ac:dyDescent="0.3"/>
    <row r="772" s="64" customFormat="1" ht="12.75" customHeight="1" x14ac:dyDescent="0.3"/>
    <row r="773" s="64" customFormat="1" ht="12.75" customHeight="1" x14ac:dyDescent="0.3"/>
    <row r="774" s="64" customFormat="1" ht="12.75" customHeight="1" x14ac:dyDescent="0.3"/>
    <row r="775" s="64" customFormat="1" ht="12.75" customHeight="1" x14ac:dyDescent="0.3"/>
    <row r="776" s="64" customFormat="1" ht="12.75" customHeight="1" x14ac:dyDescent="0.3"/>
    <row r="777" s="64" customFormat="1" ht="12.75" customHeight="1" x14ac:dyDescent="0.3"/>
    <row r="778" s="64" customFormat="1" ht="12.75" customHeight="1" x14ac:dyDescent="0.3"/>
    <row r="779" s="64" customFormat="1" ht="12.75" customHeight="1" x14ac:dyDescent="0.3"/>
    <row r="780" s="64" customFormat="1" ht="12.75" customHeight="1" x14ac:dyDescent="0.3"/>
    <row r="781" s="64" customFormat="1" ht="12.75" customHeight="1" x14ac:dyDescent="0.3"/>
    <row r="782" s="64" customFormat="1" ht="12.75" customHeight="1" x14ac:dyDescent="0.3"/>
    <row r="783" s="64" customFormat="1" ht="12.75" customHeight="1" x14ac:dyDescent="0.3"/>
    <row r="784" s="64" customFormat="1" ht="12.75" customHeight="1" x14ac:dyDescent="0.3"/>
    <row r="785" s="64" customFormat="1" ht="12.75" customHeight="1" x14ac:dyDescent="0.3"/>
    <row r="786" s="64" customFormat="1" ht="12.75" customHeight="1" x14ac:dyDescent="0.3"/>
    <row r="787" s="64" customFormat="1" ht="12.75" customHeight="1" x14ac:dyDescent="0.3"/>
    <row r="788" s="64" customFormat="1" ht="12.75" customHeight="1" x14ac:dyDescent="0.3"/>
    <row r="789" s="64" customFormat="1" ht="12.75" customHeight="1" x14ac:dyDescent="0.3"/>
    <row r="790" s="64" customFormat="1" ht="12.75" customHeight="1" x14ac:dyDescent="0.3"/>
    <row r="791" s="64" customFormat="1" ht="12.75" customHeight="1" x14ac:dyDescent="0.3"/>
    <row r="792" s="64" customFormat="1" ht="12.75" customHeight="1" x14ac:dyDescent="0.3"/>
    <row r="793" s="64" customFormat="1" ht="12.75" customHeight="1" x14ac:dyDescent="0.3"/>
    <row r="794" s="64" customFormat="1" ht="12.75" customHeight="1" x14ac:dyDescent="0.3"/>
    <row r="795" s="64" customFormat="1" ht="12.75" customHeight="1" x14ac:dyDescent="0.3"/>
    <row r="796" s="64" customFormat="1" ht="12.75" customHeight="1" x14ac:dyDescent="0.3"/>
    <row r="797" s="64" customFormat="1" ht="12.75" customHeight="1" x14ac:dyDescent="0.3"/>
    <row r="798" s="64" customFormat="1" ht="12.75" customHeight="1" x14ac:dyDescent="0.3"/>
    <row r="799" s="64" customFormat="1" ht="12.75" customHeight="1" x14ac:dyDescent="0.3"/>
    <row r="800" s="64" customFormat="1" ht="12.75" customHeight="1" x14ac:dyDescent="0.3"/>
  </sheetData>
  <pageMargins left="0.11811023622047245" right="0.11811023622047245" top="0.74803149606299213" bottom="0.74803149606299213" header="0.31496062992125984" footer="0.31496062992125984"/>
  <pageSetup paperSize="9" orientation="portrait" r:id="rId1"/>
  <headerFooter>
    <oddFooter>&amp;C&amp;"Arial,Normalny"&amp;8&amp;P</oddFooter>
  </headerFooter>
  <rowBreaks count="6" manualBreakCount="6">
    <brk id="74" max="7" man="1"/>
    <brk id="129" max="7" man="1"/>
    <brk id="187" max="7" man="1"/>
    <brk id="357" max="7" man="1"/>
    <brk id="529" max="7" man="1"/>
    <brk id="58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F43971-DAA3-4D40-8661-81DF4AA1F445}">
  <sheetPr>
    <tabColor theme="9"/>
    <pageSetUpPr fitToPage="1"/>
  </sheetPr>
  <dimension ref="A1:R27"/>
  <sheetViews>
    <sheetView zoomScale="106" zoomScaleNormal="106" workbookViewId="0">
      <pane ySplit="19" topLeftCell="A20" activePane="bottomLeft" state="frozen"/>
      <selection pane="bottomLeft" activeCell="B2" sqref="B2"/>
    </sheetView>
  </sheetViews>
  <sheetFormatPr defaultRowHeight="12.75" x14ac:dyDescent="0.25"/>
  <cols>
    <col min="1" max="1" width="3.7109375" style="157" customWidth="1"/>
    <col min="2" max="2" width="5.85546875" style="157" customWidth="1"/>
    <col min="3" max="3" width="5.85546875" style="38" hidden="1" customWidth="1"/>
    <col min="4" max="4" width="55.85546875" style="3" customWidth="1"/>
    <col min="5" max="5" width="11.5703125" style="3" customWidth="1"/>
    <col min="6" max="6" width="11.7109375" style="3" customWidth="1"/>
    <col min="7" max="8" width="12" style="89" customWidth="1"/>
    <col min="9" max="9" width="12.140625" style="89" customWidth="1"/>
    <col min="10" max="11" width="12" style="89" customWidth="1"/>
    <col min="12" max="12" width="11.28515625" style="89" customWidth="1"/>
    <col min="13" max="13" width="14.7109375" style="158" customWidth="1"/>
    <col min="14" max="14" width="9.140625" style="3" customWidth="1"/>
    <col min="15" max="15" width="13" style="3" customWidth="1"/>
    <col min="16" max="16" width="10.42578125" style="3" hidden="1" customWidth="1"/>
    <col min="17" max="17" width="10.140625" style="3" customWidth="1"/>
    <col min="18" max="259" width="9.140625" style="3"/>
    <col min="260" max="260" width="4.140625" style="3" customWidth="1"/>
    <col min="261" max="261" width="5.5703125" style="3" customWidth="1"/>
    <col min="262" max="262" width="59.5703125" style="3" customWidth="1"/>
    <col min="263" max="264" width="11.28515625" style="3" customWidth="1"/>
    <col min="265" max="265" width="10.5703125" style="3" customWidth="1"/>
    <col min="266" max="266" width="10.42578125" style="3" customWidth="1"/>
    <col min="267" max="267" width="10.7109375" style="3" customWidth="1"/>
    <col min="268" max="268" width="9" style="3" customWidth="1"/>
    <col min="269" max="269" width="11.5703125" style="3" customWidth="1"/>
    <col min="270" max="270" width="9.140625" style="3"/>
    <col min="271" max="271" width="13" style="3" customWidth="1"/>
    <col min="272" max="515" width="9.140625" style="3"/>
    <col min="516" max="516" width="4.140625" style="3" customWidth="1"/>
    <col min="517" max="517" width="5.5703125" style="3" customWidth="1"/>
    <col min="518" max="518" width="59.5703125" style="3" customWidth="1"/>
    <col min="519" max="520" width="11.28515625" style="3" customWidth="1"/>
    <col min="521" max="521" width="10.5703125" style="3" customWidth="1"/>
    <col min="522" max="522" width="10.42578125" style="3" customWidth="1"/>
    <col min="523" max="523" width="10.7109375" style="3" customWidth="1"/>
    <col min="524" max="524" width="9" style="3" customWidth="1"/>
    <col min="525" max="525" width="11.5703125" style="3" customWidth="1"/>
    <col min="526" max="526" width="9.140625" style="3"/>
    <col min="527" max="527" width="13" style="3" customWidth="1"/>
    <col min="528" max="771" width="9.140625" style="3"/>
    <col min="772" max="772" width="4.140625" style="3" customWidth="1"/>
    <col min="773" max="773" width="5.5703125" style="3" customWidth="1"/>
    <col min="774" max="774" width="59.5703125" style="3" customWidth="1"/>
    <col min="775" max="776" width="11.28515625" style="3" customWidth="1"/>
    <col min="777" max="777" width="10.5703125" style="3" customWidth="1"/>
    <col min="778" max="778" width="10.42578125" style="3" customWidth="1"/>
    <col min="779" max="779" width="10.7109375" style="3" customWidth="1"/>
    <col min="780" max="780" width="9" style="3" customWidth="1"/>
    <col min="781" max="781" width="11.5703125" style="3" customWidth="1"/>
    <col min="782" max="782" width="9.140625" style="3"/>
    <col min="783" max="783" width="13" style="3" customWidth="1"/>
    <col min="784" max="1027" width="9.140625" style="3"/>
    <col min="1028" max="1028" width="4.140625" style="3" customWidth="1"/>
    <col min="1029" max="1029" width="5.5703125" style="3" customWidth="1"/>
    <col min="1030" max="1030" width="59.5703125" style="3" customWidth="1"/>
    <col min="1031" max="1032" width="11.28515625" style="3" customWidth="1"/>
    <col min="1033" max="1033" width="10.5703125" style="3" customWidth="1"/>
    <col min="1034" max="1034" width="10.42578125" style="3" customWidth="1"/>
    <col min="1035" max="1035" width="10.7109375" style="3" customWidth="1"/>
    <col min="1036" max="1036" width="9" style="3" customWidth="1"/>
    <col min="1037" max="1037" width="11.5703125" style="3" customWidth="1"/>
    <col min="1038" max="1038" width="9.140625" style="3"/>
    <col min="1039" max="1039" width="13" style="3" customWidth="1"/>
    <col min="1040" max="1283" width="9.140625" style="3"/>
    <col min="1284" max="1284" width="4.140625" style="3" customWidth="1"/>
    <col min="1285" max="1285" width="5.5703125" style="3" customWidth="1"/>
    <col min="1286" max="1286" width="59.5703125" style="3" customWidth="1"/>
    <col min="1287" max="1288" width="11.28515625" style="3" customWidth="1"/>
    <col min="1289" max="1289" width="10.5703125" style="3" customWidth="1"/>
    <col min="1290" max="1290" width="10.42578125" style="3" customWidth="1"/>
    <col min="1291" max="1291" width="10.7109375" style="3" customWidth="1"/>
    <col min="1292" max="1292" width="9" style="3" customWidth="1"/>
    <col min="1293" max="1293" width="11.5703125" style="3" customWidth="1"/>
    <col min="1294" max="1294" width="9.140625" style="3"/>
    <col min="1295" max="1295" width="13" style="3" customWidth="1"/>
    <col min="1296" max="1539" width="9.140625" style="3"/>
    <col min="1540" max="1540" width="4.140625" style="3" customWidth="1"/>
    <col min="1541" max="1541" width="5.5703125" style="3" customWidth="1"/>
    <col min="1542" max="1542" width="59.5703125" style="3" customWidth="1"/>
    <col min="1543" max="1544" width="11.28515625" style="3" customWidth="1"/>
    <col min="1545" max="1545" width="10.5703125" style="3" customWidth="1"/>
    <col min="1546" max="1546" width="10.42578125" style="3" customWidth="1"/>
    <col min="1547" max="1547" width="10.7109375" style="3" customWidth="1"/>
    <col min="1548" max="1548" width="9" style="3" customWidth="1"/>
    <col min="1549" max="1549" width="11.5703125" style="3" customWidth="1"/>
    <col min="1550" max="1550" width="9.140625" style="3"/>
    <col min="1551" max="1551" width="13" style="3" customWidth="1"/>
    <col min="1552" max="1795" width="9.140625" style="3"/>
    <col min="1796" max="1796" width="4.140625" style="3" customWidth="1"/>
    <col min="1797" max="1797" width="5.5703125" style="3" customWidth="1"/>
    <col min="1798" max="1798" width="59.5703125" style="3" customWidth="1"/>
    <col min="1799" max="1800" width="11.28515625" style="3" customWidth="1"/>
    <col min="1801" max="1801" width="10.5703125" style="3" customWidth="1"/>
    <col min="1802" max="1802" width="10.42578125" style="3" customWidth="1"/>
    <col min="1803" max="1803" width="10.7109375" style="3" customWidth="1"/>
    <col min="1804" max="1804" width="9" style="3" customWidth="1"/>
    <col min="1805" max="1805" width="11.5703125" style="3" customWidth="1"/>
    <col min="1806" max="1806" width="9.140625" style="3"/>
    <col min="1807" max="1807" width="13" style="3" customWidth="1"/>
    <col min="1808" max="2051" width="9.140625" style="3"/>
    <col min="2052" max="2052" width="4.140625" style="3" customWidth="1"/>
    <col min="2053" max="2053" width="5.5703125" style="3" customWidth="1"/>
    <col min="2054" max="2054" width="59.5703125" style="3" customWidth="1"/>
    <col min="2055" max="2056" width="11.28515625" style="3" customWidth="1"/>
    <col min="2057" max="2057" width="10.5703125" style="3" customWidth="1"/>
    <col min="2058" max="2058" width="10.42578125" style="3" customWidth="1"/>
    <col min="2059" max="2059" width="10.7109375" style="3" customWidth="1"/>
    <col min="2060" max="2060" width="9" style="3" customWidth="1"/>
    <col min="2061" max="2061" width="11.5703125" style="3" customWidth="1"/>
    <col min="2062" max="2062" width="9.140625" style="3"/>
    <col min="2063" max="2063" width="13" style="3" customWidth="1"/>
    <col min="2064" max="2307" width="9.140625" style="3"/>
    <col min="2308" max="2308" width="4.140625" style="3" customWidth="1"/>
    <col min="2309" max="2309" width="5.5703125" style="3" customWidth="1"/>
    <col min="2310" max="2310" width="59.5703125" style="3" customWidth="1"/>
    <col min="2311" max="2312" width="11.28515625" style="3" customWidth="1"/>
    <col min="2313" max="2313" width="10.5703125" style="3" customWidth="1"/>
    <col min="2314" max="2314" width="10.42578125" style="3" customWidth="1"/>
    <col min="2315" max="2315" width="10.7109375" style="3" customWidth="1"/>
    <col min="2316" max="2316" width="9" style="3" customWidth="1"/>
    <col min="2317" max="2317" width="11.5703125" style="3" customWidth="1"/>
    <col min="2318" max="2318" width="9.140625" style="3"/>
    <col min="2319" max="2319" width="13" style="3" customWidth="1"/>
    <col min="2320" max="2563" width="9.140625" style="3"/>
    <col min="2564" max="2564" width="4.140625" style="3" customWidth="1"/>
    <col min="2565" max="2565" width="5.5703125" style="3" customWidth="1"/>
    <col min="2566" max="2566" width="59.5703125" style="3" customWidth="1"/>
    <col min="2567" max="2568" width="11.28515625" style="3" customWidth="1"/>
    <col min="2569" max="2569" width="10.5703125" style="3" customWidth="1"/>
    <col min="2570" max="2570" width="10.42578125" style="3" customWidth="1"/>
    <col min="2571" max="2571" width="10.7109375" style="3" customWidth="1"/>
    <col min="2572" max="2572" width="9" style="3" customWidth="1"/>
    <col min="2573" max="2573" width="11.5703125" style="3" customWidth="1"/>
    <col min="2574" max="2574" width="9.140625" style="3"/>
    <col min="2575" max="2575" width="13" style="3" customWidth="1"/>
    <col min="2576" max="2819" width="9.140625" style="3"/>
    <col min="2820" max="2820" width="4.140625" style="3" customWidth="1"/>
    <col min="2821" max="2821" width="5.5703125" style="3" customWidth="1"/>
    <col min="2822" max="2822" width="59.5703125" style="3" customWidth="1"/>
    <col min="2823" max="2824" width="11.28515625" style="3" customWidth="1"/>
    <col min="2825" max="2825" width="10.5703125" style="3" customWidth="1"/>
    <col min="2826" max="2826" width="10.42578125" style="3" customWidth="1"/>
    <col min="2827" max="2827" width="10.7109375" style="3" customWidth="1"/>
    <col min="2828" max="2828" width="9" style="3" customWidth="1"/>
    <col min="2829" max="2829" width="11.5703125" style="3" customWidth="1"/>
    <col min="2830" max="2830" width="9.140625" style="3"/>
    <col min="2831" max="2831" width="13" style="3" customWidth="1"/>
    <col min="2832" max="3075" width="9.140625" style="3"/>
    <col min="3076" max="3076" width="4.140625" style="3" customWidth="1"/>
    <col min="3077" max="3077" width="5.5703125" style="3" customWidth="1"/>
    <col min="3078" max="3078" width="59.5703125" style="3" customWidth="1"/>
    <col min="3079" max="3080" width="11.28515625" style="3" customWidth="1"/>
    <col min="3081" max="3081" width="10.5703125" style="3" customWidth="1"/>
    <col min="3082" max="3082" width="10.42578125" style="3" customWidth="1"/>
    <col min="3083" max="3083" width="10.7109375" style="3" customWidth="1"/>
    <col min="3084" max="3084" width="9" style="3" customWidth="1"/>
    <col min="3085" max="3085" width="11.5703125" style="3" customWidth="1"/>
    <col min="3086" max="3086" width="9.140625" style="3"/>
    <col min="3087" max="3087" width="13" style="3" customWidth="1"/>
    <col min="3088" max="3331" width="9.140625" style="3"/>
    <col min="3332" max="3332" width="4.140625" style="3" customWidth="1"/>
    <col min="3333" max="3333" width="5.5703125" style="3" customWidth="1"/>
    <col min="3334" max="3334" width="59.5703125" style="3" customWidth="1"/>
    <col min="3335" max="3336" width="11.28515625" style="3" customWidth="1"/>
    <col min="3337" max="3337" width="10.5703125" style="3" customWidth="1"/>
    <col min="3338" max="3338" width="10.42578125" style="3" customWidth="1"/>
    <col min="3339" max="3339" width="10.7109375" style="3" customWidth="1"/>
    <col min="3340" max="3340" width="9" style="3" customWidth="1"/>
    <col min="3341" max="3341" width="11.5703125" style="3" customWidth="1"/>
    <col min="3342" max="3342" width="9.140625" style="3"/>
    <col min="3343" max="3343" width="13" style="3" customWidth="1"/>
    <col min="3344" max="3587" width="9.140625" style="3"/>
    <col min="3588" max="3588" width="4.140625" style="3" customWidth="1"/>
    <col min="3589" max="3589" width="5.5703125" style="3" customWidth="1"/>
    <col min="3590" max="3590" width="59.5703125" style="3" customWidth="1"/>
    <col min="3591" max="3592" width="11.28515625" style="3" customWidth="1"/>
    <col min="3593" max="3593" width="10.5703125" style="3" customWidth="1"/>
    <col min="3594" max="3594" width="10.42578125" style="3" customWidth="1"/>
    <col min="3595" max="3595" width="10.7109375" style="3" customWidth="1"/>
    <col min="3596" max="3596" width="9" style="3" customWidth="1"/>
    <col min="3597" max="3597" width="11.5703125" style="3" customWidth="1"/>
    <col min="3598" max="3598" width="9.140625" style="3"/>
    <col min="3599" max="3599" width="13" style="3" customWidth="1"/>
    <col min="3600" max="3843" width="9.140625" style="3"/>
    <col min="3844" max="3844" width="4.140625" style="3" customWidth="1"/>
    <col min="3845" max="3845" width="5.5703125" style="3" customWidth="1"/>
    <col min="3846" max="3846" width="59.5703125" style="3" customWidth="1"/>
    <col min="3847" max="3848" width="11.28515625" style="3" customWidth="1"/>
    <col min="3849" max="3849" width="10.5703125" style="3" customWidth="1"/>
    <col min="3850" max="3850" width="10.42578125" style="3" customWidth="1"/>
    <col min="3851" max="3851" width="10.7109375" style="3" customWidth="1"/>
    <col min="3852" max="3852" width="9" style="3" customWidth="1"/>
    <col min="3853" max="3853" width="11.5703125" style="3" customWidth="1"/>
    <col min="3854" max="3854" width="9.140625" style="3"/>
    <col min="3855" max="3855" width="13" style="3" customWidth="1"/>
    <col min="3856" max="4099" width="9.140625" style="3"/>
    <col min="4100" max="4100" width="4.140625" style="3" customWidth="1"/>
    <col min="4101" max="4101" width="5.5703125" style="3" customWidth="1"/>
    <col min="4102" max="4102" width="59.5703125" style="3" customWidth="1"/>
    <col min="4103" max="4104" width="11.28515625" style="3" customWidth="1"/>
    <col min="4105" max="4105" width="10.5703125" style="3" customWidth="1"/>
    <col min="4106" max="4106" width="10.42578125" style="3" customWidth="1"/>
    <col min="4107" max="4107" width="10.7109375" style="3" customWidth="1"/>
    <col min="4108" max="4108" width="9" style="3" customWidth="1"/>
    <col min="4109" max="4109" width="11.5703125" style="3" customWidth="1"/>
    <col min="4110" max="4110" width="9.140625" style="3"/>
    <col min="4111" max="4111" width="13" style="3" customWidth="1"/>
    <col min="4112" max="4355" width="9.140625" style="3"/>
    <col min="4356" max="4356" width="4.140625" style="3" customWidth="1"/>
    <col min="4357" max="4357" width="5.5703125" style="3" customWidth="1"/>
    <col min="4358" max="4358" width="59.5703125" style="3" customWidth="1"/>
    <col min="4359" max="4360" width="11.28515625" style="3" customWidth="1"/>
    <col min="4361" max="4361" width="10.5703125" style="3" customWidth="1"/>
    <col min="4362" max="4362" width="10.42578125" style="3" customWidth="1"/>
    <col min="4363" max="4363" width="10.7109375" style="3" customWidth="1"/>
    <col min="4364" max="4364" width="9" style="3" customWidth="1"/>
    <col min="4365" max="4365" width="11.5703125" style="3" customWidth="1"/>
    <col min="4366" max="4366" width="9.140625" style="3"/>
    <col min="4367" max="4367" width="13" style="3" customWidth="1"/>
    <col min="4368" max="4611" width="9.140625" style="3"/>
    <col min="4612" max="4612" width="4.140625" style="3" customWidth="1"/>
    <col min="4613" max="4613" width="5.5703125" style="3" customWidth="1"/>
    <col min="4614" max="4614" width="59.5703125" style="3" customWidth="1"/>
    <col min="4615" max="4616" width="11.28515625" style="3" customWidth="1"/>
    <col min="4617" max="4617" width="10.5703125" style="3" customWidth="1"/>
    <col min="4618" max="4618" width="10.42578125" style="3" customWidth="1"/>
    <col min="4619" max="4619" width="10.7109375" style="3" customWidth="1"/>
    <col min="4620" max="4620" width="9" style="3" customWidth="1"/>
    <col min="4621" max="4621" width="11.5703125" style="3" customWidth="1"/>
    <col min="4622" max="4622" width="9.140625" style="3"/>
    <col min="4623" max="4623" width="13" style="3" customWidth="1"/>
    <col min="4624" max="4867" width="9.140625" style="3"/>
    <col min="4868" max="4868" width="4.140625" style="3" customWidth="1"/>
    <col min="4869" max="4869" width="5.5703125" style="3" customWidth="1"/>
    <col min="4870" max="4870" width="59.5703125" style="3" customWidth="1"/>
    <col min="4871" max="4872" width="11.28515625" style="3" customWidth="1"/>
    <col min="4873" max="4873" width="10.5703125" style="3" customWidth="1"/>
    <col min="4874" max="4874" width="10.42578125" style="3" customWidth="1"/>
    <col min="4875" max="4875" width="10.7109375" style="3" customWidth="1"/>
    <col min="4876" max="4876" width="9" style="3" customWidth="1"/>
    <col min="4877" max="4877" width="11.5703125" style="3" customWidth="1"/>
    <col min="4878" max="4878" width="9.140625" style="3"/>
    <col min="4879" max="4879" width="13" style="3" customWidth="1"/>
    <col min="4880" max="5123" width="9.140625" style="3"/>
    <col min="5124" max="5124" width="4.140625" style="3" customWidth="1"/>
    <col min="5125" max="5125" width="5.5703125" style="3" customWidth="1"/>
    <col min="5126" max="5126" width="59.5703125" style="3" customWidth="1"/>
    <col min="5127" max="5128" width="11.28515625" style="3" customWidth="1"/>
    <col min="5129" max="5129" width="10.5703125" style="3" customWidth="1"/>
    <col min="5130" max="5130" width="10.42578125" style="3" customWidth="1"/>
    <col min="5131" max="5131" width="10.7109375" style="3" customWidth="1"/>
    <col min="5132" max="5132" width="9" style="3" customWidth="1"/>
    <col min="5133" max="5133" width="11.5703125" style="3" customWidth="1"/>
    <col min="5134" max="5134" width="9.140625" style="3"/>
    <col min="5135" max="5135" width="13" style="3" customWidth="1"/>
    <col min="5136" max="5379" width="9.140625" style="3"/>
    <col min="5380" max="5380" width="4.140625" style="3" customWidth="1"/>
    <col min="5381" max="5381" width="5.5703125" style="3" customWidth="1"/>
    <col min="5382" max="5382" width="59.5703125" style="3" customWidth="1"/>
    <col min="5383" max="5384" width="11.28515625" style="3" customWidth="1"/>
    <col min="5385" max="5385" width="10.5703125" style="3" customWidth="1"/>
    <col min="5386" max="5386" width="10.42578125" style="3" customWidth="1"/>
    <col min="5387" max="5387" width="10.7109375" style="3" customWidth="1"/>
    <col min="5388" max="5388" width="9" style="3" customWidth="1"/>
    <col min="5389" max="5389" width="11.5703125" style="3" customWidth="1"/>
    <col min="5390" max="5390" width="9.140625" style="3"/>
    <col min="5391" max="5391" width="13" style="3" customWidth="1"/>
    <col min="5392" max="5635" width="9.140625" style="3"/>
    <col min="5636" max="5636" width="4.140625" style="3" customWidth="1"/>
    <col min="5637" max="5637" width="5.5703125" style="3" customWidth="1"/>
    <col min="5638" max="5638" width="59.5703125" style="3" customWidth="1"/>
    <col min="5639" max="5640" width="11.28515625" style="3" customWidth="1"/>
    <col min="5641" max="5641" width="10.5703125" style="3" customWidth="1"/>
    <col min="5642" max="5642" width="10.42578125" style="3" customWidth="1"/>
    <col min="5643" max="5643" width="10.7109375" style="3" customWidth="1"/>
    <col min="5644" max="5644" width="9" style="3" customWidth="1"/>
    <col min="5645" max="5645" width="11.5703125" style="3" customWidth="1"/>
    <col min="5646" max="5646" width="9.140625" style="3"/>
    <col min="5647" max="5647" width="13" style="3" customWidth="1"/>
    <col min="5648" max="5891" width="9.140625" style="3"/>
    <col min="5892" max="5892" width="4.140625" style="3" customWidth="1"/>
    <col min="5893" max="5893" width="5.5703125" style="3" customWidth="1"/>
    <col min="5894" max="5894" width="59.5703125" style="3" customWidth="1"/>
    <col min="5895" max="5896" width="11.28515625" style="3" customWidth="1"/>
    <col min="5897" max="5897" width="10.5703125" style="3" customWidth="1"/>
    <col min="5898" max="5898" width="10.42578125" style="3" customWidth="1"/>
    <col min="5899" max="5899" width="10.7109375" style="3" customWidth="1"/>
    <col min="5900" max="5900" width="9" style="3" customWidth="1"/>
    <col min="5901" max="5901" width="11.5703125" style="3" customWidth="1"/>
    <col min="5902" max="5902" width="9.140625" style="3"/>
    <col min="5903" max="5903" width="13" style="3" customWidth="1"/>
    <col min="5904" max="6147" width="9.140625" style="3"/>
    <col min="6148" max="6148" width="4.140625" style="3" customWidth="1"/>
    <col min="6149" max="6149" width="5.5703125" style="3" customWidth="1"/>
    <col min="6150" max="6150" width="59.5703125" style="3" customWidth="1"/>
    <col min="6151" max="6152" width="11.28515625" style="3" customWidth="1"/>
    <col min="6153" max="6153" width="10.5703125" style="3" customWidth="1"/>
    <col min="6154" max="6154" width="10.42578125" style="3" customWidth="1"/>
    <col min="6155" max="6155" width="10.7109375" style="3" customWidth="1"/>
    <col min="6156" max="6156" width="9" style="3" customWidth="1"/>
    <col min="6157" max="6157" width="11.5703125" style="3" customWidth="1"/>
    <col min="6158" max="6158" width="9.140625" style="3"/>
    <col min="6159" max="6159" width="13" style="3" customWidth="1"/>
    <col min="6160" max="6403" width="9.140625" style="3"/>
    <col min="6404" max="6404" width="4.140625" style="3" customWidth="1"/>
    <col min="6405" max="6405" width="5.5703125" style="3" customWidth="1"/>
    <col min="6406" max="6406" width="59.5703125" style="3" customWidth="1"/>
    <col min="6407" max="6408" width="11.28515625" style="3" customWidth="1"/>
    <col min="6409" max="6409" width="10.5703125" style="3" customWidth="1"/>
    <col min="6410" max="6410" width="10.42578125" style="3" customWidth="1"/>
    <col min="6411" max="6411" width="10.7109375" style="3" customWidth="1"/>
    <col min="6412" max="6412" width="9" style="3" customWidth="1"/>
    <col min="6413" max="6413" width="11.5703125" style="3" customWidth="1"/>
    <col min="6414" max="6414" width="9.140625" style="3"/>
    <col min="6415" max="6415" width="13" style="3" customWidth="1"/>
    <col min="6416" max="6659" width="9.140625" style="3"/>
    <col min="6660" max="6660" width="4.140625" style="3" customWidth="1"/>
    <col min="6661" max="6661" width="5.5703125" style="3" customWidth="1"/>
    <col min="6662" max="6662" width="59.5703125" style="3" customWidth="1"/>
    <col min="6663" max="6664" width="11.28515625" style="3" customWidth="1"/>
    <col min="6665" max="6665" width="10.5703125" style="3" customWidth="1"/>
    <col min="6666" max="6666" width="10.42578125" style="3" customWidth="1"/>
    <col min="6667" max="6667" width="10.7109375" style="3" customWidth="1"/>
    <col min="6668" max="6668" width="9" style="3" customWidth="1"/>
    <col min="6669" max="6669" width="11.5703125" style="3" customWidth="1"/>
    <col min="6670" max="6670" width="9.140625" style="3"/>
    <col min="6671" max="6671" width="13" style="3" customWidth="1"/>
    <col min="6672" max="6915" width="9.140625" style="3"/>
    <col min="6916" max="6916" width="4.140625" style="3" customWidth="1"/>
    <col min="6917" max="6917" width="5.5703125" style="3" customWidth="1"/>
    <col min="6918" max="6918" width="59.5703125" style="3" customWidth="1"/>
    <col min="6919" max="6920" width="11.28515625" style="3" customWidth="1"/>
    <col min="6921" max="6921" width="10.5703125" style="3" customWidth="1"/>
    <col min="6922" max="6922" width="10.42578125" style="3" customWidth="1"/>
    <col min="6923" max="6923" width="10.7109375" style="3" customWidth="1"/>
    <col min="6924" max="6924" width="9" style="3" customWidth="1"/>
    <col min="6925" max="6925" width="11.5703125" style="3" customWidth="1"/>
    <col min="6926" max="6926" width="9.140625" style="3"/>
    <col min="6927" max="6927" width="13" style="3" customWidth="1"/>
    <col min="6928" max="7171" width="9.140625" style="3"/>
    <col min="7172" max="7172" width="4.140625" style="3" customWidth="1"/>
    <col min="7173" max="7173" width="5.5703125" style="3" customWidth="1"/>
    <col min="7174" max="7174" width="59.5703125" style="3" customWidth="1"/>
    <col min="7175" max="7176" width="11.28515625" style="3" customWidth="1"/>
    <col min="7177" max="7177" width="10.5703125" style="3" customWidth="1"/>
    <col min="7178" max="7178" width="10.42578125" style="3" customWidth="1"/>
    <col min="7179" max="7179" width="10.7109375" style="3" customWidth="1"/>
    <col min="7180" max="7180" width="9" style="3" customWidth="1"/>
    <col min="7181" max="7181" width="11.5703125" style="3" customWidth="1"/>
    <col min="7182" max="7182" width="9.140625" style="3"/>
    <col min="7183" max="7183" width="13" style="3" customWidth="1"/>
    <col min="7184" max="7427" width="9.140625" style="3"/>
    <col min="7428" max="7428" width="4.140625" style="3" customWidth="1"/>
    <col min="7429" max="7429" width="5.5703125" style="3" customWidth="1"/>
    <col min="7430" max="7430" width="59.5703125" style="3" customWidth="1"/>
    <col min="7431" max="7432" width="11.28515625" style="3" customWidth="1"/>
    <col min="7433" max="7433" width="10.5703125" style="3" customWidth="1"/>
    <col min="7434" max="7434" width="10.42578125" style="3" customWidth="1"/>
    <col min="7435" max="7435" width="10.7109375" style="3" customWidth="1"/>
    <col min="7436" max="7436" width="9" style="3" customWidth="1"/>
    <col min="7437" max="7437" width="11.5703125" style="3" customWidth="1"/>
    <col min="7438" max="7438" width="9.140625" style="3"/>
    <col min="7439" max="7439" width="13" style="3" customWidth="1"/>
    <col min="7440" max="7683" width="9.140625" style="3"/>
    <col min="7684" max="7684" width="4.140625" style="3" customWidth="1"/>
    <col min="7685" max="7685" width="5.5703125" style="3" customWidth="1"/>
    <col min="7686" max="7686" width="59.5703125" style="3" customWidth="1"/>
    <col min="7687" max="7688" width="11.28515625" style="3" customWidth="1"/>
    <col min="7689" max="7689" width="10.5703125" style="3" customWidth="1"/>
    <col min="7690" max="7690" width="10.42578125" style="3" customWidth="1"/>
    <col min="7691" max="7691" width="10.7109375" style="3" customWidth="1"/>
    <col min="7692" max="7692" width="9" style="3" customWidth="1"/>
    <col min="7693" max="7693" width="11.5703125" style="3" customWidth="1"/>
    <col min="7694" max="7694" width="9.140625" style="3"/>
    <col min="7695" max="7695" width="13" style="3" customWidth="1"/>
    <col min="7696" max="7939" width="9.140625" style="3"/>
    <col min="7940" max="7940" width="4.140625" style="3" customWidth="1"/>
    <col min="7941" max="7941" width="5.5703125" style="3" customWidth="1"/>
    <col min="7942" max="7942" width="59.5703125" style="3" customWidth="1"/>
    <col min="7943" max="7944" width="11.28515625" style="3" customWidth="1"/>
    <col min="7945" max="7945" width="10.5703125" style="3" customWidth="1"/>
    <col min="7946" max="7946" width="10.42578125" style="3" customWidth="1"/>
    <col min="7947" max="7947" width="10.7109375" style="3" customWidth="1"/>
    <col min="7948" max="7948" width="9" style="3" customWidth="1"/>
    <col min="7949" max="7949" width="11.5703125" style="3" customWidth="1"/>
    <col min="7950" max="7950" width="9.140625" style="3"/>
    <col min="7951" max="7951" width="13" style="3" customWidth="1"/>
    <col min="7952" max="8195" width="9.140625" style="3"/>
    <col min="8196" max="8196" width="4.140625" style="3" customWidth="1"/>
    <col min="8197" max="8197" width="5.5703125" style="3" customWidth="1"/>
    <col min="8198" max="8198" width="59.5703125" style="3" customWidth="1"/>
    <col min="8199" max="8200" width="11.28515625" style="3" customWidth="1"/>
    <col min="8201" max="8201" width="10.5703125" style="3" customWidth="1"/>
    <col min="8202" max="8202" width="10.42578125" style="3" customWidth="1"/>
    <col min="8203" max="8203" width="10.7109375" style="3" customWidth="1"/>
    <col min="8204" max="8204" width="9" style="3" customWidth="1"/>
    <col min="8205" max="8205" width="11.5703125" style="3" customWidth="1"/>
    <col min="8206" max="8206" width="9.140625" style="3"/>
    <col min="8207" max="8207" width="13" style="3" customWidth="1"/>
    <col min="8208" max="8451" width="9.140625" style="3"/>
    <col min="8452" max="8452" width="4.140625" style="3" customWidth="1"/>
    <col min="8453" max="8453" width="5.5703125" style="3" customWidth="1"/>
    <col min="8454" max="8454" width="59.5703125" style="3" customWidth="1"/>
    <col min="8455" max="8456" width="11.28515625" style="3" customWidth="1"/>
    <col min="8457" max="8457" width="10.5703125" style="3" customWidth="1"/>
    <col min="8458" max="8458" width="10.42578125" style="3" customWidth="1"/>
    <col min="8459" max="8459" width="10.7109375" style="3" customWidth="1"/>
    <col min="8460" max="8460" width="9" style="3" customWidth="1"/>
    <col min="8461" max="8461" width="11.5703125" style="3" customWidth="1"/>
    <col min="8462" max="8462" width="9.140625" style="3"/>
    <col min="8463" max="8463" width="13" style="3" customWidth="1"/>
    <col min="8464" max="8707" width="9.140625" style="3"/>
    <col min="8708" max="8708" width="4.140625" style="3" customWidth="1"/>
    <col min="8709" max="8709" width="5.5703125" style="3" customWidth="1"/>
    <col min="8710" max="8710" width="59.5703125" style="3" customWidth="1"/>
    <col min="8711" max="8712" width="11.28515625" style="3" customWidth="1"/>
    <col min="8713" max="8713" width="10.5703125" style="3" customWidth="1"/>
    <col min="8714" max="8714" width="10.42578125" style="3" customWidth="1"/>
    <col min="8715" max="8715" width="10.7109375" style="3" customWidth="1"/>
    <col min="8716" max="8716" width="9" style="3" customWidth="1"/>
    <col min="8717" max="8717" width="11.5703125" style="3" customWidth="1"/>
    <col min="8718" max="8718" width="9.140625" style="3"/>
    <col min="8719" max="8719" width="13" style="3" customWidth="1"/>
    <col min="8720" max="8963" width="9.140625" style="3"/>
    <col min="8964" max="8964" width="4.140625" style="3" customWidth="1"/>
    <col min="8965" max="8965" width="5.5703125" style="3" customWidth="1"/>
    <col min="8966" max="8966" width="59.5703125" style="3" customWidth="1"/>
    <col min="8967" max="8968" width="11.28515625" style="3" customWidth="1"/>
    <col min="8969" max="8969" width="10.5703125" style="3" customWidth="1"/>
    <col min="8970" max="8970" width="10.42578125" style="3" customWidth="1"/>
    <col min="8971" max="8971" width="10.7109375" style="3" customWidth="1"/>
    <col min="8972" max="8972" width="9" style="3" customWidth="1"/>
    <col min="8973" max="8973" width="11.5703125" style="3" customWidth="1"/>
    <col min="8974" max="8974" width="9.140625" style="3"/>
    <col min="8975" max="8975" width="13" style="3" customWidth="1"/>
    <col min="8976" max="9219" width="9.140625" style="3"/>
    <col min="9220" max="9220" width="4.140625" style="3" customWidth="1"/>
    <col min="9221" max="9221" width="5.5703125" style="3" customWidth="1"/>
    <col min="9222" max="9222" width="59.5703125" style="3" customWidth="1"/>
    <col min="9223" max="9224" width="11.28515625" style="3" customWidth="1"/>
    <col min="9225" max="9225" width="10.5703125" style="3" customWidth="1"/>
    <col min="9226" max="9226" width="10.42578125" style="3" customWidth="1"/>
    <col min="9227" max="9227" width="10.7109375" style="3" customWidth="1"/>
    <col min="9228" max="9228" width="9" style="3" customWidth="1"/>
    <col min="9229" max="9229" width="11.5703125" style="3" customWidth="1"/>
    <col min="9230" max="9230" width="9.140625" style="3"/>
    <col min="9231" max="9231" width="13" style="3" customWidth="1"/>
    <col min="9232" max="9475" width="9.140625" style="3"/>
    <col min="9476" max="9476" width="4.140625" style="3" customWidth="1"/>
    <col min="9477" max="9477" width="5.5703125" style="3" customWidth="1"/>
    <col min="9478" max="9478" width="59.5703125" style="3" customWidth="1"/>
    <col min="9479" max="9480" width="11.28515625" style="3" customWidth="1"/>
    <col min="9481" max="9481" width="10.5703125" style="3" customWidth="1"/>
    <col min="9482" max="9482" width="10.42578125" style="3" customWidth="1"/>
    <col min="9483" max="9483" width="10.7109375" style="3" customWidth="1"/>
    <col min="9484" max="9484" width="9" style="3" customWidth="1"/>
    <col min="9485" max="9485" width="11.5703125" style="3" customWidth="1"/>
    <col min="9486" max="9486" width="9.140625" style="3"/>
    <col min="9487" max="9487" width="13" style="3" customWidth="1"/>
    <col min="9488" max="9731" width="9.140625" style="3"/>
    <col min="9732" max="9732" width="4.140625" style="3" customWidth="1"/>
    <col min="9733" max="9733" width="5.5703125" style="3" customWidth="1"/>
    <col min="9734" max="9734" width="59.5703125" style="3" customWidth="1"/>
    <col min="9735" max="9736" width="11.28515625" style="3" customWidth="1"/>
    <col min="9737" max="9737" width="10.5703125" style="3" customWidth="1"/>
    <col min="9738" max="9738" width="10.42578125" style="3" customWidth="1"/>
    <col min="9739" max="9739" width="10.7109375" style="3" customWidth="1"/>
    <col min="9740" max="9740" width="9" style="3" customWidth="1"/>
    <col min="9741" max="9741" width="11.5703125" style="3" customWidth="1"/>
    <col min="9742" max="9742" width="9.140625" style="3"/>
    <col min="9743" max="9743" width="13" style="3" customWidth="1"/>
    <col min="9744" max="9987" width="9.140625" style="3"/>
    <col min="9988" max="9988" width="4.140625" style="3" customWidth="1"/>
    <col min="9989" max="9989" width="5.5703125" style="3" customWidth="1"/>
    <col min="9990" max="9990" width="59.5703125" style="3" customWidth="1"/>
    <col min="9991" max="9992" width="11.28515625" style="3" customWidth="1"/>
    <col min="9993" max="9993" width="10.5703125" style="3" customWidth="1"/>
    <col min="9994" max="9994" width="10.42578125" style="3" customWidth="1"/>
    <col min="9995" max="9995" width="10.7109375" style="3" customWidth="1"/>
    <col min="9996" max="9996" width="9" style="3" customWidth="1"/>
    <col min="9997" max="9997" width="11.5703125" style="3" customWidth="1"/>
    <col min="9998" max="9998" width="9.140625" style="3"/>
    <col min="9999" max="9999" width="13" style="3" customWidth="1"/>
    <col min="10000" max="10243" width="9.140625" style="3"/>
    <col min="10244" max="10244" width="4.140625" style="3" customWidth="1"/>
    <col min="10245" max="10245" width="5.5703125" style="3" customWidth="1"/>
    <col min="10246" max="10246" width="59.5703125" style="3" customWidth="1"/>
    <col min="10247" max="10248" width="11.28515625" style="3" customWidth="1"/>
    <col min="10249" max="10249" width="10.5703125" style="3" customWidth="1"/>
    <col min="10250" max="10250" width="10.42578125" style="3" customWidth="1"/>
    <col min="10251" max="10251" width="10.7109375" style="3" customWidth="1"/>
    <col min="10252" max="10252" width="9" style="3" customWidth="1"/>
    <col min="10253" max="10253" width="11.5703125" style="3" customWidth="1"/>
    <col min="10254" max="10254" width="9.140625" style="3"/>
    <col min="10255" max="10255" width="13" style="3" customWidth="1"/>
    <col min="10256" max="10499" width="9.140625" style="3"/>
    <col min="10500" max="10500" width="4.140625" style="3" customWidth="1"/>
    <col min="10501" max="10501" width="5.5703125" style="3" customWidth="1"/>
    <col min="10502" max="10502" width="59.5703125" style="3" customWidth="1"/>
    <col min="10503" max="10504" width="11.28515625" style="3" customWidth="1"/>
    <col min="10505" max="10505" width="10.5703125" style="3" customWidth="1"/>
    <col min="10506" max="10506" width="10.42578125" style="3" customWidth="1"/>
    <col min="10507" max="10507" width="10.7109375" style="3" customWidth="1"/>
    <col min="10508" max="10508" width="9" style="3" customWidth="1"/>
    <col min="10509" max="10509" width="11.5703125" style="3" customWidth="1"/>
    <col min="10510" max="10510" width="9.140625" style="3"/>
    <col min="10511" max="10511" width="13" style="3" customWidth="1"/>
    <col min="10512" max="10755" width="9.140625" style="3"/>
    <col min="10756" max="10756" width="4.140625" style="3" customWidth="1"/>
    <col min="10757" max="10757" width="5.5703125" style="3" customWidth="1"/>
    <col min="10758" max="10758" width="59.5703125" style="3" customWidth="1"/>
    <col min="10759" max="10760" width="11.28515625" style="3" customWidth="1"/>
    <col min="10761" max="10761" width="10.5703125" style="3" customWidth="1"/>
    <col min="10762" max="10762" width="10.42578125" style="3" customWidth="1"/>
    <col min="10763" max="10763" width="10.7109375" style="3" customWidth="1"/>
    <col min="10764" max="10764" width="9" style="3" customWidth="1"/>
    <col min="10765" max="10765" width="11.5703125" style="3" customWidth="1"/>
    <col min="10766" max="10766" width="9.140625" style="3"/>
    <col min="10767" max="10767" width="13" style="3" customWidth="1"/>
    <col min="10768" max="11011" width="9.140625" style="3"/>
    <col min="11012" max="11012" width="4.140625" style="3" customWidth="1"/>
    <col min="11013" max="11013" width="5.5703125" style="3" customWidth="1"/>
    <col min="11014" max="11014" width="59.5703125" style="3" customWidth="1"/>
    <col min="11015" max="11016" width="11.28515625" style="3" customWidth="1"/>
    <col min="11017" max="11017" width="10.5703125" style="3" customWidth="1"/>
    <col min="11018" max="11018" width="10.42578125" style="3" customWidth="1"/>
    <col min="11019" max="11019" width="10.7109375" style="3" customWidth="1"/>
    <col min="11020" max="11020" width="9" style="3" customWidth="1"/>
    <col min="11021" max="11021" width="11.5703125" style="3" customWidth="1"/>
    <col min="11022" max="11022" width="9.140625" style="3"/>
    <col min="11023" max="11023" width="13" style="3" customWidth="1"/>
    <col min="11024" max="11267" width="9.140625" style="3"/>
    <col min="11268" max="11268" width="4.140625" style="3" customWidth="1"/>
    <col min="11269" max="11269" width="5.5703125" style="3" customWidth="1"/>
    <col min="11270" max="11270" width="59.5703125" style="3" customWidth="1"/>
    <col min="11271" max="11272" width="11.28515625" style="3" customWidth="1"/>
    <col min="11273" max="11273" width="10.5703125" style="3" customWidth="1"/>
    <col min="11274" max="11274" width="10.42578125" style="3" customWidth="1"/>
    <col min="11275" max="11275" width="10.7109375" style="3" customWidth="1"/>
    <col min="11276" max="11276" width="9" style="3" customWidth="1"/>
    <col min="11277" max="11277" width="11.5703125" style="3" customWidth="1"/>
    <col min="11278" max="11278" width="9.140625" style="3"/>
    <col min="11279" max="11279" width="13" style="3" customWidth="1"/>
    <col min="11280" max="11523" width="9.140625" style="3"/>
    <col min="11524" max="11524" width="4.140625" style="3" customWidth="1"/>
    <col min="11525" max="11525" width="5.5703125" style="3" customWidth="1"/>
    <col min="11526" max="11526" width="59.5703125" style="3" customWidth="1"/>
    <col min="11527" max="11528" width="11.28515625" style="3" customWidth="1"/>
    <col min="11529" max="11529" width="10.5703125" style="3" customWidth="1"/>
    <col min="11530" max="11530" width="10.42578125" style="3" customWidth="1"/>
    <col min="11531" max="11531" width="10.7109375" style="3" customWidth="1"/>
    <col min="11532" max="11532" width="9" style="3" customWidth="1"/>
    <col min="11533" max="11533" width="11.5703125" style="3" customWidth="1"/>
    <col min="11534" max="11534" width="9.140625" style="3"/>
    <col min="11535" max="11535" width="13" style="3" customWidth="1"/>
    <col min="11536" max="11779" width="9.140625" style="3"/>
    <col min="11780" max="11780" width="4.140625" style="3" customWidth="1"/>
    <col min="11781" max="11781" width="5.5703125" style="3" customWidth="1"/>
    <col min="11782" max="11782" width="59.5703125" style="3" customWidth="1"/>
    <col min="11783" max="11784" width="11.28515625" style="3" customWidth="1"/>
    <col min="11785" max="11785" width="10.5703125" style="3" customWidth="1"/>
    <col min="11786" max="11786" width="10.42578125" style="3" customWidth="1"/>
    <col min="11787" max="11787" width="10.7109375" style="3" customWidth="1"/>
    <col min="11788" max="11788" width="9" style="3" customWidth="1"/>
    <col min="11789" max="11789" width="11.5703125" style="3" customWidth="1"/>
    <col min="11790" max="11790" width="9.140625" style="3"/>
    <col min="11791" max="11791" width="13" style="3" customWidth="1"/>
    <col min="11792" max="12035" width="9.140625" style="3"/>
    <col min="12036" max="12036" width="4.140625" style="3" customWidth="1"/>
    <col min="12037" max="12037" width="5.5703125" style="3" customWidth="1"/>
    <col min="12038" max="12038" width="59.5703125" style="3" customWidth="1"/>
    <col min="12039" max="12040" width="11.28515625" style="3" customWidth="1"/>
    <col min="12041" max="12041" width="10.5703125" style="3" customWidth="1"/>
    <col min="12042" max="12042" width="10.42578125" style="3" customWidth="1"/>
    <col min="12043" max="12043" width="10.7109375" style="3" customWidth="1"/>
    <col min="12044" max="12044" width="9" style="3" customWidth="1"/>
    <col min="12045" max="12045" width="11.5703125" style="3" customWidth="1"/>
    <col min="12046" max="12046" width="9.140625" style="3"/>
    <col min="12047" max="12047" width="13" style="3" customWidth="1"/>
    <col min="12048" max="12291" width="9.140625" style="3"/>
    <col min="12292" max="12292" width="4.140625" style="3" customWidth="1"/>
    <col min="12293" max="12293" width="5.5703125" style="3" customWidth="1"/>
    <col min="12294" max="12294" width="59.5703125" style="3" customWidth="1"/>
    <col min="12295" max="12296" width="11.28515625" style="3" customWidth="1"/>
    <col min="12297" max="12297" width="10.5703125" style="3" customWidth="1"/>
    <col min="12298" max="12298" width="10.42578125" style="3" customWidth="1"/>
    <col min="12299" max="12299" width="10.7109375" style="3" customWidth="1"/>
    <col min="12300" max="12300" width="9" style="3" customWidth="1"/>
    <col min="12301" max="12301" width="11.5703125" style="3" customWidth="1"/>
    <col min="12302" max="12302" width="9.140625" style="3"/>
    <col min="12303" max="12303" width="13" style="3" customWidth="1"/>
    <col min="12304" max="12547" width="9.140625" style="3"/>
    <col min="12548" max="12548" width="4.140625" style="3" customWidth="1"/>
    <col min="12549" max="12549" width="5.5703125" style="3" customWidth="1"/>
    <col min="12550" max="12550" width="59.5703125" style="3" customWidth="1"/>
    <col min="12551" max="12552" width="11.28515625" style="3" customWidth="1"/>
    <col min="12553" max="12553" width="10.5703125" style="3" customWidth="1"/>
    <col min="12554" max="12554" width="10.42578125" style="3" customWidth="1"/>
    <col min="12555" max="12555" width="10.7109375" style="3" customWidth="1"/>
    <col min="12556" max="12556" width="9" style="3" customWidth="1"/>
    <col min="12557" max="12557" width="11.5703125" style="3" customWidth="1"/>
    <col min="12558" max="12558" width="9.140625" style="3"/>
    <col min="12559" max="12559" width="13" style="3" customWidth="1"/>
    <col min="12560" max="12803" width="9.140625" style="3"/>
    <col min="12804" max="12804" width="4.140625" style="3" customWidth="1"/>
    <col min="12805" max="12805" width="5.5703125" style="3" customWidth="1"/>
    <col min="12806" max="12806" width="59.5703125" style="3" customWidth="1"/>
    <col min="12807" max="12808" width="11.28515625" style="3" customWidth="1"/>
    <col min="12809" max="12809" width="10.5703125" style="3" customWidth="1"/>
    <col min="12810" max="12810" width="10.42578125" style="3" customWidth="1"/>
    <col min="12811" max="12811" width="10.7109375" style="3" customWidth="1"/>
    <col min="12812" max="12812" width="9" style="3" customWidth="1"/>
    <col min="12813" max="12813" width="11.5703125" style="3" customWidth="1"/>
    <col min="12814" max="12814" width="9.140625" style="3"/>
    <col min="12815" max="12815" width="13" style="3" customWidth="1"/>
    <col min="12816" max="13059" width="9.140625" style="3"/>
    <col min="13060" max="13060" width="4.140625" style="3" customWidth="1"/>
    <col min="13061" max="13061" width="5.5703125" style="3" customWidth="1"/>
    <col min="13062" max="13062" width="59.5703125" style="3" customWidth="1"/>
    <col min="13063" max="13064" width="11.28515625" style="3" customWidth="1"/>
    <col min="13065" max="13065" width="10.5703125" style="3" customWidth="1"/>
    <col min="13066" max="13066" width="10.42578125" style="3" customWidth="1"/>
    <col min="13067" max="13067" width="10.7109375" style="3" customWidth="1"/>
    <col min="13068" max="13068" width="9" style="3" customWidth="1"/>
    <col min="13069" max="13069" width="11.5703125" style="3" customWidth="1"/>
    <col min="13070" max="13070" width="9.140625" style="3"/>
    <col min="13071" max="13071" width="13" style="3" customWidth="1"/>
    <col min="13072" max="13315" width="9.140625" style="3"/>
    <col min="13316" max="13316" width="4.140625" style="3" customWidth="1"/>
    <col min="13317" max="13317" width="5.5703125" style="3" customWidth="1"/>
    <col min="13318" max="13318" width="59.5703125" style="3" customWidth="1"/>
    <col min="13319" max="13320" width="11.28515625" style="3" customWidth="1"/>
    <col min="13321" max="13321" width="10.5703125" style="3" customWidth="1"/>
    <col min="13322" max="13322" width="10.42578125" style="3" customWidth="1"/>
    <col min="13323" max="13323" width="10.7109375" style="3" customWidth="1"/>
    <col min="13324" max="13324" width="9" style="3" customWidth="1"/>
    <col min="13325" max="13325" width="11.5703125" style="3" customWidth="1"/>
    <col min="13326" max="13326" width="9.140625" style="3"/>
    <col min="13327" max="13327" width="13" style="3" customWidth="1"/>
    <col min="13328" max="13571" width="9.140625" style="3"/>
    <col min="13572" max="13572" width="4.140625" style="3" customWidth="1"/>
    <col min="13573" max="13573" width="5.5703125" style="3" customWidth="1"/>
    <col min="13574" max="13574" width="59.5703125" style="3" customWidth="1"/>
    <col min="13575" max="13576" width="11.28515625" style="3" customWidth="1"/>
    <col min="13577" max="13577" width="10.5703125" style="3" customWidth="1"/>
    <col min="13578" max="13578" width="10.42578125" style="3" customWidth="1"/>
    <col min="13579" max="13579" width="10.7109375" style="3" customWidth="1"/>
    <col min="13580" max="13580" width="9" style="3" customWidth="1"/>
    <col min="13581" max="13581" width="11.5703125" style="3" customWidth="1"/>
    <col min="13582" max="13582" width="9.140625" style="3"/>
    <col min="13583" max="13583" width="13" style="3" customWidth="1"/>
    <col min="13584" max="13827" width="9.140625" style="3"/>
    <col min="13828" max="13828" width="4.140625" style="3" customWidth="1"/>
    <col min="13829" max="13829" width="5.5703125" style="3" customWidth="1"/>
    <col min="13830" max="13830" width="59.5703125" style="3" customWidth="1"/>
    <col min="13831" max="13832" width="11.28515625" style="3" customWidth="1"/>
    <col min="13833" max="13833" width="10.5703125" style="3" customWidth="1"/>
    <col min="13834" max="13834" width="10.42578125" style="3" customWidth="1"/>
    <col min="13835" max="13835" width="10.7109375" style="3" customWidth="1"/>
    <col min="13836" max="13836" width="9" style="3" customWidth="1"/>
    <col min="13837" max="13837" width="11.5703125" style="3" customWidth="1"/>
    <col min="13838" max="13838" width="9.140625" style="3"/>
    <col min="13839" max="13839" width="13" style="3" customWidth="1"/>
    <col min="13840" max="14083" width="9.140625" style="3"/>
    <col min="14084" max="14084" width="4.140625" style="3" customWidth="1"/>
    <col min="14085" max="14085" width="5.5703125" style="3" customWidth="1"/>
    <col min="14086" max="14086" width="59.5703125" style="3" customWidth="1"/>
    <col min="14087" max="14088" width="11.28515625" style="3" customWidth="1"/>
    <col min="14089" max="14089" width="10.5703125" style="3" customWidth="1"/>
    <col min="14090" max="14090" width="10.42578125" style="3" customWidth="1"/>
    <col min="14091" max="14091" width="10.7109375" style="3" customWidth="1"/>
    <col min="14092" max="14092" width="9" style="3" customWidth="1"/>
    <col min="14093" max="14093" width="11.5703125" style="3" customWidth="1"/>
    <col min="14094" max="14094" width="9.140625" style="3"/>
    <col min="14095" max="14095" width="13" style="3" customWidth="1"/>
    <col min="14096" max="14339" width="9.140625" style="3"/>
    <col min="14340" max="14340" width="4.140625" style="3" customWidth="1"/>
    <col min="14341" max="14341" width="5.5703125" style="3" customWidth="1"/>
    <col min="14342" max="14342" width="59.5703125" style="3" customWidth="1"/>
    <col min="14343" max="14344" width="11.28515625" style="3" customWidth="1"/>
    <col min="14345" max="14345" width="10.5703125" style="3" customWidth="1"/>
    <col min="14346" max="14346" width="10.42578125" style="3" customWidth="1"/>
    <col min="14347" max="14347" width="10.7109375" style="3" customWidth="1"/>
    <col min="14348" max="14348" width="9" style="3" customWidth="1"/>
    <col min="14349" max="14349" width="11.5703125" style="3" customWidth="1"/>
    <col min="14350" max="14350" width="9.140625" style="3"/>
    <col min="14351" max="14351" width="13" style="3" customWidth="1"/>
    <col min="14352" max="14595" width="9.140625" style="3"/>
    <col min="14596" max="14596" width="4.140625" style="3" customWidth="1"/>
    <col min="14597" max="14597" width="5.5703125" style="3" customWidth="1"/>
    <col min="14598" max="14598" width="59.5703125" style="3" customWidth="1"/>
    <col min="14599" max="14600" width="11.28515625" style="3" customWidth="1"/>
    <col min="14601" max="14601" width="10.5703125" style="3" customWidth="1"/>
    <col min="14602" max="14602" width="10.42578125" style="3" customWidth="1"/>
    <col min="14603" max="14603" width="10.7109375" style="3" customWidth="1"/>
    <col min="14604" max="14604" width="9" style="3" customWidth="1"/>
    <col min="14605" max="14605" width="11.5703125" style="3" customWidth="1"/>
    <col min="14606" max="14606" width="9.140625" style="3"/>
    <col min="14607" max="14607" width="13" style="3" customWidth="1"/>
    <col min="14608" max="14851" width="9.140625" style="3"/>
    <col min="14852" max="14852" width="4.140625" style="3" customWidth="1"/>
    <col min="14853" max="14853" width="5.5703125" style="3" customWidth="1"/>
    <col min="14854" max="14854" width="59.5703125" style="3" customWidth="1"/>
    <col min="14855" max="14856" width="11.28515625" style="3" customWidth="1"/>
    <col min="14857" max="14857" width="10.5703125" style="3" customWidth="1"/>
    <col min="14858" max="14858" width="10.42578125" style="3" customWidth="1"/>
    <col min="14859" max="14859" width="10.7109375" style="3" customWidth="1"/>
    <col min="14860" max="14860" width="9" style="3" customWidth="1"/>
    <col min="14861" max="14861" width="11.5703125" style="3" customWidth="1"/>
    <col min="14862" max="14862" width="9.140625" style="3"/>
    <col min="14863" max="14863" width="13" style="3" customWidth="1"/>
    <col min="14864" max="15107" width="9.140625" style="3"/>
    <col min="15108" max="15108" width="4.140625" style="3" customWidth="1"/>
    <col min="15109" max="15109" width="5.5703125" style="3" customWidth="1"/>
    <col min="15110" max="15110" width="59.5703125" style="3" customWidth="1"/>
    <col min="15111" max="15112" width="11.28515625" style="3" customWidth="1"/>
    <col min="15113" max="15113" width="10.5703125" style="3" customWidth="1"/>
    <col min="15114" max="15114" width="10.42578125" style="3" customWidth="1"/>
    <col min="15115" max="15115" width="10.7109375" style="3" customWidth="1"/>
    <col min="15116" max="15116" width="9" style="3" customWidth="1"/>
    <col min="15117" max="15117" width="11.5703125" style="3" customWidth="1"/>
    <col min="15118" max="15118" width="9.140625" style="3"/>
    <col min="15119" max="15119" width="13" style="3" customWidth="1"/>
    <col min="15120" max="15363" width="9.140625" style="3"/>
    <col min="15364" max="15364" width="4.140625" style="3" customWidth="1"/>
    <col min="15365" max="15365" width="5.5703125" style="3" customWidth="1"/>
    <col min="15366" max="15366" width="59.5703125" style="3" customWidth="1"/>
    <col min="15367" max="15368" width="11.28515625" style="3" customWidth="1"/>
    <col min="15369" max="15369" width="10.5703125" style="3" customWidth="1"/>
    <col min="15370" max="15370" width="10.42578125" style="3" customWidth="1"/>
    <col min="15371" max="15371" width="10.7109375" style="3" customWidth="1"/>
    <col min="15372" max="15372" width="9" style="3" customWidth="1"/>
    <col min="15373" max="15373" width="11.5703125" style="3" customWidth="1"/>
    <col min="15374" max="15374" width="9.140625" style="3"/>
    <col min="15375" max="15375" width="13" style="3" customWidth="1"/>
    <col min="15376" max="15619" width="9.140625" style="3"/>
    <col min="15620" max="15620" width="4.140625" style="3" customWidth="1"/>
    <col min="15621" max="15621" width="5.5703125" style="3" customWidth="1"/>
    <col min="15622" max="15622" width="59.5703125" style="3" customWidth="1"/>
    <col min="15623" max="15624" width="11.28515625" style="3" customWidth="1"/>
    <col min="15625" max="15625" width="10.5703125" style="3" customWidth="1"/>
    <col min="15626" max="15626" width="10.42578125" style="3" customWidth="1"/>
    <col min="15627" max="15627" width="10.7109375" style="3" customWidth="1"/>
    <col min="15628" max="15628" width="9" style="3" customWidth="1"/>
    <col min="15629" max="15629" width="11.5703125" style="3" customWidth="1"/>
    <col min="15630" max="15630" width="9.140625" style="3"/>
    <col min="15631" max="15631" width="13" style="3" customWidth="1"/>
    <col min="15632" max="15875" width="9.140625" style="3"/>
    <col min="15876" max="15876" width="4.140625" style="3" customWidth="1"/>
    <col min="15877" max="15877" width="5.5703125" style="3" customWidth="1"/>
    <col min="15878" max="15878" width="59.5703125" style="3" customWidth="1"/>
    <col min="15879" max="15880" width="11.28515625" style="3" customWidth="1"/>
    <col min="15881" max="15881" width="10.5703125" style="3" customWidth="1"/>
    <col min="15882" max="15882" width="10.42578125" style="3" customWidth="1"/>
    <col min="15883" max="15883" width="10.7109375" style="3" customWidth="1"/>
    <col min="15884" max="15884" width="9" style="3" customWidth="1"/>
    <col min="15885" max="15885" width="11.5703125" style="3" customWidth="1"/>
    <col min="15886" max="15886" width="9.140625" style="3"/>
    <col min="15887" max="15887" width="13" style="3" customWidth="1"/>
    <col min="15888" max="16131" width="9.140625" style="3"/>
    <col min="16132" max="16132" width="4.140625" style="3" customWidth="1"/>
    <col min="16133" max="16133" width="5.5703125" style="3" customWidth="1"/>
    <col min="16134" max="16134" width="59.5703125" style="3" customWidth="1"/>
    <col min="16135" max="16136" width="11.28515625" style="3" customWidth="1"/>
    <col min="16137" max="16137" width="10.5703125" style="3" customWidth="1"/>
    <col min="16138" max="16138" width="10.42578125" style="3" customWidth="1"/>
    <col min="16139" max="16139" width="10.7109375" style="3" customWidth="1"/>
    <col min="16140" max="16140" width="9" style="3" customWidth="1"/>
    <col min="16141" max="16141" width="11.5703125" style="3" customWidth="1"/>
    <col min="16142" max="16142" width="9.140625" style="3"/>
    <col min="16143" max="16143" width="13" style="3" customWidth="1"/>
    <col min="16144" max="16384" width="9.140625" style="3"/>
  </cols>
  <sheetData>
    <row r="1" spans="1:18" ht="12" customHeight="1" x14ac:dyDescent="0.25">
      <c r="A1" s="84"/>
      <c r="B1" s="84"/>
      <c r="C1" s="85"/>
      <c r="D1" s="86"/>
      <c r="E1" s="86"/>
      <c r="F1" s="86"/>
      <c r="G1" s="87"/>
      <c r="H1" s="87"/>
      <c r="I1" s="87"/>
      <c r="J1" s="87"/>
      <c r="K1" s="88" t="s">
        <v>55</v>
      </c>
      <c r="M1" s="90"/>
      <c r="Q1" s="91"/>
    </row>
    <row r="2" spans="1:18" ht="12" customHeight="1" x14ac:dyDescent="0.25">
      <c r="A2" s="84"/>
      <c r="B2" s="84"/>
      <c r="C2" s="85"/>
      <c r="D2" s="86"/>
      <c r="E2" s="86"/>
      <c r="F2" s="86"/>
      <c r="G2" s="87"/>
      <c r="H2" s="87"/>
      <c r="I2" s="87"/>
      <c r="J2" s="87"/>
      <c r="K2" s="92" t="s">
        <v>39</v>
      </c>
      <c r="M2" s="90"/>
      <c r="N2" s="93"/>
      <c r="O2" s="94"/>
      <c r="P2" s="93"/>
    </row>
    <row r="3" spans="1:18" ht="12" customHeight="1" x14ac:dyDescent="0.25">
      <c r="A3" s="84"/>
      <c r="B3" s="84"/>
      <c r="C3" s="85"/>
      <c r="D3" s="86"/>
      <c r="E3" s="86"/>
      <c r="F3" s="86"/>
      <c r="G3" s="87"/>
      <c r="H3" s="87"/>
      <c r="I3" s="87"/>
      <c r="J3" s="87"/>
      <c r="K3" s="92" t="s">
        <v>1</v>
      </c>
      <c r="M3" s="90"/>
      <c r="N3" s="93"/>
      <c r="O3" s="94"/>
      <c r="P3" s="93"/>
    </row>
    <row r="4" spans="1:18" ht="12" customHeight="1" x14ac:dyDescent="0.25">
      <c r="A4" s="84"/>
      <c r="B4" s="84"/>
      <c r="C4" s="85"/>
      <c r="D4" s="86"/>
      <c r="E4" s="86"/>
      <c r="F4" s="86"/>
      <c r="G4" s="95"/>
      <c r="H4" s="87"/>
      <c r="I4" s="87"/>
      <c r="J4" s="87"/>
      <c r="K4" s="92" t="s">
        <v>40</v>
      </c>
      <c r="M4" s="90"/>
      <c r="N4" s="93"/>
      <c r="O4" s="94"/>
      <c r="P4" s="93"/>
    </row>
    <row r="5" spans="1:18" ht="12" customHeight="1" x14ac:dyDescent="0.25">
      <c r="A5" s="84"/>
      <c r="B5" s="84"/>
      <c r="C5" s="85"/>
      <c r="D5" s="86"/>
      <c r="E5" s="86"/>
      <c r="F5" s="86"/>
      <c r="G5" s="87"/>
      <c r="H5" s="87"/>
      <c r="I5" s="87"/>
      <c r="J5" s="87"/>
      <c r="K5" s="87"/>
      <c r="L5" s="96"/>
      <c r="M5" s="90"/>
      <c r="N5" s="93"/>
      <c r="O5" s="94"/>
      <c r="P5" s="93"/>
    </row>
    <row r="6" spans="1:18" ht="12" customHeight="1" x14ac:dyDescent="0.25">
      <c r="A6" s="84"/>
      <c r="B6" s="84"/>
      <c r="C6" s="85"/>
      <c r="D6" s="86"/>
      <c r="E6" s="86"/>
      <c r="F6" s="86"/>
      <c r="G6" s="87"/>
      <c r="H6" s="87"/>
      <c r="I6" s="87"/>
      <c r="J6" s="87"/>
      <c r="K6" s="87"/>
      <c r="L6" s="96"/>
      <c r="M6" s="90"/>
      <c r="N6" s="93"/>
      <c r="O6" s="94"/>
      <c r="P6" s="93"/>
    </row>
    <row r="7" spans="1:18" ht="12" customHeight="1" x14ac:dyDescent="0.25">
      <c r="A7" s="84"/>
      <c r="B7" s="84"/>
      <c r="C7" s="85"/>
      <c r="D7" s="86"/>
      <c r="E7" s="86"/>
      <c r="F7" s="86"/>
      <c r="G7" s="87"/>
      <c r="H7" s="87"/>
      <c r="I7" s="87"/>
      <c r="J7" s="87"/>
      <c r="K7" s="87"/>
      <c r="L7" s="96"/>
      <c r="M7" s="90"/>
      <c r="N7" s="93"/>
      <c r="O7" s="94"/>
      <c r="P7" s="93"/>
    </row>
    <row r="8" spans="1:18" ht="14.25" customHeight="1" x14ac:dyDescent="0.25">
      <c r="A8" s="97" t="s">
        <v>56</v>
      </c>
      <c r="B8" s="97"/>
      <c r="C8" s="97"/>
      <c r="D8" s="97"/>
      <c r="E8" s="97"/>
      <c r="F8" s="97"/>
      <c r="G8" s="97"/>
      <c r="H8" s="97"/>
      <c r="I8" s="97"/>
      <c r="J8" s="97"/>
      <c r="K8" s="97"/>
      <c r="L8" s="97"/>
      <c r="M8" s="98"/>
      <c r="N8" s="99"/>
      <c r="O8" s="100"/>
      <c r="P8" s="101"/>
      <c r="Q8" s="102"/>
      <c r="R8" s="103"/>
    </row>
    <row r="9" spans="1:18" ht="14.25" customHeight="1" x14ac:dyDescent="0.25">
      <c r="A9" s="84"/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98"/>
      <c r="N9" s="99"/>
      <c r="O9" s="100"/>
      <c r="P9" s="101"/>
      <c r="Q9" s="102"/>
      <c r="R9" s="104"/>
    </row>
    <row r="10" spans="1:18" ht="11.25" customHeight="1" x14ac:dyDescent="0.25">
      <c r="A10" s="84"/>
      <c r="B10" s="84"/>
      <c r="C10" s="85"/>
      <c r="D10" s="105"/>
      <c r="E10" s="105"/>
      <c r="F10" s="105"/>
      <c r="G10" s="87"/>
      <c r="H10" s="87"/>
      <c r="I10" s="106"/>
      <c r="J10" s="106"/>
      <c r="K10" s="106"/>
      <c r="L10" s="87" t="s">
        <v>44</v>
      </c>
      <c r="M10" s="107"/>
      <c r="O10" s="94"/>
      <c r="P10" s="93"/>
      <c r="Q10" s="91"/>
    </row>
    <row r="11" spans="1:18" s="38" customFormat="1" ht="12" customHeight="1" x14ac:dyDescent="0.25">
      <c r="A11" s="108"/>
      <c r="B11" s="108"/>
      <c r="C11" s="109"/>
      <c r="D11" s="108"/>
      <c r="E11" s="108"/>
      <c r="F11" s="108"/>
      <c r="G11" s="110"/>
      <c r="H11" s="111" t="s">
        <v>57</v>
      </c>
      <c r="I11" s="112"/>
      <c r="J11" s="113"/>
      <c r="K11" s="114"/>
      <c r="L11" s="115" t="s">
        <v>58</v>
      </c>
      <c r="M11" s="110" t="s">
        <v>59</v>
      </c>
      <c r="O11" s="116"/>
      <c r="P11" s="117"/>
      <c r="Q11" s="118"/>
      <c r="R11" s="119"/>
    </row>
    <row r="12" spans="1:18" s="38" customFormat="1" ht="12.75" customHeight="1" x14ac:dyDescent="0.25">
      <c r="A12" s="120"/>
      <c r="B12" s="121"/>
      <c r="C12" s="122"/>
      <c r="D12" s="121"/>
      <c r="E12" s="121"/>
      <c r="F12" s="121"/>
      <c r="G12" s="123" t="s">
        <v>60</v>
      </c>
      <c r="H12" s="124" t="s">
        <v>61</v>
      </c>
      <c r="I12" s="125"/>
      <c r="J12" s="125" t="s">
        <v>62</v>
      </c>
      <c r="K12" s="126"/>
      <c r="L12" s="124" t="s">
        <v>63</v>
      </c>
      <c r="M12" s="127" t="s">
        <v>64</v>
      </c>
      <c r="O12" s="128"/>
      <c r="P12" s="129"/>
      <c r="Q12" s="118"/>
      <c r="R12" s="130"/>
    </row>
    <row r="13" spans="1:18" s="38" customFormat="1" x14ac:dyDescent="0.25">
      <c r="A13" s="120" t="s">
        <v>65</v>
      </c>
      <c r="B13" s="121" t="s">
        <v>12</v>
      </c>
      <c r="C13" s="121" t="s">
        <v>66</v>
      </c>
      <c r="D13" s="121" t="s">
        <v>67</v>
      </c>
      <c r="E13" s="131" t="s">
        <v>68</v>
      </c>
      <c r="F13" s="131" t="s">
        <v>69</v>
      </c>
      <c r="G13" s="123" t="s">
        <v>70</v>
      </c>
      <c r="H13" s="124" t="s">
        <v>71</v>
      </c>
      <c r="I13" s="127"/>
      <c r="J13" s="115" t="s">
        <v>72</v>
      </c>
      <c r="K13" s="123" t="s">
        <v>72</v>
      </c>
      <c r="L13" s="123" t="s">
        <v>73</v>
      </c>
      <c r="M13" s="127" t="s">
        <v>74</v>
      </c>
      <c r="O13" s="128"/>
      <c r="P13" s="132"/>
      <c r="Q13" s="118"/>
      <c r="R13" s="119"/>
    </row>
    <row r="14" spans="1:18" s="38" customFormat="1" x14ac:dyDescent="0.25">
      <c r="A14" s="120"/>
      <c r="B14" s="121"/>
      <c r="C14" s="122"/>
      <c r="D14" s="121"/>
      <c r="E14" s="121"/>
      <c r="F14" s="121"/>
      <c r="G14" s="123" t="s">
        <v>75</v>
      </c>
      <c r="H14" s="124">
        <v>2026</v>
      </c>
      <c r="I14" s="127" t="s">
        <v>72</v>
      </c>
      <c r="J14" s="123" t="s">
        <v>76</v>
      </c>
      <c r="K14" s="123" t="s">
        <v>77</v>
      </c>
      <c r="L14" s="124" t="s">
        <v>78</v>
      </c>
      <c r="M14" s="127" t="s">
        <v>79</v>
      </c>
      <c r="O14" s="128"/>
      <c r="P14" s="132"/>
      <c r="Q14" s="118"/>
      <c r="R14" s="119"/>
    </row>
    <row r="15" spans="1:18" s="38" customFormat="1" x14ac:dyDescent="0.25">
      <c r="A15" s="120"/>
      <c r="B15" s="121"/>
      <c r="C15" s="122"/>
      <c r="D15" s="121"/>
      <c r="E15" s="121"/>
      <c r="F15" s="121"/>
      <c r="G15" s="123"/>
      <c r="H15" s="124" t="s">
        <v>80</v>
      </c>
      <c r="I15" s="127" t="s">
        <v>81</v>
      </c>
      <c r="J15" s="123" t="s">
        <v>82</v>
      </c>
      <c r="K15" s="123" t="s">
        <v>83</v>
      </c>
      <c r="L15" s="124" t="s">
        <v>84</v>
      </c>
      <c r="M15" s="127" t="s">
        <v>85</v>
      </c>
      <c r="O15" s="128"/>
      <c r="P15" s="132"/>
      <c r="Q15" s="118"/>
      <c r="R15" s="130"/>
    </row>
    <row r="16" spans="1:18" s="38" customFormat="1" ht="9.75" customHeight="1" x14ac:dyDescent="0.25">
      <c r="A16" s="120"/>
      <c r="B16" s="121"/>
      <c r="C16" s="122"/>
      <c r="D16" s="121"/>
      <c r="E16" s="121"/>
      <c r="F16" s="121"/>
      <c r="G16" s="123"/>
      <c r="H16" s="124"/>
      <c r="I16" s="127"/>
      <c r="J16" s="123" t="s">
        <v>86</v>
      </c>
      <c r="K16" s="127" t="s">
        <v>87</v>
      </c>
      <c r="L16" s="124" t="s">
        <v>88</v>
      </c>
      <c r="M16" s="127" t="s">
        <v>89</v>
      </c>
      <c r="O16" s="128"/>
      <c r="P16" s="132"/>
      <c r="Q16" s="118"/>
      <c r="R16" s="130"/>
    </row>
    <row r="17" spans="1:18" s="38" customFormat="1" ht="9.75" customHeight="1" x14ac:dyDescent="0.25">
      <c r="A17" s="133"/>
      <c r="B17" s="134"/>
      <c r="C17" s="135"/>
      <c r="D17" s="134"/>
      <c r="E17" s="134"/>
      <c r="F17" s="134"/>
      <c r="G17" s="136"/>
      <c r="H17" s="124"/>
      <c r="I17" s="137"/>
      <c r="J17" s="136"/>
      <c r="K17" s="136"/>
      <c r="L17" s="124"/>
      <c r="M17" s="127" t="s">
        <v>90</v>
      </c>
      <c r="O17" s="128"/>
      <c r="P17" s="132"/>
      <c r="Q17" s="118"/>
      <c r="R17" s="130"/>
    </row>
    <row r="18" spans="1:18" ht="10.5" customHeight="1" x14ac:dyDescent="0.25">
      <c r="A18" s="138">
        <v>1</v>
      </c>
      <c r="B18" s="138">
        <v>2</v>
      </c>
      <c r="C18" s="138"/>
      <c r="D18" s="138">
        <v>3</v>
      </c>
      <c r="E18" s="138">
        <v>4</v>
      </c>
      <c r="F18" s="138">
        <v>5</v>
      </c>
      <c r="G18" s="139">
        <v>6</v>
      </c>
      <c r="H18" s="140">
        <v>7</v>
      </c>
      <c r="I18" s="139">
        <v>8</v>
      </c>
      <c r="J18" s="139">
        <v>9</v>
      </c>
      <c r="K18" s="141">
        <v>10</v>
      </c>
      <c r="L18" s="139">
        <v>11</v>
      </c>
      <c r="M18" s="139">
        <v>12</v>
      </c>
      <c r="O18" s="94"/>
      <c r="P18" s="93"/>
      <c r="Q18" s="118"/>
      <c r="R18" s="130"/>
    </row>
    <row r="19" spans="1:18" s="103" customFormat="1" ht="40.5" customHeight="1" x14ac:dyDescent="0.25">
      <c r="A19" s="590"/>
      <c r="B19" s="590"/>
      <c r="C19" s="591"/>
      <c r="D19" s="590" t="s">
        <v>91</v>
      </c>
      <c r="E19" s="592">
        <v>503000</v>
      </c>
      <c r="F19" s="592">
        <v>0</v>
      </c>
      <c r="G19" s="592">
        <v>899131744.63</v>
      </c>
      <c r="H19" s="592">
        <v>461371759.35000002</v>
      </c>
      <c r="I19" s="592">
        <v>177383569.56</v>
      </c>
      <c r="J19" s="592">
        <v>138198996.71999997</v>
      </c>
      <c r="K19" s="592">
        <v>145789193.06999996</v>
      </c>
      <c r="L19" s="592">
        <v>20000</v>
      </c>
      <c r="M19" s="593" t="s">
        <v>92</v>
      </c>
      <c r="O19" s="594"/>
      <c r="P19" s="102"/>
      <c r="Q19" s="142"/>
      <c r="R19" s="130"/>
    </row>
    <row r="20" spans="1:18" ht="40.5" customHeight="1" x14ac:dyDescent="0.25">
      <c r="A20" s="143">
        <v>752</v>
      </c>
      <c r="B20" s="143"/>
      <c r="C20" s="144"/>
      <c r="D20" s="145" t="s">
        <v>93</v>
      </c>
      <c r="E20" s="146">
        <v>383000</v>
      </c>
      <c r="F20" s="146">
        <v>0</v>
      </c>
      <c r="G20" s="146">
        <v>10762110</v>
      </c>
      <c r="H20" s="146">
        <v>10762110</v>
      </c>
      <c r="I20" s="146">
        <v>0</v>
      </c>
      <c r="J20" s="146">
        <v>10762110</v>
      </c>
      <c r="K20" s="146">
        <v>0</v>
      </c>
      <c r="L20" s="146">
        <v>0</v>
      </c>
      <c r="M20" s="595"/>
      <c r="N20" s="130"/>
      <c r="P20" s="129"/>
    </row>
    <row r="21" spans="1:18" ht="40.5" customHeight="1" x14ac:dyDescent="0.25">
      <c r="A21" s="143"/>
      <c r="B21" s="143">
        <v>75281</v>
      </c>
      <c r="C21" s="144"/>
      <c r="D21" s="145" t="s">
        <v>94</v>
      </c>
      <c r="E21" s="146">
        <v>383000</v>
      </c>
      <c r="F21" s="146">
        <v>0</v>
      </c>
      <c r="G21" s="146">
        <v>10762110</v>
      </c>
      <c r="H21" s="146">
        <v>10762110</v>
      </c>
      <c r="I21" s="146">
        <v>0</v>
      </c>
      <c r="J21" s="146">
        <v>10762110</v>
      </c>
      <c r="K21" s="146">
        <v>0</v>
      </c>
      <c r="L21" s="146">
        <v>0</v>
      </c>
      <c r="M21" s="595"/>
      <c r="N21" s="130"/>
      <c r="P21" s="129"/>
    </row>
    <row r="22" spans="1:18" ht="12" customHeight="1" x14ac:dyDescent="0.25">
      <c r="A22" s="147"/>
      <c r="B22" s="148"/>
      <c r="C22" s="149"/>
      <c r="D22" s="596" t="s">
        <v>95</v>
      </c>
      <c r="E22" s="150"/>
      <c r="F22" s="150"/>
      <c r="G22" s="150"/>
      <c r="H22" s="150"/>
      <c r="I22" s="150"/>
      <c r="J22" s="150"/>
      <c r="K22" s="150"/>
      <c r="L22" s="150"/>
      <c r="M22" s="597"/>
    </row>
    <row r="23" spans="1:18" ht="48.75" customHeight="1" x14ac:dyDescent="0.25">
      <c r="A23" s="151"/>
      <c r="B23" s="152" t="s">
        <v>96</v>
      </c>
      <c r="C23" s="153">
        <v>6060</v>
      </c>
      <c r="D23" s="154" t="s">
        <v>97</v>
      </c>
      <c r="E23" s="155">
        <v>383000</v>
      </c>
      <c r="F23" s="155"/>
      <c r="G23" s="155">
        <v>383000</v>
      </c>
      <c r="H23" s="155">
        <v>383000</v>
      </c>
      <c r="I23" s="155"/>
      <c r="J23" s="155">
        <v>383000</v>
      </c>
      <c r="K23" s="155"/>
      <c r="L23" s="155"/>
      <c r="M23" s="598" t="s">
        <v>98</v>
      </c>
      <c r="N23" s="130"/>
      <c r="P23" s="129"/>
    </row>
    <row r="24" spans="1:18" ht="40.5" customHeight="1" x14ac:dyDescent="0.25">
      <c r="A24" s="143">
        <v>754</v>
      </c>
      <c r="B24" s="143"/>
      <c r="C24" s="144"/>
      <c r="D24" s="145" t="s">
        <v>99</v>
      </c>
      <c r="E24" s="146">
        <v>120000</v>
      </c>
      <c r="F24" s="146">
        <v>0</v>
      </c>
      <c r="G24" s="146">
        <v>488555.98</v>
      </c>
      <c r="H24" s="146">
        <v>488555.98</v>
      </c>
      <c r="I24" s="146">
        <v>114720</v>
      </c>
      <c r="J24" s="146">
        <v>250780.62999999998</v>
      </c>
      <c r="K24" s="146">
        <v>123055.35</v>
      </c>
      <c r="L24" s="146">
        <v>0</v>
      </c>
      <c r="M24" s="595"/>
      <c r="N24" s="130"/>
      <c r="P24" s="129"/>
    </row>
    <row r="25" spans="1:18" ht="40.5" customHeight="1" x14ac:dyDescent="0.25">
      <c r="A25" s="143"/>
      <c r="B25" s="143">
        <v>75411</v>
      </c>
      <c r="C25" s="144"/>
      <c r="D25" s="145" t="s">
        <v>100</v>
      </c>
      <c r="E25" s="146">
        <v>120000</v>
      </c>
      <c r="F25" s="146">
        <v>0</v>
      </c>
      <c r="G25" s="146">
        <v>229064.97999999998</v>
      </c>
      <c r="H25" s="146">
        <v>229064.97999999998</v>
      </c>
      <c r="I25" s="146">
        <v>0</v>
      </c>
      <c r="J25" s="146">
        <v>229064.97999999998</v>
      </c>
      <c r="K25" s="146">
        <v>0</v>
      </c>
      <c r="L25" s="146">
        <v>0</v>
      </c>
      <c r="M25" s="595"/>
      <c r="N25" s="130"/>
      <c r="P25" s="129"/>
    </row>
    <row r="26" spans="1:18" ht="12" customHeight="1" x14ac:dyDescent="0.25">
      <c r="A26" s="147"/>
      <c r="B26" s="148"/>
      <c r="C26" s="149"/>
      <c r="D26" s="596" t="s">
        <v>95</v>
      </c>
      <c r="E26" s="150"/>
      <c r="F26" s="150"/>
      <c r="G26" s="150"/>
      <c r="H26" s="150"/>
      <c r="I26" s="150"/>
      <c r="J26" s="150"/>
      <c r="K26" s="150"/>
      <c r="L26" s="150"/>
      <c r="M26" s="597"/>
    </row>
    <row r="27" spans="1:18" ht="40.5" customHeight="1" x14ac:dyDescent="0.25">
      <c r="A27" s="151"/>
      <c r="B27" s="152" t="s">
        <v>101</v>
      </c>
      <c r="C27" s="156">
        <v>6050</v>
      </c>
      <c r="D27" s="154" t="s">
        <v>102</v>
      </c>
      <c r="E27" s="155">
        <v>120000</v>
      </c>
      <c r="F27" s="155"/>
      <c r="G27" s="155">
        <v>120000</v>
      </c>
      <c r="H27" s="155">
        <v>120000</v>
      </c>
      <c r="I27" s="155"/>
      <c r="J27" s="155">
        <v>120000</v>
      </c>
      <c r="K27" s="155"/>
      <c r="L27" s="155"/>
      <c r="M27" s="598" t="s">
        <v>103</v>
      </c>
      <c r="N27" s="130"/>
      <c r="P27" s="129"/>
    </row>
  </sheetData>
  <pageMargins left="0.43307086614173229" right="0.43307086614173229" top="0.74803149606299213" bottom="0.74803149606299213" header="0.31496062992125984" footer="0.31496062992125984"/>
  <pageSetup paperSize="9" scale="78" firstPageNumber="39" fitToHeight="0" orientation="landscape" useFirstPageNumber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B796F-94E0-4137-B520-FC9F9CD65C13}">
  <sheetPr>
    <tabColor rgb="FFCCCCFF"/>
    <pageSetUpPr fitToPage="1"/>
  </sheetPr>
  <dimension ref="A1:K42"/>
  <sheetViews>
    <sheetView zoomScale="120" zoomScaleNormal="120" workbookViewId="0">
      <pane ySplit="15" topLeftCell="A16" activePane="bottomLeft" state="frozen"/>
      <selection pane="bottomLeft"/>
    </sheetView>
  </sheetViews>
  <sheetFormatPr defaultColWidth="10.28515625" defaultRowHeight="11.25" x14ac:dyDescent="0.2"/>
  <cols>
    <col min="1" max="1" width="6.42578125" style="159" customWidth="1"/>
    <col min="2" max="2" width="58.5703125" style="159" customWidth="1"/>
    <col min="3" max="3" width="10.28515625" style="159"/>
    <col min="4" max="6" width="11.42578125" style="159" customWidth="1"/>
    <col min="7" max="7" width="11.5703125" style="159" customWidth="1"/>
    <col min="8" max="8" width="11.28515625" style="159" customWidth="1"/>
    <col min="9" max="9" width="11.5703125" style="159" customWidth="1"/>
    <col min="10" max="10" width="16.28515625" style="159" customWidth="1"/>
    <col min="11" max="255" width="10.28515625" style="159"/>
    <col min="256" max="256" width="6.42578125" style="159" customWidth="1"/>
    <col min="257" max="257" width="58.28515625" style="159" customWidth="1"/>
    <col min="258" max="258" width="10.28515625" style="159"/>
    <col min="259" max="259" width="11" style="159" customWidth="1"/>
    <col min="260" max="261" width="9.7109375" style="159" customWidth="1"/>
    <col min="262" max="262" width="10.7109375" style="159" customWidth="1"/>
    <col min="263" max="264" width="11.28515625" style="159" customWidth="1"/>
    <col min="265" max="265" width="17" style="159" customWidth="1"/>
    <col min="266" max="266" width="16.28515625" style="159" customWidth="1"/>
    <col min="267" max="511" width="10.28515625" style="159"/>
    <col min="512" max="512" width="6.42578125" style="159" customWidth="1"/>
    <col min="513" max="513" width="58.28515625" style="159" customWidth="1"/>
    <col min="514" max="514" width="10.28515625" style="159"/>
    <col min="515" max="515" width="11" style="159" customWidth="1"/>
    <col min="516" max="517" width="9.7109375" style="159" customWidth="1"/>
    <col min="518" max="518" width="10.7109375" style="159" customWidth="1"/>
    <col min="519" max="520" width="11.28515625" style="159" customWidth="1"/>
    <col min="521" max="521" width="17" style="159" customWidth="1"/>
    <col min="522" max="522" width="16.28515625" style="159" customWidth="1"/>
    <col min="523" max="767" width="10.28515625" style="159"/>
    <col min="768" max="768" width="6.42578125" style="159" customWidth="1"/>
    <col min="769" max="769" width="58.28515625" style="159" customWidth="1"/>
    <col min="770" max="770" width="10.28515625" style="159"/>
    <col min="771" max="771" width="11" style="159" customWidth="1"/>
    <col min="772" max="773" width="9.7109375" style="159" customWidth="1"/>
    <col min="774" max="774" width="10.7109375" style="159" customWidth="1"/>
    <col min="775" max="776" width="11.28515625" style="159" customWidth="1"/>
    <col min="777" max="777" width="17" style="159" customWidth="1"/>
    <col min="778" max="778" width="16.28515625" style="159" customWidth="1"/>
    <col min="779" max="1023" width="10.28515625" style="159"/>
    <col min="1024" max="1024" width="6.42578125" style="159" customWidth="1"/>
    <col min="1025" max="1025" width="58.28515625" style="159" customWidth="1"/>
    <col min="1026" max="1026" width="10.28515625" style="159"/>
    <col min="1027" max="1027" width="11" style="159" customWidth="1"/>
    <col min="1028" max="1029" width="9.7109375" style="159" customWidth="1"/>
    <col min="1030" max="1030" width="10.7109375" style="159" customWidth="1"/>
    <col min="1031" max="1032" width="11.28515625" style="159" customWidth="1"/>
    <col min="1033" max="1033" width="17" style="159" customWidth="1"/>
    <col min="1034" max="1034" width="16.28515625" style="159" customWidth="1"/>
    <col min="1035" max="1279" width="10.28515625" style="159"/>
    <col min="1280" max="1280" width="6.42578125" style="159" customWidth="1"/>
    <col min="1281" max="1281" width="58.28515625" style="159" customWidth="1"/>
    <col min="1282" max="1282" width="10.28515625" style="159"/>
    <col min="1283" max="1283" width="11" style="159" customWidth="1"/>
    <col min="1284" max="1285" width="9.7109375" style="159" customWidth="1"/>
    <col min="1286" max="1286" width="10.7109375" style="159" customWidth="1"/>
    <col min="1287" max="1288" width="11.28515625" style="159" customWidth="1"/>
    <col min="1289" max="1289" width="17" style="159" customWidth="1"/>
    <col min="1290" max="1290" width="16.28515625" style="159" customWidth="1"/>
    <col min="1291" max="1535" width="10.28515625" style="159"/>
    <col min="1536" max="1536" width="6.42578125" style="159" customWidth="1"/>
    <col min="1537" max="1537" width="58.28515625" style="159" customWidth="1"/>
    <col min="1538" max="1538" width="10.28515625" style="159"/>
    <col min="1539" max="1539" width="11" style="159" customWidth="1"/>
    <col min="1540" max="1541" width="9.7109375" style="159" customWidth="1"/>
    <col min="1542" max="1542" width="10.7109375" style="159" customWidth="1"/>
    <col min="1543" max="1544" width="11.28515625" style="159" customWidth="1"/>
    <col min="1545" max="1545" width="17" style="159" customWidth="1"/>
    <col min="1546" max="1546" width="16.28515625" style="159" customWidth="1"/>
    <col min="1547" max="1791" width="10.28515625" style="159"/>
    <col min="1792" max="1792" width="6.42578125" style="159" customWidth="1"/>
    <col min="1793" max="1793" width="58.28515625" style="159" customWidth="1"/>
    <col min="1794" max="1794" width="10.28515625" style="159"/>
    <col min="1795" max="1795" width="11" style="159" customWidth="1"/>
    <col min="1796" max="1797" width="9.7109375" style="159" customWidth="1"/>
    <col min="1798" max="1798" width="10.7109375" style="159" customWidth="1"/>
    <col min="1799" max="1800" width="11.28515625" style="159" customWidth="1"/>
    <col min="1801" max="1801" width="17" style="159" customWidth="1"/>
    <col min="1802" max="1802" width="16.28515625" style="159" customWidth="1"/>
    <col min="1803" max="2047" width="10.28515625" style="159"/>
    <col min="2048" max="2048" width="6.42578125" style="159" customWidth="1"/>
    <col min="2049" max="2049" width="58.28515625" style="159" customWidth="1"/>
    <col min="2050" max="2050" width="10.28515625" style="159"/>
    <col min="2051" max="2051" width="11" style="159" customWidth="1"/>
    <col min="2052" max="2053" width="9.7109375" style="159" customWidth="1"/>
    <col min="2054" max="2054" width="10.7109375" style="159" customWidth="1"/>
    <col min="2055" max="2056" width="11.28515625" style="159" customWidth="1"/>
    <col min="2057" max="2057" width="17" style="159" customWidth="1"/>
    <col min="2058" max="2058" width="16.28515625" style="159" customWidth="1"/>
    <col min="2059" max="2303" width="10.28515625" style="159"/>
    <col min="2304" max="2304" width="6.42578125" style="159" customWidth="1"/>
    <col min="2305" max="2305" width="58.28515625" style="159" customWidth="1"/>
    <col min="2306" max="2306" width="10.28515625" style="159"/>
    <col min="2307" max="2307" width="11" style="159" customWidth="1"/>
    <col min="2308" max="2309" width="9.7109375" style="159" customWidth="1"/>
    <col min="2310" max="2310" width="10.7109375" style="159" customWidth="1"/>
    <col min="2311" max="2312" width="11.28515625" style="159" customWidth="1"/>
    <col min="2313" max="2313" width="17" style="159" customWidth="1"/>
    <col min="2314" max="2314" width="16.28515625" style="159" customWidth="1"/>
    <col min="2315" max="2559" width="10.28515625" style="159"/>
    <col min="2560" max="2560" width="6.42578125" style="159" customWidth="1"/>
    <col min="2561" max="2561" width="58.28515625" style="159" customWidth="1"/>
    <col min="2562" max="2562" width="10.28515625" style="159"/>
    <col min="2563" max="2563" width="11" style="159" customWidth="1"/>
    <col min="2564" max="2565" width="9.7109375" style="159" customWidth="1"/>
    <col min="2566" max="2566" width="10.7109375" style="159" customWidth="1"/>
    <col min="2567" max="2568" width="11.28515625" style="159" customWidth="1"/>
    <col min="2569" max="2569" width="17" style="159" customWidth="1"/>
    <col min="2570" max="2570" width="16.28515625" style="159" customWidth="1"/>
    <col min="2571" max="2815" width="10.28515625" style="159"/>
    <col min="2816" max="2816" width="6.42578125" style="159" customWidth="1"/>
    <col min="2817" max="2817" width="58.28515625" style="159" customWidth="1"/>
    <col min="2818" max="2818" width="10.28515625" style="159"/>
    <col min="2819" max="2819" width="11" style="159" customWidth="1"/>
    <col min="2820" max="2821" width="9.7109375" style="159" customWidth="1"/>
    <col min="2822" max="2822" width="10.7109375" style="159" customWidth="1"/>
    <col min="2823" max="2824" width="11.28515625" style="159" customWidth="1"/>
    <col min="2825" max="2825" width="17" style="159" customWidth="1"/>
    <col min="2826" max="2826" width="16.28515625" style="159" customWidth="1"/>
    <col min="2827" max="3071" width="10.28515625" style="159"/>
    <col min="3072" max="3072" width="6.42578125" style="159" customWidth="1"/>
    <col min="3073" max="3073" width="58.28515625" style="159" customWidth="1"/>
    <col min="3074" max="3074" width="10.28515625" style="159"/>
    <col min="3075" max="3075" width="11" style="159" customWidth="1"/>
    <col min="3076" max="3077" width="9.7109375" style="159" customWidth="1"/>
    <col min="3078" max="3078" width="10.7109375" style="159" customWidth="1"/>
    <col min="3079" max="3080" width="11.28515625" style="159" customWidth="1"/>
    <col min="3081" max="3081" width="17" style="159" customWidth="1"/>
    <col min="3082" max="3082" width="16.28515625" style="159" customWidth="1"/>
    <col min="3083" max="3327" width="10.28515625" style="159"/>
    <col min="3328" max="3328" width="6.42578125" style="159" customWidth="1"/>
    <col min="3329" max="3329" width="58.28515625" style="159" customWidth="1"/>
    <col min="3330" max="3330" width="10.28515625" style="159"/>
    <col min="3331" max="3331" width="11" style="159" customWidth="1"/>
    <col min="3332" max="3333" width="9.7109375" style="159" customWidth="1"/>
    <col min="3334" max="3334" width="10.7109375" style="159" customWidth="1"/>
    <col min="3335" max="3336" width="11.28515625" style="159" customWidth="1"/>
    <col min="3337" max="3337" width="17" style="159" customWidth="1"/>
    <col min="3338" max="3338" width="16.28515625" style="159" customWidth="1"/>
    <col min="3339" max="3583" width="10.28515625" style="159"/>
    <col min="3584" max="3584" width="6.42578125" style="159" customWidth="1"/>
    <col min="3585" max="3585" width="58.28515625" style="159" customWidth="1"/>
    <col min="3586" max="3586" width="10.28515625" style="159"/>
    <col min="3587" max="3587" width="11" style="159" customWidth="1"/>
    <col min="3588" max="3589" width="9.7109375" style="159" customWidth="1"/>
    <col min="3590" max="3590" width="10.7109375" style="159" customWidth="1"/>
    <col min="3591" max="3592" width="11.28515625" style="159" customWidth="1"/>
    <col min="3593" max="3593" width="17" style="159" customWidth="1"/>
    <col min="3594" max="3594" width="16.28515625" style="159" customWidth="1"/>
    <col min="3595" max="3839" width="10.28515625" style="159"/>
    <col min="3840" max="3840" width="6.42578125" style="159" customWidth="1"/>
    <col min="3841" max="3841" width="58.28515625" style="159" customWidth="1"/>
    <col min="3842" max="3842" width="10.28515625" style="159"/>
    <col min="3843" max="3843" width="11" style="159" customWidth="1"/>
    <col min="3844" max="3845" width="9.7109375" style="159" customWidth="1"/>
    <col min="3846" max="3846" width="10.7109375" style="159" customWidth="1"/>
    <col min="3847" max="3848" width="11.28515625" style="159" customWidth="1"/>
    <col min="3849" max="3849" width="17" style="159" customWidth="1"/>
    <col min="3850" max="3850" width="16.28515625" style="159" customWidth="1"/>
    <col min="3851" max="4095" width="10.28515625" style="159"/>
    <col min="4096" max="4096" width="6.42578125" style="159" customWidth="1"/>
    <col min="4097" max="4097" width="58.28515625" style="159" customWidth="1"/>
    <col min="4098" max="4098" width="10.28515625" style="159"/>
    <col min="4099" max="4099" width="11" style="159" customWidth="1"/>
    <col min="4100" max="4101" width="9.7109375" style="159" customWidth="1"/>
    <col min="4102" max="4102" width="10.7109375" style="159" customWidth="1"/>
    <col min="4103" max="4104" width="11.28515625" style="159" customWidth="1"/>
    <col min="4105" max="4105" width="17" style="159" customWidth="1"/>
    <col min="4106" max="4106" width="16.28515625" style="159" customWidth="1"/>
    <col min="4107" max="4351" width="10.28515625" style="159"/>
    <col min="4352" max="4352" width="6.42578125" style="159" customWidth="1"/>
    <col min="4353" max="4353" width="58.28515625" style="159" customWidth="1"/>
    <col min="4354" max="4354" width="10.28515625" style="159"/>
    <col min="4355" max="4355" width="11" style="159" customWidth="1"/>
    <col min="4356" max="4357" width="9.7109375" style="159" customWidth="1"/>
    <col min="4358" max="4358" width="10.7109375" style="159" customWidth="1"/>
    <col min="4359" max="4360" width="11.28515625" style="159" customWidth="1"/>
    <col min="4361" max="4361" width="17" style="159" customWidth="1"/>
    <col min="4362" max="4362" width="16.28515625" style="159" customWidth="1"/>
    <col min="4363" max="4607" width="10.28515625" style="159"/>
    <col min="4608" max="4608" width="6.42578125" style="159" customWidth="1"/>
    <col min="4609" max="4609" width="58.28515625" style="159" customWidth="1"/>
    <col min="4610" max="4610" width="10.28515625" style="159"/>
    <col min="4611" max="4611" width="11" style="159" customWidth="1"/>
    <col min="4612" max="4613" width="9.7109375" style="159" customWidth="1"/>
    <col min="4614" max="4614" width="10.7109375" style="159" customWidth="1"/>
    <col min="4615" max="4616" width="11.28515625" style="159" customWidth="1"/>
    <col min="4617" max="4617" width="17" style="159" customWidth="1"/>
    <col min="4618" max="4618" width="16.28515625" style="159" customWidth="1"/>
    <col min="4619" max="4863" width="10.28515625" style="159"/>
    <col min="4864" max="4864" width="6.42578125" style="159" customWidth="1"/>
    <col min="4865" max="4865" width="58.28515625" style="159" customWidth="1"/>
    <col min="4866" max="4866" width="10.28515625" style="159"/>
    <col min="4867" max="4867" width="11" style="159" customWidth="1"/>
    <col min="4868" max="4869" width="9.7109375" style="159" customWidth="1"/>
    <col min="4870" max="4870" width="10.7109375" style="159" customWidth="1"/>
    <col min="4871" max="4872" width="11.28515625" style="159" customWidth="1"/>
    <col min="4873" max="4873" width="17" style="159" customWidth="1"/>
    <col min="4874" max="4874" width="16.28515625" style="159" customWidth="1"/>
    <col min="4875" max="5119" width="10.28515625" style="159"/>
    <col min="5120" max="5120" width="6.42578125" style="159" customWidth="1"/>
    <col min="5121" max="5121" width="58.28515625" style="159" customWidth="1"/>
    <col min="5122" max="5122" width="10.28515625" style="159"/>
    <col min="5123" max="5123" width="11" style="159" customWidth="1"/>
    <col min="5124" max="5125" width="9.7109375" style="159" customWidth="1"/>
    <col min="5126" max="5126" width="10.7109375" style="159" customWidth="1"/>
    <col min="5127" max="5128" width="11.28515625" style="159" customWidth="1"/>
    <col min="5129" max="5129" width="17" style="159" customWidth="1"/>
    <col min="5130" max="5130" width="16.28515625" style="159" customWidth="1"/>
    <col min="5131" max="5375" width="10.28515625" style="159"/>
    <col min="5376" max="5376" width="6.42578125" style="159" customWidth="1"/>
    <col min="5377" max="5377" width="58.28515625" style="159" customWidth="1"/>
    <col min="5378" max="5378" width="10.28515625" style="159"/>
    <col min="5379" max="5379" width="11" style="159" customWidth="1"/>
    <col min="5380" max="5381" width="9.7109375" style="159" customWidth="1"/>
    <col min="5382" max="5382" width="10.7109375" style="159" customWidth="1"/>
    <col min="5383" max="5384" width="11.28515625" style="159" customWidth="1"/>
    <col min="5385" max="5385" width="17" style="159" customWidth="1"/>
    <col min="5386" max="5386" width="16.28515625" style="159" customWidth="1"/>
    <col min="5387" max="5631" width="10.28515625" style="159"/>
    <col min="5632" max="5632" width="6.42578125" style="159" customWidth="1"/>
    <col min="5633" max="5633" width="58.28515625" style="159" customWidth="1"/>
    <col min="5634" max="5634" width="10.28515625" style="159"/>
    <col min="5635" max="5635" width="11" style="159" customWidth="1"/>
    <col min="5636" max="5637" width="9.7109375" style="159" customWidth="1"/>
    <col min="5638" max="5638" width="10.7109375" style="159" customWidth="1"/>
    <col min="5639" max="5640" width="11.28515625" style="159" customWidth="1"/>
    <col min="5641" max="5641" width="17" style="159" customWidth="1"/>
    <col min="5642" max="5642" width="16.28515625" style="159" customWidth="1"/>
    <col min="5643" max="5887" width="10.28515625" style="159"/>
    <col min="5888" max="5888" width="6.42578125" style="159" customWidth="1"/>
    <col min="5889" max="5889" width="58.28515625" style="159" customWidth="1"/>
    <col min="5890" max="5890" width="10.28515625" style="159"/>
    <col min="5891" max="5891" width="11" style="159" customWidth="1"/>
    <col min="5892" max="5893" width="9.7109375" style="159" customWidth="1"/>
    <col min="5894" max="5894" width="10.7109375" style="159" customWidth="1"/>
    <col min="5895" max="5896" width="11.28515625" style="159" customWidth="1"/>
    <col min="5897" max="5897" width="17" style="159" customWidth="1"/>
    <col min="5898" max="5898" width="16.28515625" style="159" customWidth="1"/>
    <col min="5899" max="6143" width="10.28515625" style="159"/>
    <col min="6144" max="6144" width="6.42578125" style="159" customWidth="1"/>
    <col min="6145" max="6145" width="58.28515625" style="159" customWidth="1"/>
    <col min="6146" max="6146" width="10.28515625" style="159"/>
    <col min="6147" max="6147" width="11" style="159" customWidth="1"/>
    <col min="6148" max="6149" width="9.7109375" style="159" customWidth="1"/>
    <col min="6150" max="6150" width="10.7109375" style="159" customWidth="1"/>
    <col min="6151" max="6152" width="11.28515625" style="159" customWidth="1"/>
    <col min="6153" max="6153" width="17" style="159" customWidth="1"/>
    <col min="6154" max="6154" width="16.28515625" style="159" customWidth="1"/>
    <col min="6155" max="6399" width="10.28515625" style="159"/>
    <col min="6400" max="6400" width="6.42578125" style="159" customWidth="1"/>
    <col min="6401" max="6401" width="58.28515625" style="159" customWidth="1"/>
    <col min="6402" max="6402" width="10.28515625" style="159"/>
    <col min="6403" max="6403" width="11" style="159" customWidth="1"/>
    <col min="6404" max="6405" width="9.7109375" style="159" customWidth="1"/>
    <col min="6406" max="6406" width="10.7109375" style="159" customWidth="1"/>
    <col min="6407" max="6408" width="11.28515625" style="159" customWidth="1"/>
    <col min="6409" max="6409" width="17" style="159" customWidth="1"/>
    <col min="6410" max="6410" width="16.28515625" style="159" customWidth="1"/>
    <col min="6411" max="6655" width="10.28515625" style="159"/>
    <col min="6656" max="6656" width="6.42578125" style="159" customWidth="1"/>
    <col min="6657" max="6657" width="58.28515625" style="159" customWidth="1"/>
    <col min="6658" max="6658" width="10.28515625" style="159"/>
    <col min="6659" max="6659" width="11" style="159" customWidth="1"/>
    <col min="6660" max="6661" width="9.7109375" style="159" customWidth="1"/>
    <col min="6662" max="6662" width="10.7109375" style="159" customWidth="1"/>
    <col min="6663" max="6664" width="11.28515625" style="159" customWidth="1"/>
    <col min="6665" max="6665" width="17" style="159" customWidth="1"/>
    <col min="6666" max="6666" width="16.28515625" style="159" customWidth="1"/>
    <col min="6667" max="6911" width="10.28515625" style="159"/>
    <col min="6912" max="6912" width="6.42578125" style="159" customWidth="1"/>
    <col min="6913" max="6913" width="58.28515625" style="159" customWidth="1"/>
    <col min="6914" max="6914" width="10.28515625" style="159"/>
    <col min="6915" max="6915" width="11" style="159" customWidth="1"/>
    <col min="6916" max="6917" width="9.7109375" style="159" customWidth="1"/>
    <col min="6918" max="6918" width="10.7109375" style="159" customWidth="1"/>
    <col min="6919" max="6920" width="11.28515625" style="159" customWidth="1"/>
    <col min="6921" max="6921" width="17" style="159" customWidth="1"/>
    <col min="6922" max="6922" width="16.28515625" style="159" customWidth="1"/>
    <col min="6923" max="7167" width="10.28515625" style="159"/>
    <col min="7168" max="7168" width="6.42578125" style="159" customWidth="1"/>
    <col min="7169" max="7169" width="58.28515625" style="159" customWidth="1"/>
    <col min="7170" max="7170" width="10.28515625" style="159"/>
    <col min="7171" max="7171" width="11" style="159" customWidth="1"/>
    <col min="7172" max="7173" width="9.7109375" style="159" customWidth="1"/>
    <col min="7174" max="7174" width="10.7109375" style="159" customWidth="1"/>
    <col min="7175" max="7176" width="11.28515625" style="159" customWidth="1"/>
    <col min="7177" max="7177" width="17" style="159" customWidth="1"/>
    <col min="7178" max="7178" width="16.28515625" style="159" customWidth="1"/>
    <col min="7179" max="7423" width="10.28515625" style="159"/>
    <col min="7424" max="7424" width="6.42578125" style="159" customWidth="1"/>
    <col min="7425" max="7425" width="58.28515625" style="159" customWidth="1"/>
    <col min="7426" max="7426" width="10.28515625" style="159"/>
    <col min="7427" max="7427" width="11" style="159" customWidth="1"/>
    <col min="7428" max="7429" width="9.7109375" style="159" customWidth="1"/>
    <col min="7430" max="7430" width="10.7109375" style="159" customWidth="1"/>
    <col min="7431" max="7432" width="11.28515625" style="159" customWidth="1"/>
    <col min="7433" max="7433" width="17" style="159" customWidth="1"/>
    <col min="7434" max="7434" width="16.28515625" style="159" customWidth="1"/>
    <col min="7435" max="7679" width="10.28515625" style="159"/>
    <col min="7680" max="7680" width="6.42578125" style="159" customWidth="1"/>
    <col min="7681" max="7681" width="58.28515625" style="159" customWidth="1"/>
    <col min="7682" max="7682" width="10.28515625" style="159"/>
    <col min="7683" max="7683" width="11" style="159" customWidth="1"/>
    <col min="7684" max="7685" width="9.7109375" style="159" customWidth="1"/>
    <col min="7686" max="7686" width="10.7109375" style="159" customWidth="1"/>
    <col min="7687" max="7688" width="11.28515625" style="159" customWidth="1"/>
    <col min="7689" max="7689" width="17" style="159" customWidth="1"/>
    <col min="7690" max="7690" width="16.28515625" style="159" customWidth="1"/>
    <col min="7691" max="7935" width="10.28515625" style="159"/>
    <col min="7936" max="7936" width="6.42578125" style="159" customWidth="1"/>
    <col min="7937" max="7937" width="58.28515625" style="159" customWidth="1"/>
    <col min="7938" max="7938" width="10.28515625" style="159"/>
    <col min="7939" max="7939" width="11" style="159" customWidth="1"/>
    <col min="7940" max="7941" width="9.7109375" style="159" customWidth="1"/>
    <col min="7942" max="7942" width="10.7109375" style="159" customWidth="1"/>
    <col min="7943" max="7944" width="11.28515625" style="159" customWidth="1"/>
    <col min="7945" max="7945" width="17" style="159" customWidth="1"/>
    <col min="7946" max="7946" width="16.28515625" style="159" customWidth="1"/>
    <col min="7947" max="8191" width="10.28515625" style="159"/>
    <col min="8192" max="8192" width="6.42578125" style="159" customWidth="1"/>
    <col min="8193" max="8193" width="58.28515625" style="159" customWidth="1"/>
    <col min="8194" max="8194" width="10.28515625" style="159"/>
    <col min="8195" max="8195" width="11" style="159" customWidth="1"/>
    <col min="8196" max="8197" width="9.7109375" style="159" customWidth="1"/>
    <col min="8198" max="8198" width="10.7109375" style="159" customWidth="1"/>
    <col min="8199" max="8200" width="11.28515625" style="159" customWidth="1"/>
    <col min="8201" max="8201" width="17" style="159" customWidth="1"/>
    <col min="8202" max="8202" width="16.28515625" style="159" customWidth="1"/>
    <col min="8203" max="8447" width="10.28515625" style="159"/>
    <col min="8448" max="8448" width="6.42578125" style="159" customWidth="1"/>
    <col min="8449" max="8449" width="58.28515625" style="159" customWidth="1"/>
    <col min="8450" max="8450" width="10.28515625" style="159"/>
    <col min="8451" max="8451" width="11" style="159" customWidth="1"/>
    <col min="8452" max="8453" width="9.7109375" style="159" customWidth="1"/>
    <col min="8454" max="8454" width="10.7109375" style="159" customWidth="1"/>
    <col min="8455" max="8456" width="11.28515625" style="159" customWidth="1"/>
    <col min="8457" max="8457" width="17" style="159" customWidth="1"/>
    <col min="8458" max="8458" width="16.28515625" style="159" customWidth="1"/>
    <col min="8459" max="8703" width="10.28515625" style="159"/>
    <col min="8704" max="8704" width="6.42578125" style="159" customWidth="1"/>
    <col min="8705" max="8705" width="58.28515625" style="159" customWidth="1"/>
    <col min="8706" max="8706" width="10.28515625" style="159"/>
    <col min="8707" max="8707" width="11" style="159" customWidth="1"/>
    <col min="8708" max="8709" width="9.7109375" style="159" customWidth="1"/>
    <col min="8710" max="8710" width="10.7109375" style="159" customWidth="1"/>
    <col min="8711" max="8712" width="11.28515625" style="159" customWidth="1"/>
    <col min="8713" max="8713" width="17" style="159" customWidth="1"/>
    <col min="8714" max="8714" width="16.28515625" style="159" customWidth="1"/>
    <col min="8715" max="8959" width="10.28515625" style="159"/>
    <col min="8960" max="8960" width="6.42578125" style="159" customWidth="1"/>
    <col min="8961" max="8961" width="58.28515625" style="159" customWidth="1"/>
    <col min="8962" max="8962" width="10.28515625" style="159"/>
    <col min="8963" max="8963" width="11" style="159" customWidth="1"/>
    <col min="8964" max="8965" width="9.7109375" style="159" customWidth="1"/>
    <col min="8966" max="8966" width="10.7109375" style="159" customWidth="1"/>
    <col min="8967" max="8968" width="11.28515625" style="159" customWidth="1"/>
    <col min="8969" max="8969" width="17" style="159" customWidth="1"/>
    <col min="8970" max="8970" width="16.28515625" style="159" customWidth="1"/>
    <col min="8971" max="9215" width="10.28515625" style="159"/>
    <col min="9216" max="9216" width="6.42578125" style="159" customWidth="1"/>
    <col min="9217" max="9217" width="58.28515625" style="159" customWidth="1"/>
    <col min="9218" max="9218" width="10.28515625" style="159"/>
    <col min="9219" max="9219" width="11" style="159" customWidth="1"/>
    <col min="9220" max="9221" width="9.7109375" style="159" customWidth="1"/>
    <col min="9222" max="9222" width="10.7109375" style="159" customWidth="1"/>
    <col min="9223" max="9224" width="11.28515625" style="159" customWidth="1"/>
    <col min="9225" max="9225" width="17" style="159" customWidth="1"/>
    <col min="9226" max="9226" width="16.28515625" style="159" customWidth="1"/>
    <col min="9227" max="9471" width="10.28515625" style="159"/>
    <col min="9472" max="9472" width="6.42578125" style="159" customWidth="1"/>
    <col min="9473" max="9473" width="58.28515625" style="159" customWidth="1"/>
    <col min="9474" max="9474" width="10.28515625" style="159"/>
    <col min="9475" max="9475" width="11" style="159" customWidth="1"/>
    <col min="9476" max="9477" width="9.7109375" style="159" customWidth="1"/>
    <col min="9478" max="9478" width="10.7109375" style="159" customWidth="1"/>
    <col min="9479" max="9480" width="11.28515625" style="159" customWidth="1"/>
    <col min="9481" max="9481" width="17" style="159" customWidth="1"/>
    <col min="9482" max="9482" width="16.28515625" style="159" customWidth="1"/>
    <col min="9483" max="9727" width="10.28515625" style="159"/>
    <col min="9728" max="9728" width="6.42578125" style="159" customWidth="1"/>
    <col min="9729" max="9729" width="58.28515625" style="159" customWidth="1"/>
    <col min="9730" max="9730" width="10.28515625" style="159"/>
    <col min="9731" max="9731" width="11" style="159" customWidth="1"/>
    <col min="9732" max="9733" width="9.7109375" style="159" customWidth="1"/>
    <col min="9734" max="9734" width="10.7109375" style="159" customWidth="1"/>
    <col min="9735" max="9736" width="11.28515625" style="159" customWidth="1"/>
    <col min="9737" max="9737" width="17" style="159" customWidth="1"/>
    <col min="9738" max="9738" width="16.28515625" style="159" customWidth="1"/>
    <col min="9739" max="9983" width="10.28515625" style="159"/>
    <col min="9984" max="9984" width="6.42578125" style="159" customWidth="1"/>
    <col min="9985" max="9985" width="58.28515625" style="159" customWidth="1"/>
    <col min="9986" max="9986" width="10.28515625" style="159"/>
    <col min="9987" max="9987" width="11" style="159" customWidth="1"/>
    <col min="9988" max="9989" width="9.7109375" style="159" customWidth="1"/>
    <col min="9990" max="9990" width="10.7109375" style="159" customWidth="1"/>
    <col min="9991" max="9992" width="11.28515625" style="159" customWidth="1"/>
    <col min="9993" max="9993" width="17" style="159" customWidth="1"/>
    <col min="9994" max="9994" width="16.28515625" style="159" customWidth="1"/>
    <col min="9995" max="10239" width="10.28515625" style="159"/>
    <col min="10240" max="10240" width="6.42578125" style="159" customWidth="1"/>
    <col min="10241" max="10241" width="58.28515625" style="159" customWidth="1"/>
    <col min="10242" max="10242" width="10.28515625" style="159"/>
    <col min="10243" max="10243" width="11" style="159" customWidth="1"/>
    <col min="10244" max="10245" width="9.7109375" style="159" customWidth="1"/>
    <col min="10246" max="10246" width="10.7109375" style="159" customWidth="1"/>
    <col min="10247" max="10248" width="11.28515625" style="159" customWidth="1"/>
    <col min="10249" max="10249" width="17" style="159" customWidth="1"/>
    <col min="10250" max="10250" width="16.28515625" style="159" customWidth="1"/>
    <col min="10251" max="10495" width="10.28515625" style="159"/>
    <col min="10496" max="10496" width="6.42578125" style="159" customWidth="1"/>
    <col min="10497" max="10497" width="58.28515625" style="159" customWidth="1"/>
    <col min="10498" max="10498" width="10.28515625" style="159"/>
    <col min="10499" max="10499" width="11" style="159" customWidth="1"/>
    <col min="10500" max="10501" width="9.7109375" style="159" customWidth="1"/>
    <col min="10502" max="10502" width="10.7109375" style="159" customWidth="1"/>
    <col min="10503" max="10504" width="11.28515625" style="159" customWidth="1"/>
    <col min="10505" max="10505" width="17" style="159" customWidth="1"/>
    <col min="10506" max="10506" width="16.28515625" style="159" customWidth="1"/>
    <col min="10507" max="10751" width="10.28515625" style="159"/>
    <col min="10752" max="10752" width="6.42578125" style="159" customWidth="1"/>
    <col min="10753" max="10753" width="58.28515625" style="159" customWidth="1"/>
    <col min="10754" max="10754" width="10.28515625" style="159"/>
    <col min="10755" max="10755" width="11" style="159" customWidth="1"/>
    <col min="10756" max="10757" width="9.7109375" style="159" customWidth="1"/>
    <col min="10758" max="10758" width="10.7109375" style="159" customWidth="1"/>
    <col min="10759" max="10760" width="11.28515625" style="159" customWidth="1"/>
    <col min="10761" max="10761" width="17" style="159" customWidth="1"/>
    <col min="10762" max="10762" width="16.28515625" style="159" customWidth="1"/>
    <col min="10763" max="11007" width="10.28515625" style="159"/>
    <col min="11008" max="11008" width="6.42578125" style="159" customWidth="1"/>
    <col min="11009" max="11009" width="58.28515625" style="159" customWidth="1"/>
    <col min="11010" max="11010" width="10.28515625" style="159"/>
    <col min="11011" max="11011" width="11" style="159" customWidth="1"/>
    <col min="11012" max="11013" width="9.7109375" style="159" customWidth="1"/>
    <col min="11014" max="11014" width="10.7109375" style="159" customWidth="1"/>
    <col min="11015" max="11016" width="11.28515625" style="159" customWidth="1"/>
    <col min="11017" max="11017" width="17" style="159" customWidth="1"/>
    <col min="11018" max="11018" width="16.28515625" style="159" customWidth="1"/>
    <col min="11019" max="11263" width="10.28515625" style="159"/>
    <col min="11264" max="11264" width="6.42578125" style="159" customWidth="1"/>
    <col min="11265" max="11265" width="58.28515625" style="159" customWidth="1"/>
    <col min="11266" max="11266" width="10.28515625" style="159"/>
    <col min="11267" max="11267" width="11" style="159" customWidth="1"/>
    <col min="11268" max="11269" width="9.7109375" style="159" customWidth="1"/>
    <col min="11270" max="11270" width="10.7109375" style="159" customWidth="1"/>
    <col min="11271" max="11272" width="11.28515625" style="159" customWidth="1"/>
    <col min="11273" max="11273" width="17" style="159" customWidth="1"/>
    <col min="11274" max="11274" width="16.28515625" style="159" customWidth="1"/>
    <col min="11275" max="11519" width="10.28515625" style="159"/>
    <col min="11520" max="11520" width="6.42578125" style="159" customWidth="1"/>
    <col min="11521" max="11521" width="58.28515625" style="159" customWidth="1"/>
    <col min="11522" max="11522" width="10.28515625" style="159"/>
    <col min="11523" max="11523" width="11" style="159" customWidth="1"/>
    <col min="11524" max="11525" width="9.7109375" style="159" customWidth="1"/>
    <col min="11526" max="11526" width="10.7109375" style="159" customWidth="1"/>
    <col min="11527" max="11528" width="11.28515625" style="159" customWidth="1"/>
    <col min="11529" max="11529" width="17" style="159" customWidth="1"/>
    <col min="11530" max="11530" width="16.28515625" style="159" customWidth="1"/>
    <col min="11531" max="11775" width="10.28515625" style="159"/>
    <col min="11776" max="11776" width="6.42578125" style="159" customWidth="1"/>
    <col min="11777" max="11777" width="58.28515625" style="159" customWidth="1"/>
    <col min="11778" max="11778" width="10.28515625" style="159"/>
    <col min="11779" max="11779" width="11" style="159" customWidth="1"/>
    <col min="11780" max="11781" width="9.7109375" style="159" customWidth="1"/>
    <col min="11782" max="11782" width="10.7109375" style="159" customWidth="1"/>
    <col min="11783" max="11784" width="11.28515625" style="159" customWidth="1"/>
    <col min="11785" max="11785" width="17" style="159" customWidth="1"/>
    <col min="11786" max="11786" width="16.28515625" style="159" customWidth="1"/>
    <col min="11787" max="12031" width="10.28515625" style="159"/>
    <col min="12032" max="12032" width="6.42578125" style="159" customWidth="1"/>
    <col min="12033" max="12033" width="58.28515625" style="159" customWidth="1"/>
    <col min="12034" max="12034" width="10.28515625" style="159"/>
    <col min="12035" max="12035" width="11" style="159" customWidth="1"/>
    <col min="12036" max="12037" width="9.7109375" style="159" customWidth="1"/>
    <col min="12038" max="12038" width="10.7109375" style="159" customWidth="1"/>
    <col min="12039" max="12040" width="11.28515625" style="159" customWidth="1"/>
    <col min="12041" max="12041" width="17" style="159" customWidth="1"/>
    <col min="12042" max="12042" width="16.28515625" style="159" customWidth="1"/>
    <col min="12043" max="12287" width="10.28515625" style="159"/>
    <col min="12288" max="12288" width="6.42578125" style="159" customWidth="1"/>
    <col min="12289" max="12289" width="58.28515625" style="159" customWidth="1"/>
    <col min="12290" max="12290" width="10.28515625" style="159"/>
    <col min="12291" max="12291" width="11" style="159" customWidth="1"/>
    <col min="12292" max="12293" width="9.7109375" style="159" customWidth="1"/>
    <col min="12294" max="12294" width="10.7109375" style="159" customWidth="1"/>
    <col min="12295" max="12296" width="11.28515625" style="159" customWidth="1"/>
    <col min="12297" max="12297" width="17" style="159" customWidth="1"/>
    <col min="12298" max="12298" width="16.28515625" style="159" customWidth="1"/>
    <col min="12299" max="12543" width="10.28515625" style="159"/>
    <col min="12544" max="12544" width="6.42578125" style="159" customWidth="1"/>
    <col min="12545" max="12545" width="58.28515625" style="159" customWidth="1"/>
    <col min="12546" max="12546" width="10.28515625" style="159"/>
    <col min="12547" max="12547" width="11" style="159" customWidth="1"/>
    <col min="12548" max="12549" width="9.7109375" style="159" customWidth="1"/>
    <col min="12550" max="12550" width="10.7109375" style="159" customWidth="1"/>
    <col min="12551" max="12552" width="11.28515625" style="159" customWidth="1"/>
    <col min="12553" max="12553" width="17" style="159" customWidth="1"/>
    <col min="12554" max="12554" width="16.28515625" style="159" customWidth="1"/>
    <col min="12555" max="12799" width="10.28515625" style="159"/>
    <col min="12800" max="12800" width="6.42578125" style="159" customWidth="1"/>
    <col min="12801" max="12801" width="58.28515625" style="159" customWidth="1"/>
    <col min="12802" max="12802" width="10.28515625" style="159"/>
    <col min="12803" max="12803" width="11" style="159" customWidth="1"/>
    <col min="12804" max="12805" width="9.7109375" style="159" customWidth="1"/>
    <col min="12806" max="12806" width="10.7109375" style="159" customWidth="1"/>
    <col min="12807" max="12808" width="11.28515625" style="159" customWidth="1"/>
    <col min="12809" max="12809" width="17" style="159" customWidth="1"/>
    <col min="12810" max="12810" width="16.28515625" style="159" customWidth="1"/>
    <col min="12811" max="13055" width="10.28515625" style="159"/>
    <col min="13056" max="13056" width="6.42578125" style="159" customWidth="1"/>
    <col min="13057" max="13057" width="58.28515625" style="159" customWidth="1"/>
    <col min="13058" max="13058" width="10.28515625" style="159"/>
    <col min="13059" max="13059" width="11" style="159" customWidth="1"/>
    <col min="13060" max="13061" width="9.7109375" style="159" customWidth="1"/>
    <col min="13062" max="13062" width="10.7109375" style="159" customWidth="1"/>
    <col min="13063" max="13064" width="11.28515625" style="159" customWidth="1"/>
    <col min="13065" max="13065" width="17" style="159" customWidth="1"/>
    <col min="13066" max="13066" width="16.28515625" style="159" customWidth="1"/>
    <col min="13067" max="13311" width="10.28515625" style="159"/>
    <col min="13312" max="13312" width="6.42578125" style="159" customWidth="1"/>
    <col min="13313" max="13313" width="58.28515625" style="159" customWidth="1"/>
    <col min="13314" max="13314" width="10.28515625" style="159"/>
    <col min="13315" max="13315" width="11" style="159" customWidth="1"/>
    <col min="13316" max="13317" width="9.7109375" style="159" customWidth="1"/>
    <col min="13318" max="13318" width="10.7109375" style="159" customWidth="1"/>
    <col min="13319" max="13320" width="11.28515625" style="159" customWidth="1"/>
    <col min="13321" max="13321" width="17" style="159" customWidth="1"/>
    <col min="13322" max="13322" width="16.28515625" style="159" customWidth="1"/>
    <col min="13323" max="13567" width="10.28515625" style="159"/>
    <col min="13568" max="13568" width="6.42578125" style="159" customWidth="1"/>
    <col min="13569" max="13569" width="58.28515625" style="159" customWidth="1"/>
    <col min="13570" max="13570" width="10.28515625" style="159"/>
    <col min="13571" max="13571" width="11" style="159" customWidth="1"/>
    <col min="13572" max="13573" width="9.7109375" style="159" customWidth="1"/>
    <col min="13574" max="13574" width="10.7109375" style="159" customWidth="1"/>
    <col min="13575" max="13576" width="11.28515625" style="159" customWidth="1"/>
    <col min="13577" max="13577" width="17" style="159" customWidth="1"/>
    <col min="13578" max="13578" width="16.28515625" style="159" customWidth="1"/>
    <col min="13579" max="13823" width="10.28515625" style="159"/>
    <col min="13824" max="13824" width="6.42578125" style="159" customWidth="1"/>
    <col min="13825" max="13825" width="58.28515625" style="159" customWidth="1"/>
    <col min="13826" max="13826" width="10.28515625" style="159"/>
    <col min="13827" max="13827" width="11" style="159" customWidth="1"/>
    <col min="13828" max="13829" width="9.7109375" style="159" customWidth="1"/>
    <col min="13830" max="13830" width="10.7109375" style="159" customWidth="1"/>
    <col min="13831" max="13832" width="11.28515625" style="159" customWidth="1"/>
    <col min="13833" max="13833" width="17" style="159" customWidth="1"/>
    <col min="13834" max="13834" width="16.28515625" style="159" customWidth="1"/>
    <col min="13835" max="14079" width="10.28515625" style="159"/>
    <col min="14080" max="14080" width="6.42578125" style="159" customWidth="1"/>
    <col min="14081" max="14081" width="58.28515625" style="159" customWidth="1"/>
    <col min="14082" max="14082" width="10.28515625" style="159"/>
    <col min="14083" max="14083" width="11" style="159" customWidth="1"/>
    <col min="14084" max="14085" width="9.7109375" style="159" customWidth="1"/>
    <col min="14086" max="14086" width="10.7109375" style="159" customWidth="1"/>
    <col min="14087" max="14088" width="11.28515625" style="159" customWidth="1"/>
    <col min="14089" max="14089" width="17" style="159" customWidth="1"/>
    <col min="14090" max="14090" width="16.28515625" style="159" customWidth="1"/>
    <col min="14091" max="14335" width="10.28515625" style="159"/>
    <col min="14336" max="14336" width="6.42578125" style="159" customWidth="1"/>
    <col min="14337" max="14337" width="58.28515625" style="159" customWidth="1"/>
    <col min="14338" max="14338" width="10.28515625" style="159"/>
    <col min="14339" max="14339" width="11" style="159" customWidth="1"/>
    <col min="14340" max="14341" width="9.7109375" style="159" customWidth="1"/>
    <col min="14342" max="14342" width="10.7109375" style="159" customWidth="1"/>
    <col min="14343" max="14344" width="11.28515625" style="159" customWidth="1"/>
    <col min="14345" max="14345" width="17" style="159" customWidth="1"/>
    <col min="14346" max="14346" width="16.28515625" style="159" customWidth="1"/>
    <col min="14347" max="14591" width="10.28515625" style="159"/>
    <col min="14592" max="14592" width="6.42578125" style="159" customWidth="1"/>
    <col min="14593" max="14593" width="58.28515625" style="159" customWidth="1"/>
    <col min="14594" max="14594" width="10.28515625" style="159"/>
    <col min="14595" max="14595" width="11" style="159" customWidth="1"/>
    <col min="14596" max="14597" width="9.7109375" style="159" customWidth="1"/>
    <col min="14598" max="14598" width="10.7109375" style="159" customWidth="1"/>
    <col min="14599" max="14600" width="11.28515625" style="159" customWidth="1"/>
    <col min="14601" max="14601" width="17" style="159" customWidth="1"/>
    <col min="14602" max="14602" width="16.28515625" style="159" customWidth="1"/>
    <col min="14603" max="14847" width="10.28515625" style="159"/>
    <col min="14848" max="14848" width="6.42578125" style="159" customWidth="1"/>
    <col min="14849" max="14849" width="58.28515625" style="159" customWidth="1"/>
    <col min="14850" max="14850" width="10.28515625" style="159"/>
    <col min="14851" max="14851" width="11" style="159" customWidth="1"/>
    <col min="14852" max="14853" width="9.7109375" style="159" customWidth="1"/>
    <col min="14854" max="14854" width="10.7109375" style="159" customWidth="1"/>
    <col min="14855" max="14856" width="11.28515625" style="159" customWidth="1"/>
    <col min="14857" max="14857" width="17" style="159" customWidth="1"/>
    <col min="14858" max="14858" width="16.28515625" style="159" customWidth="1"/>
    <col min="14859" max="15103" width="10.28515625" style="159"/>
    <col min="15104" max="15104" width="6.42578125" style="159" customWidth="1"/>
    <col min="15105" max="15105" width="58.28515625" style="159" customWidth="1"/>
    <col min="15106" max="15106" width="10.28515625" style="159"/>
    <col min="15107" max="15107" width="11" style="159" customWidth="1"/>
    <col min="15108" max="15109" width="9.7109375" style="159" customWidth="1"/>
    <col min="15110" max="15110" width="10.7109375" style="159" customWidth="1"/>
    <col min="15111" max="15112" width="11.28515625" style="159" customWidth="1"/>
    <col min="15113" max="15113" width="17" style="159" customWidth="1"/>
    <col min="15114" max="15114" width="16.28515625" style="159" customWidth="1"/>
    <col min="15115" max="15359" width="10.28515625" style="159"/>
    <col min="15360" max="15360" width="6.42578125" style="159" customWidth="1"/>
    <col min="15361" max="15361" width="58.28515625" style="159" customWidth="1"/>
    <col min="15362" max="15362" width="10.28515625" style="159"/>
    <col min="15363" max="15363" width="11" style="159" customWidth="1"/>
    <col min="15364" max="15365" width="9.7109375" style="159" customWidth="1"/>
    <col min="15366" max="15366" width="10.7109375" style="159" customWidth="1"/>
    <col min="15367" max="15368" width="11.28515625" style="159" customWidth="1"/>
    <col min="15369" max="15369" width="17" style="159" customWidth="1"/>
    <col min="15370" max="15370" width="16.28515625" style="159" customWidth="1"/>
    <col min="15371" max="15615" width="10.28515625" style="159"/>
    <col min="15616" max="15616" width="6.42578125" style="159" customWidth="1"/>
    <col min="15617" max="15617" width="58.28515625" style="159" customWidth="1"/>
    <col min="15618" max="15618" width="10.28515625" style="159"/>
    <col min="15619" max="15619" width="11" style="159" customWidth="1"/>
    <col min="15620" max="15621" width="9.7109375" style="159" customWidth="1"/>
    <col min="15622" max="15622" width="10.7109375" style="159" customWidth="1"/>
    <col min="15623" max="15624" width="11.28515625" style="159" customWidth="1"/>
    <col min="15625" max="15625" width="17" style="159" customWidth="1"/>
    <col min="15626" max="15626" width="16.28515625" style="159" customWidth="1"/>
    <col min="15627" max="15871" width="10.28515625" style="159"/>
    <col min="15872" max="15872" width="6.42578125" style="159" customWidth="1"/>
    <col min="15873" max="15873" width="58.28515625" style="159" customWidth="1"/>
    <col min="15874" max="15874" width="10.28515625" style="159"/>
    <col min="15875" max="15875" width="11" style="159" customWidth="1"/>
    <col min="15876" max="15877" width="9.7109375" style="159" customWidth="1"/>
    <col min="15878" max="15878" width="10.7109375" style="159" customWidth="1"/>
    <col min="15879" max="15880" width="11.28515625" style="159" customWidth="1"/>
    <col min="15881" max="15881" width="17" style="159" customWidth="1"/>
    <col min="15882" max="15882" width="16.28515625" style="159" customWidth="1"/>
    <col min="15883" max="16127" width="10.28515625" style="159"/>
    <col min="16128" max="16128" width="6.42578125" style="159" customWidth="1"/>
    <col min="16129" max="16129" width="58.28515625" style="159" customWidth="1"/>
    <col min="16130" max="16130" width="10.28515625" style="159"/>
    <col min="16131" max="16131" width="11" style="159" customWidth="1"/>
    <col min="16132" max="16133" width="9.7109375" style="159" customWidth="1"/>
    <col min="16134" max="16134" width="10.7109375" style="159" customWidth="1"/>
    <col min="16135" max="16136" width="11.28515625" style="159" customWidth="1"/>
    <col min="16137" max="16137" width="17" style="159" customWidth="1"/>
    <col min="16138" max="16138" width="16.28515625" style="159" customWidth="1"/>
    <col min="16139" max="16384" width="10.28515625" style="159"/>
  </cols>
  <sheetData>
    <row r="1" spans="1:10" ht="12" customHeight="1" x14ac:dyDescent="0.2">
      <c r="A1" s="599"/>
      <c r="C1" s="160"/>
      <c r="D1" s="160"/>
      <c r="E1" s="160"/>
      <c r="F1" s="160"/>
      <c r="G1" s="161" t="s">
        <v>104</v>
      </c>
      <c r="H1" s="161"/>
      <c r="I1" s="162"/>
    </row>
    <row r="2" spans="1:10" ht="12" customHeight="1" x14ac:dyDescent="0.2">
      <c r="C2" s="160"/>
      <c r="D2" s="160"/>
      <c r="E2" s="160"/>
      <c r="F2" s="160"/>
      <c r="G2" s="161" t="s">
        <v>39</v>
      </c>
      <c r="H2" s="161"/>
      <c r="I2" s="162"/>
    </row>
    <row r="3" spans="1:10" ht="12" customHeight="1" x14ac:dyDescent="0.2">
      <c r="C3" s="160"/>
      <c r="D3" s="160"/>
      <c r="E3" s="160"/>
      <c r="F3" s="160"/>
      <c r="G3" s="161" t="s">
        <v>1</v>
      </c>
      <c r="H3" s="161"/>
      <c r="I3" s="162"/>
    </row>
    <row r="4" spans="1:10" ht="12" customHeight="1" x14ac:dyDescent="0.2">
      <c r="B4" s="160"/>
      <c r="C4" s="163"/>
      <c r="D4" s="160"/>
      <c r="E4" s="163"/>
      <c r="F4" s="160"/>
      <c r="G4" s="164" t="s">
        <v>40</v>
      </c>
      <c r="H4" s="164"/>
      <c r="I4" s="162"/>
    </row>
    <row r="5" spans="1:10" ht="12" customHeight="1" x14ac:dyDescent="0.2">
      <c r="B5" s="160"/>
      <c r="C5" s="163"/>
      <c r="D5" s="160"/>
      <c r="E5" s="163"/>
      <c r="F5" s="160"/>
      <c r="G5" s="160"/>
      <c r="H5" s="160"/>
    </row>
    <row r="6" spans="1:10" ht="12.75" customHeight="1" x14ac:dyDescent="0.2">
      <c r="A6" s="165" t="s">
        <v>105</v>
      </c>
      <c r="B6" s="165"/>
      <c r="C6" s="165"/>
      <c r="D6" s="165"/>
      <c r="E6" s="165"/>
      <c r="F6" s="165"/>
      <c r="G6" s="165"/>
      <c r="H6" s="165"/>
      <c r="I6" s="165"/>
    </row>
    <row r="7" spans="1:10" ht="12.75" customHeight="1" x14ac:dyDescent="0.2">
      <c r="A7" s="165"/>
      <c r="B7" s="165"/>
      <c r="C7" s="165"/>
      <c r="D7" s="165"/>
      <c r="E7" s="165"/>
      <c r="F7" s="165"/>
      <c r="G7" s="165"/>
      <c r="H7" s="165"/>
      <c r="I7" s="165"/>
    </row>
    <row r="8" spans="1:10" ht="11.25" customHeight="1" x14ac:dyDescent="0.2">
      <c r="I8" s="159" t="s">
        <v>44</v>
      </c>
    </row>
    <row r="9" spans="1:10" ht="11.25" customHeight="1" x14ac:dyDescent="0.2">
      <c r="A9" s="166"/>
      <c r="B9" s="166"/>
      <c r="C9" s="167" t="s">
        <v>106</v>
      </c>
      <c r="D9" s="168" t="s">
        <v>107</v>
      </c>
      <c r="E9" s="169" t="s">
        <v>108</v>
      </c>
      <c r="F9" s="170"/>
      <c r="G9" s="169" t="s">
        <v>57</v>
      </c>
      <c r="H9" s="171"/>
      <c r="I9" s="170"/>
    </row>
    <row r="10" spans="1:10" ht="11.25" customHeight="1" x14ac:dyDescent="0.2">
      <c r="A10" s="172"/>
      <c r="B10" s="172"/>
      <c r="C10" s="173"/>
      <c r="D10" s="174" t="s">
        <v>109</v>
      </c>
      <c r="E10" s="167"/>
      <c r="F10" s="167"/>
      <c r="G10" s="169" t="s">
        <v>110</v>
      </c>
      <c r="H10" s="171"/>
      <c r="I10" s="170"/>
    </row>
    <row r="11" spans="1:10" ht="11.25" customHeight="1" x14ac:dyDescent="0.2">
      <c r="A11" s="172"/>
      <c r="B11" s="172"/>
      <c r="C11" s="173" t="s">
        <v>111</v>
      </c>
      <c r="D11" s="174" t="s">
        <v>112</v>
      </c>
      <c r="E11" s="173"/>
      <c r="F11" s="173"/>
      <c r="G11" s="167"/>
      <c r="H11" s="167"/>
      <c r="I11" s="167"/>
    </row>
    <row r="12" spans="1:10" ht="14.25" customHeight="1" x14ac:dyDescent="0.2">
      <c r="A12" s="172" t="s">
        <v>5</v>
      </c>
      <c r="B12" s="172" t="s">
        <v>113</v>
      </c>
      <c r="C12" s="173" t="s">
        <v>114</v>
      </c>
      <c r="D12" s="174" t="s">
        <v>115</v>
      </c>
      <c r="E12" s="173"/>
      <c r="F12" s="173"/>
      <c r="G12" s="173"/>
      <c r="H12" s="173"/>
      <c r="I12" s="173"/>
    </row>
    <row r="13" spans="1:10" ht="32.25" customHeight="1" x14ac:dyDescent="0.2">
      <c r="A13" s="172"/>
      <c r="B13" s="172"/>
      <c r="C13" s="173" t="s">
        <v>116</v>
      </c>
      <c r="D13" s="174" t="s">
        <v>117</v>
      </c>
      <c r="E13" s="173" t="s">
        <v>118</v>
      </c>
      <c r="F13" s="173" t="s">
        <v>119</v>
      </c>
      <c r="G13" s="173" t="s">
        <v>120</v>
      </c>
      <c r="H13" s="173" t="s">
        <v>118</v>
      </c>
      <c r="I13" s="173" t="s">
        <v>119</v>
      </c>
    </row>
    <row r="14" spans="1:10" ht="18.75" customHeight="1" x14ac:dyDescent="0.2">
      <c r="A14" s="175"/>
      <c r="B14" s="175"/>
      <c r="D14" s="176" t="s">
        <v>121</v>
      </c>
      <c r="E14" s="177"/>
      <c r="F14" s="177"/>
      <c r="G14" s="177"/>
      <c r="H14" s="177"/>
      <c r="I14" s="177"/>
    </row>
    <row r="15" spans="1:10" ht="11.25" customHeight="1" x14ac:dyDescent="0.2">
      <c r="A15" s="178">
        <v>1</v>
      </c>
      <c r="B15" s="178">
        <v>2</v>
      </c>
      <c r="C15" s="178">
        <v>3</v>
      </c>
      <c r="D15" s="178">
        <v>4</v>
      </c>
      <c r="E15" s="178">
        <v>5</v>
      </c>
      <c r="F15" s="178">
        <v>6</v>
      </c>
      <c r="G15" s="179">
        <v>7</v>
      </c>
      <c r="H15" s="178">
        <v>8</v>
      </c>
      <c r="I15" s="178">
        <v>9</v>
      </c>
    </row>
    <row r="16" spans="1:10" s="185" customFormat="1" ht="21.75" customHeight="1" x14ac:dyDescent="0.2">
      <c r="A16" s="180"/>
      <c r="B16" s="181" t="s">
        <v>122</v>
      </c>
      <c r="C16" s="182"/>
      <c r="D16" s="183">
        <v>469866052.50999993</v>
      </c>
      <c r="E16" s="183">
        <v>246521278.27000004</v>
      </c>
      <c r="F16" s="183">
        <v>223344774.23999998</v>
      </c>
      <c r="G16" s="183">
        <v>232788782.22</v>
      </c>
      <c r="H16" s="183">
        <v>69215061.530000001</v>
      </c>
      <c r="I16" s="183">
        <v>163573720.69000003</v>
      </c>
      <c r="J16" s="184"/>
    </row>
    <row r="17" spans="1:11" s="185" customFormat="1" ht="12" customHeight="1" x14ac:dyDescent="0.2">
      <c r="A17" s="186"/>
      <c r="B17" s="600" t="s">
        <v>123</v>
      </c>
      <c r="C17" s="601"/>
      <c r="D17" s="602">
        <v>43709938.699999996</v>
      </c>
      <c r="E17" s="602">
        <v>8477485.1799999997</v>
      </c>
      <c r="F17" s="602">
        <v>35232453.519999988</v>
      </c>
      <c r="G17" s="602">
        <v>20077997.690000005</v>
      </c>
      <c r="H17" s="602">
        <v>2293470.0700000003</v>
      </c>
      <c r="I17" s="602">
        <v>17784527.619999994</v>
      </c>
      <c r="J17" s="188"/>
      <c r="K17" s="184"/>
    </row>
    <row r="18" spans="1:11" s="185" customFormat="1" ht="12" customHeight="1" x14ac:dyDescent="0.2">
      <c r="A18" s="186"/>
      <c r="B18" s="603" t="s">
        <v>124</v>
      </c>
      <c r="C18" s="604"/>
      <c r="D18" s="605">
        <v>426156113.80999994</v>
      </c>
      <c r="E18" s="605">
        <v>238043793.09000003</v>
      </c>
      <c r="F18" s="605">
        <v>188112320.72</v>
      </c>
      <c r="G18" s="605">
        <v>212710784.53</v>
      </c>
      <c r="H18" s="605">
        <v>66921591.459999993</v>
      </c>
      <c r="I18" s="605">
        <v>145789193.07000002</v>
      </c>
      <c r="J18" s="189"/>
    </row>
    <row r="19" spans="1:11" ht="21.75" customHeight="1" thickBot="1" x14ac:dyDescent="0.25">
      <c r="A19" s="190">
        <v>2</v>
      </c>
      <c r="B19" s="191" t="s">
        <v>125</v>
      </c>
      <c r="C19" s="192"/>
      <c r="D19" s="193">
        <v>7587424.2400000002</v>
      </c>
      <c r="E19" s="193">
        <v>4698620.9300000006</v>
      </c>
      <c r="F19" s="193">
        <v>2888803.31</v>
      </c>
      <c r="G19" s="193">
        <v>3753661.08</v>
      </c>
      <c r="H19" s="193">
        <v>587381.18000000005</v>
      </c>
      <c r="I19" s="193">
        <v>3166279.9000000004</v>
      </c>
    </row>
    <row r="20" spans="1:11" ht="21.75" customHeight="1" x14ac:dyDescent="0.2">
      <c r="A20" s="194" t="s">
        <v>126</v>
      </c>
      <c r="B20" s="195" t="s">
        <v>127</v>
      </c>
      <c r="C20" s="606"/>
      <c r="D20" s="607"/>
      <c r="E20" s="607"/>
      <c r="F20" s="608"/>
      <c r="G20" s="607"/>
      <c r="H20" s="607"/>
      <c r="I20" s="608"/>
    </row>
    <row r="21" spans="1:11" ht="11.1" customHeight="1" x14ac:dyDescent="0.25">
      <c r="A21" s="196"/>
      <c r="B21" s="197" t="s">
        <v>128</v>
      </c>
      <c r="C21" s="609"/>
      <c r="D21" s="610"/>
      <c r="E21" s="610"/>
      <c r="F21" s="611"/>
      <c r="G21" s="610"/>
      <c r="H21" s="610"/>
      <c r="I21" s="198"/>
    </row>
    <row r="22" spans="1:11" ht="11.1" customHeight="1" x14ac:dyDescent="0.2">
      <c r="A22" s="199"/>
      <c r="B22" s="612" t="s">
        <v>123</v>
      </c>
      <c r="C22" s="200" t="s">
        <v>129</v>
      </c>
      <c r="D22" s="201">
        <v>30992</v>
      </c>
      <c r="E22" s="202">
        <v>5417.4</v>
      </c>
      <c r="F22" s="203">
        <v>25574.6</v>
      </c>
      <c r="G22" s="204">
        <v>30992</v>
      </c>
      <c r="H22" s="205">
        <v>5417.4</v>
      </c>
      <c r="I22" s="206">
        <v>25574.6</v>
      </c>
    </row>
    <row r="23" spans="1:11" ht="11.1" customHeight="1" x14ac:dyDescent="0.2">
      <c r="A23" s="207"/>
      <c r="B23" s="613" t="s">
        <v>124</v>
      </c>
      <c r="C23" s="208" t="s">
        <v>130</v>
      </c>
      <c r="D23" s="209"/>
      <c r="E23" s="210"/>
      <c r="F23" s="211"/>
      <c r="G23" s="212"/>
      <c r="H23" s="210"/>
      <c r="I23" s="210"/>
    </row>
    <row r="24" spans="1:11" ht="11.1" customHeight="1" x14ac:dyDescent="0.2">
      <c r="A24" s="213"/>
      <c r="C24" s="214"/>
      <c r="D24" s="187"/>
      <c r="E24" s="187"/>
      <c r="F24" s="187"/>
      <c r="G24" s="187"/>
      <c r="H24" s="187"/>
      <c r="I24" s="215"/>
    </row>
    <row r="25" spans="1:11" ht="15.75" customHeight="1" x14ac:dyDescent="0.2">
      <c r="A25" s="614" t="s">
        <v>131</v>
      </c>
      <c r="D25" s="189"/>
      <c r="E25" s="189"/>
      <c r="F25" s="189"/>
      <c r="G25" s="189"/>
      <c r="H25" s="189"/>
      <c r="I25" s="189"/>
    </row>
    <row r="26" spans="1:11" ht="11.1" customHeight="1" x14ac:dyDescent="0.2">
      <c r="A26" s="213"/>
      <c r="D26" s="189"/>
      <c r="E26" s="189"/>
      <c r="F26" s="189"/>
      <c r="G26" s="189"/>
      <c r="H26" s="189"/>
      <c r="I26" s="189"/>
    </row>
    <row r="27" spans="1:11" ht="11.1" customHeight="1" x14ac:dyDescent="0.2">
      <c r="A27" s="213"/>
      <c r="D27" s="189"/>
      <c r="E27" s="189"/>
      <c r="F27" s="189"/>
      <c r="G27" s="189"/>
      <c r="H27" s="189"/>
      <c r="I27" s="189"/>
    </row>
    <row r="28" spans="1:11" ht="11.1" customHeight="1" x14ac:dyDescent="0.2">
      <c r="A28" s="213"/>
      <c r="D28" s="189"/>
      <c r="E28" s="189"/>
      <c r="F28" s="189"/>
      <c r="G28" s="189"/>
      <c r="H28" s="189"/>
      <c r="I28" s="189"/>
    </row>
    <row r="29" spans="1:11" ht="11.1" customHeight="1" x14ac:dyDescent="0.2">
      <c r="A29" s="213"/>
      <c r="D29" s="189"/>
      <c r="E29" s="189"/>
      <c r="F29" s="189"/>
      <c r="G29" s="189"/>
      <c r="H29" s="189"/>
      <c r="I29" s="189"/>
    </row>
    <row r="30" spans="1:11" ht="11.1" customHeight="1" x14ac:dyDescent="0.2">
      <c r="A30" s="213"/>
      <c r="D30" s="189"/>
      <c r="E30" s="189"/>
      <c r="F30" s="189"/>
      <c r="G30" s="189"/>
      <c r="H30" s="189"/>
      <c r="I30" s="189"/>
    </row>
    <row r="31" spans="1:11" ht="11.1" customHeight="1" x14ac:dyDescent="0.2">
      <c r="A31" s="213"/>
      <c r="D31" s="189"/>
      <c r="E31" s="189"/>
      <c r="F31" s="189"/>
      <c r="G31" s="189"/>
      <c r="H31" s="189"/>
      <c r="I31" s="189"/>
    </row>
    <row r="32" spans="1:11" ht="11.1" customHeight="1" x14ac:dyDescent="0.2">
      <c r="A32" s="213"/>
      <c r="D32" s="189"/>
      <c r="E32" s="189"/>
      <c r="F32" s="189"/>
      <c r="G32" s="189"/>
      <c r="H32" s="189"/>
      <c r="I32" s="189"/>
    </row>
    <row r="33" spans="1:9" ht="11.1" customHeight="1" x14ac:dyDescent="0.2">
      <c r="A33" s="213"/>
      <c r="D33" s="189"/>
      <c r="E33" s="189"/>
      <c r="F33" s="189"/>
      <c r="G33" s="189"/>
      <c r="H33" s="189"/>
      <c r="I33" s="189"/>
    </row>
    <row r="34" spans="1:9" ht="11.1" customHeight="1" x14ac:dyDescent="0.2">
      <c r="A34" s="213"/>
      <c r="D34" s="189"/>
      <c r="E34" s="189"/>
      <c r="F34" s="189"/>
      <c r="G34" s="189"/>
      <c r="H34" s="189"/>
      <c r="I34" s="189"/>
    </row>
    <row r="35" spans="1:9" ht="11.1" customHeight="1" x14ac:dyDescent="0.2">
      <c r="A35" s="213"/>
      <c r="D35" s="189"/>
      <c r="E35" s="189"/>
      <c r="F35" s="189"/>
      <c r="G35" s="189"/>
      <c r="H35" s="189"/>
      <c r="I35" s="189"/>
    </row>
    <row r="36" spans="1:9" ht="11.1" customHeight="1" x14ac:dyDescent="0.2">
      <c r="A36" s="213"/>
      <c r="D36" s="189"/>
      <c r="E36" s="189"/>
      <c r="F36" s="189"/>
      <c r="G36" s="189"/>
      <c r="H36" s="189"/>
      <c r="I36" s="189"/>
    </row>
    <row r="37" spans="1:9" ht="11.1" customHeight="1" x14ac:dyDescent="0.2">
      <c r="A37" s="213"/>
      <c r="D37" s="189"/>
      <c r="E37" s="189"/>
      <c r="F37" s="189"/>
      <c r="G37" s="189"/>
      <c r="H37" s="189"/>
      <c r="I37" s="189"/>
    </row>
    <row r="38" spans="1:9" ht="11.1" customHeight="1" x14ac:dyDescent="0.2">
      <c r="A38" s="213"/>
      <c r="D38" s="189"/>
      <c r="E38" s="189"/>
      <c r="F38" s="189"/>
      <c r="G38" s="189"/>
      <c r="H38" s="189"/>
      <c r="I38" s="189"/>
    </row>
    <row r="39" spans="1:9" ht="11.1" customHeight="1" x14ac:dyDescent="0.2">
      <c r="A39" s="213"/>
      <c r="D39" s="189"/>
      <c r="E39" s="189"/>
      <c r="F39" s="189"/>
      <c r="G39" s="189"/>
      <c r="H39" s="189"/>
      <c r="I39" s="189"/>
    </row>
    <row r="40" spans="1:9" ht="11.1" customHeight="1" x14ac:dyDescent="0.2">
      <c r="A40" s="213"/>
      <c r="D40" s="189"/>
      <c r="E40" s="189"/>
      <c r="F40" s="189"/>
      <c r="G40" s="189"/>
      <c r="H40" s="189"/>
      <c r="I40" s="189"/>
    </row>
    <row r="41" spans="1:9" ht="12.75" customHeight="1" x14ac:dyDescent="0.2">
      <c r="D41" s="187"/>
      <c r="E41" s="187"/>
      <c r="F41" s="187"/>
      <c r="G41" s="187"/>
      <c r="H41" s="187"/>
      <c r="I41" s="187"/>
    </row>
    <row r="42" spans="1:9" ht="12.75" customHeight="1" x14ac:dyDescent="0.2"/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44F58-1843-4895-BD80-20A2D209C6D1}">
  <sheetPr>
    <tabColor rgb="FFFF0066"/>
  </sheetPr>
  <dimension ref="A1:AF18"/>
  <sheetViews>
    <sheetView zoomScale="140" zoomScaleNormal="140" workbookViewId="0"/>
  </sheetViews>
  <sheetFormatPr defaultRowHeight="12" x14ac:dyDescent="0.2"/>
  <cols>
    <col min="1" max="1" width="4.28515625" style="216" customWidth="1"/>
    <col min="2" max="2" width="8.7109375" style="216" customWidth="1"/>
    <col min="3" max="3" width="5.5703125" style="216" customWidth="1"/>
    <col min="4" max="4" width="11.42578125" style="216" customWidth="1"/>
    <col min="5" max="5" width="12" style="216" customWidth="1"/>
    <col min="6" max="6" width="11.7109375" style="216" customWidth="1"/>
    <col min="7" max="7" width="12.5703125" style="216" customWidth="1"/>
    <col min="8" max="8" width="11.7109375" style="219" customWidth="1"/>
    <col min="9" max="9" width="11" style="219" customWidth="1"/>
    <col min="10" max="32" width="8.85546875" style="219" customWidth="1"/>
    <col min="33" max="256" width="9.140625" style="216"/>
    <col min="257" max="257" width="4.28515625" style="216" customWidth="1"/>
    <col min="258" max="258" width="8.7109375" style="216" customWidth="1"/>
    <col min="259" max="259" width="5.5703125" style="216" customWidth="1"/>
    <col min="260" max="260" width="11.42578125" style="216" customWidth="1"/>
    <col min="261" max="261" width="12" style="216" customWidth="1"/>
    <col min="262" max="262" width="11.7109375" style="216" customWidth="1"/>
    <col min="263" max="263" width="12.5703125" style="216" customWidth="1"/>
    <col min="264" max="264" width="11.7109375" style="216" customWidth="1"/>
    <col min="265" max="265" width="11" style="216" customWidth="1"/>
    <col min="266" max="288" width="8.85546875" style="216" customWidth="1"/>
    <col min="289" max="512" width="9.140625" style="216"/>
    <col min="513" max="513" width="4.28515625" style="216" customWidth="1"/>
    <col min="514" max="514" width="8.7109375" style="216" customWidth="1"/>
    <col min="515" max="515" width="5.5703125" style="216" customWidth="1"/>
    <col min="516" max="516" width="11.42578125" style="216" customWidth="1"/>
    <col min="517" max="517" width="12" style="216" customWidth="1"/>
    <col min="518" max="518" width="11.7109375" style="216" customWidth="1"/>
    <col min="519" max="519" width="12.5703125" style="216" customWidth="1"/>
    <col min="520" max="520" width="11.7109375" style="216" customWidth="1"/>
    <col min="521" max="521" width="11" style="216" customWidth="1"/>
    <col min="522" max="544" width="8.85546875" style="216" customWidth="1"/>
    <col min="545" max="768" width="9.140625" style="216"/>
    <col min="769" max="769" width="4.28515625" style="216" customWidth="1"/>
    <col min="770" max="770" width="8.7109375" style="216" customWidth="1"/>
    <col min="771" max="771" width="5.5703125" style="216" customWidth="1"/>
    <col min="772" max="772" width="11.42578125" style="216" customWidth="1"/>
    <col min="773" max="773" width="12" style="216" customWidth="1"/>
    <col min="774" max="774" width="11.7109375" style="216" customWidth="1"/>
    <col min="775" max="775" width="12.5703125" style="216" customWidth="1"/>
    <col min="776" max="776" width="11.7109375" style="216" customWidth="1"/>
    <col min="777" max="777" width="11" style="216" customWidth="1"/>
    <col min="778" max="800" width="8.85546875" style="216" customWidth="1"/>
    <col min="801" max="1024" width="9.140625" style="216"/>
    <col min="1025" max="1025" width="4.28515625" style="216" customWidth="1"/>
    <col min="1026" max="1026" width="8.7109375" style="216" customWidth="1"/>
    <col min="1027" max="1027" width="5.5703125" style="216" customWidth="1"/>
    <col min="1028" max="1028" width="11.42578125" style="216" customWidth="1"/>
    <col min="1029" max="1029" width="12" style="216" customWidth="1"/>
    <col min="1030" max="1030" width="11.7109375" style="216" customWidth="1"/>
    <col min="1031" max="1031" width="12.5703125" style="216" customWidth="1"/>
    <col min="1032" max="1032" width="11.7109375" style="216" customWidth="1"/>
    <col min="1033" max="1033" width="11" style="216" customWidth="1"/>
    <col min="1034" max="1056" width="8.85546875" style="216" customWidth="1"/>
    <col min="1057" max="1280" width="9.140625" style="216"/>
    <col min="1281" max="1281" width="4.28515625" style="216" customWidth="1"/>
    <col min="1282" max="1282" width="8.7109375" style="216" customWidth="1"/>
    <col min="1283" max="1283" width="5.5703125" style="216" customWidth="1"/>
    <col min="1284" max="1284" width="11.42578125" style="216" customWidth="1"/>
    <col min="1285" max="1285" width="12" style="216" customWidth="1"/>
    <col min="1286" max="1286" width="11.7109375" style="216" customWidth="1"/>
    <col min="1287" max="1287" width="12.5703125" style="216" customWidth="1"/>
    <col min="1288" max="1288" width="11.7109375" style="216" customWidth="1"/>
    <col min="1289" max="1289" width="11" style="216" customWidth="1"/>
    <col min="1290" max="1312" width="8.85546875" style="216" customWidth="1"/>
    <col min="1313" max="1536" width="9.140625" style="216"/>
    <col min="1537" max="1537" width="4.28515625" style="216" customWidth="1"/>
    <col min="1538" max="1538" width="8.7109375" style="216" customWidth="1"/>
    <col min="1539" max="1539" width="5.5703125" style="216" customWidth="1"/>
    <col min="1540" max="1540" width="11.42578125" style="216" customWidth="1"/>
    <col min="1541" max="1541" width="12" style="216" customWidth="1"/>
    <col min="1542" max="1542" width="11.7109375" style="216" customWidth="1"/>
    <col min="1543" max="1543" width="12.5703125" style="216" customWidth="1"/>
    <col min="1544" max="1544" width="11.7109375" style="216" customWidth="1"/>
    <col min="1545" max="1545" width="11" style="216" customWidth="1"/>
    <col min="1546" max="1568" width="8.85546875" style="216" customWidth="1"/>
    <col min="1569" max="1792" width="9.140625" style="216"/>
    <col min="1793" max="1793" width="4.28515625" style="216" customWidth="1"/>
    <col min="1794" max="1794" width="8.7109375" style="216" customWidth="1"/>
    <col min="1795" max="1795" width="5.5703125" style="216" customWidth="1"/>
    <col min="1796" max="1796" width="11.42578125" style="216" customWidth="1"/>
    <col min="1797" max="1797" width="12" style="216" customWidth="1"/>
    <col min="1798" max="1798" width="11.7109375" style="216" customWidth="1"/>
    <col min="1799" max="1799" width="12.5703125" style="216" customWidth="1"/>
    <col min="1800" max="1800" width="11.7109375" style="216" customWidth="1"/>
    <col min="1801" max="1801" width="11" style="216" customWidth="1"/>
    <col min="1802" max="1824" width="8.85546875" style="216" customWidth="1"/>
    <col min="1825" max="2048" width="9.140625" style="216"/>
    <col min="2049" max="2049" width="4.28515625" style="216" customWidth="1"/>
    <col min="2050" max="2050" width="8.7109375" style="216" customWidth="1"/>
    <col min="2051" max="2051" width="5.5703125" style="216" customWidth="1"/>
    <col min="2052" max="2052" width="11.42578125" style="216" customWidth="1"/>
    <col min="2053" max="2053" width="12" style="216" customWidth="1"/>
    <col min="2054" max="2054" width="11.7109375" style="216" customWidth="1"/>
    <col min="2055" max="2055" width="12.5703125" style="216" customWidth="1"/>
    <col min="2056" max="2056" width="11.7109375" style="216" customWidth="1"/>
    <col min="2057" max="2057" width="11" style="216" customWidth="1"/>
    <col min="2058" max="2080" width="8.85546875" style="216" customWidth="1"/>
    <col min="2081" max="2304" width="9.140625" style="216"/>
    <col min="2305" max="2305" width="4.28515625" style="216" customWidth="1"/>
    <col min="2306" max="2306" width="8.7109375" style="216" customWidth="1"/>
    <col min="2307" max="2307" width="5.5703125" style="216" customWidth="1"/>
    <col min="2308" max="2308" width="11.42578125" style="216" customWidth="1"/>
    <col min="2309" max="2309" width="12" style="216" customWidth="1"/>
    <col min="2310" max="2310" width="11.7109375" style="216" customWidth="1"/>
    <col min="2311" max="2311" width="12.5703125" style="216" customWidth="1"/>
    <col min="2312" max="2312" width="11.7109375" style="216" customWidth="1"/>
    <col min="2313" max="2313" width="11" style="216" customWidth="1"/>
    <col min="2314" max="2336" width="8.85546875" style="216" customWidth="1"/>
    <col min="2337" max="2560" width="9.140625" style="216"/>
    <col min="2561" max="2561" width="4.28515625" style="216" customWidth="1"/>
    <col min="2562" max="2562" width="8.7109375" style="216" customWidth="1"/>
    <col min="2563" max="2563" width="5.5703125" style="216" customWidth="1"/>
    <col min="2564" max="2564" width="11.42578125" style="216" customWidth="1"/>
    <col min="2565" max="2565" width="12" style="216" customWidth="1"/>
    <col min="2566" max="2566" width="11.7109375" style="216" customWidth="1"/>
    <col min="2567" max="2567" width="12.5703125" style="216" customWidth="1"/>
    <col min="2568" max="2568" width="11.7109375" style="216" customWidth="1"/>
    <col min="2569" max="2569" width="11" style="216" customWidth="1"/>
    <col min="2570" max="2592" width="8.85546875" style="216" customWidth="1"/>
    <col min="2593" max="2816" width="9.140625" style="216"/>
    <col min="2817" max="2817" width="4.28515625" style="216" customWidth="1"/>
    <col min="2818" max="2818" width="8.7109375" style="216" customWidth="1"/>
    <col min="2819" max="2819" width="5.5703125" style="216" customWidth="1"/>
    <col min="2820" max="2820" width="11.42578125" style="216" customWidth="1"/>
    <col min="2821" max="2821" width="12" style="216" customWidth="1"/>
    <col min="2822" max="2822" width="11.7109375" style="216" customWidth="1"/>
    <col min="2823" max="2823" width="12.5703125" style="216" customWidth="1"/>
    <col min="2824" max="2824" width="11.7109375" style="216" customWidth="1"/>
    <col min="2825" max="2825" width="11" style="216" customWidth="1"/>
    <col min="2826" max="2848" width="8.85546875" style="216" customWidth="1"/>
    <col min="2849" max="3072" width="9.140625" style="216"/>
    <col min="3073" max="3073" width="4.28515625" style="216" customWidth="1"/>
    <col min="3074" max="3074" width="8.7109375" style="216" customWidth="1"/>
    <col min="3075" max="3075" width="5.5703125" style="216" customWidth="1"/>
    <col min="3076" max="3076" width="11.42578125" style="216" customWidth="1"/>
    <col min="3077" max="3077" width="12" style="216" customWidth="1"/>
    <col min="3078" max="3078" width="11.7109375" style="216" customWidth="1"/>
    <col min="3079" max="3079" width="12.5703125" style="216" customWidth="1"/>
    <col min="3080" max="3080" width="11.7109375" style="216" customWidth="1"/>
    <col min="3081" max="3081" width="11" style="216" customWidth="1"/>
    <col min="3082" max="3104" width="8.85546875" style="216" customWidth="1"/>
    <col min="3105" max="3328" width="9.140625" style="216"/>
    <col min="3329" max="3329" width="4.28515625" style="216" customWidth="1"/>
    <col min="3330" max="3330" width="8.7109375" style="216" customWidth="1"/>
    <col min="3331" max="3331" width="5.5703125" style="216" customWidth="1"/>
    <col min="3332" max="3332" width="11.42578125" style="216" customWidth="1"/>
    <col min="3333" max="3333" width="12" style="216" customWidth="1"/>
    <col min="3334" max="3334" width="11.7109375" style="216" customWidth="1"/>
    <col min="3335" max="3335" width="12.5703125" style="216" customWidth="1"/>
    <col min="3336" max="3336" width="11.7109375" style="216" customWidth="1"/>
    <col min="3337" max="3337" width="11" style="216" customWidth="1"/>
    <col min="3338" max="3360" width="8.85546875" style="216" customWidth="1"/>
    <col min="3361" max="3584" width="9.140625" style="216"/>
    <col min="3585" max="3585" width="4.28515625" style="216" customWidth="1"/>
    <col min="3586" max="3586" width="8.7109375" style="216" customWidth="1"/>
    <col min="3587" max="3587" width="5.5703125" style="216" customWidth="1"/>
    <col min="3588" max="3588" width="11.42578125" style="216" customWidth="1"/>
    <col min="3589" max="3589" width="12" style="216" customWidth="1"/>
    <col min="3590" max="3590" width="11.7109375" style="216" customWidth="1"/>
    <col min="3591" max="3591" width="12.5703125" style="216" customWidth="1"/>
    <col min="3592" max="3592" width="11.7109375" style="216" customWidth="1"/>
    <col min="3593" max="3593" width="11" style="216" customWidth="1"/>
    <col min="3594" max="3616" width="8.85546875" style="216" customWidth="1"/>
    <col min="3617" max="3840" width="9.140625" style="216"/>
    <col min="3841" max="3841" width="4.28515625" style="216" customWidth="1"/>
    <col min="3842" max="3842" width="8.7109375" style="216" customWidth="1"/>
    <col min="3843" max="3843" width="5.5703125" style="216" customWidth="1"/>
    <col min="3844" max="3844" width="11.42578125" style="216" customWidth="1"/>
    <col min="3845" max="3845" width="12" style="216" customWidth="1"/>
    <col min="3846" max="3846" width="11.7109375" style="216" customWidth="1"/>
    <col min="3847" max="3847" width="12.5703125" style="216" customWidth="1"/>
    <col min="3848" max="3848" width="11.7109375" style="216" customWidth="1"/>
    <col min="3849" max="3849" width="11" style="216" customWidth="1"/>
    <col min="3850" max="3872" width="8.85546875" style="216" customWidth="1"/>
    <col min="3873" max="4096" width="9.140625" style="216"/>
    <col min="4097" max="4097" width="4.28515625" style="216" customWidth="1"/>
    <col min="4098" max="4098" width="8.7109375" style="216" customWidth="1"/>
    <col min="4099" max="4099" width="5.5703125" style="216" customWidth="1"/>
    <col min="4100" max="4100" width="11.42578125" style="216" customWidth="1"/>
    <col min="4101" max="4101" width="12" style="216" customWidth="1"/>
    <col min="4102" max="4102" width="11.7109375" style="216" customWidth="1"/>
    <col min="4103" max="4103" width="12.5703125" style="216" customWidth="1"/>
    <col min="4104" max="4104" width="11.7109375" style="216" customWidth="1"/>
    <col min="4105" max="4105" width="11" style="216" customWidth="1"/>
    <col min="4106" max="4128" width="8.85546875" style="216" customWidth="1"/>
    <col min="4129" max="4352" width="9.140625" style="216"/>
    <col min="4353" max="4353" width="4.28515625" style="216" customWidth="1"/>
    <col min="4354" max="4354" width="8.7109375" style="216" customWidth="1"/>
    <col min="4355" max="4355" width="5.5703125" style="216" customWidth="1"/>
    <col min="4356" max="4356" width="11.42578125" style="216" customWidth="1"/>
    <col min="4357" max="4357" width="12" style="216" customWidth="1"/>
    <col min="4358" max="4358" width="11.7109375" style="216" customWidth="1"/>
    <col min="4359" max="4359" width="12.5703125" style="216" customWidth="1"/>
    <col min="4360" max="4360" width="11.7109375" style="216" customWidth="1"/>
    <col min="4361" max="4361" width="11" style="216" customWidth="1"/>
    <col min="4362" max="4384" width="8.85546875" style="216" customWidth="1"/>
    <col min="4385" max="4608" width="9.140625" style="216"/>
    <col min="4609" max="4609" width="4.28515625" style="216" customWidth="1"/>
    <col min="4610" max="4610" width="8.7109375" style="216" customWidth="1"/>
    <col min="4611" max="4611" width="5.5703125" style="216" customWidth="1"/>
    <col min="4612" max="4612" width="11.42578125" style="216" customWidth="1"/>
    <col min="4613" max="4613" width="12" style="216" customWidth="1"/>
    <col min="4614" max="4614" width="11.7109375" style="216" customWidth="1"/>
    <col min="4615" max="4615" width="12.5703125" style="216" customWidth="1"/>
    <col min="4616" max="4616" width="11.7109375" style="216" customWidth="1"/>
    <col min="4617" max="4617" width="11" style="216" customWidth="1"/>
    <col min="4618" max="4640" width="8.85546875" style="216" customWidth="1"/>
    <col min="4641" max="4864" width="9.140625" style="216"/>
    <col min="4865" max="4865" width="4.28515625" style="216" customWidth="1"/>
    <col min="4866" max="4866" width="8.7109375" style="216" customWidth="1"/>
    <col min="4867" max="4867" width="5.5703125" style="216" customWidth="1"/>
    <col min="4868" max="4868" width="11.42578125" style="216" customWidth="1"/>
    <col min="4869" max="4869" width="12" style="216" customWidth="1"/>
    <col min="4870" max="4870" width="11.7109375" style="216" customWidth="1"/>
    <col min="4871" max="4871" width="12.5703125" style="216" customWidth="1"/>
    <col min="4872" max="4872" width="11.7109375" style="216" customWidth="1"/>
    <col min="4873" max="4873" width="11" style="216" customWidth="1"/>
    <col min="4874" max="4896" width="8.85546875" style="216" customWidth="1"/>
    <col min="4897" max="5120" width="9.140625" style="216"/>
    <col min="5121" max="5121" width="4.28515625" style="216" customWidth="1"/>
    <col min="5122" max="5122" width="8.7109375" style="216" customWidth="1"/>
    <col min="5123" max="5123" width="5.5703125" style="216" customWidth="1"/>
    <col min="5124" max="5124" width="11.42578125" style="216" customWidth="1"/>
    <col min="5125" max="5125" width="12" style="216" customWidth="1"/>
    <col min="5126" max="5126" width="11.7109375" style="216" customWidth="1"/>
    <col min="5127" max="5127" width="12.5703125" style="216" customWidth="1"/>
    <col min="5128" max="5128" width="11.7109375" style="216" customWidth="1"/>
    <col min="5129" max="5129" width="11" style="216" customWidth="1"/>
    <col min="5130" max="5152" width="8.85546875" style="216" customWidth="1"/>
    <col min="5153" max="5376" width="9.140625" style="216"/>
    <col min="5377" max="5377" width="4.28515625" style="216" customWidth="1"/>
    <col min="5378" max="5378" width="8.7109375" style="216" customWidth="1"/>
    <col min="5379" max="5379" width="5.5703125" style="216" customWidth="1"/>
    <col min="5380" max="5380" width="11.42578125" style="216" customWidth="1"/>
    <col min="5381" max="5381" width="12" style="216" customWidth="1"/>
    <col min="5382" max="5382" width="11.7109375" style="216" customWidth="1"/>
    <col min="5383" max="5383" width="12.5703125" style="216" customWidth="1"/>
    <col min="5384" max="5384" width="11.7109375" style="216" customWidth="1"/>
    <col min="5385" max="5385" width="11" style="216" customWidth="1"/>
    <col min="5386" max="5408" width="8.85546875" style="216" customWidth="1"/>
    <col min="5409" max="5632" width="9.140625" style="216"/>
    <col min="5633" max="5633" width="4.28515625" style="216" customWidth="1"/>
    <col min="5634" max="5634" width="8.7109375" style="216" customWidth="1"/>
    <col min="5635" max="5635" width="5.5703125" style="216" customWidth="1"/>
    <col min="5636" max="5636" width="11.42578125" style="216" customWidth="1"/>
    <col min="5637" max="5637" width="12" style="216" customWidth="1"/>
    <col min="5638" max="5638" width="11.7109375" style="216" customWidth="1"/>
    <col min="5639" max="5639" width="12.5703125" style="216" customWidth="1"/>
    <col min="5640" max="5640" width="11.7109375" style="216" customWidth="1"/>
    <col min="5641" max="5641" width="11" style="216" customWidth="1"/>
    <col min="5642" max="5664" width="8.85546875" style="216" customWidth="1"/>
    <col min="5665" max="5888" width="9.140625" style="216"/>
    <col min="5889" max="5889" width="4.28515625" style="216" customWidth="1"/>
    <col min="5890" max="5890" width="8.7109375" style="216" customWidth="1"/>
    <col min="5891" max="5891" width="5.5703125" style="216" customWidth="1"/>
    <col min="5892" max="5892" width="11.42578125" style="216" customWidth="1"/>
    <col min="5893" max="5893" width="12" style="216" customWidth="1"/>
    <col min="5894" max="5894" width="11.7109375" style="216" customWidth="1"/>
    <col min="5895" max="5895" width="12.5703125" style="216" customWidth="1"/>
    <col min="5896" max="5896" width="11.7109375" style="216" customWidth="1"/>
    <col min="5897" max="5897" width="11" style="216" customWidth="1"/>
    <col min="5898" max="5920" width="8.85546875" style="216" customWidth="1"/>
    <col min="5921" max="6144" width="9.140625" style="216"/>
    <col min="6145" max="6145" width="4.28515625" style="216" customWidth="1"/>
    <col min="6146" max="6146" width="8.7109375" style="216" customWidth="1"/>
    <col min="6147" max="6147" width="5.5703125" style="216" customWidth="1"/>
    <col min="6148" max="6148" width="11.42578125" style="216" customWidth="1"/>
    <col min="6149" max="6149" width="12" style="216" customWidth="1"/>
    <col min="6150" max="6150" width="11.7109375" style="216" customWidth="1"/>
    <col min="6151" max="6151" width="12.5703125" style="216" customWidth="1"/>
    <col min="6152" max="6152" width="11.7109375" style="216" customWidth="1"/>
    <col min="6153" max="6153" width="11" style="216" customWidth="1"/>
    <col min="6154" max="6176" width="8.85546875" style="216" customWidth="1"/>
    <col min="6177" max="6400" width="9.140625" style="216"/>
    <col min="6401" max="6401" width="4.28515625" style="216" customWidth="1"/>
    <col min="6402" max="6402" width="8.7109375" style="216" customWidth="1"/>
    <col min="6403" max="6403" width="5.5703125" style="216" customWidth="1"/>
    <col min="6404" max="6404" width="11.42578125" style="216" customWidth="1"/>
    <col min="6405" max="6405" width="12" style="216" customWidth="1"/>
    <col min="6406" max="6406" width="11.7109375" style="216" customWidth="1"/>
    <col min="6407" max="6407" width="12.5703125" style="216" customWidth="1"/>
    <col min="6408" max="6408" width="11.7109375" style="216" customWidth="1"/>
    <col min="6409" max="6409" width="11" style="216" customWidth="1"/>
    <col min="6410" max="6432" width="8.85546875" style="216" customWidth="1"/>
    <col min="6433" max="6656" width="9.140625" style="216"/>
    <col min="6657" max="6657" width="4.28515625" style="216" customWidth="1"/>
    <col min="6658" max="6658" width="8.7109375" style="216" customWidth="1"/>
    <col min="6659" max="6659" width="5.5703125" style="216" customWidth="1"/>
    <col min="6660" max="6660" width="11.42578125" style="216" customWidth="1"/>
    <col min="6661" max="6661" width="12" style="216" customWidth="1"/>
    <col min="6662" max="6662" width="11.7109375" style="216" customWidth="1"/>
    <col min="6663" max="6663" width="12.5703125" style="216" customWidth="1"/>
    <col min="6664" max="6664" width="11.7109375" style="216" customWidth="1"/>
    <col min="6665" max="6665" width="11" style="216" customWidth="1"/>
    <col min="6666" max="6688" width="8.85546875" style="216" customWidth="1"/>
    <col min="6689" max="6912" width="9.140625" style="216"/>
    <col min="6913" max="6913" width="4.28515625" style="216" customWidth="1"/>
    <col min="6914" max="6914" width="8.7109375" style="216" customWidth="1"/>
    <col min="6915" max="6915" width="5.5703125" style="216" customWidth="1"/>
    <col min="6916" max="6916" width="11.42578125" style="216" customWidth="1"/>
    <col min="6917" max="6917" width="12" style="216" customWidth="1"/>
    <col min="6918" max="6918" width="11.7109375" style="216" customWidth="1"/>
    <col min="6919" max="6919" width="12.5703125" style="216" customWidth="1"/>
    <col min="6920" max="6920" width="11.7109375" style="216" customWidth="1"/>
    <col min="6921" max="6921" width="11" style="216" customWidth="1"/>
    <col min="6922" max="6944" width="8.85546875" style="216" customWidth="1"/>
    <col min="6945" max="7168" width="9.140625" style="216"/>
    <col min="7169" max="7169" width="4.28515625" style="216" customWidth="1"/>
    <col min="7170" max="7170" width="8.7109375" style="216" customWidth="1"/>
    <col min="7171" max="7171" width="5.5703125" style="216" customWidth="1"/>
    <col min="7172" max="7172" width="11.42578125" style="216" customWidth="1"/>
    <col min="7173" max="7173" width="12" style="216" customWidth="1"/>
    <col min="7174" max="7174" width="11.7109375" style="216" customWidth="1"/>
    <col min="7175" max="7175" width="12.5703125" style="216" customWidth="1"/>
    <col min="7176" max="7176" width="11.7109375" style="216" customWidth="1"/>
    <col min="7177" max="7177" width="11" style="216" customWidth="1"/>
    <col min="7178" max="7200" width="8.85546875" style="216" customWidth="1"/>
    <col min="7201" max="7424" width="9.140625" style="216"/>
    <col min="7425" max="7425" width="4.28515625" style="216" customWidth="1"/>
    <col min="7426" max="7426" width="8.7109375" style="216" customWidth="1"/>
    <col min="7427" max="7427" width="5.5703125" style="216" customWidth="1"/>
    <col min="7428" max="7428" width="11.42578125" style="216" customWidth="1"/>
    <col min="7429" max="7429" width="12" style="216" customWidth="1"/>
    <col min="7430" max="7430" width="11.7109375" style="216" customWidth="1"/>
    <col min="7431" max="7431" width="12.5703125" style="216" customWidth="1"/>
    <col min="7432" max="7432" width="11.7109375" style="216" customWidth="1"/>
    <col min="7433" max="7433" width="11" style="216" customWidth="1"/>
    <col min="7434" max="7456" width="8.85546875" style="216" customWidth="1"/>
    <col min="7457" max="7680" width="9.140625" style="216"/>
    <col min="7681" max="7681" width="4.28515625" style="216" customWidth="1"/>
    <col min="7682" max="7682" width="8.7109375" style="216" customWidth="1"/>
    <col min="7683" max="7683" width="5.5703125" style="216" customWidth="1"/>
    <col min="7684" max="7684" width="11.42578125" style="216" customWidth="1"/>
    <col min="7685" max="7685" width="12" style="216" customWidth="1"/>
    <col min="7686" max="7686" width="11.7109375" style="216" customWidth="1"/>
    <col min="7687" max="7687" width="12.5703125" style="216" customWidth="1"/>
    <col min="7688" max="7688" width="11.7109375" style="216" customWidth="1"/>
    <col min="7689" max="7689" width="11" style="216" customWidth="1"/>
    <col min="7690" max="7712" width="8.85546875" style="216" customWidth="1"/>
    <col min="7713" max="7936" width="9.140625" style="216"/>
    <col min="7937" max="7937" width="4.28515625" style="216" customWidth="1"/>
    <col min="7938" max="7938" width="8.7109375" style="216" customWidth="1"/>
    <col min="7939" max="7939" width="5.5703125" style="216" customWidth="1"/>
    <col min="7940" max="7940" width="11.42578125" style="216" customWidth="1"/>
    <col min="7941" max="7941" width="12" style="216" customWidth="1"/>
    <col min="7942" max="7942" width="11.7109375" style="216" customWidth="1"/>
    <col min="7943" max="7943" width="12.5703125" style="216" customWidth="1"/>
    <col min="7944" max="7944" width="11.7109375" style="216" customWidth="1"/>
    <col min="7945" max="7945" width="11" style="216" customWidth="1"/>
    <col min="7946" max="7968" width="8.85546875" style="216" customWidth="1"/>
    <col min="7969" max="8192" width="9.140625" style="216"/>
    <col min="8193" max="8193" width="4.28515625" style="216" customWidth="1"/>
    <col min="8194" max="8194" width="8.7109375" style="216" customWidth="1"/>
    <col min="8195" max="8195" width="5.5703125" style="216" customWidth="1"/>
    <col min="8196" max="8196" width="11.42578125" style="216" customWidth="1"/>
    <col min="8197" max="8197" width="12" style="216" customWidth="1"/>
    <col min="8198" max="8198" width="11.7109375" style="216" customWidth="1"/>
    <col min="8199" max="8199" width="12.5703125" style="216" customWidth="1"/>
    <col min="8200" max="8200" width="11.7109375" style="216" customWidth="1"/>
    <col min="8201" max="8201" width="11" style="216" customWidth="1"/>
    <col min="8202" max="8224" width="8.85546875" style="216" customWidth="1"/>
    <col min="8225" max="8448" width="9.140625" style="216"/>
    <col min="8449" max="8449" width="4.28515625" style="216" customWidth="1"/>
    <col min="8450" max="8450" width="8.7109375" style="216" customWidth="1"/>
    <col min="8451" max="8451" width="5.5703125" style="216" customWidth="1"/>
    <col min="8452" max="8452" width="11.42578125" style="216" customWidth="1"/>
    <col min="8453" max="8453" width="12" style="216" customWidth="1"/>
    <col min="8454" max="8454" width="11.7109375" style="216" customWidth="1"/>
    <col min="8455" max="8455" width="12.5703125" style="216" customWidth="1"/>
    <col min="8456" max="8456" width="11.7109375" style="216" customWidth="1"/>
    <col min="8457" max="8457" width="11" style="216" customWidth="1"/>
    <col min="8458" max="8480" width="8.85546875" style="216" customWidth="1"/>
    <col min="8481" max="8704" width="9.140625" style="216"/>
    <col min="8705" max="8705" width="4.28515625" style="216" customWidth="1"/>
    <col min="8706" max="8706" width="8.7109375" style="216" customWidth="1"/>
    <col min="8707" max="8707" width="5.5703125" style="216" customWidth="1"/>
    <col min="8708" max="8708" width="11.42578125" style="216" customWidth="1"/>
    <col min="8709" max="8709" width="12" style="216" customWidth="1"/>
    <col min="8710" max="8710" width="11.7109375" style="216" customWidth="1"/>
    <col min="8711" max="8711" width="12.5703125" style="216" customWidth="1"/>
    <col min="8712" max="8712" width="11.7109375" style="216" customWidth="1"/>
    <col min="8713" max="8713" width="11" style="216" customWidth="1"/>
    <col min="8714" max="8736" width="8.85546875" style="216" customWidth="1"/>
    <col min="8737" max="8960" width="9.140625" style="216"/>
    <col min="8961" max="8961" width="4.28515625" style="216" customWidth="1"/>
    <col min="8962" max="8962" width="8.7109375" style="216" customWidth="1"/>
    <col min="8963" max="8963" width="5.5703125" style="216" customWidth="1"/>
    <col min="8964" max="8964" width="11.42578125" style="216" customWidth="1"/>
    <col min="8965" max="8965" width="12" style="216" customWidth="1"/>
    <col min="8966" max="8966" width="11.7109375" style="216" customWidth="1"/>
    <col min="8967" max="8967" width="12.5703125" style="216" customWidth="1"/>
    <col min="8968" max="8968" width="11.7109375" style="216" customWidth="1"/>
    <col min="8969" max="8969" width="11" style="216" customWidth="1"/>
    <col min="8970" max="8992" width="8.85546875" style="216" customWidth="1"/>
    <col min="8993" max="9216" width="9.140625" style="216"/>
    <col min="9217" max="9217" width="4.28515625" style="216" customWidth="1"/>
    <col min="9218" max="9218" width="8.7109375" style="216" customWidth="1"/>
    <col min="9219" max="9219" width="5.5703125" style="216" customWidth="1"/>
    <col min="9220" max="9220" width="11.42578125" style="216" customWidth="1"/>
    <col min="9221" max="9221" width="12" style="216" customWidth="1"/>
    <col min="9222" max="9222" width="11.7109375" style="216" customWidth="1"/>
    <col min="9223" max="9223" width="12.5703125" style="216" customWidth="1"/>
    <col min="9224" max="9224" width="11.7109375" style="216" customWidth="1"/>
    <col min="9225" max="9225" width="11" style="216" customWidth="1"/>
    <col min="9226" max="9248" width="8.85546875" style="216" customWidth="1"/>
    <col min="9249" max="9472" width="9.140625" style="216"/>
    <col min="9473" max="9473" width="4.28515625" style="216" customWidth="1"/>
    <col min="9474" max="9474" width="8.7109375" style="216" customWidth="1"/>
    <col min="9475" max="9475" width="5.5703125" style="216" customWidth="1"/>
    <col min="9476" max="9476" width="11.42578125" style="216" customWidth="1"/>
    <col min="9477" max="9477" width="12" style="216" customWidth="1"/>
    <col min="9478" max="9478" width="11.7109375" style="216" customWidth="1"/>
    <col min="9479" max="9479" width="12.5703125" style="216" customWidth="1"/>
    <col min="9480" max="9480" width="11.7109375" style="216" customWidth="1"/>
    <col min="9481" max="9481" width="11" style="216" customWidth="1"/>
    <col min="9482" max="9504" width="8.85546875" style="216" customWidth="1"/>
    <col min="9505" max="9728" width="9.140625" style="216"/>
    <col min="9729" max="9729" width="4.28515625" style="216" customWidth="1"/>
    <col min="9730" max="9730" width="8.7109375" style="216" customWidth="1"/>
    <col min="9731" max="9731" width="5.5703125" style="216" customWidth="1"/>
    <col min="9732" max="9732" width="11.42578125" style="216" customWidth="1"/>
    <col min="9733" max="9733" width="12" style="216" customWidth="1"/>
    <col min="9734" max="9734" width="11.7109375" style="216" customWidth="1"/>
    <col min="9735" max="9735" width="12.5703125" style="216" customWidth="1"/>
    <col min="9736" max="9736" width="11.7109375" style="216" customWidth="1"/>
    <col min="9737" max="9737" width="11" style="216" customWidth="1"/>
    <col min="9738" max="9760" width="8.85546875" style="216" customWidth="1"/>
    <col min="9761" max="9984" width="9.140625" style="216"/>
    <col min="9985" max="9985" width="4.28515625" style="216" customWidth="1"/>
    <col min="9986" max="9986" width="8.7109375" style="216" customWidth="1"/>
    <col min="9987" max="9987" width="5.5703125" style="216" customWidth="1"/>
    <col min="9988" max="9988" width="11.42578125" style="216" customWidth="1"/>
    <col min="9989" max="9989" width="12" style="216" customWidth="1"/>
    <col min="9990" max="9990" width="11.7109375" style="216" customWidth="1"/>
    <col min="9991" max="9991" width="12.5703125" style="216" customWidth="1"/>
    <col min="9992" max="9992" width="11.7109375" style="216" customWidth="1"/>
    <col min="9993" max="9993" width="11" style="216" customWidth="1"/>
    <col min="9994" max="10016" width="8.85546875" style="216" customWidth="1"/>
    <col min="10017" max="10240" width="9.140625" style="216"/>
    <col min="10241" max="10241" width="4.28515625" style="216" customWidth="1"/>
    <col min="10242" max="10242" width="8.7109375" style="216" customWidth="1"/>
    <col min="10243" max="10243" width="5.5703125" style="216" customWidth="1"/>
    <col min="10244" max="10244" width="11.42578125" style="216" customWidth="1"/>
    <col min="10245" max="10245" width="12" style="216" customWidth="1"/>
    <col min="10246" max="10246" width="11.7109375" style="216" customWidth="1"/>
    <col min="10247" max="10247" width="12.5703125" style="216" customWidth="1"/>
    <col min="10248" max="10248" width="11.7109375" style="216" customWidth="1"/>
    <col min="10249" max="10249" width="11" style="216" customWidth="1"/>
    <col min="10250" max="10272" width="8.85546875" style="216" customWidth="1"/>
    <col min="10273" max="10496" width="9.140625" style="216"/>
    <col min="10497" max="10497" width="4.28515625" style="216" customWidth="1"/>
    <col min="10498" max="10498" width="8.7109375" style="216" customWidth="1"/>
    <col min="10499" max="10499" width="5.5703125" style="216" customWidth="1"/>
    <col min="10500" max="10500" width="11.42578125" style="216" customWidth="1"/>
    <col min="10501" max="10501" width="12" style="216" customWidth="1"/>
    <col min="10502" max="10502" width="11.7109375" style="216" customWidth="1"/>
    <col min="10503" max="10503" width="12.5703125" style="216" customWidth="1"/>
    <col min="10504" max="10504" width="11.7109375" style="216" customWidth="1"/>
    <col min="10505" max="10505" width="11" style="216" customWidth="1"/>
    <col min="10506" max="10528" width="8.85546875" style="216" customWidth="1"/>
    <col min="10529" max="10752" width="9.140625" style="216"/>
    <col min="10753" max="10753" width="4.28515625" style="216" customWidth="1"/>
    <col min="10754" max="10754" width="8.7109375" style="216" customWidth="1"/>
    <col min="10755" max="10755" width="5.5703125" style="216" customWidth="1"/>
    <col min="10756" max="10756" width="11.42578125" style="216" customWidth="1"/>
    <col min="10757" max="10757" width="12" style="216" customWidth="1"/>
    <col min="10758" max="10758" width="11.7109375" style="216" customWidth="1"/>
    <col min="10759" max="10759" width="12.5703125" style="216" customWidth="1"/>
    <col min="10760" max="10760" width="11.7109375" style="216" customWidth="1"/>
    <col min="10761" max="10761" width="11" style="216" customWidth="1"/>
    <col min="10762" max="10784" width="8.85546875" style="216" customWidth="1"/>
    <col min="10785" max="11008" width="9.140625" style="216"/>
    <col min="11009" max="11009" width="4.28515625" style="216" customWidth="1"/>
    <col min="11010" max="11010" width="8.7109375" style="216" customWidth="1"/>
    <col min="11011" max="11011" width="5.5703125" style="216" customWidth="1"/>
    <col min="11012" max="11012" width="11.42578125" style="216" customWidth="1"/>
    <col min="11013" max="11013" width="12" style="216" customWidth="1"/>
    <col min="11014" max="11014" width="11.7109375" style="216" customWidth="1"/>
    <col min="11015" max="11015" width="12.5703125" style="216" customWidth="1"/>
    <col min="11016" max="11016" width="11.7109375" style="216" customWidth="1"/>
    <col min="11017" max="11017" width="11" style="216" customWidth="1"/>
    <col min="11018" max="11040" width="8.85546875" style="216" customWidth="1"/>
    <col min="11041" max="11264" width="9.140625" style="216"/>
    <col min="11265" max="11265" width="4.28515625" style="216" customWidth="1"/>
    <col min="11266" max="11266" width="8.7109375" style="216" customWidth="1"/>
    <col min="11267" max="11267" width="5.5703125" style="216" customWidth="1"/>
    <col min="11268" max="11268" width="11.42578125" style="216" customWidth="1"/>
    <col min="11269" max="11269" width="12" style="216" customWidth="1"/>
    <col min="11270" max="11270" width="11.7109375" style="216" customWidth="1"/>
    <col min="11271" max="11271" width="12.5703125" style="216" customWidth="1"/>
    <col min="11272" max="11272" width="11.7109375" style="216" customWidth="1"/>
    <col min="11273" max="11273" width="11" style="216" customWidth="1"/>
    <col min="11274" max="11296" width="8.85546875" style="216" customWidth="1"/>
    <col min="11297" max="11520" width="9.140625" style="216"/>
    <col min="11521" max="11521" width="4.28515625" style="216" customWidth="1"/>
    <col min="11522" max="11522" width="8.7109375" style="216" customWidth="1"/>
    <col min="11523" max="11523" width="5.5703125" style="216" customWidth="1"/>
    <col min="11524" max="11524" width="11.42578125" style="216" customWidth="1"/>
    <col min="11525" max="11525" width="12" style="216" customWidth="1"/>
    <col min="11526" max="11526" width="11.7109375" style="216" customWidth="1"/>
    <col min="11527" max="11527" width="12.5703125" style="216" customWidth="1"/>
    <col min="11528" max="11528" width="11.7109375" style="216" customWidth="1"/>
    <col min="11529" max="11529" width="11" style="216" customWidth="1"/>
    <col min="11530" max="11552" width="8.85546875" style="216" customWidth="1"/>
    <col min="11553" max="11776" width="9.140625" style="216"/>
    <col min="11777" max="11777" width="4.28515625" style="216" customWidth="1"/>
    <col min="11778" max="11778" width="8.7109375" style="216" customWidth="1"/>
    <col min="11779" max="11779" width="5.5703125" style="216" customWidth="1"/>
    <col min="11780" max="11780" width="11.42578125" style="216" customWidth="1"/>
    <col min="11781" max="11781" width="12" style="216" customWidth="1"/>
    <col min="11782" max="11782" width="11.7109375" style="216" customWidth="1"/>
    <col min="11783" max="11783" width="12.5703125" style="216" customWidth="1"/>
    <col min="11784" max="11784" width="11.7109375" style="216" customWidth="1"/>
    <col min="11785" max="11785" width="11" style="216" customWidth="1"/>
    <col min="11786" max="11808" width="8.85546875" style="216" customWidth="1"/>
    <col min="11809" max="12032" width="9.140625" style="216"/>
    <col min="12033" max="12033" width="4.28515625" style="216" customWidth="1"/>
    <col min="12034" max="12034" width="8.7109375" style="216" customWidth="1"/>
    <col min="12035" max="12035" width="5.5703125" style="216" customWidth="1"/>
    <col min="12036" max="12036" width="11.42578125" style="216" customWidth="1"/>
    <col min="12037" max="12037" width="12" style="216" customWidth="1"/>
    <col min="12038" max="12038" width="11.7109375" style="216" customWidth="1"/>
    <col min="12039" max="12039" width="12.5703125" style="216" customWidth="1"/>
    <col min="12040" max="12040" width="11.7109375" style="216" customWidth="1"/>
    <col min="12041" max="12041" width="11" style="216" customWidth="1"/>
    <col min="12042" max="12064" width="8.85546875" style="216" customWidth="1"/>
    <col min="12065" max="12288" width="9.140625" style="216"/>
    <col min="12289" max="12289" width="4.28515625" style="216" customWidth="1"/>
    <col min="12290" max="12290" width="8.7109375" style="216" customWidth="1"/>
    <col min="12291" max="12291" width="5.5703125" style="216" customWidth="1"/>
    <col min="12292" max="12292" width="11.42578125" style="216" customWidth="1"/>
    <col min="12293" max="12293" width="12" style="216" customWidth="1"/>
    <col min="12294" max="12294" width="11.7109375" style="216" customWidth="1"/>
    <col min="12295" max="12295" width="12.5703125" style="216" customWidth="1"/>
    <col min="12296" max="12296" width="11.7109375" style="216" customWidth="1"/>
    <col min="12297" max="12297" width="11" style="216" customWidth="1"/>
    <col min="12298" max="12320" width="8.85546875" style="216" customWidth="1"/>
    <col min="12321" max="12544" width="9.140625" style="216"/>
    <col min="12545" max="12545" width="4.28515625" style="216" customWidth="1"/>
    <col min="12546" max="12546" width="8.7109375" style="216" customWidth="1"/>
    <col min="12547" max="12547" width="5.5703125" style="216" customWidth="1"/>
    <col min="12548" max="12548" width="11.42578125" style="216" customWidth="1"/>
    <col min="12549" max="12549" width="12" style="216" customWidth="1"/>
    <col min="12550" max="12550" width="11.7109375" style="216" customWidth="1"/>
    <col min="12551" max="12551" width="12.5703125" style="216" customWidth="1"/>
    <col min="12552" max="12552" width="11.7109375" style="216" customWidth="1"/>
    <col min="12553" max="12553" width="11" style="216" customWidth="1"/>
    <col min="12554" max="12576" width="8.85546875" style="216" customWidth="1"/>
    <col min="12577" max="12800" width="9.140625" style="216"/>
    <col min="12801" max="12801" width="4.28515625" style="216" customWidth="1"/>
    <col min="12802" max="12802" width="8.7109375" style="216" customWidth="1"/>
    <col min="12803" max="12803" width="5.5703125" style="216" customWidth="1"/>
    <col min="12804" max="12804" width="11.42578125" style="216" customWidth="1"/>
    <col min="12805" max="12805" width="12" style="216" customWidth="1"/>
    <col min="12806" max="12806" width="11.7109375" style="216" customWidth="1"/>
    <col min="12807" max="12807" width="12.5703125" style="216" customWidth="1"/>
    <col min="12808" max="12808" width="11.7109375" style="216" customWidth="1"/>
    <col min="12809" max="12809" width="11" style="216" customWidth="1"/>
    <col min="12810" max="12832" width="8.85546875" style="216" customWidth="1"/>
    <col min="12833" max="13056" width="9.140625" style="216"/>
    <col min="13057" max="13057" width="4.28515625" style="216" customWidth="1"/>
    <col min="13058" max="13058" width="8.7109375" style="216" customWidth="1"/>
    <col min="13059" max="13059" width="5.5703125" style="216" customWidth="1"/>
    <col min="13060" max="13060" width="11.42578125" style="216" customWidth="1"/>
    <col min="13061" max="13061" width="12" style="216" customWidth="1"/>
    <col min="13062" max="13062" width="11.7109375" style="216" customWidth="1"/>
    <col min="13063" max="13063" width="12.5703125" style="216" customWidth="1"/>
    <col min="13064" max="13064" width="11.7109375" style="216" customWidth="1"/>
    <col min="13065" max="13065" width="11" style="216" customWidth="1"/>
    <col min="13066" max="13088" width="8.85546875" style="216" customWidth="1"/>
    <col min="13089" max="13312" width="9.140625" style="216"/>
    <col min="13313" max="13313" width="4.28515625" style="216" customWidth="1"/>
    <col min="13314" max="13314" width="8.7109375" style="216" customWidth="1"/>
    <col min="13315" max="13315" width="5.5703125" style="216" customWidth="1"/>
    <col min="13316" max="13316" width="11.42578125" style="216" customWidth="1"/>
    <col min="13317" max="13317" width="12" style="216" customWidth="1"/>
    <col min="13318" max="13318" width="11.7109375" style="216" customWidth="1"/>
    <col min="13319" max="13319" width="12.5703125" style="216" customWidth="1"/>
    <col min="13320" max="13320" width="11.7109375" style="216" customWidth="1"/>
    <col min="13321" max="13321" width="11" style="216" customWidth="1"/>
    <col min="13322" max="13344" width="8.85546875" style="216" customWidth="1"/>
    <col min="13345" max="13568" width="9.140625" style="216"/>
    <col min="13569" max="13569" width="4.28515625" style="216" customWidth="1"/>
    <col min="13570" max="13570" width="8.7109375" style="216" customWidth="1"/>
    <col min="13571" max="13571" width="5.5703125" style="216" customWidth="1"/>
    <col min="13572" max="13572" width="11.42578125" style="216" customWidth="1"/>
    <col min="13573" max="13573" width="12" style="216" customWidth="1"/>
    <col min="13574" max="13574" width="11.7109375" style="216" customWidth="1"/>
    <col min="13575" max="13575" width="12.5703125" style="216" customWidth="1"/>
    <col min="13576" max="13576" width="11.7109375" style="216" customWidth="1"/>
    <col min="13577" max="13577" width="11" style="216" customWidth="1"/>
    <col min="13578" max="13600" width="8.85546875" style="216" customWidth="1"/>
    <col min="13601" max="13824" width="9.140625" style="216"/>
    <col min="13825" max="13825" width="4.28515625" style="216" customWidth="1"/>
    <col min="13826" max="13826" width="8.7109375" style="216" customWidth="1"/>
    <col min="13827" max="13827" width="5.5703125" style="216" customWidth="1"/>
    <col min="13828" max="13828" width="11.42578125" style="216" customWidth="1"/>
    <col min="13829" max="13829" width="12" style="216" customWidth="1"/>
    <col min="13830" max="13830" width="11.7109375" style="216" customWidth="1"/>
    <col min="13831" max="13831" width="12.5703125" style="216" customWidth="1"/>
    <col min="13832" max="13832" width="11.7109375" style="216" customWidth="1"/>
    <col min="13833" max="13833" width="11" style="216" customWidth="1"/>
    <col min="13834" max="13856" width="8.85546875" style="216" customWidth="1"/>
    <col min="13857" max="14080" width="9.140625" style="216"/>
    <col min="14081" max="14081" width="4.28515625" style="216" customWidth="1"/>
    <col min="14082" max="14082" width="8.7109375" style="216" customWidth="1"/>
    <col min="14083" max="14083" width="5.5703125" style="216" customWidth="1"/>
    <col min="14084" max="14084" width="11.42578125" style="216" customWidth="1"/>
    <col min="14085" max="14085" width="12" style="216" customWidth="1"/>
    <col min="14086" max="14086" width="11.7109375" style="216" customWidth="1"/>
    <col min="14087" max="14087" width="12.5703125" style="216" customWidth="1"/>
    <col min="14088" max="14088" width="11.7109375" style="216" customWidth="1"/>
    <col min="14089" max="14089" width="11" style="216" customWidth="1"/>
    <col min="14090" max="14112" width="8.85546875" style="216" customWidth="1"/>
    <col min="14113" max="14336" width="9.140625" style="216"/>
    <col min="14337" max="14337" width="4.28515625" style="216" customWidth="1"/>
    <col min="14338" max="14338" width="8.7109375" style="216" customWidth="1"/>
    <col min="14339" max="14339" width="5.5703125" style="216" customWidth="1"/>
    <col min="14340" max="14340" width="11.42578125" style="216" customWidth="1"/>
    <col min="14341" max="14341" width="12" style="216" customWidth="1"/>
    <col min="14342" max="14342" width="11.7109375" style="216" customWidth="1"/>
    <col min="14343" max="14343" width="12.5703125" style="216" customWidth="1"/>
    <col min="14344" max="14344" width="11.7109375" style="216" customWidth="1"/>
    <col min="14345" max="14345" width="11" style="216" customWidth="1"/>
    <col min="14346" max="14368" width="8.85546875" style="216" customWidth="1"/>
    <col min="14369" max="14592" width="9.140625" style="216"/>
    <col min="14593" max="14593" width="4.28515625" style="216" customWidth="1"/>
    <col min="14594" max="14594" width="8.7109375" style="216" customWidth="1"/>
    <col min="14595" max="14595" width="5.5703125" style="216" customWidth="1"/>
    <col min="14596" max="14596" width="11.42578125" style="216" customWidth="1"/>
    <col min="14597" max="14597" width="12" style="216" customWidth="1"/>
    <col min="14598" max="14598" width="11.7109375" style="216" customWidth="1"/>
    <col min="14599" max="14599" width="12.5703125" style="216" customWidth="1"/>
    <col min="14600" max="14600" width="11.7109375" style="216" customWidth="1"/>
    <col min="14601" max="14601" width="11" style="216" customWidth="1"/>
    <col min="14602" max="14624" width="8.85546875" style="216" customWidth="1"/>
    <col min="14625" max="14848" width="9.140625" style="216"/>
    <col min="14849" max="14849" width="4.28515625" style="216" customWidth="1"/>
    <col min="14850" max="14850" width="8.7109375" style="216" customWidth="1"/>
    <col min="14851" max="14851" width="5.5703125" style="216" customWidth="1"/>
    <col min="14852" max="14852" width="11.42578125" style="216" customWidth="1"/>
    <col min="14853" max="14853" width="12" style="216" customWidth="1"/>
    <col min="14854" max="14854" width="11.7109375" style="216" customWidth="1"/>
    <col min="14855" max="14855" width="12.5703125" style="216" customWidth="1"/>
    <col min="14856" max="14856" width="11.7109375" style="216" customWidth="1"/>
    <col min="14857" max="14857" width="11" style="216" customWidth="1"/>
    <col min="14858" max="14880" width="8.85546875" style="216" customWidth="1"/>
    <col min="14881" max="15104" width="9.140625" style="216"/>
    <col min="15105" max="15105" width="4.28515625" style="216" customWidth="1"/>
    <col min="15106" max="15106" width="8.7109375" style="216" customWidth="1"/>
    <col min="15107" max="15107" width="5.5703125" style="216" customWidth="1"/>
    <col min="15108" max="15108" width="11.42578125" style="216" customWidth="1"/>
    <col min="15109" max="15109" width="12" style="216" customWidth="1"/>
    <col min="15110" max="15110" width="11.7109375" style="216" customWidth="1"/>
    <col min="15111" max="15111" width="12.5703125" style="216" customWidth="1"/>
    <col min="15112" max="15112" width="11.7109375" style="216" customWidth="1"/>
    <col min="15113" max="15113" width="11" style="216" customWidth="1"/>
    <col min="15114" max="15136" width="8.85546875" style="216" customWidth="1"/>
    <col min="15137" max="15360" width="9.140625" style="216"/>
    <col min="15361" max="15361" width="4.28515625" style="216" customWidth="1"/>
    <col min="15362" max="15362" width="8.7109375" style="216" customWidth="1"/>
    <col min="15363" max="15363" width="5.5703125" style="216" customWidth="1"/>
    <col min="15364" max="15364" width="11.42578125" style="216" customWidth="1"/>
    <col min="15365" max="15365" width="12" style="216" customWidth="1"/>
    <col min="15366" max="15366" width="11.7109375" style="216" customWidth="1"/>
    <col min="15367" max="15367" width="12.5703125" style="216" customWidth="1"/>
    <col min="15368" max="15368" width="11.7109375" style="216" customWidth="1"/>
    <col min="15369" max="15369" width="11" style="216" customWidth="1"/>
    <col min="15370" max="15392" width="8.85546875" style="216" customWidth="1"/>
    <col min="15393" max="15616" width="9.140625" style="216"/>
    <col min="15617" max="15617" width="4.28515625" style="216" customWidth="1"/>
    <col min="15618" max="15618" width="8.7109375" style="216" customWidth="1"/>
    <col min="15619" max="15619" width="5.5703125" style="216" customWidth="1"/>
    <col min="15620" max="15620" width="11.42578125" style="216" customWidth="1"/>
    <col min="15621" max="15621" width="12" style="216" customWidth="1"/>
    <col min="15622" max="15622" width="11.7109375" style="216" customWidth="1"/>
    <col min="15623" max="15623" width="12.5703125" style="216" customWidth="1"/>
    <col min="15624" max="15624" width="11.7109375" style="216" customWidth="1"/>
    <col min="15625" max="15625" width="11" style="216" customWidth="1"/>
    <col min="15626" max="15648" width="8.85546875" style="216" customWidth="1"/>
    <col min="15649" max="15872" width="9.140625" style="216"/>
    <col min="15873" max="15873" width="4.28515625" style="216" customWidth="1"/>
    <col min="15874" max="15874" width="8.7109375" style="216" customWidth="1"/>
    <col min="15875" max="15875" width="5.5703125" style="216" customWidth="1"/>
    <col min="15876" max="15876" width="11.42578125" style="216" customWidth="1"/>
    <col min="15877" max="15877" width="12" style="216" customWidth="1"/>
    <col min="15878" max="15878" width="11.7109375" style="216" customWidth="1"/>
    <col min="15879" max="15879" width="12.5703125" style="216" customWidth="1"/>
    <col min="15880" max="15880" width="11.7109375" style="216" customWidth="1"/>
    <col min="15881" max="15881" width="11" style="216" customWidth="1"/>
    <col min="15882" max="15904" width="8.85546875" style="216" customWidth="1"/>
    <col min="15905" max="16128" width="9.140625" style="216"/>
    <col min="16129" max="16129" width="4.28515625" style="216" customWidth="1"/>
    <col min="16130" max="16130" width="8.7109375" style="216" customWidth="1"/>
    <col min="16131" max="16131" width="5.5703125" style="216" customWidth="1"/>
    <col min="16132" max="16132" width="11.42578125" style="216" customWidth="1"/>
    <col min="16133" max="16133" width="12" style="216" customWidth="1"/>
    <col min="16134" max="16134" width="11.7109375" style="216" customWidth="1"/>
    <col min="16135" max="16135" width="12.5703125" style="216" customWidth="1"/>
    <col min="16136" max="16136" width="11.7109375" style="216" customWidth="1"/>
    <col min="16137" max="16137" width="11" style="216" customWidth="1"/>
    <col min="16138" max="16160" width="8.85546875" style="216" customWidth="1"/>
    <col min="16161" max="16384" width="9.140625" style="216"/>
  </cols>
  <sheetData>
    <row r="1" spans="1:32" ht="12.75" x14ac:dyDescent="0.25">
      <c r="G1" s="217"/>
      <c r="H1" s="218" t="s">
        <v>132</v>
      </c>
    </row>
    <row r="2" spans="1:32" ht="12.75" x14ac:dyDescent="0.25">
      <c r="G2" s="217"/>
      <c r="H2" s="218" t="s">
        <v>39</v>
      </c>
    </row>
    <row r="3" spans="1:32" ht="12.75" x14ac:dyDescent="0.25">
      <c r="G3" s="217"/>
      <c r="H3" s="220" t="s">
        <v>1</v>
      </c>
    </row>
    <row r="4" spans="1:32" s="221" customFormat="1" ht="13.5" x14ac:dyDescent="0.25">
      <c r="G4" s="222"/>
      <c r="H4" s="218" t="s">
        <v>40</v>
      </c>
      <c r="I4" s="222"/>
      <c r="J4" s="222"/>
      <c r="K4" s="222"/>
      <c r="L4" s="222"/>
      <c r="M4" s="222"/>
      <c r="N4" s="222"/>
      <c r="O4" s="222"/>
      <c r="P4" s="222"/>
      <c r="Q4" s="222"/>
      <c r="R4" s="222"/>
      <c r="S4" s="222"/>
      <c r="T4" s="222"/>
      <c r="U4" s="222"/>
      <c r="V4" s="222"/>
      <c r="W4" s="222"/>
      <c r="X4" s="222"/>
      <c r="Y4" s="222"/>
      <c r="Z4" s="222"/>
      <c r="AA4" s="222"/>
      <c r="AB4" s="222"/>
      <c r="AC4" s="222"/>
      <c r="AD4" s="222"/>
      <c r="AE4" s="222"/>
      <c r="AF4" s="222"/>
    </row>
    <row r="5" spans="1:32" s="221" customFormat="1" ht="13.5" x14ac:dyDescent="0.25"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2"/>
      <c r="X5" s="222"/>
      <c r="Y5" s="222"/>
      <c r="Z5" s="222"/>
      <c r="AA5" s="222"/>
      <c r="AB5" s="222"/>
      <c r="AC5" s="222"/>
      <c r="AD5" s="222"/>
      <c r="AE5" s="222"/>
      <c r="AF5" s="222"/>
    </row>
    <row r="6" spans="1:32" s="221" customFormat="1" ht="13.5" x14ac:dyDescent="0.25">
      <c r="H6" s="222"/>
      <c r="I6" s="222"/>
      <c r="J6" s="222"/>
      <c r="K6" s="222"/>
      <c r="L6" s="222"/>
      <c r="M6" s="222"/>
      <c r="N6" s="222"/>
      <c r="O6" s="222"/>
      <c r="P6" s="222"/>
      <c r="Q6" s="222"/>
      <c r="R6" s="222"/>
      <c r="S6" s="222"/>
      <c r="T6" s="222"/>
      <c r="U6" s="222"/>
      <c r="V6" s="222"/>
      <c r="W6" s="222"/>
      <c r="X6" s="222"/>
      <c r="Y6" s="222"/>
      <c r="Z6" s="222"/>
      <c r="AA6" s="222"/>
      <c r="AB6" s="222"/>
      <c r="AC6" s="222"/>
      <c r="AD6" s="222"/>
      <c r="AE6" s="222"/>
      <c r="AF6" s="222"/>
    </row>
    <row r="7" spans="1:32" s="221" customFormat="1" ht="35.25" customHeight="1" x14ac:dyDescent="0.25">
      <c r="A7" s="223" t="s">
        <v>133</v>
      </c>
      <c r="B7" s="223"/>
      <c r="C7" s="223"/>
      <c r="D7" s="223"/>
      <c r="E7" s="223"/>
      <c r="F7" s="223"/>
      <c r="G7" s="223"/>
      <c r="H7" s="223"/>
      <c r="I7" s="223"/>
      <c r="J7" s="222"/>
      <c r="K7" s="222"/>
      <c r="L7" s="222"/>
      <c r="M7" s="222"/>
      <c r="N7" s="222"/>
      <c r="O7" s="222"/>
      <c r="P7" s="222"/>
      <c r="Q7" s="222"/>
      <c r="R7" s="222"/>
      <c r="S7" s="222"/>
      <c r="T7" s="222"/>
      <c r="U7" s="222"/>
      <c r="V7" s="222"/>
      <c r="W7" s="222"/>
      <c r="X7" s="222"/>
      <c r="Y7" s="222"/>
      <c r="Z7" s="222"/>
      <c r="AA7" s="222"/>
      <c r="AB7" s="222"/>
      <c r="AC7" s="222"/>
      <c r="AD7" s="222"/>
      <c r="AE7" s="222"/>
      <c r="AF7" s="222"/>
    </row>
    <row r="8" spans="1:32" s="221" customFormat="1" ht="18" customHeight="1" x14ac:dyDescent="0.25">
      <c r="A8" s="224"/>
      <c r="B8" s="224"/>
      <c r="C8" s="224"/>
      <c r="D8" s="224"/>
      <c r="E8" s="224"/>
      <c r="F8" s="224"/>
      <c r="G8" s="224"/>
      <c r="H8" s="224"/>
      <c r="I8" s="224"/>
      <c r="J8" s="222"/>
      <c r="K8" s="222"/>
      <c r="L8" s="222"/>
      <c r="M8" s="222"/>
      <c r="N8" s="222"/>
      <c r="O8" s="222"/>
      <c r="P8" s="222"/>
      <c r="Q8" s="222"/>
      <c r="R8" s="222"/>
      <c r="S8" s="222"/>
      <c r="T8" s="222"/>
      <c r="U8" s="222"/>
      <c r="V8" s="222"/>
      <c r="W8" s="222"/>
      <c r="X8" s="222"/>
      <c r="Y8" s="222"/>
      <c r="Z8" s="222"/>
      <c r="AA8" s="222"/>
      <c r="AB8" s="222"/>
      <c r="AC8" s="222"/>
      <c r="AD8" s="222"/>
      <c r="AE8" s="222"/>
      <c r="AF8" s="222"/>
    </row>
    <row r="9" spans="1:32" s="221" customFormat="1" ht="13.5" customHeight="1" x14ac:dyDescent="0.25">
      <c r="H9" s="222"/>
      <c r="I9" s="225" t="s">
        <v>44</v>
      </c>
      <c r="J9" s="222"/>
      <c r="K9" s="222"/>
      <c r="L9" s="222"/>
      <c r="M9" s="222"/>
      <c r="N9" s="222"/>
      <c r="O9" s="222"/>
      <c r="P9" s="222"/>
      <c r="Q9" s="222"/>
      <c r="R9" s="222"/>
      <c r="S9" s="222"/>
      <c r="T9" s="222"/>
      <c r="U9" s="222"/>
      <c r="V9" s="222"/>
      <c r="W9" s="222"/>
      <c r="X9" s="222"/>
      <c r="Y9" s="222"/>
      <c r="Z9" s="222"/>
      <c r="AA9" s="222"/>
      <c r="AB9" s="222"/>
      <c r="AC9" s="222"/>
      <c r="AD9" s="222"/>
      <c r="AE9" s="222"/>
      <c r="AF9" s="222"/>
    </row>
    <row r="10" spans="1:32" s="221" customFormat="1" ht="13.5" customHeight="1" x14ac:dyDescent="0.25">
      <c r="A10" s="226"/>
      <c r="B10" s="226"/>
      <c r="C10" s="226"/>
      <c r="D10" s="227"/>
      <c r="E10" s="227"/>
      <c r="F10" s="228" t="s">
        <v>134</v>
      </c>
      <c r="G10" s="229"/>
      <c r="H10" s="229"/>
      <c r="I10" s="230"/>
      <c r="J10" s="222"/>
      <c r="K10" s="222"/>
      <c r="L10" s="222"/>
      <c r="M10" s="222"/>
      <c r="N10" s="222"/>
      <c r="O10" s="222"/>
      <c r="P10" s="222"/>
      <c r="Q10" s="222"/>
      <c r="R10" s="222"/>
      <c r="S10" s="222"/>
      <c r="T10" s="222"/>
      <c r="U10" s="222"/>
      <c r="V10" s="222"/>
      <c r="W10" s="222"/>
      <c r="X10" s="222"/>
      <c r="Y10" s="222"/>
      <c r="Z10" s="222"/>
      <c r="AA10" s="222"/>
      <c r="AB10" s="222"/>
      <c r="AC10" s="222"/>
      <c r="AD10" s="222"/>
      <c r="AE10" s="222"/>
      <c r="AF10" s="222"/>
    </row>
    <row r="11" spans="1:32" s="221" customFormat="1" ht="33.75" customHeight="1" x14ac:dyDescent="0.25">
      <c r="A11" s="231" t="s">
        <v>65</v>
      </c>
      <c r="B11" s="231" t="s">
        <v>135</v>
      </c>
      <c r="C11" s="231" t="s">
        <v>66</v>
      </c>
      <c r="D11" s="232" t="s">
        <v>136</v>
      </c>
      <c r="E11" s="232" t="s">
        <v>137</v>
      </c>
      <c r="F11" s="227"/>
      <c r="G11" s="228" t="s">
        <v>108</v>
      </c>
      <c r="H11" s="230"/>
      <c r="I11" s="227"/>
      <c r="J11" s="222"/>
      <c r="K11" s="222"/>
      <c r="L11" s="222"/>
      <c r="M11" s="222"/>
      <c r="N11" s="222"/>
      <c r="O11" s="222"/>
      <c r="P11" s="222"/>
      <c r="Q11" s="222"/>
      <c r="R11" s="222"/>
      <c r="S11" s="222"/>
      <c r="T11" s="222"/>
      <c r="U11" s="222"/>
      <c r="V11" s="222"/>
      <c r="W11" s="222"/>
      <c r="X11" s="222"/>
      <c r="Y11" s="222"/>
      <c r="Z11" s="222"/>
      <c r="AA11" s="222"/>
      <c r="AB11" s="222"/>
      <c r="AC11" s="222"/>
      <c r="AD11" s="222"/>
      <c r="AE11" s="222"/>
      <c r="AF11" s="222"/>
    </row>
    <row r="12" spans="1:32" s="221" customFormat="1" ht="39.75" customHeight="1" x14ac:dyDescent="0.25">
      <c r="A12" s="233"/>
      <c r="B12" s="233"/>
      <c r="C12" s="233"/>
      <c r="D12" s="233"/>
      <c r="E12" s="234"/>
      <c r="F12" s="235" t="s">
        <v>138</v>
      </c>
      <c r="G12" s="236" t="s">
        <v>139</v>
      </c>
      <c r="H12" s="236" t="s">
        <v>140</v>
      </c>
      <c r="I12" s="235" t="s">
        <v>141</v>
      </c>
      <c r="J12" s="222"/>
      <c r="K12" s="222"/>
      <c r="L12" s="222"/>
      <c r="M12" s="222"/>
      <c r="N12" s="222"/>
      <c r="O12" s="222"/>
      <c r="P12" s="222"/>
      <c r="Q12" s="222"/>
      <c r="R12" s="222"/>
      <c r="S12" s="222"/>
      <c r="T12" s="222"/>
      <c r="U12" s="222"/>
      <c r="V12" s="222"/>
      <c r="W12" s="222"/>
      <c r="X12" s="222"/>
      <c r="Y12" s="222"/>
      <c r="Z12" s="222"/>
      <c r="AA12" s="222"/>
      <c r="AB12" s="222"/>
      <c r="AC12" s="222"/>
      <c r="AD12" s="222"/>
      <c r="AE12" s="222"/>
      <c r="AF12" s="222"/>
    </row>
    <row r="13" spans="1:32" s="239" customFormat="1" ht="10.5" customHeight="1" x14ac:dyDescent="0.25">
      <c r="A13" s="237">
        <v>1</v>
      </c>
      <c r="B13" s="237">
        <v>2</v>
      </c>
      <c r="C13" s="237">
        <v>3</v>
      </c>
      <c r="D13" s="237">
        <v>4</v>
      </c>
      <c r="E13" s="237">
        <v>5</v>
      </c>
      <c r="F13" s="237">
        <v>6</v>
      </c>
      <c r="G13" s="237">
        <v>7</v>
      </c>
      <c r="H13" s="237">
        <v>8</v>
      </c>
      <c r="I13" s="237">
        <v>9</v>
      </c>
      <c r="J13" s="238"/>
      <c r="K13" s="238"/>
      <c r="L13" s="238"/>
      <c r="M13" s="238"/>
      <c r="N13" s="238"/>
      <c r="O13" s="238"/>
      <c r="P13" s="238"/>
      <c r="Q13" s="238"/>
      <c r="R13" s="238"/>
      <c r="S13" s="238"/>
      <c r="T13" s="238"/>
      <c r="U13" s="238"/>
      <c r="V13" s="238"/>
      <c r="W13" s="238"/>
      <c r="X13" s="238"/>
      <c r="Y13" s="238"/>
      <c r="Z13" s="238"/>
      <c r="AA13" s="238"/>
      <c r="AB13" s="238"/>
      <c r="AC13" s="238"/>
      <c r="AD13" s="238"/>
      <c r="AE13" s="238"/>
      <c r="AF13" s="238"/>
    </row>
    <row r="14" spans="1:32" s="221" customFormat="1" ht="20.25" customHeight="1" x14ac:dyDescent="0.25">
      <c r="A14" s="240">
        <v>710</v>
      </c>
      <c r="B14" s="240">
        <v>71035</v>
      </c>
      <c r="C14" s="240">
        <v>2020</v>
      </c>
      <c r="D14" s="241">
        <v>40000</v>
      </c>
      <c r="E14" s="241">
        <f>SUM(F14,I14)</f>
        <v>40000</v>
      </c>
      <c r="F14" s="241">
        <v>40000</v>
      </c>
      <c r="G14" s="241">
        <v>0</v>
      </c>
      <c r="H14" s="241">
        <v>0</v>
      </c>
      <c r="I14" s="241">
        <v>0</v>
      </c>
      <c r="J14" s="222"/>
      <c r="K14" s="222"/>
      <c r="L14" s="222"/>
      <c r="M14" s="222"/>
      <c r="N14" s="222"/>
      <c r="O14" s="222"/>
      <c r="P14" s="222"/>
      <c r="Q14" s="222"/>
      <c r="R14" s="222"/>
      <c r="S14" s="222"/>
      <c r="T14" s="222"/>
      <c r="U14" s="222"/>
      <c r="V14" s="222"/>
      <c r="W14" s="222"/>
      <c r="X14" s="222"/>
      <c r="Y14" s="222"/>
      <c r="Z14" s="222"/>
      <c r="AA14" s="222"/>
      <c r="AB14" s="222"/>
      <c r="AC14" s="222"/>
      <c r="AD14" s="222"/>
      <c r="AE14" s="222"/>
      <c r="AF14" s="222"/>
    </row>
    <row r="15" spans="1:32" s="221" customFormat="1" ht="20.25" customHeight="1" x14ac:dyDescent="0.25">
      <c r="A15" s="240">
        <v>752</v>
      </c>
      <c r="B15" s="240">
        <v>75224</v>
      </c>
      <c r="C15" s="242">
        <v>2120</v>
      </c>
      <c r="D15" s="243">
        <f>80000-5311</f>
        <v>74689</v>
      </c>
      <c r="E15" s="241">
        <f>SUM(F15,I15)</f>
        <v>74689</v>
      </c>
      <c r="F15" s="241">
        <f>80000-5311</f>
        <v>74689</v>
      </c>
      <c r="G15" s="241">
        <f>65000-17300+2000+300-44-17-4650</f>
        <v>45289</v>
      </c>
      <c r="H15" s="241">
        <v>0</v>
      </c>
      <c r="I15" s="241">
        <v>0</v>
      </c>
      <c r="J15" s="222"/>
      <c r="K15" s="222"/>
      <c r="L15" s="222"/>
      <c r="M15" s="222"/>
      <c r="N15" s="222"/>
      <c r="O15" s="222"/>
      <c r="P15" s="222"/>
      <c r="Q15" s="222"/>
      <c r="R15" s="222"/>
      <c r="S15" s="222"/>
      <c r="T15" s="222"/>
      <c r="U15" s="222"/>
      <c r="V15" s="222"/>
      <c r="W15" s="222"/>
      <c r="X15" s="222"/>
      <c r="Y15" s="222"/>
      <c r="Z15" s="222"/>
      <c r="AA15" s="222"/>
      <c r="AB15" s="222"/>
      <c r="AC15" s="222"/>
      <c r="AD15" s="222"/>
      <c r="AE15" s="222"/>
      <c r="AF15" s="222"/>
    </row>
    <row r="16" spans="1:32" s="221" customFormat="1" ht="20.25" customHeight="1" x14ac:dyDescent="0.25">
      <c r="A16" s="240">
        <v>801</v>
      </c>
      <c r="B16" s="240">
        <v>80146</v>
      </c>
      <c r="C16" s="242">
        <v>2120</v>
      </c>
      <c r="D16" s="243">
        <v>700000</v>
      </c>
      <c r="E16" s="241">
        <f>SUM(F16,I16)</f>
        <v>700000</v>
      </c>
      <c r="F16" s="241">
        <v>700000</v>
      </c>
      <c r="G16" s="241">
        <f>667717-969</f>
        <v>666748</v>
      </c>
      <c r="H16" s="241">
        <v>0</v>
      </c>
      <c r="I16" s="241">
        <v>0</v>
      </c>
      <c r="J16" s="222"/>
      <c r="K16" s="222"/>
      <c r="L16" s="222"/>
      <c r="M16" s="222"/>
      <c r="N16" s="222"/>
      <c r="O16" s="222"/>
      <c r="P16" s="222"/>
      <c r="Q16" s="222"/>
      <c r="R16" s="222"/>
      <c r="S16" s="222"/>
      <c r="T16" s="222"/>
      <c r="U16" s="222"/>
      <c r="V16" s="222"/>
      <c r="W16" s="222"/>
      <c r="X16" s="222"/>
      <c r="Y16" s="222"/>
      <c r="Z16" s="222"/>
      <c r="AA16" s="222"/>
      <c r="AB16" s="222"/>
      <c r="AC16" s="222"/>
      <c r="AD16" s="222"/>
      <c r="AE16" s="222"/>
      <c r="AF16" s="222"/>
    </row>
    <row r="17" spans="1:9" s="222" customFormat="1" ht="20.25" customHeight="1" x14ac:dyDescent="0.25">
      <c r="A17" s="240">
        <v>801</v>
      </c>
      <c r="B17" s="240">
        <v>80195</v>
      </c>
      <c r="C17" s="242">
        <v>2120</v>
      </c>
      <c r="D17" s="243">
        <v>387860</v>
      </c>
      <c r="E17" s="241">
        <f>SUM(F17,I17)</f>
        <v>387860</v>
      </c>
      <c r="F17" s="241">
        <v>387860</v>
      </c>
      <c r="G17" s="241">
        <v>352600</v>
      </c>
      <c r="H17" s="241">
        <v>0</v>
      </c>
      <c r="I17" s="241">
        <v>0</v>
      </c>
    </row>
    <row r="18" spans="1:9" s="222" customFormat="1" ht="23.25" customHeight="1" x14ac:dyDescent="0.25">
      <c r="A18" s="633" t="s">
        <v>142</v>
      </c>
      <c r="B18" s="634"/>
      <c r="C18" s="635"/>
      <c r="D18" s="615">
        <f t="shared" ref="D18:I18" si="0">SUM(D14:D17)</f>
        <v>1202549</v>
      </c>
      <c r="E18" s="615">
        <f t="shared" si="0"/>
        <v>1202549</v>
      </c>
      <c r="F18" s="615">
        <f t="shared" si="0"/>
        <v>1202549</v>
      </c>
      <c r="G18" s="615">
        <f t="shared" si="0"/>
        <v>1064637</v>
      </c>
      <c r="H18" s="615">
        <f t="shared" si="0"/>
        <v>0</v>
      </c>
      <c r="I18" s="615">
        <f t="shared" si="0"/>
        <v>0</v>
      </c>
    </row>
  </sheetData>
  <mergeCells count="1">
    <mergeCell ref="A18:C18"/>
  </mergeCells>
  <pageMargins left="0.70866141732283472" right="0.70866141732283472" top="0.74803149606299213" bottom="0.74803149606299213" header="0.31496062992125984" footer="0.31496062992125984"/>
  <pageSetup paperSize="9" firstPageNumber="62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98453-A404-4EDA-9C14-E1E564A415A1}">
  <sheetPr>
    <tabColor rgb="FFCC00CC"/>
    <pageSetUpPr fitToPage="1"/>
  </sheetPr>
  <dimension ref="A1:H52"/>
  <sheetViews>
    <sheetView zoomScale="130" zoomScaleNormal="130" workbookViewId="0"/>
  </sheetViews>
  <sheetFormatPr defaultRowHeight="13.5" x14ac:dyDescent="0.25"/>
  <cols>
    <col min="1" max="1" width="4" style="244" customWidth="1"/>
    <col min="2" max="2" width="5.28515625" style="244" customWidth="1"/>
    <col min="3" max="3" width="8.42578125" style="244" customWidth="1"/>
    <col min="4" max="4" width="8" style="245" customWidth="1"/>
    <col min="5" max="5" width="49.7109375" style="244" customWidth="1"/>
    <col min="6" max="6" width="23" style="244" customWidth="1"/>
    <col min="7" max="7" width="13" style="244" customWidth="1"/>
    <col min="8" max="8" width="10.7109375" style="244" customWidth="1"/>
    <col min="9" max="256" width="9.140625" style="244"/>
    <col min="257" max="257" width="4" style="244" customWidth="1"/>
    <col min="258" max="258" width="5.28515625" style="244" customWidth="1"/>
    <col min="259" max="259" width="8.42578125" style="244" customWidth="1"/>
    <col min="260" max="260" width="8" style="244" customWidth="1"/>
    <col min="261" max="261" width="49.7109375" style="244" customWidth="1"/>
    <col min="262" max="262" width="23" style="244" customWidth="1"/>
    <col min="263" max="263" width="13" style="244" customWidth="1"/>
    <col min="264" max="264" width="10.7109375" style="244" customWidth="1"/>
    <col min="265" max="512" width="9.140625" style="244"/>
    <col min="513" max="513" width="4" style="244" customWidth="1"/>
    <col min="514" max="514" width="5.28515625" style="244" customWidth="1"/>
    <col min="515" max="515" width="8.42578125" style="244" customWidth="1"/>
    <col min="516" max="516" width="8" style="244" customWidth="1"/>
    <col min="517" max="517" width="49.7109375" style="244" customWidth="1"/>
    <col min="518" max="518" width="23" style="244" customWidth="1"/>
    <col min="519" max="519" width="13" style="244" customWidth="1"/>
    <col min="520" max="520" width="10.7109375" style="244" customWidth="1"/>
    <col min="521" max="768" width="9.140625" style="244"/>
    <col min="769" max="769" width="4" style="244" customWidth="1"/>
    <col min="770" max="770" width="5.28515625" style="244" customWidth="1"/>
    <col min="771" max="771" width="8.42578125" style="244" customWidth="1"/>
    <col min="772" max="772" width="8" style="244" customWidth="1"/>
    <col min="773" max="773" width="49.7109375" style="244" customWidth="1"/>
    <col min="774" max="774" width="23" style="244" customWidth="1"/>
    <col min="775" max="775" width="13" style="244" customWidth="1"/>
    <col min="776" max="776" width="10.7109375" style="244" customWidth="1"/>
    <col min="777" max="1024" width="9.140625" style="244"/>
    <col min="1025" max="1025" width="4" style="244" customWidth="1"/>
    <col min="1026" max="1026" width="5.28515625" style="244" customWidth="1"/>
    <col min="1027" max="1027" width="8.42578125" style="244" customWidth="1"/>
    <col min="1028" max="1028" width="8" style="244" customWidth="1"/>
    <col min="1029" max="1029" width="49.7109375" style="244" customWidth="1"/>
    <col min="1030" max="1030" width="23" style="244" customWidth="1"/>
    <col min="1031" max="1031" width="13" style="244" customWidth="1"/>
    <col min="1032" max="1032" width="10.7109375" style="244" customWidth="1"/>
    <col min="1033" max="1280" width="9.140625" style="244"/>
    <col min="1281" max="1281" width="4" style="244" customWidth="1"/>
    <col min="1282" max="1282" width="5.28515625" style="244" customWidth="1"/>
    <col min="1283" max="1283" width="8.42578125" style="244" customWidth="1"/>
    <col min="1284" max="1284" width="8" style="244" customWidth="1"/>
    <col min="1285" max="1285" width="49.7109375" style="244" customWidth="1"/>
    <col min="1286" max="1286" width="23" style="244" customWidth="1"/>
    <col min="1287" max="1287" width="13" style="244" customWidth="1"/>
    <col min="1288" max="1288" width="10.7109375" style="244" customWidth="1"/>
    <col min="1289" max="1536" width="9.140625" style="244"/>
    <col min="1537" max="1537" width="4" style="244" customWidth="1"/>
    <col min="1538" max="1538" width="5.28515625" style="244" customWidth="1"/>
    <col min="1539" max="1539" width="8.42578125" style="244" customWidth="1"/>
    <col min="1540" max="1540" width="8" style="244" customWidth="1"/>
    <col min="1541" max="1541" width="49.7109375" style="244" customWidth="1"/>
    <col min="1542" max="1542" width="23" style="244" customWidth="1"/>
    <col min="1543" max="1543" width="13" style="244" customWidth="1"/>
    <col min="1544" max="1544" width="10.7109375" style="244" customWidth="1"/>
    <col min="1545" max="1792" width="9.140625" style="244"/>
    <col min="1793" max="1793" width="4" style="244" customWidth="1"/>
    <col min="1794" max="1794" width="5.28515625" style="244" customWidth="1"/>
    <col min="1795" max="1795" width="8.42578125" style="244" customWidth="1"/>
    <col min="1796" max="1796" width="8" style="244" customWidth="1"/>
    <col min="1797" max="1797" width="49.7109375" style="244" customWidth="1"/>
    <col min="1798" max="1798" width="23" style="244" customWidth="1"/>
    <col min="1799" max="1799" width="13" style="244" customWidth="1"/>
    <col min="1800" max="1800" width="10.7109375" style="244" customWidth="1"/>
    <col min="1801" max="2048" width="9.140625" style="244"/>
    <col min="2049" max="2049" width="4" style="244" customWidth="1"/>
    <col min="2050" max="2050" width="5.28515625" style="244" customWidth="1"/>
    <col min="2051" max="2051" width="8.42578125" style="244" customWidth="1"/>
    <col min="2052" max="2052" width="8" style="244" customWidth="1"/>
    <col min="2053" max="2053" width="49.7109375" style="244" customWidth="1"/>
    <col min="2054" max="2054" width="23" style="244" customWidth="1"/>
    <col min="2055" max="2055" width="13" style="244" customWidth="1"/>
    <col min="2056" max="2056" width="10.7109375" style="244" customWidth="1"/>
    <col min="2057" max="2304" width="9.140625" style="244"/>
    <col min="2305" max="2305" width="4" style="244" customWidth="1"/>
    <col min="2306" max="2306" width="5.28515625" style="244" customWidth="1"/>
    <col min="2307" max="2307" width="8.42578125" style="244" customWidth="1"/>
    <col min="2308" max="2308" width="8" style="244" customWidth="1"/>
    <col min="2309" max="2309" width="49.7109375" style="244" customWidth="1"/>
    <col min="2310" max="2310" width="23" style="244" customWidth="1"/>
    <col min="2311" max="2311" width="13" style="244" customWidth="1"/>
    <col min="2312" max="2312" width="10.7109375" style="244" customWidth="1"/>
    <col min="2313" max="2560" width="9.140625" style="244"/>
    <col min="2561" max="2561" width="4" style="244" customWidth="1"/>
    <col min="2562" max="2562" width="5.28515625" style="244" customWidth="1"/>
    <col min="2563" max="2563" width="8.42578125" style="244" customWidth="1"/>
    <col min="2564" max="2564" width="8" style="244" customWidth="1"/>
    <col min="2565" max="2565" width="49.7109375" style="244" customWidth="1"/>
    <col min="2566" max="2566" width="23" style="244" customWidth="1"/>
    <col min="2567" max="2567" width="13" style="244" customWidth="1"/>
    <col min="2568" max="2568" width="10.7109375" style="244" customWidth="1"/>
    <col min="2569" max="2816" width="9.140625" style="244"/>
    <col min="2817" max="2817" width="4" style="244" customWidth="1"/>
    <col min="2818" max="2818" width="5.28515625" style="244" customWidth="1"/>
    <col min="2819" max="2819" width="8.42578125" style="244" customWidth="1"/>
    <col min="2820" max="2820" width="8" style="244" customWidth="1"/>
    <col min="2821" max="2821" width="49.7109375" style="244" customWidth="1"/>
    <col min="2822" max="2822" width="23" style="244" customWidth="1"/>
    <col min="2823" max="2823" width="13" style="244" customWidth="1"/>
    <col min="2824" max="2824" width="10.7109375" style="244" customWidth="1"/>
    <col min="2825" max="3072" width="9.140625" style="244"/>
    <col min="3073" max="3073" width="4" style="244" customWidth="1"/>
    <col min="3074" max="3074" width="5.28515625" style="244" customWidth="1"/>
    <col min="3075" max="3075" width="8.42578125" style="244" customWidth="1"/>
    <col min="3076" max="3076" width="8" style="244" customWidth="1"/>
    <col min="3077" max="3077" width="49.7109375" style="244" customWidth="1"/>
    <col min="3078" max="3078" width="23" style="244" customWidth="1"/>
    <col min="3079" max="3079" width="13" style="244" customWidth="1"/>
    <col min="3080" max="3080" width="10.7109375" style="244" customWidth="1"/>
    <col min="3081" max="3328" width="9.140625" style="244"/>
    <col min="3329" max="3329" width="4" style="244" customWidth="1"/>
    <col min="3330" max="3330" width="5.28515625" style="244" customWidth="1"/>
    <col min="3331" max="3331" width="8.42578125" style="244" customWidth="1"/>
    <col min="3332" max="3332" width="8" style="244" customWidth="1"/>
    <col min="3333" max="3333" width="49.7109375" style="244" customWidth="1"/>
    <col min="3334" max="3334" width="23" style="244" customWidth="1"/>
    <col min="3335" max="3335" width="13" style="244" customWidth="1"/>
    <col min="3336" max="3336" width="10.7109375" style="244" customWidth="1"/>
    <col min="3337" max="3584" width="9.140625" style="244"/>
    <col min="3585" max="3585" width="4" style="244" customWidth="1"/>
    <col min="3586" max="3586" width="5.28515625" style="244" customWidth="1"/>
    <col min="3587" max="3587" width="8.42578125" style="244" customWidth="1"/>
    <col min="3588" max="3588" width="8" style="244" customWidth="1"/>
    <col min="3589" max="3589" width="49.7109375" style="244" customWidth="1"/>
    <col min="3590" max="3590" width="23" style="244" customWidth="1"/>
    <col min="3591" max="3591" width="13" style="244" customWidth="1"/>
    <col min="3592" max="3592" width="10.7109375" style="244" customWidth="1"/>
    <col min="3593" max="3840" width="9.140625" style="244"/>
    <col min="3841" max="3841" width="4" style="244" customWidth="1"/>
    <col min="3842" max="3842" width="5.28515625" style="244" customWidth="1"/>
    <col min="3843" max="3843" width="8.42578125" style="244" customWidth="1"/>
    <col min="3844" max="3844" width="8" style="244" customWidth="1"/>
    <col min="3845" max="3845" width="49.7109375" style="244" customWidth="1"/>
    <col min="3846" max="3846" width="23" style="244" customWidth="1"/>
    <col min="3847" max="3847" width="13" style="244" customWidth="1"/>
    <col min="3848" max="3848" width="10.7109375" style="244" customWidth="1"/>
    <col min="3849" max="4096" width="9.140625" style="244"/>
    <col min="4097" max="4097" width="4" style="244" customWidth="1"/>
    <col min="4098" max="4098" width="5.28515625" style="244" customWidth="1"/>
    <col min="4099" max="4099" width="8.42578125" style="244" customWidth="1"/>
    <col min="4100" max="4100" width="8" style="244" customWidth="1"/>
    <col min="4101" max="4101" width="49.7109375" style="244" customWidth="1"/>
    <col min="4102" max="4102" width="23" style="244" customWidth="1"/>
    <col min="4103" max="4103" width="13" style="244" customWidth="1"/>
    <col min="4104" max="4104" width="10.7109375" style="244" customWidth="1"/>
    <col min="4105" max="4352" width="9.140625" style="244"/>
    <col min="4353" max="4353" width="4" style="244" customWidth="1"/>
    <col min="4354" max="4354" width="5.28515625" style="244" customWidth="1"/>
    <col min="4355" max="4355" width="8.42578125" style="244" customWidth="1"/>
    <col min="4356" max="4356" width="8" style="244" customWidth="1"/>
    <col min="4357" max="4357" width="49.7109375" style="244" customWidth="1"/>
    <col min="4358" max="4358" width="23" style="244" customWidth="1"/>
    <col min="4359" max="4359" width="13" style="244" customWidth="1"/>
    <col min="4360" max="4360" width="10.7109375" style="244" customWidth="1"/>
    <col min="4361" max="4608" width="9.140625" style="244"/>
    <col min="4609" max="4609" width="4" style="244" customWidth="1"/>
    <col min="4610" max="4610" width="5.28515625" style="244" customWidth="1"/>
    <col min="4611" max="4611" width="8.42578125" style="244" customWidth="1"/>
    <col min="4612" max="4612" width="8" style="244" customWidth="1"/>
    <col min="4613" max="4613" width="49.7109375" style="244" customWidth="1"/>
    <col min="4614" max="4614" width="23" style="244" customWidth="1"/>
    <col min="4615" max="4615" width="13" style="244" customWidth="1"/>
    <col min="4616" max="4616" width="10.7109375" style="244" customWidth="1"/>
    <col min="4617" max="4864" width="9.140625" style="244"/>
    <col min="4865" max="4865" width="4" style="244" customWidth="1"/>
    <col min="4866" max="4866" width="5.28515625" style="244" customWidth="1"/>
    <col min="4867" max="4867" width="8.42578125" style="244" customWidth="1"/>
    <col min="4868" max="4868" width="8" style="244" customWidth="1"/>
    <col min="4869" max="4869" width="49.7109375" style="244" customWidth="1"/>
    <col min="4870" max="4870" width="23" style="244" customWidth="1"/>
    <col min="4871" max="4871" width="13" style="244" customWidth="1"/>
    <col min="4872" max="4872" width="10.7109375" style="244" customWidth="1"/>
    <col min="4873" max="5120" width="9.140625" style="244"/>
    <col min="5121" max="5121" width="4" style="244" customWidth="1"/>
    <col min="5122" max="5122" width="5.28515625" style="244" customWidth="1"/>
    <col min="5123" max="5123" width="8.42578125" style="244" customWidth="1"/>
    <col min="5124" max="5124" width="8" style="244" customWidth="1"/>
    <col min="5125" max="5125" width="49.7109375" style="244" customWidth="1"/>
    <col min="5126" max="5126" width="23" style="244" customWidth="1"/>
    <col min="5127" max="5127" width="13" style="244" customWidth="1"/>
    <col min="5128" max="5128" width="10.7109375" style="244" customWidth="1"/>
    <col min="5129" max="5376" width="9.140625" style="244"/>
    <col min="5377" max="5377" width="4" style="244" customWidth="1"/>
    <col min="5378" max="5378" width="5.28515625" style="244" customWidth="1"/>
    <col min="5379" max="5379" width="8.42578125" style="244" customWidth="1"/>
    <col min="5380" max="5380" width="8" style="244" customWidth="1"/>
    <col min="5381" max="5381" width="49.7109375" style="244" customWidth="1"/>
    <col min="5382" max="5382" width="23" style="244" customWidth="1"/>
    <col min="5383" max="5383" width="13" style="244" customWidth="1"/>
    <col min="5384" max="5384" width="10.7109375" style="244" customWidth="1"/>
    <col min="5385" max="5632" width="9.140625" style="244"/>
    <col min="5633" max="5633" width="4" style="244" customWidth="1"/>
    <col min="5634" max="5634" width="5.28515625" style="244" customWidth="1"/>
    <col min="5635" max="5635" width="8.42578125" style="244" customWidth="1"/>
    <col min="5636" max="5636" width="8" style="244" customWidth="1"/>
    <col min="5637" max="5637" width="49.7109375" style="244" customWidth="1"/>
    <col min="5638" max="5638" width="23" style="244" customWidth="1"/>
    <col min="5639" max="5639" width="13" style="244" customWidth="1"/>
    <col min="5640" max="5640" width="10.7109375" style="244" customWidth="1"/>
    <col min="5641" max="5888" width="9.140625" style="244"/>
    <col min="5889" max="5889" width="4" style="244" customWidth="1"/>
    <col min="5890" max="5890" width="5.28515625" style="244" customWidth="1"/>
    <col min="5891" max="5891" width="8.42578125" style="244" customWidth="1"/>
    <col min="5892" max="5892" width="8" style="244" customWidth="1"/>
    <col min="5893" max="5893" width="49.7109375" style="244" customWidth="1"/>
    <col min="5894" max="5894" width="23" style="244" customWidth="1"/>
    <col min="5895" max="5895" width="13" style="244" customWidth="1"/>
    <col min="5896" max="5896" width="10.7109375" style="244" customWidth="1"/>
    <col min="5897" max="6144" width="9.140625" style="244"/>
    <col min="6145" max="6145" width="4" style="244" customWidth="1"/>
    <col min="6146" max="6146" width="5.28515625" style="244" customWidth="1"/>
    <col min="6147" max="6147" width="8.42578125" style="244" customWidth="1"/>
    <col min="6148" max="6148" width="8" style="244" customWidth="1"/>
    <col min="6149" max="6149" width="49.7109375" style="244" customWidth="1"/>
    <col min="6150" max="6150" width="23" style="244" customWidth="1"/>
    <col min="6151" max="6151" width="13" style="244" customWidth="1"/>
    <col min="6152" max="6152" width="10.7109375" style="244" customWidth="1"/>
    <col min="6153" max="6400" width="9.140625" style="244"/>
    <col min="6401" max="6401" width="4" style="244" customWidth="1"/>
    <col min="6402" max="6402" width="5.28515625" style="244" customWidth="1"/>
    <col min="6403" max="6403" width="8.42578125" style="244" customWidth="1"/>
    <col min="6404" max="6404" width="8" style="244" customWidth="1"/>
    <col min="6405" max="6405" width="49.7109375" style="244" customWidth="1"/>
    <col min="6406" max="6406" width="23" style="244" customWidth="1"/>
    <col min="6407" max="6407" width="13" style="244" customWidth="1"/>
    <col min="6408" max="6408" width="10.7109375" style="244" customWidth="1"/>
    <col min="6409" max="6656" width="9.140625" style="244"/>
    <col min="6657" max="6657" width="4" style="244" customWidth="1"/>
    <col min="6658" max="6658" width="5.28515625" style="244" customWidth="1"/>
    <col min="6659" max="6659" width="8.42578125" style="244" customWidth="1"/>
    <col min="6660" max="6660" width="8" style="244" customWidth="1"/>
    <col min="6661" max="6661" width="49.7109375" style="244" customWidth="1"/>
    <col min="6662" max="6662" width="23" style="244" customWidth="1"/>
    <col min="6663" max="6663" width="13" style="244" customWidth="1"/>
    <col min="6664" max="6664" width="10.7109375" style="244" customWidth="1"/>
    <col min="6665" max="6912" width="9.140625" style="244"/>
    <col min="6913" max="6913" width="4" style="244" customWidth="1"/>
    <col min="6914" max="6914" width="5.28515625" style="244" customWidth="1"/>
    <col min="6915" max="6915" width="8.42578125" style="244" customWidth="1"/>
    <col min="6916" max="6916" width="8" style="244" customWidth="1"/>
    <col min="6917" max="6917" width="49.7109375" style="244" customWidth="1"/>
    <col min="6918" max="6918" width="23" style="244" customWidth="1"/>
    <col min="6919" max="6919" width="13" style="244" customWidth="1"/>
    <col min="6920" max="6920" width="10.7109375" style="244" customWidth="1"/>
    <col min="6921" max="7168" width="9.140625" style="244"/>
    <col min="7169" max="7169" width="4" style="244" customWidth="1"/>
    <col min="7170" max="7170" width="5.28515625" style="244" customWidth="1"/>
    <col min="7171" max="7171" width="8.42578125" style="244" customWidth="1"/>
    <col min="7172" max="7172" width="8" style="244" customWidth="1"/>
    <col min="7173" max="7173" width="49.7109375" style="244" customWidth="1"/>
    <col min="7174" max="7174" width="23" style="244" customWidth="1"/>
    <col min="7175" max="7175" width="13" style="244" customWidth="1"/>
    <col min="7176" max="7176" width="10.7109375" style="244" customWidth="1"/>
    <col min="7177" max="7424" width="9.140625" style="244"/>
    <col min="7425" max="7425" width="4" style="244" customWidth="1"/>
    <col min="7426" max="7426" width="5.28515625" style="244" customWidth="1"/>
    <col min="7427" max="7427" width="8.42578125" style="244" customWidth="1"/>
    <col min="7428" max="7428" width="8" style="244" customWidth="1"/>
    <col min="7429" max="7429" width="49.7109375" style="244" customWidth="1"/>
    <col min="7430" max="7430" width="23" style="244" customWidth="1"/>
    <col min="7431" max="7431" width="13" style="244" customWidth="1"/>
    <col min="7432" max="7432" width="10.7109375" style="244" customWidth="1"/>
    <col min="7433" max="7680" width="9.140625" style="244"/>
    <col min="7681" max="7681" width="4" style="244" customWidth="1"/>
    <col min="7682" max="7682" width="5.28515625" style="244" customWidth="1"/>
    <col min="7683" max="7683" width="8.42578125" style="244" customWidth="1"/>
    <col min="7684" max="7684" width="8" style="244" customWidth="1"/>
    <col min="7685" max="7685" width="49.7109375" style="244" customWidth="1"/>
    <col min="7686" max="7686" width="23" style="244" customWidth="1"/>
    <col min="7687" max="7687" width="13" style="244" customWidth="1"/>
    <col min="7688" max="7688" width="10.7109375" style="244" customWidth="1"/>
    <col min="7689" max="7936" width="9.140625" style="244"/>
    <col min="7937" max="7937" width="4" style="244" customWidth="1"/>
    <col min="7938" max="7938" width="5.28515625" style="244" customWidth="1"/>
    <col min="7939" max="7939" width="8.42578125" style="244" customWidth="1"/>
    <col min="7940" max="7940" width="8" style="244" customWidth="1"/>
    <col min="7941" max="7941" width="49.7109375" style="244" customWidth="1"/>
    <col min="7942" max="7942" width="23" style="244" customWidth="1"/>
    <col min="7943" max="7943" width="13" style="244" customWidth="1"/>
    <col min="7944" max="7944" width="10.7109375" style="244" customWidth="1"/>
    <col min="7945" max="8192" width="9.140625" style="244"/>
    <col min="8193" max="8193" width="4" style="244" customWidth="1"/>
    <col min="8194" max="8194" width="5.28515625" style="244" customWidth="1"/>
    <col min="8195" max="8195" width="8.42578125" style="244" customWidth="1"/>
    <col min="8196" max="8196" width="8" style="244" customWidth="1"/>
    <col min="8197" max="8197" width="49.7109375" style="244" customWidth="1"/>
    <col min="8198" max="8198" width="23" style="244" customWidth="1"/>
    <col min="8199" max="8199" width="13" style="244" customWidth="1"/>
    <col min="8200" max="8200" width="10.7109375" style="244" customWidth="1"/>
    <col min="8201" max="8448" width="9.140625" style="244"/>
    <col min="8449" max="8449" width="4" style="244" customWidth="1"/>
    <col min="8450" max="8450" width="5.28515625" style="244" customWidth="1"/>
    <col min="8451" max="8451" width="8.42578125" style="244" customWidth="1"/>
    <col min="8452" max="8452" width="8" style="244" customWidth="1"/>
    <col min="8453" max="8453" width="49.7109375" style="244" customWidth="1"/>
    <col min="8454" max="8454" width="23" style="244" customWidth="1"/>
    <col min="8455" max="8455" width="13" style="244" customWidth="1"/>
    <col min="8456" max="8456" width="10.7109375" style="244" customWidth="1"/>
    <col min="8457" max="8704" width="9.140625" style="244"/>
    <col min="8705" max="8705" width="4" style="244" customWidth="1"/>
    <col min="8706" max="8706" width="5.28515625" style="244" customWidth="1"/>
    <col min="8707" max="8707" width="8.42578125" style="244" customWidth="1"/>
    <col min="8708" max="8708" width="8" style="244" customWidth="1"/>
    <col min="8709" max="8709" width="49.7109375" style="244" customWidth="1"/>
    <col min="8710" max="8710" width="23" style="244" customWidth="1"/>
    <col min="8711" max="8711" width="13" style="244" customWidth="1"/>
    <col min="8712" max="8712" width="10.7109375" style="244" customWidth="1"/>
    <col min="8713" max="8960" width="9.140625" style="244"/>
    <col min="8961" max="8961" width="4" style="244" customWidth="1"/>
    <col min="8962" max="8962" width="5.28515625" style="244" customWidth="1"/>
    <col min="8963" max="8963" width="8.42578125" style="244" customWidth="1"/>
    <col min="8964" max="8964" width="8" style="244" customWidth="1"/>
    <col min="8965" max="8965" width="49.7109375" style="244" customWidth="1"/>
    <col min="8966" max="8966" width="23" style="244" customWidth="1"/>
    <col min="8967" max="8967" width="13" style="244" customWidth="1"/>
    <col min="8968" max="8968" width="10.7109375" style="244" customWidth="1"/>
    <col min="8969" max="9216" width="9.140625" style="244"/>
    <col min="9217" max="9217" width="4" style="244" customWidth="1"/>
    <col min="9218" max="9218" width="5.28515625" style="244" customWidth="1"/>
    <col min="9219" max="9219" width="8.42578125" style="244" customWidth="1"/>
    <col min="9220" max="9220" width="8" style="244" customWidth="1"/>
    <col min="9221" max="9221" width="49.7109375" style="244" customWidth="1"/>
    <col min="9222" max="9222" width="23" style="244" customWidth="1"/>
    <col min="9223" max="9223" width="13" style="244" customWidth="1"/>
    <col min="9224" max="9224" width="10.7109375" style="244" customWidth="1"/>
    <col min="9225" max="9472" width="9.140625" style="244"/>
    <col min="9473" max="9473" width="4" style="244" customWidth="1"/>
    <col min="9474" max="9474" width="5.28515625" style="244" customWidth="1"/>
    <col min="9475" max="9475" width="8.42578125" style="244" customWidth="1"/>
    <col min="9476" max="9476" width="8" style="244" customWidth="1"/>
    <col min="9477" max="9477" width="49.7109375" style="244" customWidth="1"/>
    <col min="9478" max="9478" width="23" style="244" customWidth="1"/>
    <col min="9479" max="9479" width="13" style="244" customWidth="1"/>
    <col min="9480" max="9480" width="10.7109375" style="244" customWidth="1"/>
    <col min="9481" max="9728" width="9.140625" style="244"/>
    <col min="9729" max="9729" width="4" style="244" customWidth="1"/>
    <col min="9730" max="9730" width="5.28515625" style="244" customWidth="1"/>
    <col min="9731" max="9731" width="8.42578125" style="244" customWidth="1"/>
    <col min="9732" max="9732" width="8" style="244" customWidth="1"/>
    <col min="9733" max="9733" width="49.7109375" style="244" customWidth="1"/>
    <col min="9734" max="9734" width="23" style="244" customWidth="1"/>
    <col min="9735" max="9735" width="13" style="244" customWidth="1"/>
    <col min="9736" max="9736" width="10.7109375" style="244" customWidth="1"/>
    <col min="9737" max="9984" width="9.140625" style="244"/>
    <col min="9985" max="9985" width="4" style="244" customWidth="1"/>
    <col min="9986" max="9986" width="5.28515625" style="244" customWidth="1"/>
    <col min="9987" max="9987" width="8.42578125" style="244" customWidth="1"/>
    <col min="9988" max="9988" width="8" style="244" customWidth="1"/>
    <col min="9989" max="9989" width="49.7109375" style="244" customWidth="1"/>
    <col min="9990" max="9990" width="23" style="244" customWidth="1"/>
    <col min="9991" max="9991" width="13" style="244" customWidth="1"/>
    <col min="9992" max="9992" width="10.7109375" style="244" customWidth="1"/>
    <col min="9993" max="10240" width="9.140625" style="244"/>
    <col min="10241" max="10241" width="4" style="244" customWidth="1"/>
    <col min="10242" max="10242" width="5.28515625" style="244" customWidth="1"/>
    <col min="10243" max="10243" width="8.42578125" style="244" customWidth="1"/>
    <col min="10244" max="10244" width="8" style="244" customWidth="1"/>
    <col min="10245" max="10245" width="49.7109375" style="244" customWidth="1"/>
    <col min="10246" max="10246" width="23" style="244" customWidth="1"/>
    <col min="10247" max="10247" width="13" style="244" customWidth="1"/>
    <col min="10248" max="10248" width="10.7109375" style="244" customWidth="1"/>
    <col min="10249" max="10496" width="9.140625" style="244"/>
    <col min="10497" max="10497" width="4" style="244" customWidth="1"/>
    <col min="10498" max="10498" width="5.28515625" style="244" customWidth="1"/>
    <col min="10499" max="10499" width="8.42578125" style="244" customWidth="1"/>
    <col min="10500" max="10500" width="8" style="244" customWidth="1"/>
    <col min="10501" max="10501" width="49.7109375" style="244" customWidth="1"/>
    <col min="10502" max="10502" width="23" style="244" customWidth="1"/>
    <col min="10503" max="10503" width="13" style="244" customWidth="1"/>
    <col min="10504" max="10504" width="10.7109375" style="244" customWidth="1"/>
    <col min="10505" max="10752" width="9.140625" style="244"/>
    <col min="10753" max="10753" width="4" style="244" customWidth="1"/>
    <col min="10754" max="10754" width="5.28515625" style="244" customWidth="1"/>
    <col min="10755" max="10755" width="8.42578125" style="244" customWidth="1"/>
    <col min="10756" max="10756" width="8" style="244" customWidth="1"/>
    <col min="10757" max="10757" width="49.7109375" style="244" customWidth="1"/>
    <col min="10758" max="10758" width="23" style="244" customWidth="1"/>
    <col min="10759" max="10759" width="13" style="244" customWidth="1"/>
    <col min="10760" max="10760" width="10.7109375" style="244" customWidth="1"/>
    <col min="10761" max="11008" width="9.140625" style="244"/>
    <col min="11009" max="11009" width="4" style="244" customWidth="1"/>
    <col min="11010" max="11010" width="5.28515625" style="244" customWidth="1"/>
    <col min="11011" max="11011" width="8.42578125" style="244" customWidth="1"/>
    <col min="11012" max="11012" width="8" style="244" customWidth="1"/>
    <col min="11013" max="11013" width="49.7109375" style="244" customWidth="1"/>
    <col min="11014" max="11014" width="23" style="244" customWidth="1"/>
    <col min="11015" max="11015" width="13" style="244" customWidth="1"/>
    <col min="11016" max="11016" width="10.7109375" style="244" customWidth="1"/>
    <col min="11017" max="11264" width="9.140625" style="244"/>
    <col min="11265" max="11265" width="4" style="244" customWidth="1"/>
    <col min="11266" max="11266" width="5.28515625" style="244" customWidth="1"/>
    <col min="11267" max="11267" width="8.42578125" style="244" customWidth="1"/>
    <col min="11268" max="11268" width="8" style="244" customWidth="1"/>
    <col min="11269" max="11269" width="49.7109375" style="244" customWidth="1"/>
    <col min="11270" max="11270" width="23" style="244" customWidth="1"/>
    <col min="11271" max="11271" width="13" style="244" customWidth="1"/>
    <col min="11272" max="11272" width="10.7109375" style="244" customWidth="1"/>
    <col min="11273" max="11520" width="9.140625" style="244"/>
    <col min="11521" max="11521" width="4" style="244" customWidth="1"/>
    <col min="11522" max="11522" width="5.28515625" style="244" customWidth="1"/>
    <col min="11523" max="11523" width="8.42578125" style="244" customWidth="1"/>
    <col min="11524" max="11524" width="8" style="244" customWidth="1"/>
    <col min="11525" max="11525" width="49.7109375" style="244" customWidth="1"/>
    <col min="11526" max="11526" width="23" style="244" customWidth="1"/>
    <col min="11527" max="11527" width="13" style="244" customWidth="1"/>
    <col min="11528" max="11528" width="10.7109375" style="244" customWidth="1"/>
    <col min="11529" max="11776" width="9.140625" style="244"/>
    <col min="11777" max="11777" width="4" style="244" customWidth="1"/>
    <col min="11778" max="11778" width="5.28515625" style="244" customWidth="1"/>
    <col min="11779" max="11779" width="8.42578125" style="244" customWidth="1"/>
    <col min="11780" max="11780" width="8" style="244" customWidth="1"/>
    <col min="11781" max="11781" width="49.7109375" style="244" customWidth="1"/>
    <col min="11782" max="11782" width="23" style="244" customWidth="1"/>
    <col min="11783" max="11783" width="13" style="244" customWidth="1"/>
    <col min="11784" max="11784" width="10.7109375" style="244" customWidth="1"/>
    <col min="11785" max="12032" width="9.140625" style="244"/>
    <col min="12033" max="12033" width="4" style="244" customWidth="1"/>
    <col min="12034" max="12034" width="5.28515625" style="244" customWidth="1"/>
    <col min="12035" max="12035" width="8.42578125" style="244" customWidth="1"/>
    <col min="12036" max="12036" width="8" style="244" customWidth="1"/>
    <col min="12037" max="12037" width="49.7109375" style="244" customWidth="1"/>
    <col min="12038" max="12038" width="23" style="244" customWidth="1"/>
    <col min="12039" max="12039" width="13" style="244" customWidth="1"/>
    <col min="12040" max="12040" width="10.7109375" style="244" customWidth="1"/>
    <col min="12041" max="12288" width="9.140625" style="244"/>
    <col min="12289" max="12289" width="4" style="244" customWidth="1"/>
    <col min="12290" max="12290" width="5.28515625" style="244" customWidth="1"/>
    <col min="12291" max="12291" width="8.42578125" style="244" customWidth="1"/>
    <col min="12292" max="12292" width="8" style="244" customWidth="1"/>
    <col min="12293" max="12293" width="49.7109375" style="244" customWidth="1"/>
    <col min="12294" max="12294" width="23" style="244" customWidth="1"/>
    <col min="12295" max="12295" width="13" style="244" customWidth="1"/>
    <col min="12296" max="12296" width="10.7109375" style="244" customWidth="1"/>
    <col min="12297" max="12544" width="9.140625" style="244"/>
    <col min="12545" max="12545" width="4" style="244" customWidth="1"/>
    <col min="12546" max="12546" width="5.28515625" style="244" customWidth="1"/>
    <col min="12547" max="12547" width="8.42578125" style="244" customWidth="1"/>
    <col min="12548" max="12548" width="8" style="244" customWidth="1"/>
    <col min="12549" max="12549" width="49.7109375" style="244" customWidth="1"/>
    <col min="12550" max="12550" width="23" style="244" customWidth="1"/>
    <col min="12551" max="12551" width="13" style="244" customWidth="1"/>
    <col min="12552" max="12552" width="10.7109375" style="244" customWidth="1"/>
    <col min="12553" max="12800" width="9.140625" style="244"/>
    <col min="12801" max="12801" width="4" style="244" customWidth="1"/>
    <col min="12802" max="12802" width="5.28515625" style="244" customWidth="1"/>
    <col min="12803" max="12803" width="8.42578125" style="244" customWidth="1"/>
    <col min="12804" max="12804" width="8" style="244" customWidth="1"/>
    <col min="12805" max="12805" width="49.7109375" style="244" customWidth="1"/>
    <col min="12806" max="12806" width="23" style="244" customWidth="1"/>
    <col min="12807" max="12807" width="13" style="244" customWidth="1"/>
    <col min="12808" max="12808" width="10.7109375" style="244" customWidth="1"/>
    <col min="12809" max="13056" width="9.140625" style="244"/>
    <col min="13057" max="13057" width="4" style="244" customWidth="1"/>
    <col min="13058" max="13058" width="5.28515625" style="244" customWidth="1"/>
    <col min="13059" max="13059" width="8.42578125" style="244" customWidth="1"/>
    <col min="13060" max="13060" width="8" style="244" customWidth="1"/>
    <col min="13061" max="13061" width="49.7109375" style="244" customWidth="1"/>
    <col min="13062" max="13062" width="23" style="244" customWidth="1"/>
    <col min="13063" max="13063" width="13" style="244" customWidth="1"/>
    <col min="13064" max="13064" width="10.7109375" style="244" customWidth="1"/>
    <col min="13065" max="13312" width="9.140625" style="244"/>
    <col min="13313" max="13313" width="4" style="244" customWidth="1"/>
    <col min="13314" max="13314" width="5.28515625" style="244" customWidth="1"/>
    <col min="13315" max="13315" width="8.42578125" style="244" customWidth="1"/>
    <col min="13316" max="13316" width="8" style="244" customWidth="1"/>
    <col min="13317" max="13317" width="49.7109375" style="244" customWidth="1"/>
    <col min="13318" max="13318" width="23" style="244" customWidth="1"/>
    <col min="13319" max="13319" width="13" style="244" customWidth="1"/>
    <col min="13320" max="13320" width="10.7109375" style="244" customWidth="1"/>
    <col min="13321" max="13568" width="9.140625" style="244"/>
    <col min="13569" max="13569" width="4" style="244" customWidth="1"/>
    <col min="13570" max="13570" width="5.28515625" style="244" customWidth="1"/>
    <col min="13571" max="13571" width="8.42578125" style="244" customWidth="1"/>
    <col min="13572" max="13572" width="8" style="244" customWidth="1"/>
    <col min="13573" max="13573" width="49.7109375" style="244" customWidth="1"/>
    <col min="13574" max="13574" width="23" style="244" customWidth="1"/>
    <col min="13575" max="13575" width="13" style="244" customWidth="1"/>
    <col min="13576" max="13576" width="10.7109375" style="244" customWidth="1"/>
    <col min="13577" max="13824" width="9.140625" style="244"/>
    <col min="13825" max="13825" width="4" style="244" customWidth="1"/>
    <col min="13826" max="13826" width="5.28515625" style="244" customWidth="1"/>
    <col min="13827" max="13827" width="8.42578125" style="244" customWidth="1"/>
    <col min="13828" max="13828" width="8" style="244" customWidth="1"/>
    <col min="13829" max="13829" width="49.7109375" style="244" customWidth="1"/>
    <col min="13830" max="13830" width="23" style="244" customWidth="1"/>
    <col min="13831" max="13831" width="13" style="244" customWidth="1"/>
    <col min="13832" max="13832" width="10.7109375" style="244" customWidth="1"/>
    <col min="13833" max="14080" width="9.140625" style="244"/>
    <col min="14081" max="14081" width="4" style="244" customWidth="1"/>
    <col min="14082" max="14082" width="5.28515625" style="244" customWidth="1"/>
    <col min="14083" max="14083" width="8.42578125" style="244" customWidth="1"/>
    <col min="14084" max="14084" width="8" style="244" customWidth="1"/>
    <col min="14085" max="14085" width="49.7109375" style="244" customWidth="1"/>
    <col min="14086" max="14086" width="23" style="244" customWidth="1"/>
    <col min="14087" max="14087" width="13" style="244" customWidth="1"/>
    <col min="14088" max="14088" width="10.7109375" style="244" customWidth="1"/>
    <col min="14089" max="14336" width="9.140625" style="244"/>
    <col min="14337" max="14337" width="4" style="244" customWidth="1"/>
    <col min="14338" max="14338" width="5.28515625" style="244" customWidth="1"/>
    <col min="14339" max="14339" width="8.42578125" style="244" customWidth="1"/>
    <col min="14340" max="14340" width="8" style="244" customWidth="1"/>
    <col min="14341" max="14341" width="49.7109375" style="244" customWidth="1"/>
    <col min="14342" max="14342" width="23" style="244" customWidth="1"/>
    <col min="14343" max="14343" width="13" style="244" customWidth="1"/>
    <col min="14344" max="14344" width="10.7109375" style="244" customWidth="1"/>
    <col min="14345" max="14592" width="9.140625" style="244"/>
    <col min="14593" max="14593" width="4" style="244" customWidth="1"/>
    <col min="14594" max="14594" width="5.28515625" style="244" customWidth="1"/>
    <col min="14595" max="14595" width="8.42578125" style="244" customWidth="1"/>
    <col min="14596" max="14596" width="8" style="244" customWidth="1"/>
    <col min="14597" max="14597" width="49.7109375" style="244" customWidth="1"/>
    <col min="14598" max="14598" width="23" style="244" customWidth="1"/>
    <col min="14599" max="14599" width="13" style="244" customWidth="1"/>
    <col min="14600" max="14600" width="10.7109375" style="244" customWidth="1"/>
    <col min="14601" max="14848" width="9.140625" style="244"/>
    <col min="14849" max="14849" width="4" style="244" customWidth="1"/>
    <col min="14850" max="14850" width="5.28515625" style="244" customWidth="1"/>
    <col min="14851" max="14851" width="8.42578125" style="244" customWidth="1"/>
    <col min="14852" max="14852" width="8" style="244" customWidth="1"/>
    <col min="14853" max="14853" width="49.7109375" style="244" customWidth="1"/>
    <col min="14854" max="14854" width="23" style="244" customWidth="1"/>
    <col min="14855" max="14855" width="13" style="244" customWidth="1"/>
    <col min="14856" max="14856" width="10.7109375" style="244" customWidth="1"/>
    <col min="14857" max="15104" width="9.140625" style="244"/>
    <col min="15105" max="15105" width="4" style="244" customWidth="1"/>
    <col min="15106" max="15106" width="5.28515625" style="244" customWidth="1"/>
    <col min="15107" max="15107" width="8.42578125" style="244" customWidth="1"/>
    <col min="15108" max="15108" width="8" style="244" customWidth="1"/>
    <col min="15109" max="15109" width="49.7109375" style="244" customWidth="1"/>
    <col min="15110" max="15110" width="23" style="244" customWidth="1"/>
    <col min="15111" max="15111" width="13" style="244" customWidth="1"/>
    <col min="15112" max="15112" width="10.7109375" style="244" customWidth="1"/>
    <col min="15113" max="15360" width="9.140625" style="244"/>
    <col min="15361" max="15361" width="4" style="244" customWidth="1"/>
    <col min="15362" max="15362" width="5.28515625" style="244" customWidth="1"/>
    <col min="15363" max="15363" width="8.42578125" style="244" customWidth="1"/>
    <col min="15364" max="15364" width="8" style="244" customWidth="1"/>
    <col min="15365" max="15365" width="49.7109375" style="244" customWidth="1"/>
    <col min="15366" max="15366" width="23" style="244" customWidth="1"/>
    <col min="15367" max="15367" width="13" style="244" customWidth="1"/>
    <col min="15368" max="15368" width="10.7109375" style="244" customWidth="1"/>
    <col min="15369" max="15616" width="9.140625" style="244"/>
    <col min="15617" max="15617" width="4" style="244" customWidth="1"/>
    <col min="15618" max="15618" width="5.28515625" style="244" customWidth="1"/>
    <col min="15619" max="15619" width="8.42578125" style="244" customWidth="1"/>
    <col min="15620" max="15620" width="8" style="244" customWidth="1"/>
    <col min="15621" max="15621" width="49.7109375" style="244" customWidth="1"/>
    <col min="15622" max="15622" width="23" style="244" customWidth="1"/>
    <col min="15623" max="15623" width="13" style="244" customWidth="1"/>
    <col min="15624" max="15624" width="10.7109375" style="244" customWidth="1"/>
    <col min="15625" max="15872" width="9.140625" style="244"/>
    <col min="15873" max="15873" width="4" style="244" customWidth="1"/>
    <col min="15874" max="15874" width="5.28515625" style="244" customWidth="1"/>
    <col min="15875" max="15875" width="8.42578125" style="244" customWidth="1"/>
    <col min="15876" max="15876" width="8" style="244" customWidth="1"/>
    <col min="15877" max="15877" width="49.7109375" style="244" customWidth="1"/>
    <col min="15878" max="15878" width="23" style="244" customWidth="1"/>
    <col min="15879" max="15879" width="13" style="244" customWidth="1"/>
    <col min="15880" max="15880" width="10.7109375" style="244" customWidth="1"/>
    <col min="15881" max="16128" width="9.140625" style="244"/>
    <col min="16129" max="16129" width="4" style="244" customWidth="1"/>
    <col min="16130" max="16130" width="5.28515625" style="244" customWidth="1"/>
    <col min="16131" max="16131" width="8.42578125" style="244" customWidth="1"/>
    <col min="16132" max="16132" width="8" style="244" customWidth="1"/>
    <col min="16133" max="16133" width="49.7109375" style="244" customWidth="1"/>
    <col min="16134" max="16134" width="23" style="244" customWidth="1"/>
    <col min="16135" max="16135" width="13" style="244" customWidth="1"/>
    <col min="16136" max="16136" width="10.7109375" style="244" customWidth="1"/>
    <col min="16137" max="16384" width="9.140625" style="244"/>
  </cols>
  <sheetData>
    <row r="1" spans="1:8" ht="12" customHeight="1" x14ac:dyDescent="0.25">
      <c r="F1" s="246" t="s">
        <v>143</v>
      </c>
    </row>
    <row r="2" spans="1:8" ht="12" customHeight="1" x14ac:dyDescent="0.25">
      <c r="E2" s="247"/>
      <c r="F2" s="246" t="s">
        <v>39</v>
      </c>
    </row>
    <row r="3" spans="1:8" ht="12" customHeight="1" x14ac:dyDescent="0.25">
      <c r="E3" s="247"/>
      <c r="F3" s="248" t="s">
        <v>1</v>
      </c>
    </row>
    <row r="4" spans="1:8" ht="12" customHeight="1" x14ac:dyDescent="0.25">
      <c r="E4" s="247"/>
      <c r="F4" s="246" t="s">
        <v>40</v>
      </c>
    </row>
    <row r="5" spans="1:8" x14ac:dyDescent="0.25">
      <c r="E5" s="247"/>
      <c r="F5" s="247"/>
    </row>
    <row r="6" spans="1:8" ht="15" customHeight="1" x14ac:dyDescent="0.25">
      <c r="A6" s="636" t="s">
        <v>144</v>
      </c>
      <c r="B6" s="636"/>
      <c r="C6" s="636"/>
      <c r="D6" s="636"/>
      <c r="E6" s="636"/>
      <c r="F6" s="636"/>
    </row>
    <row r="7" spans="1:8" ht="15" customHeight="1" x14ac:dyDescent="0.25">
      <c r="A7" s="636" t="s">
        <v>145</v>
      </c>
      <c r="B7" s="636"/>
      <c r="C7" s="636"/>
      <c r="D7" s="636"/>
      <c r="E7" s="636"/>
      <c r="F7" s="636"/>
    </row>
    <row r="8" spans="1:8" ht="13.9" customHeight="1" x14ac:dyDescent="0.25">
      <c r="E8" s="249"/>
      <c r="F8" s="249"/>
    </row>
    <row r="9" spans="1:8" ht="12" customHeight="1" x14ac:dyDescent="0.25">
      <c r="E9" s="250"/>
      <c r="F9" s="251" t="s">
        <v>44</v>
      </c>
    </row>
    <row r="10" spans="1:8" ht="19.5" customHeight="1" x14ac:dyDescent="0.25">
      <c r="A10" s="252" t="s">
        <v>5</v>
      </c>
      <c r="B10" s="253" t="s">
        <v>65</v>
      </c>
      <c r="C10" s="253" t="s">
        <v>135</v>
      </c>
      <c r="D10" s="252" t="s">
        <v>146</v>
      </c>
      <c r="E10" s="253" t="s">
        <v>147</v>
      </c>
      <c r="F10" s="253" t="s">
        <v>148</v>
      </c>
    </row>
    <row r="11" spans="1:8" s="256" customFormat="1" ht="9.75" customHeight="1" x14ac:dyDescent="0.25">
      <c r="A11" s="254">
        <v>1</v>
      </c>
      <c r="B11" s="254">
        <v>2</v>
      </c>
      <c r="C11" s="254">
        <v>3</v>
      </c>
      <c r="D11" s="255">
        <v>4</v>
      </c>
      <c r="E11" s="254">
        <v>5</v>
      </c>
      <c r="F11" s="254">
        <v>6</v>
      </c>
    </row>
    <row r="12" spans="1:8" ht="18" customHeight="1" x14ac:dyDescent="0.25">
      <c r="A12" s="257" t="s">
        <v>149</v>
      </c>
      <c r="B12" s="258"/>
      <c r="C12" s="258"/>
      <c r="D12" s="259"/>
      <c r="E12" s="258"/>
      <c r="F12" s="260"/>
    </row>
    <row r="13" spans="1:8" ht="15" customHeight="1" x14ac:dyDescent="0.25">
      <c r="A13" s="261">
        <v>1</v>
      </c>
      <c r="B13" s="261">
        <v>801</v>
      </c>
      <c r="C13" s="261">
        <v>80104</v>
      </c>
      <c r="D13" s="261">
        <v>2310</v>
      </c>
      <c r="E13" s="262" t="s">
        <v>16</v>
      </c>
      <c r="F13" s="263">
        <v>500000</v>
      </c>
      <c r="H13" s="264"/>
    </row>
    <row r="14" spans="1:8" ht="16.5" customHeight="1" x14ac:dyDescent="0.25">
      <c r="A14" s="261">
        <v>2</v>
      </c>
      <c r="B14" s="265">
        <v>851</v>
      </c>
      <c r="C14" s="265">
        <v>85149</v>
      </c>
      <c r="D14" s="265">
        <v>2780</v>
      </c>
      <c r="E14" s="262" t="s">
        <v>150</v>
      </c>
      <c r="F14" s="263">
        <v>21000</v>
      </c>
      <c r="G14" s="266"/>
      <c r="H14" s="264"/>
    </row>
    <row r="15" spans="1:8" ht="17.25" customHeight="1" x14ac:dyDescent="0.25">
      <c r="A15" s="265">
        <v>3</v>
      </c>
      <c r="B15" s="261">
        <v>851</v>
      </c>
      <c r="C15" s="261">
        <v>85154</v>
      </c>
      <c r="D15" s="261">
        <v>2330</v>
      </c>
      <c r="E15" s="262" t="s">
        <v>151</v>
      </c>
      <c r="F15" s="263">
        <v>5000</v>
      </c>
    </row>
    <row r="16" spans="1:8" ht="24" customHeight="1" x14ac:dyDescent="0.25">
      <c r="A16" s="265">
        <v>4</v>
      </c>
      <c r="B16" s="261">
        <v>851</v>
      </c>
      <c r="C16" s="261">
        <v>85154</v>
      </c>
      <c r="D16" s="261">
        <v>2800</v>
      </c>
      <c r="E16" s="262" t="s">
        <v>152</v>
      </c>
      <c r="F16" s="263">
        <f>0+100000+20000+20000</f>
        <v>140000</v>
      </c>
    </row>
    <row r="17" spans="1:6" ht="38.25" customHeight="1" x14ac:dyDescent="0.25">
      <c r="A17" s="265">
        <v>5</v>
      </c>
      <c r="B17" s="265">
        <v>851</v>
      </c>
      <c r="C17" s="265">
        <v>85195</v>
      </c>
      <c r="D17" s="267" t="s">
        <v>153</v>
      </c>
      <c r="E17" s="262" t="s">
        <v>154</v>
      </c>
      <c r="F17" s="263">
        <f>689557.5+3907492.5</f>
        <v>4597050</v>
      </c>
    </row>
    <row r="18" spans="1:6" ht="14.25" customHeight="1" x14ac:dyDescent="0.25">
      <c r="A18" s="265">
        <v>6</v>
      </c>
      <c r="B18" s="265">
        <v>852</v>
      </c>
      <c r="C18" s="265">
        <v>85203</v>
      </c>
      <c r="D18" s="265">
        <v>2320</v>
      </c>
      <c r="E18" s="268" t="s">
        <v>155</v>
      </c>
      <c r="F18" s="263">
        <v>12000</v>
      </c>
    </row>
    <row r="19" spans="1:6" ht="14.25" customHeight="1" x14ac:dyDescent="0.25">
      <c r="A19" s="265">
        <v>7</v>
      </c>
      <c r="B19" s="265">
        <v>853</v>
      </c>
      <c r="C19" s="265">
        <v>85333</v>
      </c>
      <c r="D19" s="265">
        <v>2320</v>
      </c>
      <c r="E19" s="268" t="s">
        <v>156</v>
      </c>
      <c r="F19" s="263">
        <f>5090084</f>
        <v>5090084</v>
      </c>
    </row>
    <row r="20" spans="1:6" ht="25.5" customHeight="1" x14ac:dyDescent="0.25">
      <c r="A20" s="269">
        <v>8</v>
      </c>
      <c r="B20" s="270">
        <v>853</v>
      </c>
      <c r="C20" s="270">
        <v>85395</v>
      </c>
      <c r="D20" s="271">
        <v>2800</v>
      </c>
      <c r="E20" s="272" t="s">
        <v>157</v>
      </c>
      <c r="F20" s="263">
        <v>90000</v>
      </c>
    </row>
    <row r="21" spans="1:6" ht="16.899999999999999" customHeight="1" x14ac:dyDescent="0.25">
      <c r="A21" s="265">
        <v>9</v>
      </c>
      <c r="B21" s="261">
        <v>921</v>
      </c>
      <c r="C21" s="261">
        <v>92110</v>
      </c>
      <c r="D21" s="261">
        <v>6229</v>
      </c>
      <c r="E21" s="268" t="s">
        <v>158</v>
      </c>
      <c r="F21" s="263">
        <f>F22</f>
        <v>5156.78</v>
      </c>
    </row>
    <row r="22" spans="1:6" s="248" customFormat="1" ht="12.75" customHeight="1" x14ac:dyDescent="0.25">
      <c r="A22" s="273"/>
      <c r="B22" s="274"/>
      <c r="C22" s="275"/>
      <c r="D22" s="276"/>
      <c r="E22" s="277" t="s">
        <v>159</v>
      </c>
      <c r="F22" s="278">
        <v>5156.78</v>
      </c>
    </row>
    <row r="23" spans="1:6" s="248" customFormat="1" ht="16.5" customHeight="1" x14ac:dyDescent="0.25">
      <c r="A23" s="265">
        <v>10</v>
      </c>
      <c r="B23" s="261">
        <v>921</v>
      </c>
      <c r="C23" s="261">
        <v>92110</v>
      </c>
      <c r="D23" s="261">
        <v>2800</v>
      </c>
      <c r="E23" s="268" t="s">
        <v>160</v>
      </c>
      <c r="F23" s="263">
        <f>F24</f>
        <v>28000</v>
      </c>
    </row>
    <row r="24" spans="1:6" s="248" customFormat="1" ht="12.75" customHeight="1" x14ac:dyDescent="0.25">
      <c r="A24" s="273"/>
      <c r="B24" s="274"/>
      <c r="C24" s="275"/>
      <c r="D24" s="276"/>
      <c r="E24" s="277" t="s">
        <v>159</v>
      </c>
      <c r="F24" s="278">
        <v>28000</v>
      </c>
    </row>
    <row r="25" spans="1:6" ht="15.75" customHeight="1" x14ac:dyDescent="0.25">
      <c r="A25" s="261">
        <v>11</v>
      </c>
      <c r="B25" s="261">
        <v>921</v>
      </c>
      <c r="C25" s="261">
        <v>92113</v>
      </c>
      <c r="D25" s="261">
        <v>2800</v>
      </c>
      <c r="E25" s="279" t="s">
        <v>161</v>
      </c>
      <c r="F25" s="280">
        <f>F26</f>
        <v>413000</v>
      </c>
    </row>
    <row r="26" spans="1:6" s="248" customFormat="1" ht="12.75" customHeight="1" x14ac:dyDescent="0.25">
      <c r="A26" s="281"/>
      <c r="B26" s="282"/>
      <c r="C26" s="283"/>
      <c r="D26" s="284"/>
      <c r="E26" s="285" t="s">
        <v>162</v>
      </c>
      <c r="F26" s="286">
        <f>240000+23000+150000</f>
        <v>413000</v>
      </c>
    </row>
    <row r="27" spans="1:6" s="248" customFormat="1" ht="16.5" customHeight="1" x14ac:dyDescent="0.25">
      <c r="A27" s="261">
        <v>12</v>
      </c>
      <c r="B27" s="261">
        <v>921</v>
      </c>
      <c r="C27" s="261">
        <v>92113</v>
      </c>
      <c r="D27" s="261">
        <v>6229</v>
      </c>
      <c r="E27" s="279" t="s">
        <v>163</v>
      </c>
      <c r="F27" s="280">
        <f>F28</f>
        <v>6750</v>
      </c>
    </row>
    <row r="28" spans="1:6" s="248" customFormat="1" ht="12.75" customHeight="1" x14ac:dyDescent="0.25">
      <c r="A28" s="281"/>
      <c r="B28" s="282"/>
      <c r="C28" s="283"/>
      <c r="D28" s="284"/>
      <c r="E28" s="285" t="s">
        <v>162</v>
      </c>
      <c r="F28" s="286">
        <f>25880.37-19130.37</f>
        <v>6750</v>
      </c>
    </row>
    <row r="29" spans="1:6" s="248" customFormat="1" ht="16.899999999999999" customHeight="1" x14ac:dyDescent="0.25">
      <c r="A29" s="261">
        <v>13</v>
      </c>
      <c r="B29" s="261">
        <v>921</v>
      </c>
      <c r="C29" s="261">
        <v>92114</v>
      </c>
      <c r="D29" s="261">
        <v>6229</v>
      </c>
      <c r="E29" s="268" t="s">
        <v>164</v>
      </c>
      <c r="F29" s="263">
        <f>F30</f>
        <v>8856.59</v>
      </c>
    </row>
    <row r="30" spans="1:6" s="248" customFormat="1" ht="12.75" customHeight="1" x14ac:dyDescent="0.25">
      <c r="A30" s="281"/>
      <c r="B30" s="282"/>
      <c r="C30" s="282"/>
      <c r="D30" s="287"/>
      <c r="E30" s="288" t="s">
        <v>165</v>
      </c>
      <c r="F30" s="289">
        <v>8856.59</v>
      </c>
    </row>
    <row r="31" spans="1:6" ht="16.899999999999999" customHeight="1" x14ac:dyDescent="0.25">
      <c r="A31" s="261">
        <v>14</v>
      </c>
      <c r="B31" s="261">
        <v>921</v>
      </c>
      <c r="C31" s="261">
        <v>92116</v>
      </c>
      <c r="D31" s="261">
        <v>2800</v>
      </c>
      <c r="E31" s="268" t="s">
        <v>166</v>
      </c>
      <c r="F31" s="263">
        <f>F32</f>
        <v>50000</v>
      </c>
    </row>
    <row r="32" spans="1:6" s="248" customFormat="1" ht="12.75" customHeight="1" x14ac:dyDescent="0.25">
      <c r="A32" s="281"/>
      <c r="B32" s="282"/>
      <c r="C32" s="282"/>
      <c r="D32" s="287"/>
      <c r="E32" s="290" t="s">
        <v>167</v>
      </c>
      <c r="F32" s="289">
        <v>50000</v>
      </c>
    </row>
    <row r="33" spans="1:6" s="248" customFormat="1" ht="16.5" customHeight="1" x14ac:dyDescent="0.25">
      <c r="A33" s="261">
        <v>15</v>
      </c>
      <c r="B33" s="261">
        <v>921</v>
      </c>
      <c r="C33" s="261">
        <v>92116</v>
      </c>
      <c r="D33" s="261">
        <v>6229</v>
      </c>
      <c r="E33" s="268" t="s">
        <v>168</v>
      </c>
      <c r="F33" s="263">
        <f>F34</f>
        <v>37139.85</v>
      </c>
    </row>
    <row r="34" spans="1:6" s="248" customFormat="1" ht="12.75" customHeight="1" x14ac:dyDescent="0.25">
      <c r="A34" s="281"/>
      <c r="B34" s="282"/>
      <c r="C34" s="282"/>
      <c r="D34" s="287"/>
      <c r="E34" s="290" t="s">
        <v>167</v>
      </c>
      <c r="F34" s="289">
        <v>37139.85</v>
      </c>
    </row>
    <row r="35" spans="1:6" ht="17.25" customHeight="1" x14ac:dyDescent="0.25">
      <c r="A35" s="616"/>
      <c r="B35" s="617"/>
      <c r="C35" s="617"/>
      <c r="D35" s="618"/>
      <c r="E35" s="619" t="s">
        <v>169</v>
      </c>
      <c r="F35" s="339">
        <f>SUM(F13,F14,F15,F16,F17,F18,F19,F20,F21,F23,F25,F27,F29,F31,F33)</f>
        <v>11004037.219999999</v>
      </c>
    </row>
    <row r="36" spans="1:6" ht="15.75" customHeight="1" x14ac:dyDescent="0.25">
      <c r="A36" s="257" t="s">
        <v>170</v>
      </c>
      <c r="B36" s="258"/>
      <c r="C36" s="258"/>
      <c r="D36" s="259"/>
      <c r="E36" s="258"/>
      <c r="F36" s="260"/>
    </row>
    <row r="37" spans="1:6" ht="16.899999999999999" customHeight="1" x14ac:dyDescent="0.25">
      <c r="A37" s="261">
        <v>1</v>
      </c>
      <c r="B37" s="261">
        <v>853</v>
      </c>
      <c r="C37" s="261">
        <v>85395</v>
      </c>
      <c r="D37" s="261">
        <v>2510</v>
      </c>
      <c r="E37" s="268" t="s">
        <v>52</v>
      </c>
      <c r="F37" s="263">
        <f>F38</f>
        <v>1560581.3699999999</v>
      </c>
    </row>
    <row r="38" spans="1:6" s="248" customFormat="1" ht="12.75" customHeight="1" x14ac:dyDescent="0.25">
      <c r="A38" s="281"/>
      <c r="B38" s="282"/>
      <c r="C38" s="283"/>
      <c r="D38" s="284"/>
      <c r="E38" s="291" t="s">
        <v>171</v>
      </c>
      <c r="F38" s="292">
        <f>1186180+175684.22+198717.15</f>
        <v>1560581.3699999999</v>
      </c>
    </row>
    <row r="39" spans="1:6" ht="16.899999999999999" customHeight="1" x14ac:dyDescent="0.25">
      <c r="A39" s="261">
        <v>2</v>
      </c>
      <c r="B39" s="261">
        <v>921</v>
      </c>
      <c r="C39" s="261">
        <v>92110</v>
      </c>
      <c r="D39" s="261">
        <v>2480</v>
      </c>
      <c r="E39" s="268" t="s">
        <v>172</v>
      </c>
      <c r="F39" s="293">
        <f>F40</f>
        <v>1433385.72</v>
      </c>
    </row>
    <row r="40" spans="1:6" s="248" customFormat="1" ht="12.75" customHeight="1" x14ac:dyDescent="0.25">
      <c r="A40" s="281"/>
      <c r="B40" s="282"/>
      <c r="C40" s="283"/>
      <c r="D40" s="294"/>
      <c r="E40" s="295" t="s">
        <v>159</v>
      </c>
      <c r="F40" s="292">
        <f>1380000+53385.72</f>
        <v>1433385.72</v>
      </c>
    </row>
    <row r="41" spans="1:6" ht="16.899999999999999" customHeight="1" x14ac:dyDescent="0.25">
      <c r="A41" s="261">
        <v>3</v>
      </c>
      <c r="B41" s="261">
        <v>921</v>
      </c>
      <c r="C41" s="261">
        <v>92113</v>
      </c>
      <c r="D41" s="261">
        <v>2480</v>
      </c>
      <c r="E41" s="268" t="s">
        <v>161</v>
      </c>
      <c r="F41" s="293">
        <f>F42</f>
        <v>10740385.220000001</v>
      </c>
    </row>
    <row r="42" spans="1:6" s="248" customFormat="1" ht="12" customHeight="1" x14ac:dyDescent="0.25">
      <c r="A42" s="296"/>
      <c r="B42" s="283"/>
      <c r="C42" s="283"/>
      <c r="D42" s="283"/>
      <c r="E42" s="288" t="s">
        <v>173</v>
      </c>
      <c r="F42" s="297">
        <f>10500000+240385.22</f>
        <v>10740385.220000001</v>
      </c>
    </row>
    <row r="43" spans="1:6" ht="16.899999999999999" customHeight="1" x14ac:dyDescent="0.25">
      <c r="A43" s="261">
        <v>4</v>
      </c>
      <c r="B43" s="261">
        <v>921</v>
      </c>
      <c r="C43" s="261">
        <v>92114</v>
      </c>
      <c r="D43" s="261">
        <v>2480</v>
      </c>
      <c r="E43" s="268" t="s">
        <v>174</v>
      </c>
      <c r="F43" s="293">
        <f>F44</f>
        <v>2279414.83</v>
      </c>
    </row>
    <row r="44" spans="1:6" s="248" customFormat="1" ht="12.75" customHeight="1" x14ac:dyDescent="0.25">
      <c r="A44" s="281"/>
      <c r="B44" s="282"/>
      <c r="C44" s="282"/>
      <c r="D44" s="282"/>
      <c r="E44" s="288" t="s">
        <v>165</v>
      </c>
      <c r="F44" s="292">
        <f>2220000+59414.83</f>
        <v>2279414.83</v>
      </c>
    </row>
    <row r="45" spans="1:6" ht="16.899999999999999" customHeight="1" x14ac:dyDescent="0.25">
      <c r="A45" s="261">
        <v>5</v>
      </c>
      <c r="B45" s="261">
        <v>921</v>
      </c>
      <c r="C45" s="261">
        <v>92116</v>
      </c>
      <c r="D45" s="261">
        <v>2480</v>
      </c>
      <c r="E45" s="268" t="s">
        <v>166</v>
      </c>
      <c r="F45" s="263">
        <f>F46</f>
        <v>6622578.7199999997</v>
      </c>
    </row>
    <row r="46" spans="1:6" s="248" customFormat="1" ht="12.75" customHeight="1" x14ac:dyDescent="0.25">
      <c r="A46" s="281"/>
      <c r="B46" s="298"/>
      <c r="C46" s="298"/>
      <c r="D46" s="287"/>
      <c r="E46" s="288" t="s">
        <v>167</v>
      </c>
      <c r="F46" s="292">
        <f>6400000+222578.72</f>
        <v>6622578.7199999997</v>
      </c>
    </row>
    <row r="47" spans="1:6" ht="18" customHeight="1" x14ac:dyDescent="0.25">
      <c r="A47" s="616"/>
      <c r="B47" s="617"/>
      <c r="C47" s="617"/>
      <c r="D47" s="618"/>
      <c r="E47" s="619" t="s">
        <v>169</v>
      </c>
      <c r="F47" s="339">
        <f>SUM(F37,F39,F41,F43,F45)</f>
        <v>22636345.859999999</v>
      </c>
    </row>
    <row r="48" spans="1:6" ht="22.5" customHeight="1" x14ac:dyDescent="0.25">
      <c r="A48" s="257"/>
      <c r="B48" s="620"/>
      <c r="C48" s="620"/>
      <c r="D48" s="259"/>
      <c r="E48" s="420" t="s">
        <v>142</v>
      </c>
      <c r="F48" s="421">
        <f>SUM(F35,F47)</f>
        <v>33640383.079999998</v>
      </c>
    </row>
    <row r="50" spans="1:6" x14ac:dyDescent="0.25">
      <c r="A50" s="250"/>
      <c r="F50" s="264"/>
    </row>
    <row r="51" spans="1:6" x14ac:dyDescent="0.25">
      <c r="A51" s="256"/>
      <c r="F51" s="264"/>
    </row>
    <row r="52" spans="1:6" x14ac:dyDescent="0.25">
      <c r="A52" s="256"/>
    </row>
  </sheetData>
  <mergeCells count="2">
    <mergeCell ref="A6:F6"/>
    <mergeCell ref="A7:F7"/>
  </mergeCells>
  <printOptions horizontalCentered="1"/>
  <pageMargins left="0.59055118110236227" right="0.59055118110236227" top="0.74803149606299213" bottom="0.62992125984251968" header="0.31496062992125984" footer="0.31496062992125984"/>
  <pageSetup paperSize="9" scale="91" firstPageNumber="65" orientation="portrait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A278-4E59-4BC5-8870-4A6B6FA431EA}">
  <sheetPr>
    <tabColor rgb="FF92D050"/>
  </sheetPr>
  <dimension ref="A1:H151"/>
  <sheetViews>
    <sheetView zoomScale="130" zoomScaleNormal="130" workbookViewId="0"/>
  </sheetViews>
  <sheetFormatPr defaultRowHeight="13.5" x14ac:dyDescent="0.25"/>
  <cols>
    <col min="1" max="1" width="4.42578125" style="244" customWidth="1"/>
    <col min="2" max="2" width="5.7109375" style="244" customWidth="1"/>
    <col min="3" max="3" width="7.5703125" style="244" customWidth="1"/>
    <col min="4" max="4" width="6.5703125" style="299" customWidth="1"/>
    <col min="5" max="5" width="47.42578125" style="244" customWidth="1"/>
    <col min="6" max="6" width="22.28515625" style="244" customWidth="1"/>
    <col min="7" max="7" width="9.140625" style="244" customWidth="1"/>
    <col min="8" max="8" width="12.28515625" style="244" customWidth="1"/>
    <col min="9" max="256" width="9.140625" style="244"/>
    <col min="257" max="257" width="4.42578125" style="244" customWidth="1"/>
    <col min="258" max="258" width="5.7109375" style="244" customWidth="1"/>
    <col min="259" max="259" width="7.5703125" style="244" customWidth="1"/>
    <col min="260" max="260" width="6.5703125" style="244" customWidth="1"/>
    <col min="261" max="261" width="47.42578125" style="244" customWidth="1"/>
    <col min="262" max="262" width="22.28515625" style="244" customWidth="1"/>
    <col min="263" max="263" width="9.140625" style="244"/>
    <col min="264" max="264" width="12.28515625" style="244" customWidth="1"/>
    <col min="265" max="512" width="9.140625" style="244"/>
    <col min="513" max="513" width="4.42578125" style="244" customWidth="1"/>
    <col min="514" max="514" width="5.7109375" style="244" customWidth="1"/>
    <col min="515" max="515" width="7.5703125" style="244" customWidth="1"/>
    <col min="516" max="516" width="6.5703125" style="244" customWidth="1"/>
    <col min="517" max="517" width="47.42578125" style="244" customWidth="1"/>
    <col min="518" max="518" width="22.28515625" style="244" customWidth="1"/>
    <col min="519" max="519" width="9.140625" style="244"/>
    <col min="520" max="520" width="12.28515625" style="244" customWidth="1"/>
    <col min="521" max="768" width="9.140625" style="244"/>
    <col min="769" max="769" width="4.42578125" style="244" customWidth="1"/>
    <col min="770" max="770" width="5.7109375" style="244" customWidth="1"/>
    <col min="771" max="771" width="7.5703125" style="244" customWidth="1"/>
    <col min="772" max="772" width="6.5703125" style="244" customWidth="1"/>
    <col min="773" max="773" width="47.42578125" style="244" customWidth="1"/>
    <col min="774" max="774" width="22.28515625" style="244" customWidth="1"/>
    <col min="775" max="775" width="9.140625" style="244"/>
    <col min="776" max="776" width="12.28515625" style="244" customWidth="1"/>
    <col min="777" max="1024" width="9.140625" style="244"/>
    <col min="1025" max="1025" width="4.42578125" style="244" customWidth="1"/>
    <col min="1026" max="1026" width="5.7109375" style="244" customWidth="1"/>
    <col min="1027" max="1027" width="7.5703125" style="244" customWidth="1"/>
    <col min="1028" max="1028" width="6.5703125" style="244" customWidth="1"/>
    <col min="1029" max="1029" width="47.42578125" style="244" customWidth="1"/>
    <col min="1030" max="1030" width="22.28515625" style="244" customWidth="1"/>
    <col min="1031" max="1031" width="9.140625" style="244"/>
    <col min="1032" max="1032" width="12.28515625" style="244" customWidth="1"/>
    <col min="1033" max="1280" width="9.140625" style="244"/>
    <col min="1281" max="1281" width="4.42578125" style="244" customWidth="1"/>
    <col min="1282" max="1282" width="5.7109375" style="244" customWidth="1"/>
    <col min="1283" max="1283" width="7.5703125" style="244" customWidth="1"/>
    <col min="1284" max="1284" width="6.5703125" style="244" customWidth="1"/>
    <col min="1285" max="1285" width="47.42578125" style="244" customWidth="1"/>
    <col min="1286" max="1286" width="22.28515625" style="244" customWidth="1"/>
    <col min="1287" max="1287" width="9.140625" style="244"/>
    <col min="1288" max="1288" width="12.28515625" style="244" customWidth="1"/>
    <col min="1289" max="1536" width="9.140625" style="244"/>
    <col min="1537" max="1537" width="4.42578125" style="244" customWidth="1"/>
    <col min="1538" max="1538" width="5.7109375" style="244" customWidth="1"/>
    <col min="1539" max="1539" width="7.5703125" style="244" customWidth="1"/>
    <col min="1540" max="1540" width="6.5703125" style="244" customWidth="1"/>
    <col min="1541" max="1541" width="47.42578125" style="244" customWidth="1"/>
    <col min="1542" max="1542" width="22.28515625" style="244" customWidth="1"/>
    <col min="1543" max="1543" width="9.140625" style="244"/>
    <col min="1544" max="1544" width="12.28515625" style="244" customWidth="1"/>
    <col min="1545" max="1792" width="9.140625" style="244"/>
    <col min="1793" max="1793" width="4.42578125" style="244" customWidth="1"/>
    <col min="1794" max="1794" width="5.7109375" style="244" customWidth="1"/>
    <col min="1795" max="1795" width="7.5703125" style="244" customWidth="1"/>
    <col min="1796" max="1796" width="6.5703125" style="244" customWidth="1"/>
    <col min="1797" max="1797" width="47.42578125" style="244" customWidth="1"/>
    <col min="1798" max="1798" width="22.28515625" style="244" customWidth="1"/>
    <col min="1799" max="1799" width="9.140625" style="244"/>
    <col min="1800" max="1800" width="12.28515625" style="244" customWidth="1"/>
    <col min="1801" max="2048" width="9.140625" style="244"/>
    <col min="2049" max="2049" width="4.42578125" style="244" customWidth="1"/>
    <col min="2050" max="2050" width="5.7109375" style="244" customWidth="1"/>
    <col min="2051" max="2051" width="7.5703125" style="244" customWidth="1"/>
    <col min="2052" max="2052" width="6.5703125" style="244" customWidth="1"/>
    <col min="2053" max="2053" width="47.42578125" style="244" customWidth="1"/>
    <col min="2054" max="2054" width="22.28515625" style="244" customWidth="1"/>
    <col min="2055" max="2055" width="9.140625" style="244"/>
    <col min="2056" max="2056" width="12.28515625" style="244" customWidth="1"/>
    <col min="2057" max="2304" width="9.140625" style="244"/>
    <col min="2305" max="2305" width="4.42578125" style="244" customWidth="1"/>
    <col min="2306" max="2306" width="5.7109375" style="244" customWidth="1"/>
    <col min="2307" max="2307" width="7.5703125" style="244" customWidth="1"/>
    <col min="2308" max="2308" width="6.5703125" style="244" customWidth="1"/>
    <col min="2309" max="2309" width="47.42578125" style="244" customWidth="1"/>
    <col min="2310" max="2310" width="22.28515625" style="244" customWidth="1"/>
    <col min="2311" max="2311" width="9.140625" style="244"/>
    <col min="2312" max="2312" width="12.28515625" style="244" customWidth="1"/>
    <col min="2313" max="2560" width="9.140625" style="244"/>
    <col min="2561" max="2561" width="4.42578125" style="244" customWidth="1"/>
    <col min="2562" max="2562" width="5.7109375" style="244" customWidth="1"/>
    <col min="2563" max="2563" width="7.5703125" style="244" customWidth="1"/>
    <col min="2564" max="2564" width="6.5703125" style="244" customWidth="1"/>
    <col min="2565" max="2565" width="47.42578125" style="244" customWidth="1"/>
    <col min="2566" max="2566" width="22.28515625" style="244" customWidth="1"/>
    <col min="2567" max="2567" width="9.140625" style="244"/>
    <col min="2568" max="2568" width="12.28515625" style="244" customWidth="1"/>
    <col min="2569" max="2816" width="9.140625" style="244"/>
    <col min="2817" max="2817" width="4.42578125" style="244" customWidth="1"/>
    <col min="2818" max="2818" width="5.7109375" style="244" customWidth="1"/>
    <col min="2819" max="2819" width="7.5703125" style="244" customWidth="1"/>
    <col min="2820" max="2820" width="6.5703125" style="244" customWidth="1"/>
    <col min="2821" max="2821" width="47.42578125" style="244" customWidth="1"/>
    <col min="2822" max="2822" width="22.28515625" style="244" customWidth="1"/>
    <col min="2823" max="2823" width="9.140625" style="244"/>
    <col min="2824" max="2824" width="12.28515625" style="244" customWidth="1"/>
    <col min="2825" max="3072" width="9.140625" style="244"/>
    <col min="3073" max="3073" width="4.42578125" style="244" customWidth="1"/>
    <col min="3074" max="3074" width="5.7109375" style="244" customWidth="1"/>
    <col min="3075" max="3075" width="7.5703125" style="244" customWidth="1"/>
    <col min="3076" max="3076" width="6.5703125" style="244" customWidth="1"/>
    <col min="3077" max="3077" width="47.42578125" style="244" customWidth="1"/>
    <col min="3078" max="3078" width="22.28515625" style="244" customWidth="1"/>
    <col min="3079" max="3079" width="9.140625" style="244"/>
    <col min="3080" max="3080" width="12.28515625" style="244" customWidth="1"/>
    <col min="3081" max="3328" width="9.140625" style="244"/>
    <col min="3329" max="3329" width="4.42578125" style="244" customWidth="1"/>
    <col min="3330" max="3330" width="5.7109375" style="244" customWidth="1"/>
    <col min="3331" max="3331" width="7.5703125" style="244" customWidth="1"/>
    <col min="3332" max="3332" width="6.5703125" style="244" customWidth="1"/>
    <col min="3333" max="3333" width="47.42578125" style="244" customWidth="1"/>
    <col min="3334" max="3334" width="22.28515625" style="244" customWidth="1"/>
    <col min="3335" max="3335" width="9.140625" style="244"/>
    <col min="3336" max="3336" width="12.28515625" style="244" customWidth="1"/>
    <col min="3337" max="3584" width="9.140625" style="244"/>
    <col min="3585" max="3585" width="4.42578125" style="244" customWidth="1"/>
    <col min="3586" max="3586" width="5.7109375" style="244" customWidth="1"/>
    <col min="3587" max="3587" width="7.5703125" style="244" customWidth="1"/>
    <col min="3588" max="3588" width="6.5703125" style="244" customWidth="1"/>
    <col min="3589" max="3589" width="47.42578125" style="244" customWidth="1"/>
    <col min="3590" max="3590" width="22.28515625" style="244" customWidth="1"/>
    <col min="3591" max="3591" width="9.140625" style="244"/>
    <col min="3592" max="3592" width="12.28515625" style="244" customWidth="1"/>
    <col min="3593" max="3840" width="9.140625" style="244"/>
    <col min="3841" max="3841" width="4.42578125" style="244" customWidth="1"/>
    <col min="3842" max="3842" width="5.7109375" style="244" customWidth="1"/>
    <col min="3843" max="3843" width="7.5703125" style="244" customWidth="1"/>
    <col min="3844" max="3844" width="6.5703125" style="244" customWidth="1"/>
    <col min="3845" max="3845" width="47.42578125" style="244" customWidth="1"/>
    <col min="3846" max="3846" width="22.28515625" style="244" customWidth="1"/>
    <col min="3847" max="3847" width="9.140625" style="244"/>
    <col min="3848" max="3848" width="12.28515625" style="244" customWidth="1"/>
    <col min="3849" max="4096" width="9.140625" style="244"/>
    <col min="4097" max="4097" width="4.42578125" style="244" customWidth="1"/>
    <col min="4098" max="4098" width="5.7109375" style="244" customWidth="1"/>
    <col min="4099" max="4099" width="7.5703125" style="244" customWidth="1"/>
    <col min="4100" max="4100" width="6.5703125" style="244" customWidth="1"/>
    <col min="4101" max="4101" width="47.42578125" style="244" customWidth="1"/>
    <col min="4102" max="4102" width="22.28515625" style="244" customWidth="1"/>
    <col min="4103" max="4103" width="9.140625" style="244"/>
    <col min="4104" max="4104" width="12.28515625" style="244" customWidth="1"/>
    <col min="4105" max="4352" width="9.140625" style="244"/>
    <col min="4353" max="4353" width="4.42578125" style="244" customWidth="1"/>
    <col min="4354" max="4354" width="5.7109375" style="244" customWidth="1"/>
    <col min="4355" max="4355" width="7.5703125" style="244" customWidth="1"/>
    <col min="4356" max="4356" width="6.5703125" style="244" customWidth="1"/>
    <col min="4357" max="4357" width="47.42578125" style="244" customWidth="1"/>
    <col min="4358" max="4358" width="22.28515625" style="244" customWidth="1"/>
    <col min="4359" max="4359" width="9.140625" style="244"/>
    <col min="4360" max="4360" width="12.28515625" style="244" customWidth="1"/>
    <col min="4361" max="4608" width="9.140625" style="244"/>
    <col min="4609" max="4609" width="4.42578125" style="244" customWidth="1"/>
    <col min="4610" max="4610" width="5.7109375" style="244" customWidth="1"/>
    <col min="4611" max="4611" width="7.5703125" style="244" customWidth="1"/>
    <col min="4612" max="4612" width="6.5703125" style="244" customWidth="1"/>
    <col min="4613" max="4613" width="47.42578125" style="244" customWidth="1"/>
    <col min="4614" max="4614" width="22.28515625" style="244" customWidth="1"/>
    <col min="4615" max="4615" width="9.140625" style="244"/>
    <col min="4616" max="4616" width="12.28515625" style="244" customWidth="1"/>
    <col min="4617" max="4864" width="9.140625" style="244"/>
    <col min="4865" max="4865" width="4.42578125" style="244" customWidth="1"/>
    <col min="4866" max="4866" width="5.7109375" style="244" customWidth="1"/>
    <col min="4867" max="4867" width="7.5703125" style="244" customWidth="1"/>
    <col min="4868" max="4868" width="6.5703125" style="244" customWidth="1"/>
    <col min="4869" max="4869" width="47.42578125" style="244" customWidth="1"/>
    <col min="4870" max="4870" width="22.28515625" style="244" customWidth="1"/>
    <col min="4871" max="4871" width="9.140625" style="244"/>
    <col min="4872" max="4872" width="12.28515625" style="244" customWidth="1"/>
    <col min="4873" max="5120" width="9.140625" style="244"/>
    <col min="5121" max="5121" width="4.42578125" style="244" customWidth="1"/>
    <col min="5122" max="5122" width="5.7109375" style="244" customWidth="1"/>
    <col min="5123" max="5123" width="7.5703125" style="244" customWidth="1"/>
    <col min="5124" max="5124" width="6.5703125" style="244" customWidth="1"/>
    <col min="5125" max="5125" width="47.42578125" style="244" customWidth="1"/>
    <col min="5126" max="5126" width="22.28515625" style="244" customWidth="1"/>
    <col min="5127" max="5127" width="9.140625" style="244"/>
    <col min="5128" max="5128" width="12.28515625" style="244" customWidth="1"/>
    <col min="5129" max="5376" width="9.140625" style="244"/>
    <col min="5377" max="5377" width="4.42578125" style="244" customWidth="1"/>
    <col min="5378" max="5378" width="5.7109375" style="244" customWidth="1"/>
    <col min="5379" max="5379" width="7.5703125" style="244" customWidth="1"/>
    <col min="5380" max="5380" width="6.5703125" style="244" customWidth="1"/>
    <col min="5381" max="5381" width="47.42578125" style="244" customWidth="1"/>
    <col min="5382" max="5382" width="22.28515625" style="244" customWidth="1"/>
    <col min="5383" max="5383" width="9.140625" style="244"/>
    <col min="5384" max="5384" width="12.28515625" style="244" customWidth="1"/>
    <col min="5385" max="5632" width="9.140625" style="244"/>
    <col min="5633" max="5633" width="4.42578125" style="244" customWidth="1"/>
    <col min="5634" max="5634" width="5.7109375" style="244" customWidth="1"/>
    <col min="5635" max="5635" width="7.5703125" style="244" customWidth="1"/>
    <col min="5636" max="5636" width="6.5703125" style="244" customWidth="1"/>
    <col min="5637" max="5637" width="47.42578125" style="244" customWidth="1"/>
    <col min="5638" max="5638" width="22.28515625" style="244" customWidth="1"/>
    <col min="5639" max="5639" width="9.140625" style="244"/>
    <col min="5640" max="5640" width="12.28515625" style="244" customWidth="1"/>
    <col min="5641" max="5888" width="9.140625" style="244"/>
    <col min="5889" max="5889" width="4.42578125" style="244" customWidth="1"/>
    <col min="5890" max="5890" width="5.7109375" style="244" customWidth="1"/>
    <col min="5891" max="5891" width="7.5703125" style="244" customWidth="1"/>
    <col min="5892" max="5892" width="6.5703125" style="244" customWidth="1"/>
    <col min="5893" max="5893" width="47.42578125" style="244" customWidth="1"/>
    <col min="5894" max="5894" width="22.28515625" style="244" customWidth="1"/>
    <col min="5895" max="5895" width="9.140625" style="244"/>
    <col min="5896" max="5896" width="12.28515625" style="244" customWidth="1"/>
    <col min="5897" max="6144" width="9.140625" style="244"/>
    <col min="6145" max="6145" width="4.42578125" style="244" customWidth="1"/>
    <col min="6146" max="6146" width="5.7109375" style="244" customWidth="1"/>
    <col min="6147" max="6147" width="7.5703125" style="244" customWidth="1"/>
    <col min="6148" max="6148" width="6.5703125" style="244" customWidth="1"/>
    <col min="6149" max="6149" width="47.42578125" style="244" customWidth="1"/>
    <col min="6150" max="6150" width="22.28515625" style="244" customWidth="1"/>
    <col min="6151" max="6151" width="9.140625" style="244"/>
    <col min="6152" max="6152" width="12.28515625" style="244" customWidth="1"/>
    <col min="6153" max="6400" width="9.140625" style="244"/>
    <col min="6401" max="6401" width="4.42578125" style="244" customWidth="1"/>
    <col min="6402" max="6402" width="5.7109375" style="244" customWidth="1"/>
    <col min="6403" max="6403" width="7.5703125" style="244" customWidth="1"/>
    <col min="6404" max="6404" width="6.5703125" style="244" customWidth="1"/>
    <col min="6405" max="6405" width="47.42578125" style="244" customWidth="1"/>
    <col min="6406" max="6406" width="22.28515625" style="244" customWidth="1"/>
    <col min="6407" max="6407" width="9.140625" style="244"/>
    <col min="6408" max="6408" width="12.28515625" style="244" customWidth="1"/>
    <col min="6409" max="6656" width="9.140625" style="244"/>
    <col min="6657" max="6657" width="4.42578125" style="244" customWidth="1"/>
    <col min="6658" max="6658" width="5.7109375" style="244" customWidth="1"/>
    <col min="6659" max="6659" width="7.5703125" style="244" customWidth="1"/>
    <col min="6660" max="6660" width="6.5703125" style="244" customWidth="1"/>
    <col min="6661" max="6661" width="47.42578125" style="244" customWidth="1"/>
    <col min="6662" max="6662" width="22.28515625" style="244" customWidth="1"/>
    <col min="6663" max="6663" width="9.140625" style="244"/>
    <col min="6664" max="6664" width="12.28515625" style="244" customWidth="1"/>
    <col min="6665" max="6912" width="9.140625" style="244"/>
    <col min="6913" max="6913" width="4.42578125" style="244" customWidth="1"/>
    <col min="6914" max="6914" width="5.7109375" style="244" customWidth="1"/>
    <col min="6915" max="6915" width="7.5703125" style="244" customWidth="1"/>
    <col min="6916" max="6916" width="6.5703125" style="244" customWidth="1"/>
    <col min="6917" max="6917" width="47.42578125" style="244" customWidth="1"/>
    <col min="6918" max="6918" width="22.28515625" style="244" customWidth="1"/>
    <col min="6919" max="6919" width="9.140625" style="244"/>
    <col min="6920" max="6920" width="12.28515625" style="244" customWidth="1"/>
    <col min="6921" max="7168" width="9.140625" style="244"/>
    <col min="7169" max="7169" width="4.42578125" style="244" customWidth="1"/>
    <col min="7170" max="7170" width="5.7109375" style="244" customWidth="1"/>
    <col min="7171" max="7171" width="7.5703125" style="244" customWidth="1"/>
    <col min="7172" max="7172" width="6.5703125" style="244" customWidth="1"/>
    <col min="7173" max="7173" width="47.42578125" style="244" customWidth="1"/>
    <col min="7174" max="7174" width="22.28515625" style="244" customWidth="1"/>
    <col min="7175" max="7175" width="9.140625" style="244"/>
    <col min="7176" max="7176" width="12.28515625" style="244" customWidth="1"/>
    <col min="7177" max="7424" width="9.140625" style="244"/>
    <col min="7425" max="7425" width="4.42578125" style="244" customWidth="1"/>
    <col min="7426" max="7426" width="5.7109375" style="244" customWidth="1"/>
    <col min="7427" max="7427" width="7.5703125" style="244" customWidth="1"/>
    <col min="7428" max="7428" width="6.5703125" style="244" customWidth="1"/>
    <col min="7429" max="7429" width="47.42578125" style="244" customWidth="1"/>
    <col min="7430" max="7430" width="22.28515625" style="244" customWidth="1"/>
    <col min="7431" max="7431" width="9.140625" style="244"/>
    <col min="7432" max="7432" width="12.28515625" style="244" customWidth="1"/>
    <col min="7433" max="7680" width="9.140625" style="244"/>
    <col min="7681" max="7681" width="4.42578125" style="244" customWidth="1"/>
    <col min="7682" max="7682" width="5.7109375" style="244" customWidth="1"/>
    <col min="7683" max="7683" width="7.5703125" style="244" customWidth="1"/>
    <col min="7684" max="7684" width="6.5703125" style="244" customWidth="1"/>
    <col min="7685" max="7685" width="47.42578125" style="244" customWidth="1"/>
    <col min="7686" max="7686" width="22.28515625" style="244" customWidth="1"/>
    <col min="7687" max="7687" width="9.140625" style="244"/>
    <col min="7688" max="7688" width="12.28515625" style="244" customWidth="1"/>
    <col min="7689" max="7936" width="9.140625" style="244"/>
    <col min="7937" max="7937" width="4.42578125" style="244" customWidth="1"/>
    <col min="7938" max="7938" width="5.7109375" style="244" customWidth="1"/>
    <col min="7939" max="7939" width="7.5703125" style="244" customWidth="1"/>
    <col min="7940" max="7940" width="6.5703125" style="244" customWidth="1"/>
    <col min="7941" max="7941" width="47.42578125" style="244" customWidth="1"/>
    <col min="7942" max="7942" width="22.28515625" style="244" customWidth="1"/>
    <col min="7943" max="7943" width="9.140625" style="244"/>
    <col min="7944" max="7944" width="12.28515625" style="244" customWidth="1"/>
    <col min="7945" max="8192" width="9.140625" style="244"/>
    <col min="8193" max="8193" width="4.42578125" style="244" customWidth="1"/>
    <col min="8194" max="8194" width="5.7109375" style="244" customWidth="1"/>
    <col min="8195" max="8195" width="7.5703125" style="244" customWidth="1"/>
    <col min="8196" max="8196" width="6.5703125" style="244" customWidth="1"/>
    <col min="8197" max="8197" width="47.42578125" style="244" customWidth="1"/>
    <col min="8198" max="8198" width="22.28515625" style="244" customWidth="1"/>
    <col min="8199" max="8199" width="9.140625" style="244"/>
    <col min="8200" max="8200" width="12.28515625" style="244" customWidth="1"/>
    <col min="8201" max="8448" width="9.140625" style="244"/>
    <col min="8449" max="8449" width="4.42578125" style="244" customWidth="1"/>
    <col min="8450" max="8450" width="5.7109375" style="244" customWidth="1"/>
    <col min="8451" max="8451" width="7.5703125" style="244" customWidth="1"/>
    <col min="8452" max="8452" width="6.5703125" style="244" customWidth="1"/>
    <col min="8453" max="8453" width="47.42578125" style="244" customWidth="1"/>
    <col min="8454" max="8454" width="22.28515625" style="244" customWidth="1"/>
    <col min="8455" max="8455" width="9.140625" style="244"/>
    <col min="8456" max="8456" width="12.28515625" style="244" customWidth="1"/>
    <col min="8457" max="8704" width="9.140625" style="244"/>
    <col min="8705" max="8705" width="4.42578125" style="244" customWidth="1"/>
    <col min="8706" max="8706" width="5.7109375" style="244" customWidth="1"/>
    <col min="8707" max="8707" width="7.5703125" style="244" customWidth="1"/>
    <col min="8708" max="8708" width="6.5703125" style="244" customWidth="1"/>
    <col min="8709" max="8709" width="47.42578125" style="244" customWidth="1"/>
    <col min="8710" max="8710" width="22.28515625" style="244" customWidth="1"/>
    <col min="8711" max="8711" width="9.140625" style="244"/>
    <col min="8712" max="8712" width="12.28515625" style="244" customWidth="1"/>
    <col min="8713" max="8960" width="9.140625" style="244"/>
    <col min="8961" max="8961" width="4.42578125" style="244" customWidth="1"/>
    <col min="8962" max="8962" width="5.7109375" style="244" customWidth="1"/>
    <col min="8963" max="8963" width="7.5703125" style="244" customWidth="1"/>
    <col min="8964" max="8964" width="6.5703125" style="244" customWidth="1"/>
    <col min="8965" max="8965" width="47.42578125" style="244" customWidth="1"/>
    <col min="8966" max="8966" width="22.28515625" style="244" customWidth="1"/>
    <col min="8967" max="8967" width="9.140625" style="244"/>
    <col min="8968" max="8968" width="12.28515625" style="244" customWidth="1"/>
    <col min="8969" max="9216" width="9.140625" style="244"/>
    <col min="9217" max="9217" width="4.42578125" style="244" customWidth="1"/>
    <col min="9218" max="9218" width="5.7109375" style="244" customWidth="1"/>
    <col min="9219" max="9219" width="7.5703125" style="244" customWidth="1"/>
    <col min="9220" max="9220" width="6.5703125" style="244" customWidth="1"/>
    <col min="9221" max="9221" width="47.42578125" style="244" customWidth="1"/>
    <col min="9222" max="9222" width="22.28515625" style="244" customWidth="1"/>
    <col min="9223" max="9223" width="9.140625" style="244"/>
    <col min="9224" max="9224" width="12.28515625" style="244" customWidth="1"/>
    <col min="9225" max="9472" width="9.140625" style="244"/>
    <col min="9473" max="9473" width="4.42578125" style="244" customWidth="1"/>
    <col min="9474" max="9474" width="5.7109375" style="244" customWidth="1"/>
    <col min="9475" max="9475" width="7.5703125" style="244" customWidth="1"/>
    <col min="9476" max="9476" width="6.5703125" style="244" customWidth="1"/>
    <col min="9477" max="9477" width="47.42578125" style="244" customWidth="1"/>
    <col min="9478" max="9478" width="22.28515625" style="244" customWidth="1"/>
    <col min="9479" max="9479" width="9.140625" style="244"/>
    <col min="9480" max="9480" width="12.28515625" style="244" customWidth="1"/>
    <col min="9481" max="9728" width="9.140625" style="244"/>
    <col min="9729" max="9729" width="4.42578125" style="244" customWidth="1"/>
    <col min="9730" max="9730" width="5.7109375" style="244" customWidth="1"/>
    <col min="9731" max="9731" width="7.5703125" style="244" customWidth="1"/>
    <col min="9732" max="9732" width="6.5703125" style="244" customWidth="1"/>
    <col min="9733" max="9733" width="47.42578125" style="244" customWidth="1"/>
    <col min="9734" max="9734" width="22.28515625" style="244" customWidth="1"/>
    <col min="9735" max="9735" width="9.140625" style="244"/>
    <col min="9736" max="9736" width="12.28515625" style="244" customWidth="1"/>
    <col min="9737" max="9984" width="9.140625" style="244"/>
    <col min="9985" max="9985" width="4.42578125" style="244" customWidth="1"/>
    <col min="9986" max="9986" width="5.7109375" style="244" customWidth="1"/>
    <col min="9987" max="9987" width="7.5703125" style="244" customWidth="1"/>
    <col min="9988" max="9988" width="6.5703125" style="244" customWidth="1"/>
    <col min="9989" max="9989" width="47.42578125" style="244" customWidth="1"/>
    <col min="9990" max="9990" width="22.28515625" style="244" customWidth="1"/>
    <col min="9991" max="9991" width="9.140625" style="244"/>
    <col min="9992" max="9992" width="12.28515625" style="244" customWidth="1"/>
    <col min="9993" max="10240" width="9.140625" style="244"/>
    <col min="10241" max="10241" width="4.42578125" style="244" customWidth="1"/>
    <col min="10242" max="10242" width="5.7109375" style="244" customWidth="1"/>
    <col min="10243" max="10243" width="7.5703125" style="244" customWidth="1"/>
    <col min="10244" max="10244" width="6.5703125" style="244" customWidth="1"/>
    <col min="10245" max="10245" width="47.42578125" style="244" customWidth="1"/>
    <col min="10246" max="10246" width="22.28515625" style="244" customWidth="1"/>
    <col min="10247" max="10247" width="9.140625" style="244"/>
    <col min="10248" max="10248" width="12.28515625" style="244" customWidth="1"/>
    <col min="10249" max="10496" width="9.140625" style="244"/>
    <col min="10497" max="10497" width="4.42578125" style="244" customWidth="1"/>
    <col min="10498" max="10498" width="5.7109375" style="244" customWidth="1"/>
    <col min="10499" max="10499" width="7.5703125" style="244" customWidth="1"/>
    <col min="10500" max="10500" width="6.5703125" style="244" customWidth="1"/>
    <col min="10501" max="10501" width="47.42578125" style="244" customWidth="1"/>
    <col min="10502" max="10502" width="22.28515625" style="244" customWidth="1"/>
    <col min="10503" max="10503" width="9.140625" style="244"/>
    <col min="10504" max="10504" width="12.28515625" style="244" customWidth="1"/>
    <col min="10505" max="10752" width="9.140625" style="244"/>
    <col min="10753" max="10753" width="4.42578125" style="244" customWidth="1"/>
    <col min="10754" max="10754" width="5.7109375" style="244" customWidth="1"/>
    <col min="10755" max="10755" width="7.5703125" style="244" customWidth="1"/>
    <col min="10756" max="10756" width="6.5703125" style="244" customWidth="1"/>
    <col min="10757" max="10757" width="47.42578125" style="244" customWidth="1"/>
    <col min="10758" max="10758" width="22.28515625" style="244" customWidth="1"/>
    <col min="10759" max="10759" width="9.140625" style="244"/>
    <col min="10760" max="10760" width="12.28515625" style="244" customWidth="1"/>
    <col min="10761" max="11008" width="9.140625" style="244"/>
    <col min="11009" max="11009" width="4.42578125" style="244" customWidth="1"/>
    <col min="11010" max="11010" width="5.7109375" style="244" customWidth="1"/>
    <col min="11011" max="11011" width="7.5703125" style="244" customWidth="1"/>
    <col min="11012" max="11012" width="6.5703125" style="244" customWidth="1"/>
    <col min="11013" max="11013" width="47.42578125" style="244" customWidth="1"/>
    <col min="11014" max="11014" width="22.28515625" style="244" customWidth="1"/>
    <col min="11015" max="11015" width="9.140625" style="244"/>
    <col min="11016" max="11016" width="12.28515625" style="244" customWidth="1"/>
    <col min="11017" max="11264" width="9.140625" style="244"/>
    <col min="11265" max="11265" width="4.42578125" style="244" customWidth="1"/>
    <col min="11266" max="11266" width="5.7109375" style="244" customWidth="1"/>
    <col min="11267" max="11267" width="7.5703125" style="244" customWidth="1"/>
    <col min="11268" max="11268" width="6.5703125" style="244" customWidth="1"/>
    <col min="11269" max="11269" width="47.42578125" style="244" customWidth="1"/>
    <col min="11270" max="11270" width="22.28515625" style="244" customWidth="1"/>
    <col min="11271" max="11271" width="9.140625" style="244"/>
    <col min="11272" max="11272" width="12.28515625" style="244" customWidth="1"/>
    <col min="11273" max="11520" width="9.140625" style="244"/>
    <col min="11521" max="11521" width="4.42578125" style="244" customWidth="1"/>
    <col min="11522" max="11522" width="5.7109375" style="244" customWidth="1"/>
    <col min="11523" max="11523" width="7.5703125" style="244" customWidth="1"/>
    <col min="11524" max="11524" width="6.5703125" style="244" customWidth="1"/>
    <col min="11525" max="11525" width="47.42578125" style="244" customWidth="1"/>
    <col min="11526" max="11526" width="22.28515625" style="244" customWidth="1"/>
    <col min="11527" max="11527" width="9.140625" style="244"/>
    <col min="11528" max="11528" width="12.28515625" style="244" customWidth="1"/>
    <col min="11529" max="11776" width="9.140625" style="244"/>
    <col min="11777" max="11777" width="4.42578125" style="244" customWidth="1"/>
    <col min="11778" max="11778" width="5.7109375" style="244" customWidth="1"/>
    <col min="11779" max="11779" width="7.5703125" style="244" customWidth="1"/>
    <col min="11780" max="11780" width="6.5703125" style="244" customWidth="1"/>
    <col min="11781" max="11781" width="47.42578125" style="244" customWidth="1"/>
    <col min="11782" max="11782" width="22.28515625" style="244" customWidth="1"/>
    <col min="11783" max="11783" width="9.140625" style="244"/>
    <col min="11784" max="11784" width="12.28515625" style="244" customWidth="1"/>
    <col min="11785" max="12032" width="9.140625" style="244"/>
    <col min="12033" max="12033" width="4.42578125" style="244" customWidth="1"/>
    <col min="12034" max="12034" width="5.7109375" style="244" customWidth="1"/>
    <col min="12035" max="12035" width="7.5703125" style="244" customWidth="1"/>
    <col min="12036" max="12036" width="6.5703125" style="244" customWidth="1"/>
    <col min="12037" max="12037" width="47.42578125" style="244" customWidth="1"/>
    <col min="12038" max="12038" width="22.28515625" style="244" customWidth="1"/>
    <col min="12039" max="12039" width="9.140625" style="244"/>
    <col min="12040" max="12040" width="12.28515625" style="244" customWidth="1"/>
    <col min="12041" max="12288" width="9.140625" style="244"/>
    <col min="12289" max="12289" width="4.42578125" style="244" customWidth="1"/>
    <col min="12290" max="12290" width="5.7109375" style="244" customWidth="1"/>
    <col min="12291" max="12291" width="7.5703125" style="244" customWidth="1"/>
    <col min="12292" max="12292" width="6.5703125" style="244" customWidth="1"/>
    <col min="12293" max="12293" width="47.42578125" style="244" customWidth="1"/>
    <col min="12294" max="12294" width="22.28515625" style="244" customWidth="1"/>
    <col min="12295" max="12295" width="9.140625" style="244"/>
    <col min="12296" max="12296" width="12.28515625" style="244" customWidth="1"/>
    <col min="12297" max="12544" width="9.140625" style="244"/>
    <col min="12545" max="12545" width="4.42578125" style="244" customWidth="1"/>
    <col min="12546" max="12546" width="5.7109375" style="244" customWidth="1"/>
    <col min="12547" max="12547" width="7.5703125" style="244" customWidth="1"/>
    <col min="12548" max="12548" width="6.5703125" style="244" customWidth="1"/>
    <col min="12549" max="12549" width="47.42578125" style="244" customWidth="1"/>
    <col min="12550" max="12550" width="22.28515625" style="244" customWidth="1"/>
    <col min="12551" max="12551" width="9.140625" style="244"/>
    <col min="12552" max="12552" width="12.28515625" style="244" customWidth="1"/>
    <col min="12553" max="12800" width="9.140625" style="244"/>
    <col min="12801" max="12801" width="4.42578125" style="244" customWidth="1"/>
    <col min="12802" max="12802" width="5.7109375" style="244" customWidth="1"/>
    <col min="12803" max="12803" width="7.5703125" style="244" customWidth="1"/>
    <col min="12804" max="12804" width="6.5703125" style="244" customWidth="1"/>
    <col min="12805" max="12805" width="47.42578125" style="244" customWidth="1"/>
    <col min="12806" max="12806" width="22.28515625" style="244" customWidth="1"/>
    <col min="12807" max="12807" width="9.140625" style="244"/>
    <col min="12808" max="12808" width="12.28515625" style="244" customWidth="1"/>
    <col min="12809" max="13056" width="9.140625" style="244"/>
    <col min="13057" max="13057" width="4.42578125" style="244" customWidth="1"/>
    <col min="13058" max="13058" width="5.7109375" style="244" customWidth="1"/>
    <col min="13059" max="13059" width="7.5703125" style="244" customWidth="1"/>
    <col min="13060" max="13060" width="6.5703125" style="244" customWidth="1"/>
    <col min="13061" max="13061" width="47.42578125" style="244" customWidth="1"/>
    <col min="13062" max="13062" width="22.28515625" style="244" customWidth="1"/>
    <col min="13063" max="13063" width="9.140625" style="244"/>
    <col min="13064" max="13064" width="12.28515625" style="244" customWidth="1"/>
    <col min="13065" max="13312" width="9.140625" style="244"/>
    <col min="13313" max="13313" width="4.42578125" style="244" customWidth="1"/>
    <col min="13314" max="13314" width="5.7109375" style="244" customWidth="1"/>
    <col min="13315" max="13315" width="7.5703125" style="244" customWidth="1"/>
    <col min="13316" max="13316" width="6.5703125" style="244" customWidth="1"/>
    <col min="13317" max="13317" width="47.42578125" style="244" customWidth="1"/>
    <col min="13318" max="13318" width="22.28515625" style="244" customWidth="1"/>
    <col min="13319" max="13319" width="9.140625" style="244"/>
    <col min="13320" max="13320" width="12.28515625" style="244" customWidth="1"/>
    <col min="13321" max="13568" width="9.140625" style="244"/>
    <col min="13569" max="13569" width="4.42578125" style="244" customWidth="1"/>
    <col min="13570" max="13570" width="5.7109375" style="244" customWidth="1"/>
    <col min="13571" max="13571" width="7.5703125" style="244" customWidth="1"/>
    <col min="13572" max="13572" width="6.5703125" style="244" customWidth="1"/>
    <col min="13573" max="13573" width="47.42578125" style="244" customWidth="1"/>
    <col min="13574" max="13574" width="22.28515625" style="244" customWidth="1"/>
    <col min="13575" max="13575" width="9.140625" style="244"/>
    <col min="13576" max="13576" width="12.28515625" style="244" customWidth="1"/>
    <col min="13577" max="13824" width="9.140625" style="244"/>
    <col min="13825" max="13825" width="4.42578125" style="244" customWidth="1"/>
    <col min="13826" max="13826" width="5.7109375" style="244" customWidth="1"/>
    <col min="13827" max="13827" width="7.5703125" style="244" customWidth="1"/>
    <col min="13828" max="13828" width="6.5703125" style="244" customWidth="1"/>
    <col min="13829" max="13829" width="47.42578125" style="244" customWidth="1"/>
    <col min="13830" max="13830" width="22.28515625" style="244" customWidth="1"/>
    <col min="13831" max="13831" width="9.140625" style="244"/>
    <col min="13832" max="13832" width="12.28515625" style="244" customWidth="1"/>
    <col min="13833" max="14080" width="9.140625" style="244"/>
    <col min="14081" max="14081" width="4.42578125" style="244" customWidth="1"/>
    <col min="14082" max="14082" width="5.7109375" style="244" customWidth="1"/>
    <col min="14083" max="14083" width="7.5703125" style="244" customWidth="1"/>
    <col min="14084" max="14084" width="6.5703125" style="244" customWidth="1"/>
    <col min="14085" max="14085" width="47.42578125" style="244" customWidth="1"/>
    <col min="14086" max="14086" width="22.28515625" style="244" customWidth="1"/>
    <col min="14087" max="14087" width="9.140625" style="244"/>
    <col min="14088" max="14088" width="12.28515625" style="244" customWidth="1"/>
    <col min="14089" max="14336" width="9.140625" style="244"/>
    <col min="14337" max="14337" width="4.42578125" style="244" customWidth="1"/>
    <col min="14338" max="14338" width="5.7109375" style="244" customWidth="1"/>
    <col min="14339" max="14339" width="7.5703125" style="244" customWidth="1"/>
    <col min="14340" max="14340" width="6.5703125" style="244" customWidth="1"/>
    <col min="14341" max="14341" width="47.42578125" style="244" customWidth="1"/>
    <col min="14342" max="14342" width="22.28515625" style="244" customWidth="1"/>
    <col min="14343" max="14343" width="9.140625" style="244"/>
    <col min="14344" max="14344" width="12.28515625" style="244" customWidth="1"/>
    <col min="14345" max="14592" width="9.140625" style="244"/>
    <col min="14593" max="14593" width="4.42578125" style="244" customWidth="1"/>
    <col min="14594" max="14594" width="5.7109375" style="244" customWidth="1"/>
    <col min="14595" max="14595" width="7.5703125" style="244" customWidth="1"/>
    <col min="14596" max="14596" width="6.5703125" style="244" customWidth="1"/>
    <col min="14597" max="14597" width="47.42578125" style="244" customWidth="1"/>
    <col min="14598" max="14598" width="22.28515625" style="244" customWidth="1"/>
    <col min="14599" max="14599" width="9.140625" style="244"/>
    <col min="14600" max="14600" width="12.28515625" style="244" customWidth="1"/>
    <col min="14601" max="14848" width="9.140625" style="244"/>
    <col min="14849" max="14849" width="4.42578125" style="244" customWidth="1"/>
    <col min="14850" max="14850" width="5.7109375" style="244" customWidth="1"/>
    <col min="14851" max="14851" width="7.5703125" style="244" customWidth="1"/>
    <col min="14852" max="14852" width="6.5703125" style="244" customWidth="1"/>
    <col min="14853" max="14853" width="47.42578125" style="244" customWidth="1"/>
    <col min="14854" max="14854" width="22.28515625" style="244" customWidth="1"/>
    <col min="14855" max="14855" width="9.140625" style="244"/>
    <col min="14856" max="14856" width="12.28515625" style="244" customWidth="1"/>
    <col min="14857" max="15104" width="9.140625" style="244"/>
    <col min="15105" max="15105" width="4.42578125" style="244" customWidth="1"/>
    <col min="15106" max="15106" width="5.7109375" style="244" customWidth="1"/>
    <col min="15107" max="15107" width="7.5703125" style="244" customWidth="1"/>
    <col min="15108" max="15108" width="6.5703125" style="244" customWidth="1"/>
    <col min="15109" max="15109" width="47.42578125" style="244" customWidth="1"/>
    <col min="15110" max="15110" width="22.28515625" style="244" customWidth="1"/>
    <col min="15111" max="15111" width="9.140625" style="244"/>
    <col min="15112" max="15112" width="12.28515625" style="244" customWidth="1"/>
    <col min="15113" max="15360" width="9.140625" style="244"/>
    <col min="15361" max="15361" width="4.42578125" style="244" customWidth="1"/>
    <col min="15362" max="15362" width="5.7109375" style="244" customWidth="1"/>
    <col min="15363" max="15363" width="7.5703125" style="244" customWidth="1"/>
    <col min="15364" max="15364" width="6.5703125" style="244" customWidth="1"/>
    <col min="15365" max="15365" width="47.42578125" style="244" customWidth="1"/>
    <col min="15366" max="15366" width="22.28515625" style="244" customWidth="1"/>
    <col min="15367" max="15367" width="9.140625" style="244"/>
    <col min="15368" max="15368" width="12.28515625" style="244" customWidth="1"/>
    <col min="15369" max="15616" width="9.140625" style="244"/>
    <col min="15617" max="15617" width="4.42578125" style="244" customWidth="1"/>
    <col min="15618" max="15618" width="5.7109375" style="244" customWidth="1"/>
    <col min="15619" max="15619" width="7.5703125" style="244" customWidth="1"/>
    <col min="15620" max="15620" width="6.5703125" style="244" customWidth="1"/>
    <col min="15621" max="15621" width="47.42578125" style="244" customWidth="1"/>
    <col min="15622" max="15622" width="22.28515625" style="244" customWidth="1"/>
    <col min="15623" max="15623" width="9.140625" style="244"/>
    <col min="15624" max="15624" width="12.28515625" style="244" customWidth="1"/>
    <col min="15625" max="15872" width="9.140625" style="244"/>
    <col min="15873" max="15873" width="4.42578125" style="244" customWidth="1"/>
    <col min="15874" max="15874" width="5.7109375" style="244" customWidth="1"/>
    <col min="15875" max="15875" width="7.5703125" style="244" customWidth="1"/>
    <col min="15876" max="15876" width="6.5703125" style="244" customWidth="1"/>
    <col min="15877" max="15877" width="47.42578125" style="244" customWidth="1"/>
    <col min="15878" max="15878" width="22.28515625" style="244" customWidth="1"/>
    <col min="15879" max="15879" width="9.140625" style="244"/>
    <col min="15880" max="15880" width="12.28515625" style="244" customWidth="1"/>
    <col min="15881" max="16128" width="9.140625" style="244"/>
    <col min="16129" max="16129" width="4.42578125" style="244" customWidth="1"/>
    <col min="16130" max="16130" width="5.7109375" style="244" customWidth="1"/>
    <col min="16131" max="16131" width="7.5703125" style="244" customWidth="1"/>
    <col min="16132" max="16132" width="6.5703125" style="244" customWidth="1"/>
    <col min="16133" max="16133" width="47.42578125" style="244" customWidth="1"/>
    <col min="16134" max="16134" width="22.28515625" style="244" customWidth="1"/>
    <col min="16135" max="16135" width="9.140625" style="244"/>
    <col min="16136" max="16136" width="12.28515625" style="244" customWidth="1"/>
    <col min="16137" max="16384" width="9.140625" style="244"/>
  </cols>
  <sheetData>
    <row r="1" spans="1:8" ht="12.95" customHeight="1" x14ac:dyDescent="0.25">
      <c r="F1" s="248" t="s">
        <v>175</v>
      </c>
    </row>
    <row r="2" spans="1:8" ht="12.95" customHeight="1" x14ac:dyDescent="0.25">
      <c r="F2" s="246" t="s">
        <v>39</v>
      </c>
    </row>
    <row r="3" spans="1:8" ht="12.95" customHeight="1" x14ac:dyDescent="0.25">
      <c r="F3" s="248" t="s">
        <v>1</v>
      </c>
    </row>
    <row r="4" spans="1:8" ht="12.75" customHeight="1" x14ac:dyDescent="0.25">
      <c r="F4" s="246" t="s">
        <v>40</v>
      </c>
    </row>
    <row r="5" spans="1:8" ht="26.25" customHeight="1" x14ac:dyDescent="0.25">
      <c r="A5" s="300" t="s">
        <v>144</v>
      </c>
      <c r="B5" s="300"/>
      <c r="C5" s="300"/>
      <c r="D5" s="301"/>
      <c r="E5" s="300"/>
      <c r="F5" s="300"/>
    </row>
    <row r="6" spans="1:8" ht="15.75" customHeight="1" x14ac:dyDescent="0.25">
      <c r="A6" s="300" t="s">
        <v>176</v>
      </c>
      <c r="B6" s="300"/>
      <c r="C6" s="300"/>
      <c r="D6" s="301"/>
      <c r="E6" s="300"/>
      <c r="F6" s="300"/>
    </row>
    <row r="7" spans="1:8" ht="24.75" customHeight="1" x14ac:dyDescent="0.25">
      <c r="F7" s="251" t="s">
        <v>44</v>
      </c>
    </row>
    <row r="8" spans="1:8" ht="20.25" customHeight="1" x14ac:dyDescent="0.25">
      <c r="A8" s="302" t="s">
        <v>5</v>
      </c>
      <c r="B8" s="302" t="s">
        <v>65</v>
      </c>
      <c r="C8" s="302" t="s">
        <v>135</v>
      </c>
      <c r="D8" s="271" t="s">
        <v>146</v>
      </c>
      <c r="E8" s="303" t="s">
        <v>147</v>
      </c>
      <c r="F8" s="302" t="s">
        <v>148</v>
      </c>
    </row>
    <row r="9" spans="1:8" s="307" customFormat="1" ht="10.5" customHeight="1" x14ac:dyDescent="0.3">
      <c r="A9" s="304">
        <v>1</v>
      </c>
      <c r="B9" s="304">
        <v>2</v>
      </c>
      <c r="C9" s="304">
        <v>3</v>
      </c>
      <c r="D9" s="305">
        <v>4</v>
      </c>
      <c r="E9" s="306">
        <v>5</v>
      </c>
      <c r="F9" s="304">
        <v>6</v>
      </c>
    </row>
    <row r="10" spans="1:8" ht="17.25" customHeight="1" x14ac:dyDescent="0.25">
      <c r="A10" s="257" t="s">
        <v>149</v>
      </c>
      <c r="B10" s="258"/>
      <c r="C10" s="258"/>
      <c r="D10" s="308"/>
      <c r="E10" s="258"/>
      <c r="F10" s="260"/>
    </row>
    <row r="11" spans="1:8" ht="15" customHeight="1" x14ac:dyDescent="0.25">
      <c r="A11" s="268">
        <v>1</v>
      </c>
      <c r="B11" s="309">
        <v>630</v>
      </c>
      <c r="C11" s="309">
        <v>63003</v>
      </c>
      <c r="D11" s="271">
        <v>2360</v>
      </c>
      <c r="E11" s="262" t="s">
        <v>177</v>
      </c>
      <c r="F11" s="263">
        <f>35000</f>
        <v>35000</v>
      </c>
    </row>
    <row r="12" spans="1:8" ht="26.25" customHeight="1" x14ac:dyDescent="0.25">
      <c r="A12" s="268">
        <v>2</v>
      </c>
      <c r="B12" s="310">
        <v>700</v>
      </c>
      <c r="C12" s="310">
        <v>70095</v>
      </c>
      <c r="D12" s="311">
        <v>6230</v>
      </c>
      <c r="E12" s="312" t="s">
        <v>178</v>
      </c>
      <c r="F12" s="263">
        <f>1500000</f>
        <v>1500000</v>
      </c>
      <c r="G12" s="266"/>
    </row>
    <row r="13" spans="1:8" ht="26.25" customHeight="1" x14ac:dyDescent="0.25">
      <c r="A13" s="268">
        <v>3</v>
      </c>
      <c r="B13" s="310">
        <v>750</v>
      </c>
      <c r="C13" s="310">
        <v>75095</v>
      </c>
      <c r="D13" s="271">
        <v>2360</v>
      </c>
      <c r="E13" s="313" t="s">
        <v>179</v>
      </c>
      <c r="F13" s="263">
        <f>200000</f>
        <v>200000</v>
      </c>
      <c r="H13" s="264"/>
    </row>
    <row r="14" spans="1:8" ht="15" customHeight="1" x14ac:dyDescent="0.25">
      <c r="A14" s="268">
        <v>4</v>
      </c>
      <c r="B14" s="310">
        <v>755</v>
      </c>
      <c r="C14" s="310">
        <v>75515</v>
      </c>
      <c r="D14" s="271">
        <v>2360</v>
      </c>
      <c r="E14" s="314" t="s">
        <v>180</v>
      </c>
      <c r="F14" s="315">
        <f>146896.8</f>
        <v>146896.79999999999</v>
      </c>
      <c r="H14" s="264"/>
    </row>
    <row r="15" spans="1:8" ht="27" customHeight="1" x14ac:dyDescent="0.25">
      <c r="A15" s="268">
        <v>5</v>
      </c>
      <c r="B15" s="310">
        <v>801</v>
      </c>
      <c r="C15" s="310">
        <v>80195</v>
      </c>
      <c r="D15" s="316" t="s">
        <v>181</v>
      </c>
      <c r="E15" s="317" t="s">
        <v>182</v>
      </c>
      <c r="F15" s="318">
        <f>18864+1109</f>
        <v>19973</v>
      </c>
      <c r="H15" s="264"/>
    </row>
    <row r="16" spans="1:8" ht="28.9" customHeight="1" x14ac:dyDescent="0.25">
      <c r="A16" s="268">
        <v>6</v>
      </c>
      <c r="B16" s="310">
        <v>801</v>
      </c>
      <c r="C16" s="310">
        <v>80195</v>
      </c>
      <c r="D16" s="316" t="s">
        <v>181</v>
      </c>
      <c r="E16" s="317" t="s">
        <v>183</v>
      </c>
      <c r="F16" s="318">
        <f>144716.29+8503.71</f>
        <v>153220</v>
      </c>
      <c r="H16" s="264"/>
    </row>
    <row r="17" spans="1:8" ht="28.9" customHeight="1" x14ac:dyDescent="0.25">
      <c r="A17" s="268">
        <v>7</v>
      </c>
      <c r="B17" s="310">
        <v>801</v>
      </c>
      <c r="C17" s="310">
        <v>80195</v>
      </c>
      <c r="D17" s="316" t="s">
        <v>181</v>
      </c>
      <c r="E17" s="317" t="s">
        <v>184</v>
      </c>
      <c r="F17" s="318">
        <f>396690+23310</f>
        <v>420000</v>
      </c>
      <c r="H17" s="264"/>
    </row>
    <row r="18" spans="1:8" ht="15" customHeight="1" x14ac:dyDescent="0.25">
      <c r="A18" s="268">
        <v>8</v>
      </c>
      <c r="B18" s="310">
        <v>851</v>
      </c>
      <c r="C18" s="310">
        <v>85153</v>
      </c>
      <c r="D18" s="319">
        <v>2360</v>
      </c>
      <c r="E18" s="320" t="s">
        <v>185</v>
      </c>
      <c r="F18" s="318">
        <f>48765</f>
        <v>48765</v>
      </c>
      <c r="H18" s="264"/>
    </row>
    <row r="19" spans="1:8" ht="27" customHeight="1" x14ac:dyDescent="0.25">
      <c r="A19" s="268">
        <v>9</v>
      </c>
      <c r="B19" s="310">
        <v>851</v>
      </c>
      <c r="C19" s="310">
        <v>85154</v>
      </c>
      <c r="D19" s="271">
        <v>2360</v>
      </c>
      <c r="E19" s="313" t="s">
        <v>186</v>
      </c>
      <c r="F19" s="263">
        <f>615000+235000+41482+20000</f>
        <v>911482</v>
      </c>
    </row>
    <row r="20" spans="1:8" ht="24.75" customHeight="1" x14ac:dyDescent="0.25">
      <c r="A20" s="321">
        <v>10</v>
      </c>
      <c r="B20" s="322">
        <v>851</v>
      </c>
      <c r="C20" s="323">
        <v>85195</v>
      </c>
      <c r="D20" s="324">
        <v>2360</v>
      </c>
      <c r="E20" s="325" t="s">
        <v>187</v>
      </c>
      <c r="F20" s="263">
        <f>122500+20000</f>
        <v>142500</v>
      </c>
    </row>
    <row r="21" spans="1:8" ht="24.75" customHeight="1" x14ac:dyDescent="0.25">
      <c r="A21" s="321">
        <v>11</v>
      </c>
      <c r="B21" s="322">
        <v>851</v>
      </c>
      <c r="C21" s="323">
        <v>85195</v>
      </c>
      <c r="D21" s="324">
        <v>2360</v>
      </c>
      <c r="E21" s="325" t="s">
        <v>188</v>
      </c>
      <c r="F21" s="263">
        <f>125000</f>
        <v>125000</v>
      </c>
    </row>
    <row r="22" spans="1:8" ht="38.25" customHeight="1" x14ac:dyDescent="0.25">
      <c r="A22" s="321">
        <v>12</v>
      </c>
      <c r="B22" s="268">
        <v>852</v>
      </c>
      <c r="C22" s="268">
        <v>85219</v>
      </c>
      <c r="D22" s="326">
        <v>2830</v>
      </c>
      <c r="E22" s="327" t="s">
        <v>189</v>
      </c>
      <c r="F22" s="263">
        <f>171894+157203</f>
        <v>329097</v>
      </c>
    </row>
    <row r="23" spans="1:8" ht="24.75" customHeight="1" x14ac:dyDescent="0.25">
      <c r="A23" s="321">
        <v>13</v>
      </c>
      <c r="B23" s="328">
        <v>852</v>
      </c>
      <c r="C23" s="329">
        <v>85228</v>
      </c>
      <c r="D23" s="324">
        <v>2360</v>
      </c>
      <c r="E23" s="330" t="s">
        <v>190</v>
      </c>
      <c r="F23" s="263">
        <f>F24+F25</f>
        <v>14392416.119999999</v>
      </c>
    </row>
    <row r="24" spans="1:8" s="248" customFormat="1" ht="13.5" customHeight="1" x14ac:dyDescent="0.25">
      <c r="A24" s="331" t="s">
        <v>191</v>
      </c>
      <c r="B24" s="332"/>
      <c r="C24" s="333"/>
      <c r="D24" s="334"/>
      <c r="E24" s="335" t="s">
        <v>192</v>
      </c>
      <c r="F24" s="278">
        <f>8905485.52-12000+144403.6-27500</f>
        <v>9010389.1199999992</v>
      </c>
    </row>
    <row r="25" spans="1:8" s="248" customFormat="1" ht="13.5" customHeight="1" x14ac:dyDescent="0.25">
      <c r="A25" s="331" t="s">
        <v>193</v>
      </c>
      <c r="B25" s="332"/>
      <c r="C25" s="333"/>
      <c r="D25" s="334"/>
      <c r="E25" s="335" t="s">
        <v>194</v>
      </c>
      <c r="F25" s="278">
        <f>4754169+627858</f>
        <v>5382027</v>
      </c>
    </row>
    <row r="26" spans="1:8" ht="15" customHeight="1" x14ac:dyDescent="0.25">
      <c r="A26" s="336">
        <v>14</v>
      </c>
      <c r="B26" s="337">
        <v>852</v>
      </c>
      <c r="C26" s="337">
        <v>85295</v>
      </c>
      <c r="D26" s="338">
        <v>2360</v>
      </c>
      <c r="E26" s="330" t="s">
        <v>195</v>
      </c>
      <c r="F26" s="339">
        <f>2691864</f>
        <v>2691864</v>
      </c>
    </row>
    <row r="27" spans="1:8" ht="38.25" customHeight="1" x14ac:dyDescent="0.25">
      <c r="A27" s="268">
        <v>15</v>
      </c>
      <c r="B27" s="310">
        <v>853</v>
      </c>
      <c r="C27" s="310">
        <v>85395</v>
      </c>
      <c r="D27" s="271">
        <v>2360</v>
      </c>
      <c r="E27" s="313" t="s">
        <v>196</v>
      </c>
      <c r="F27" s="263">
        <f>19000</f>
        <v>19000</v>
      </c>
    </row>
    <row r="28" spans="1:8" ht="24.75" customHeight="1" x14ac:dyDescent="0.25">
      <c r="A28" s="268">
        <v>16</v>
      </c>
      <c r="B28" s="310">
        <v>855</v>
      </c>
      <c r="C28" s="310">
        <v>85510</v>
      </c>
      <c r="D28" s="340" t="s">
        <v>197</v>
      </c>
      <c r="E28" s="314" t="s">
        <v>198</v>
      </c>
      <c r="F28" s="263">
        <f>2830580+188620</f>
        <v>3019200</v>
      </c>
    </row>
    <row r="29" spans="1:8" ht="24.75" customHeight="1" x14ac:dyDescent="0.25">
      <c r="A29" s="268">
        <v>17</v>
      </c>
      <c r="B29" s="310">
        <v>900</v>
      </c>
      <c r="C29" s="310">
        <v>90001</v>
      </c>
      <c r="D29" s="271">
        <v>6230</v>
      </c>
      <c r="E29" s="341" t="s">
        <v>199</v>
      </c>
      <c r="F29" s="263">
        <v>5000</v>
      </c>
    </row>
    <row r="30" spans="1:8" ht="26.25" customHeight="1" x14ac:dyDescent="0.25">
      <c r="A30" s="342">
        <v>18</v>
      </c>
      <c r="B30" s="310">
        <v>900</v>
      </c>
      <c r="C30" s="310">
        <v>90005</v>
      </c>
      <c r="D30" s="271">
        <v>2360</v>
      </c>
      <c r="E30" s="343" t="s">
        <v>200</v>
      </c>
      <c r="F30" s="280">
        <v>100000</v>
      </c>
      <c r="G30" s="344"/>
    </row>
    <row r="31" spans="1:8" ht="28.5" customHeight="1" x14ac:dyDescent="0.25">
      <c r="A31" s="342">
        <v>19</v>
      </c>
      <c r="B31" s="310">
        <v>900</v>
      </c>
      <c r="C31" s="310">
        <v>90095</v>
      </c>
      <c r="D31" s="316" t="s">
        <v>201</v>
      </c>
      <c r="E31" s="317" t="s">
        <v>202</v>
      </c>
      <c r="F31" s="318">
        <f>14643+82977</f>
        <v>97620</v>
      </c>
      <c r="G31" s="344"/>
    </row>
    <row r="32" spans="1:8" s="248" customFormat="1" ht="15" customHeight="1" x14ac:dyDescent="0.25">
      <c r="A32" s="268">
        <v>20</v>
      </c>
      <c r="B32" s="310">
        <v>921</v>
      </c>
      <c r="C32" s="310">
        <v>92120</v>
      </c>
      <c r="D32" s="271">
        <v>2720</v>
      </c>
      <c r="E32" s="345" t="s">
        <v>203</v>
      </c>
      <c r="F32" s="280">
        <f>750000</f>
        <v>750000</v>
      </c>
    </row>
    <row r="33" spans="1:8" ht="38.25" customHeight="1" x14ac:dyDescent="0.25">
      <c r="A33" s="268">
        <v>21</v>
      </c>
      <c r="B33" s="310">
        <v>921</v>
      </c>
      <c r="C33" s="310">
        <v>92195</v>
      </c>
      <c r="D33" s="346">
        <v>2360</v>
      </c>
      <c r="E33" s="313" t="s">
        <v>204</v>
      </c>
      <c r="F33" s="280">
        <v>950000</v>
      </c>
    </row>
    <row r="34" spans="1:8" ht="15.6" customHeight="1" x14ac:dyDescent="0.25">
      <c r="A34" s="268">
        <v>22</v>
      </c>
      <c r="B34" s="310">
        <v>926</v>
      </c>
      <c r="C34" s="310">
        <v>92605</v>
      </c>
      <c r="D34" s="346">
        <v>2360</v>
      </c>
      <c r="E34" s="314" t="s">
        <v>205</v>
      </c>
      <c r="F34" s="263">
        <f>5000000</f>
        <v>5000000</v>
      </c>
    </row>
    <row r="35" spans="1:8" s="250" customFormat="1" ht="18" customHeight="1" x14ac:dyDescent="0.25">
      <c r="A35" s="621"/>
      <c r="B35" s="622"/>
      <c r="C35" s="622"/>
      <c r="D35" s="347"/>
      <c r="E35" s="622" t="s">
        <v>206</v>
      </c>
      <c r="F35" s="263">
        <f>SUM(F11,F12,F13,F14,F15,F16,F17,F18,F19,F20,F21,F22,F23,F29,F26,F27,F28,F30,F31,F32,F33,F34)</f>
        <v>31057033.919999998</v>
      </c>
      <c r="H35" s="348"/>
    </row>
    <row r="36" spans="1:8" ht="17.25" customHeight="1" x14ac:dyDescent="0.25">
      <c r="A36" s="257" t="s">
        <v>170</v>
      </c>
      <c r="B36" s="258"/>
      <c r="C36" s="258"/>
      <c r="D36" s="308"/>
      <c r="E36" s="258"/>
      <c r="F36" s="260"/>
    </row>
    <row r="37" spans="1:8" ht="17.25" customHeight="1" x14ac:dyDescent="0.25">
      <c r="A37" s="302" t="s">
        <v>5</v>
      </c>
      <c r="B37" s="302" t="s">
        <v>65</v>
      </c>
      <c r="C37" s="302" t="s">
        <v>135</v>
      </c>
      <c r="D37" s="349"/>
      <c r="E37" s="303" t="s">
        <v>207</v>
      </c>
      <c r="F37" s="252" t="s">
        <v>148</v>
      </c>
    </row>
    <row r="38" spans="1:8" ht="24" customHeight="1" x14ac:dyDescent="0.25">
      <c r="A38" s="310">
        <v>1</v>
      </c>
      <c r="B38" s="310">
        <v>801</v>
      </c>
      <c r="C38" s="310">
        <v>80101</v>
      </c>
      <c r="D38" s="346" t="s">
        <v>208</v>
      </c>
      <c r="E38" s="345" t="s">
        <v>14</v>
      </c>
      <c r="F38" s="263">
        <f>3611632.2+9720952.16-550000-1100000-400000</f>
        <v>11282584.359999999</v>
      </c>
    </row>
    <row r="39" spans="1:8" s="248" customFormat="1" ht="13.5" customHeight="1" x14ac:dyDescent="0.25">
      <c r="A39" s="350"/>
      <c r="B39" s="351"/>
      <c r="C39" s="291"/>
      <c r="D39" s="352"/>
      <c r="E39" s="353" t="s">
        <v>209</v>
      </c>
      <c r="F39" s="354"/>
    </row>
    <row r="40" spans="1:8" s="248" customFormat="1" ht="13.5" customHeight="1" x14ac:dyDescent="0.25">
      <c r="A40" s="355"/>
      <c r="C40" s="356"/>
      <c r="D40" s="357"/>
      <c r="E40" s="358" t="s">
        <v>210</v>
      </c>
      <c r="F40" s="359"/>
      <c r="G40" s="360"/>
    </row>
    <row r="41" spans="1:8" s="248" customFormat="1" ht="14.25" customHeight="1" x14ac:dyDescent="0.25">
      <c r="A41" s="355"/>
      <c r="C41" s="356"/>
      <c r="D41" s="361"/>
      <c r="E41" s="362" t="s">
        <v>211</v>
      </c>
      <c r="F41" s="359"/>
    </row>
    <row r="42" spans="1:8" s="248" customFormat="1" ht="25.5" customHeight="1" x14ac:dyDescent="0.25">
      <c r="A42" s="355"/>
      <c r="C42" s="356"/>
      <c r="D42" s="361"/>
      <c r="E42" s="363" t="s">
        <v>212</v>
      </c>
      <c r="F42" s="364"/>
    </row>
    <row r="43" spans="1:8" s="248" customFormat="1" ht="13.5" customHeight="1" x14ac:dyDescent="0.25">
      <c r="A43" s="365"/>
      <c r="B43" s="298"/>
      <c r="C43" s="295"/>
      <c r="D43" s="366"/>
      <c r="E43" s="367" t="s">
        <v>213</v>
      </c>
      <c r="F43" s="368"/>
    </row>
    <row r="44" spans="1:8" ht="13.9" customHeight="1" x14ac:dyDescent="0.25">
      <c r="A44" s="337">
        <v>2</v>
      </c>
      <c r="B44" s="337">
        <v>801</v>
      </c>
      <c r="C44" s="337">
        <v>80103</v>
      </c>
      <c r="D44" s="338">
        <v>2540</v>
      </c>
      <c r="E44" s="369" t="s">
        <v>214</v>
      </c>
      <c r="F44" s="339">
        <f>198379.2</f>
        <v>198379.2</v>
      </c>
    </row>
    <row r="45" spans="1:8" s="248" customFormat="1" ht="13.5" customHeight="1" x14ac:dyDescent="0.25">
      <c r="A45" s="355"/>
      <c r="C45" s="356"/>
      <c r="D45" s="361"/>
      <c r="E45" s="370" t="s">
        <v>211</v>
      </c>
      <c r="F45" s="371"/>
    </row>
    <row r="46" spans="1:8" ht="24" customHeight="1" x14ac:dyDescent="0.25">
      <c r="A46" s="310">
        <v>3</v>
      </c>
      <c r="B46" s="310">
        <v>801</v>
      </c>
      <c r="C46" s="310">
        <v>80104</v>
      </c>
      <c r="D46" s="346" t="s">
        <v>208</v>
      </c>
      <c r="E46" s="345" t="s">
        <v>16</v>
      </c>
      <c r="F46" s="263">
        <f>9183881.2+3891938.8-800000</f>
        <v>12275820</v>
      </c>
    </row>
    <row r="47" spans="1:8" s="248" customFormat="1" ht="13.5" customHeight="1" x14ac:dyDescent="0.25">
      <c r="A47" s="372"/>
      <c r="B47" s="373"/>
      <c r="C47" s="374"/>
      <c r="D47" s="375"/>
      <c r="E47" s="376" t="s">
        <v>215</v>
      </c>
      <c r="F47" s="371"/>
    </row>
    <row r="48" spans="1:8" s="248" customFormat="1" ht="13.5" customHeight="1" x14ac:dyDescent="0.25">
      <c r="A48" s="355"/>
      <c r="C48" s="356"/>
      <c r="D48" s="361"/>
      <c r="E48" s="377" t="s">
        <v>216</v>
      </c>
      <c r="F48" s="364"/>
    </row>
    <row r="49" spans="1:6" s="248" customFormat="1" ht="13.5" customHeight="1" x14ac:dyDescent="0.25">
      <c r="A49" s="355"/>
      <c r="C49" s="356"/>
      <c r="D49" s="361"/>
      <c r="E49" s="377" t="s">
        <v>217</v>
      </c>
      <c r="F49" s="364"/>
    </row>
    <row r="50" spans="1:6" s="248" customFormat="1" ht="13.5" customHeight="1" x14ac:dyDescent="0.25">
      <c r="A50" s="355"/>
      <c r="C50" s="356"/>
      <c r="D50" s="361"/>
      <c r="E50" s="377" t="s">
        <v>218</v>
      </c>
      <c r="F50" s="364"/>
    </row>
    <row r="51" spans="1:6" s="248" customFormat="1" ht="13.5" customHeight="1" x14ac:dyDescent="0.25">
      <c r="A51" s="355"/>
      <c r="C51" s="356"/>
      <c r="D51" s="361"/>
      <c r="E51" s="363" t="s">
        <v>219</v>
      </c>
      <c r="F51" s="364"/>
    </row>
    <row r="52" spans="1:6" s="248" customFormat="1" ht="13.5" customHeight="1" x14ac:dyDescent="0.25">
      <c r="A52" s="355"/>
      <c r="C52" s="356"/>
      <c r="D52" s="361"/>
      <c r="E52" s="363" t="s">
        <v>220</v>
      </c>
      <c r="F52" s="364"/>
    </row>
    <row r="53" spans="1:6" s="248" customFormat="1" ht="13.5" customHeight="1" x14ac:dyDescent="0.25">
      <c r="A53" s="355"/>
      <c r="C53" s="356"/>
      <c r="D53" s="361"/>
      <c r="E53" s="377" t="s">
        <v>221</v>
      </c>
      <c r="F53" s="364"/>
    </row>
    <row r="54" spans="1:6" s="248" customFormat="1" ht="13.5" customHeight="1" x14ac:dyDescent="0.25">
      <c r="A54" s="355"/>
      <c r="C54" s="356"/>
      <c r="D54" s="361"/>
      <c r="E54" s="377" t="s">
        <v>222</v>
      </c>
      <c r="F54" s="364"/>
    </row>
    <row r="55" spans="1:6" s="248" customFormat="1" ht="13.5" customHeight="1" x14ac:dyDescent="0.25">
      <c r="A55" s="355"/>
      <c r="C55" s="356"/>
      <c r="D55" s="361"/>
      <c r="E55" s="363" t="s">
        <v>223</v>
      </c>
      <c r="F55" s="364"/>
    </row>
    <row r="56" spans="1:6" s="248" customFormat="1" ht="13.5" customHeight="1" x14ac:dyDescent="0.25">
      <c r="A56" s="355"/>
      <c r="C56" s="356"/>
      <c r="D56" s="361"/>
      <c r="E56" s="378" t="s">
        <v>224</v>
      </c>
      <c r="F56" s="364"/>
    </row>
    <row r="57" spans="1:6" s="248" customFormat="1" ht="13.5" customHeight="1" x14ac:dyDescent="0.25">
      <c r="A57" s="355"/>
      <c r="C57" s="356"/>
      <c r="D57" s="361"/>
      <c r="E57" s="363" t="s">
        <v>225</v>
      </c>
      <c r="F57" s="364"/>
    </row>
    <row r="58" spans="1:6" s="248" customFormat="1" ht="13.5" customHeight="1" x14ac:dyDescent="0.25">
      <c r="A58" s="355"/>
      <c r="C58" s="356"/>
      <c r="D58" s="361"/>
      <c r="E58" s="378" t="s">
        <v>226</v>
      </c>
      <c r="F58" s="364"/>
    </row>
    <row r="59" spans="1:6" s="248" customFormat="1" ht="13.5" customHeight="1" x14ac:dyDescent="0.25">
      <c r="A59" s="355"/>
      <c r="C59" s="356"/>
      <c r="D59" s="361"/>
      <c r="E59" s="378" t="s">
        <v>227</v>
      </c>
      <c r="F59" s="364"/>
    </row>
    <row r="60" spans="1:6" s="248" customFormat="1" ht="13.5" customHeight="1" x14ac:dyDescent="0.25">
      <c r="A60" s="365"/>
      <c r="B60" s="298"/>
      <c r="C60" s="295"/>
      <c r="D60" s="366"/>
      <c r="E60" s="379" t="s">
        <v>228</v>
      </c>
      <c r="F60" s="368"/>
    </row>
    <row r="61" spans="1:6" ht="22.5" customHeight="1" x14ac:dyDescent="0.25">
      <c r="A61" s="310">
        <v>4</v>
      </c>
      <c r="B61" s="310">
        <v>801</v>
      </c>
      <c r="C61" s="310">
        <v>80106</v>
      </c>
      <c r="D61" s="271">
        <v>2540</v>
      </c>
      <c r="E61" s="314" t="s">
        <v>229</v>
      </c>
      <c r="F61" s="263">
        <f>158564</f>
        <v>158564</v>
      </c>
    </row>
    <row r="62" spans="1:6" s="248" customFormat="1" ht="13.5" customHeight="1" x14ac:dyDescent="0.25">
      <c r="A62" s="355"/>
      <c r="C62" s="356"/>
      <c r="D62" s="380"/>
      <c r="E62" s="381" t="s">
        <v>230</v>
      </c>
      <c r="F62" s="382"/>
    </row>
    <row r="63" spans="1:6" ht="13.5" customHeight="1" x14ac:dyDescent="0.25">
      <c r="A63" s="337">
        <v>5</v>
      </c>
      <c r="B63" s="337">
        <v>801</v>
      </c>
      <c r="C63" s="337">
        <v>80115</v>
      </c>
      <c r="D63" s="383">
        <v>2540</v>
      </c>
      <c r="E63" s="384" t="s">
        <v>22</v>
      </c>
      <c r="F63" s="339">
        <f>3756329.44-100000</f>
        <v>3656329.44</v>
      </c>
    </row>
    <row r="64" spans="1:6" s="248" customFormat="1" ht="12.75" customHeight="1" x14ac:dyDescent="0.25">
      <c r="A64" s="350"/>
      <c r="B64" s="351"/>
      <c r="C64" s="291"/>
      <c r="D64" s="385"/>
      <c r="E64" s="386" t="s">
        <v>231</v>
      </c>
      <c r="F64" s="354"/>
    </row>
    <row r="65" spans="1:6" ht="23.25" customHeight="1" x14ac:dyDescent="0.25">
      <c r="A65" s="310">
        <v>6</v>
      </c>
      <c r="B65" s="310">
        <v>801</v>
      </c>
      <c r="C65" s="310">
        <v>80116</v>
      </c>
      <c r="D65" s="387" t="s">
        <v>208</v>
      </c>
      <c r="E65" s="388" t="s">
        <v>232</v>
      </c>
      <c r="F65" s="339">
        <f>9078519.3+650000+300000+400000-40000</f>
        <v>10388519.300000001</v>
      </c>
    </row>
    <row r="66" spans="1:6" s="248" customFormat="1" ht="13.5" customHeight="1" x14ac:dyDescent="0.25">
      <c r="A66" s="372"/>
      <c r="B66" s="373"/>
      <c r="C66" s="374"/>
      <c r="D66" s="375"/>
      <c r="E66" s="389" t="s">
        <v>233</v>
      </c>
      <c r="F66" s="371"/>
    </row>
    <row r="67" spans="1:6" s="248" customFormat="1" ht="25.5" customHeight="1" x14ac:dyDescent="0.25">
      <c r="A67" s="355"/>
      <c r="C67" s="356"/>
      <c r="D67" s="361"/>
      <c r="E67" s="390" t="s">
        <v>234</v>
      </c>
      <c r="F67" s="364"/>
    </row>
    <row r="68" spans="1:6" s="248" customFormat="1" ht="13.5" customHeight="1" x14ac:dyDescent="0.25">
      <c r="A68" s="355"/>
      <c r="C68" s="356"/>
      <c r="D68" s="361"/>
      <c r="E68" s="378" t="s">
        <v>235</v>
      </c>
      <c r="F68" s="364"/>
    </row>
    <row r="69" spans="1:6" s="248" customFormat="1" ht="13.5" customHeight="1" x14ac:dyDescent="0.25">
      <c r="A69" s="355"/>
      <c r="C69" s="356"/>
      <c r="D69" s="361"/>
      <c r="E69" s="390" t="s">
        <v>236</v>
      </c>
      <c r="F69" s="364"/>
    </row>
    <row r="70" spans="1:6" s="248" customFormat="1" ht="13.5" customHeight="1" x14ac:dyDescent="0.25">
      <c r="A70" s="355"/>
      <c r="C70" s="356"/>
      <c r="D70" s="361"/>
      <c r="E70" s="378" t="s">
        <v>237</v>
      </c>
      <c r="F70" s="364"/>
    </row>
    <row r="71" spans="1:6" s="248" customFormat="1" ht="13.5" customHeight="1" x14ac:dyDescent="0.25">
      <c r="A71" s="355"/>
      <c r="C71" s="356"/>
      <c r="D71" s="361"/>
      <c r="E71" s="378" t="s">
        <v>238</v>
      </c>
      <c r="F71" s="364"/>
    </row>
    <row r="72" spans="1:6" s="248" customFormat="1" ht="13.5" customHeight="1" x14ac:dyDescent="0.25">
      <c r="A72" s="355"/>
      <c r="C72" s="356"/>
      <c r="D72" s="391"/>
      <c r="E72" s="392" t="s">
        <v>239</v>
      </c>
      <c r="F72" s="359"/>
    </row>
    <row r="73" spans="1:6" s="248" customFormat="1" ht="13.5" customHeight="1" x14ac:dyDescent="0.25">
      <c r="A73" s="355"/>
      <c r="C73" s="356"/>
      <c r="D73" s="391"/>
      <c r="E73" s="378" t="s">
        <v>240</v>
      </c>
      <c r="F73" s="364"/>
    </row>
    <row r="74" spans="1:6" s="248" customFormat="1" ht="13.5" customHeight="1" x14ac:dyDescent="0.25">
      <c r="A74" s="355"/>
      <c r="C74" s="356"/>
      <c r="D74" s="393"/>
      <c r="E74" s="392" t="s">
        <v>241</v>
      </c>
      <c r="F74" s="359"/>
    </row>
    <row r="75" spans="1:6" s="248" customFormat="1" ht="13.5" customHeight="1" x14ac:dyDescent="0.25">
      <c r="A75" s="365"/>
      <c r="B75" s="298"/>
      <c r="C75" s="295"/>
      <c r="D75" s="366"/>
      <c r="E75" s="367" t="s">
        <v>242</v>
      </c>
      <c r="F75" s="368"/>
    </row>
    <row r="76" spans="1:6" ht="24" customHeight="1" x14ac:dyDescent="0.25">
      <c r="A76" s="268">
        <v>7</v>
      </c>
      <c r="B76" s="268">
        <v>801</v>
      </c>
      <c r="C76" s="268">
        <v>80117</v>
      </c>
      <c r="D76" s="394" t="s">
        <v>208</v>
      </c>
      <c r="E76" s="345" t="s">
        <v>243</v>
      </c>
      <c r="F76" s="263">
        <f>2677774+1983634.18-200000</f>
        <v>4461408.18</v>
      </c>
    </row>
    <row r="77" spans="1:6" s="248" customFormat="1" ht="13.5" customHeight="1" x14ac:dyDescent="0.25">
      <c r="A77" s="355"/>
      <c r="C77" s="356"/>
      <c r="D77" s="361"/>
      <c r="E77" s="358" t="s">
        <v>244</v>
      </c>
      <c r="F77" s="359"/>
    </row>
    <row r="78" spans="1:6" s="248" customFormat="1" ht="24" customHeight="1" x14ac:dyDescent="0.25">
      <c r="A78" s="365"/>
      <c r="B78" s="298"/>
      <c r="C78" s="295"/>
      <c r="D78" s="366"/>
      <c r="E78" s="367" t="s">
        <v>245</v>
      </c>
      <c r="F78" s="368"/>
    </row>
    <row r="79" spans="1:6" ht="24" customHeight="1" x14ac:dyDescent="0.25">
      <c r="A79" s="268">
        <v>8</v>
      </c>
      <c r="B79" s="268">
        <v>801</v>
      </c>
      <c r="C79" s="268">
        <v>80120</v>
      </c>
      <c r="D79" s="394" t="s">
        <v>208</v>
      </c>
      <c r="E79" s="345" t="s">
        <v>23</v>
      </c>
      <c r="F79" s="263">
        <f>3471265.85+4785976.45-430423</f>
        <v>7826819.3000000007</v>
      </c>
    </row>
    <row r="80" spans="1:6" s="248" customFormat="1" ht="25.5" customHeight="1" x14ac:dyDescent="0.25">
      <c r="A80" s="355"/>
      <c r="C80" s="356"/>
      <c r="D80" s="361"/>
      <c r="E80" s="363" t="s">
        <v>246</v>
      </c>
      <c r="F80" s="364"/>
    </row>
    <row r="81" spans="1:7" s="248" customFormat="1" ht="24.75" customHeight="1" x14ac:dyDescent="0.25">
      <c r="A81" s="365"/>
      <c r="B81" s="298"/>
      <c r="C81" s="295"/>
      <c r="D81" s="366"/>
      <c r="E81" s="395" t="s">
        <v>247</v>
      </c>
      <c r="F81" s="396"/>
    </row>
    <row r="82" spans="1:7" s="248" customFormat="1" ht="13.5" customHeight="1" x14ac:dyDescent="0.25">
      <c r="A82" s="355"/>
      <c r="C82" s="356"/>
      <c r="D82" s="361"/>
      <c r="E82" s="392" t="s">
        <v>248</v>
      </c>
      <c r="F82" s="359"/>
    </row>
    <row r="83" spans="1:7" s="248" customFormat="1" ht="13.5" customHeight="1" x14ac:dyDescent="0.25">
      <c r="A83" s="365"/>
      <c r="B83" s="298"/>
      <c r="C83" s="295"/>
      <c r="D83" s="366"/>
      <c r="E83" s="379" t="s">
        <v>249</v>
      </c>
      <c r="F83" s="368"/>
    </row>
    <row r="84" spans="1:7" ht="26.25" customHeight="1" x14ac:dyDescent="0.25">
      <c r="A84" s="268">
        <v>9</v>
      </c>
      <c r="B84" s="268">
        <v>801</v>
      </c>
      <c r="C84" s="268">
        <v>80122</v>
      </c>
      <c r="D84" s="394" t="s">
        <v>208</v>
      </c>
      <c r="E84" s="345" t="s">
        <v>250</v>
      </c>
      <c r="F84" s="263">
        <f>395800+902460-100000-260000-100000+40000</f>
        <v>878260</v>
      </c>
    </row>
    <row r="85" spans="1:7" s="248" customFormat="1" ht="12.75" customHeight="1" x14ac:dyDescent="0.25">
      <c r="A85" s="372"/>
      <c r="B85" s="373"/>
      <c r="C85" s="374"/>
      <c r="D85" s="375"/>
      <c r="E85" s="397" t="s">
        <v>251</v>
      </c>
      <c r="F85" s="371"/>
    </row>
    <row r="86" spans="1:7" s="248" customFormat="1" ht="13.5" customHeight="1" x14ac:dyDescent="0.25">
      <c r="A86" s="355"/>
      <c r="C86" s="356"/>
      <c r="D86" s="391"/>
      <c r="E86" s="398" t="s">
        <v>252</v>
      </c>
      <c r="F86" s="359"/>
    </row>
    <row r="87" spans="1:7" s="248" customFormat="1" ht="13.5" customHeight="1" x14ac:dyDescent="0.25">
      <c r="A87" s="355"/>
      <c r="C87" s="356"/>
      <c r="D87" s="361"/>
      <c r="E87" s="390" t="s">
        <v>253</v>
      </c>
      <c r="F87" s="364"/>
      <c r="G87" s="399"/>
    </row>
    <row r="88" spans="1:7" s="248" customFormat="1" ht="13.5" customHeight="1" x14ac:dyDescent="0.25">
      <c r="A88" s="355"/>
      <c r="C88" s="356"/>
      <c r="D88" s="361"/>
      <c r="E88" s="377" t="s">
        <v>254</v>
      </c>
      <c r="F88" s="364"/>
    </row>
    <row r="89" spans="1:7" s="248" customFormat="1" ht="13.5" customHeight="1" x14ac:dyDescent="0.25">
      <c r="A89" s="355"/>
      <c r="C89" s="356"/>
      <c r="D89" s="361"/>
      <c r="E89" s="377" t="s">
        <v>255</v>
      </c>
      <c r="F89" s="364"/>
    </row>
    <row r="90" spans="1:7" s="248" customFormat="1" ht="13.5" customHeight="1" x14ac:dyDescent="0.25">
      <c r="A90" s="355"/>
      <c r="C90" s="356"/>
      <c r="D90" s="361"/>
      <c r="E90" s="378" t="s">
        <v>256</v>
      </c>
      <c r="F90" s="364"/>
    </row>
    <row r="91" spans="1:7" ht="51.75" customHeight="1" x14ac:dyDescent="0.25">
      <c r="A91" s="310">
        <v>10</v>
      </c>
      <c r="B91" s="310">
        <v>801</v>
      </c>
      <c r="C91" s="310">
        <v>80149</v>
      </c>
      <c r="D91" s="346" t="s">
        <v>208</v>
      </c>
      <c r="E91" s="314" t="s">
        <v>257</v>
      </c>
      <c r="F91" s="263">
        <f>5113118.41+55575.11-444408-100000+100000+800000</f>
        <v>5524285.5200000005</v>
      </c>
    </row>
    <row r="92" spans="1:7" s="248" customFormat="1" ht="13.5" customHeight="1" x14ac:dyDescent="0.25">
      <c r="A92" s="355"/>
      <c r="C92" s="356"/>
      <c r="D92" s="361"/>
      <c r="E92" s="363" t="s">
        <v>224</v>
      </c>
      <c r="F92" s="364"/>
    </row>
    <row r="93" spans="1:7" s="248" customFormat="1" ht="13.5" customHeight="1" x14ac:dyDescent="0.25">
      <c r="A93" s="355"/>
      <c r="C93" s="356"/>
      <c r="D93" s="361"/>
      <c r="E93" s="363" t="s">
        <v>258</v>
      </c>
      <c r="F93" s="364"/>
    </row>
    <row r="94" spans="1:7" s="248" customFormat="1" ht="13.5" customHeight="1" x14ac:dyDescent="0.25">
      <c r="A94" s="355"/>
      <c r="C94" s="356"/>
      <c r="D94" s="361"/>
      <c r="E94" s="400" t="s">
        <v>215</v>
      </c>
      <c r="F94" s="359"/>
    </row>
    <row r="95" spans="1:7" s="248" customFormat="1" ht="13.5" customHeight="1" x14ac:dyDescent="0.25">
      <c r="A95" s="355"/>
      <c r="C95" s="356"/>
      <c r="D95" s="361"/>
      <c r="E95" s="377" t="s">
        <v>217</v>
      </c>
      <c r="F95" s="364"/>
    </row>
    <row r="96" spans="1:7" s="248" customFormat="1" ht="13.5" customHeight="1" x14ac:dyDescent="0.25">
      <c r="A96" s="355"/>
      <c r="C96" s="356"/>
      <c r="D96" s="361"/>
      <c r="E96" s="363" t="s">
        <v>259</v>
      </c>
      <c r="F96" s="364"/>
    </row>
    <row r="97" spans="1:7" s="248" customFormat="1" ht="13.5" customHeight="1" x14ac:dyDescent="0.25">
      <c r="A97" s="355"/>
      <c r="C97" s="356"/>
      <c r="D97" s="361"/>
      <c r="E97" s="363" t="s">
        <v>260</v>
      </c>
      <c r="F97" s="364"/>
    </row>
    <row r="98" spans="1:7" s="248" customFormat="1" ht="13.5" customHeight="1" x14ac:dyDescent="0.25">
      <c r="A98" s="355"/>
      <c r="C98" s="356"/>
      <c r="D98" s="361"/>
      <c r="E98" s="363" t="s">
        <v>225</v>
      </c>
      <c r="F98" s="364"/>
    </row>
    <row r="99" spans="1:7" s="248" customFormat="1" ht="13.5" customHeight="1" x14ac:dyDescent="0.25">
      <c r="A99" s="355"/>
      <c r="C99" s="356"/>
      <c r="D99" s="361"/>
      <c r="E99" s="363" t="s">
        <v>220</v>
      </c>
      <c r="F99" s="364"/>
    </row>
    <row r="100" spans="1:7" s="248" customFormat="1" ht="13.5" customHeight="1" x14ac:dyDescent="0.25">
      <c r="A100" s="355"/>
      <c r="C100" s="356"/>
      <c r="D100" s="357"/>
      <c r="E100" s="377" t="s">
        <v>216</v>
      </c>
      <c r="F100" s="364"/>
    </row>
    <row r="101" spans="1:7" s="248" customFormat="1" ht="13.5" customHeight="1" x14ac:dyDescent="0.25">
      <c r="A101" s="355"/>
      <c r="C101" s="356"/>
      <c r="D101" s="361"/>
      <c r="E101" s="377" t="s">
        <v>223</v>
      </c>
      <c r="F101" s="364"/>
    </row>
    <row r="102" spans="1:7" s="248" customFormat="1" ht="13.5" customHeight="1" x14ac:dyDescent="0.25">
      <c r="A102" s="355"/>
      <c r="C102" s="356"/>
      <c r="D102" s="361"/>
      <c r="E102" s="377" t="s">
        <v>219</v>
      </c>
      <c r="F102" s="364"/>
    </row>
    <row r="103" spans="1:7" s="248" customFormat="1" ht="13.5" customHeight="1" x14ac:dyDescent="0.25">
      <c r="A103" s="355"/>
      <c r="C103" s="356"/>
      <c r="D103" s="361"/>
      <c r="E103" s="400" t="s">
        <v>226</v>
      </c>
      <c r="F103" s="359"/>
    </row>
    <row r="104" spans="1:7" s="248" customFormat="1" ht="13.5" customHeight="1" x14ac:dyDescent="0.25">
      <c r="A104" s="355"/>
      <c r="C104" s="356"/>
      <c r="D104" s="361"/>
      <c r="E104" s="362" t="s">
        <v>228</v>
      </c>
      <c r="F104" s="359"/>
    </row>
    <row r="105" spans="1:7" s="248" customFormat="1" ht="13.5" customHeight="1" x14ac:dyDescent="0.25">
      <c r="A105" s="365"/>
      <c r="B105" s="298"/>
      <c r="C105" s="295"/>
      <c r="D105" s="366"/>
      <c r="E105" s="401" t="s">
        <v>227</v>
      </c>
      <c r="F105" s="368"/>
    </row>
    <row r="106" spans="1:7" ht="30" customHeight="1" x14ac:dyDescent="0.25">
      <c r="A106" s="268">
        <v>11</v>
      </c>
      <c r="B106" s="268">
        <v>801</v>
      </c>
      <c r="C106" s="268">
        <v>80150</v>
      </c>
      <c r="D106" s="394" t="s">
        <v>208</v>
      </c>
      <c r="E106" s="327" t="s">
        <v>261</v>
      </c>
      <c r="F106" s="263">
        <f>434541.03+548526.98+170000+300000</f>
        <v>1453068.01</v>
      </c>
    </row>
    <row r="107" spans="1:7" s="248" customFormat="1" ht="13.5" customHeight="1" x14ac:dyDescent="0.25">
      <c r="A107" s="355"/>
      <c r="C107" s="356"/>
      <c r="D107" s="361"/>
      <c r="E107" s="390" t="s">
        <v>262</v>
      </c>
      <c r="F107" s="364"/>
    </row>
    <row r="108" spans="1:7" s="248" customFormat="1" ht="25.9" customHeight="1" x14ac:dyDescent="0.25">
      <c r="A108" s="355"/>
      <c r="C108" s="356"/>
      <c r="D108" s="361"/>
      <c r="E108" s="363" t="s">
        <v>212</v>
      </c>
      <c r="F108" s="364"/>
    </row>
    <row r="109" spans="1:7" s="248" customFormat="1" ht="14.25" customHeight="1" x14ac:dyDescent="0.25">
      <c r="A109" s="355"/>
      <c r="C109" s="356"/>
      <c r="D109" s="361"/>
      <c r="E109" s="362" t="s">
        <v>211</v>
      </c>
      <c r="F109" s="364"/>
    </row>
    <row r="110" spans="1:7" s="248" customFormat="1" ht="13.5" customHeight="1" x14ac:dyDescent="0.25">
      <c r="A110" s="355"/>
      <c r="C110" s="356"/>
      <c r="D110" s="361"/>
      <c r="E110" s="363" t="s">
        <v>209</v>
      </c>
      <c r="F110" s="364"/>
    </row>
    <row r="111" spans="1:7" s="248" customFormat="1" ht="13.5" customHeight="1" x14ac:dyDescent="0.25">
      <c r="A111" s="365"/>
      <c r="B111" s="298"/>
      <c r="C111" s="295"/>
      <c r="D111" s="366"/>
      <c r="E111" s="367" t="s">
        <v>210</v>
      </c>
      <c r="F111" s="368"/>
      <c r="G111" s="360"/>
    </row>
    <row r="112" spans="1:7" ht="13.5" customHeight="1" x14ac:dyDescent="0.25">
      <c r="A112" s="336">
        <v>12</v>
      </c>
      <c r="B112" s="336">
        <v>801</v>
      </c>
      <c r="C112" s="336">
        <v>80151</v>
      </c>
      <c r="D112" s="402">
        <v>2540</v>
      </c>
      <c r="E112" s="384" t="s">
        <v>263</v>
      </c>
      <c r="F112" s="339">
        <f>54992.29</f>
        <v>54992.29</v>
      </c>
    </row>
    <row r="113" spans="1:6" s="248" customFormat="1" ht="13.5" customHeight="1" x14ac:dyDescent="0.25">
      <c r="A113" s="372"/>
      <c r="B113" s="373"/>
      <c r="C113" s="374"/>
      <c r="D113" s="403"/>
      <c r="E113" s="389" t="s">
        <v>264</v>
      </c>
      <c r="F113" s="371"/>
    </row>
    <row r="114" spans="1:6" s="248" customFormat="1" ht="13.5" customHeight="1" x14ac:dyDescent="0.25">
      <c r="A114" s="365"/>
      <c r="B114" s="298"/>
      <c r="C114" s="295"/>
      <c r="D114" s="404"/>
      <c r="E114" s="379" t="s">
        <v>238</v>
      </c>
      <c r="F114" s="368"/>
    </row>
    <row r="115" spans="1:6" ht="78.75" customHeight="1" x14ac:dyDescent="0.25">
      <c r="A115" s="268">
        <v>13</v>
      </c>
      <c r="B115" s="268">
        <v>801</v>
      </c>
      <c r="C115" s="268">
        <v>80152</v>
      </c>
      <c r="D115" s="394" t="s">
        <v>208</v>
      </c>
      <c r="E115" s="314" t="s">
        <v>265</v>
      </c>
      <c r="F115" s="263">
        <f>944760.81+461079.88+180000+400000</f>
        <v>1985840.69</v>
      </c>
    </row>
    <row r="116" spans="1:6" s="248" customFormat="1" ht="13.5" customHeight="1" x14ac:dyDescent="0.25">
      <c r="A116" s="355"/>
      <c r="C116" s="356"/>
      <c r="D116" s="361"/>
      <c r="E116" s="358" t="s">
        <v>244</v>
      </c>
      <c r="F116" s="359"/>
    </row>
    <row r="117" spans="1:6" s="248" customFormat="1" ht="13.5" customHeight="1" x14ac:dyDescent="0.25">
      <c r="A117" s="355"/>
      <c r="C117" s="356"/>
      <c r="D117" s="361"/>
      <c r="E117" s="377" t="s">
        <v>249</v>
      </c>
      <c r="F117" s="364"/>
    </row>
    <row r="118" spans="1:6" s="248" customFormat="1" ht="13.5" customHeight="1" x14ac:dyDescent="0.25">
      <c r="A118" s="355"/>
      <c r="C118" s="356"/>
      <c r="D118" s="357"/>
      <c r="E118" s="405" t="s">
        <v>231</v>
      </c>
      <c r="F118" s="359"/>
    </row>
    <row r="119" spans="1:6" s="248" customFormat="1" ht="22.9" customHeight="1" x14ac:dyDescent="0.25">
      <c r="A119" s="355"/>
      <c r="C119" s="356"/>
      <c r="D119" s="361"/>
      <c r="E119" s="363" t="s">
        <v>246</v>
      </c>
      <c r="F119" s="359"/>
    </row>
    <row r="120" spans="1:6" s="248" customFormat="1" ht="24.75" customHeight="1" x14ac:dyDescent="0.25">
      <c r="A120" s="355"/>
      <c r="C120" s="356"/>
      <c r="D120" s="361"/>
      <c r="E120" s="363" t="s">
        <v>247</v>
      </c>
      <c r="F120" s="364"/>
    </row>
    <row r="121" spans="1:6" s="248" customFormat="1" ht="13.5" customHeight="1" x14ac:dyDescent="0.25">
      <c r="A121" s="355"/>
      <c r="C121" s="356"/>
      <c r="D121" s="361"/>
      <c r="E121" s="377" t="s">
        <v>248</v>
      </c>
      <c r="F121" s="364"/>
    </row>
    <row r="122" spans="1:6" s="248" customFormat="1" ht="24" customHeight="1" x14ac:dyDescent="0.25">
      <c r="A122" s="365"/>
      <c r="B122" s="298"/>
      <c r="C122" s="295"/>
      <c r="D122" s="366"/>
      <c r="E122" s="367" t="s">
        <v>245</v>
      </c>
      <c r="F122" s="368"/>
    </row>
    <row r="123" spans="1:6" ht="15.75" customHeight="1" x14ac:dyDescent="0.25">
      <c r="A123" s="406">
        <v>14</v>
      </c>
      <c r="B123" s="406">
        <v>853</v>
      </c>
      <c r="C123" s="406">
        <v>85311</v>
      </c>
      <c r="D123" s="407">
        <v>2580</v>
      </c>
      <c r="E123" s="408" t="s">
        <v>266</v>
      </c>
      <c r="F123" s="315">
        <f>293325+27500</f>
        <v>320825</v>
      </c>
    </row>
    <row r="124" spans="1:6" s="248" customFormat="1" ht="13.5" customHeight="1" x14ac:dyDescent="0.25">
      <c r="A124" s="350"/>
      <c r="B124" s="351"/>
      <c r="C124" s="295"/>
      <c r="D124" s="409"/>
      <c r="E124" s="298" t="s">
        <v>267</v>
      </c>
      <c r="F124" s="368"/>
    </row>
    <row r="125" spans="1:6" ht="15.75" customHeight="1" x14ac:dyDescent="0.25">
      <c r="A125" s="336">
        <v>15</v>
      </c>
      <c r="B125" s="336">
        <v>854</v>
      </c>
      <c r="C125" s="336">
        <v>85402</v>
      </c>
      <c r="D125" s="407">
        <v>2540</v>
      </c>
      <c r="E125" s="384" t="s">
        <v>268</v>
      </c>
      <c r="F125" s="339">
        <f>1138913.09+260000</f>
        <v>1398913.09</v>
      </c>
    </row>
    <row r="126" spans="1:6" s="248" customFormat="1" ht="13.5" customHeight="1" x14ac:dyDescent="0.25">
      <c r="A126" s="350"/>
      <c r="B126" s="351"/>
      <c r="C126" s="291"/>
      <c r="D126" s="385"/>
      <c r="E126" s="410" t="s">
        <v>269</v>
      </c>
      <c r="F126" s="354"/>
    </row>
    <row r="127" spans="1:6" ht="25.5" customHeight="1" x14ac:dyDescent="0.25">
      <c r="A127" s="268">
        <v>16</v>
      </c>
      <c r="B127" s="268">
        <v>854</v>
      </c>
      <c r="C127" s="268">
        <v>85404</v>
      </c>
      <c r="D127" s="411" t="s">
        <v>208</v>
      </c>
      <c r="E127" s="388" t="s">
        <v>270</v>
      </c>
      <c r="F127" s="263">
        <f>1189786.53+20000</f>
        <v>1209786.53</v>
      </c>
    </row>
    <row r="128" spans="1:6" s="248" customFormat="1" ht="13.5" customHeight="1" x14ac:dyDescent="0.25">
      <c r="A128" s="355"/>
      <c r="C128" s="356"/>
      <c r="D128" s="361"/>
      <c r="E128" s="378" t="s">
        <v>226</v>
      </c>
      <c r="F128" s="359"/>
    </row>
    <row r="129" spans="1:6" s="248" customFormat="1" ht="13.5" customHeight="1" x14ac:dyDescent="0.25">
      <c r="A129" s="355"/>
      <c r="C129" s="356"/>
      <c r="D129" s="361"/>
      <c r="E129" s="412" t="s">
        <v>217</v>
      </c>
      <c r="F129" s="364"/>
    </row>
    <row r="130" spans="1:6" s="248" customFormat="1" ht="13.5" customHeight="1" x14ac:dyDescent="0.25">
      <c r="A130" s="355"/>
      <c r="C130" s="356"/>
      <c r="D130" s="361"/>
      <c r="E130" s="363" t="s">
        <v>258</v>
      </c>
      <c r="F130" s="364"/>
    </row>
    <row r="131" spans="1:6" s="248" customFormat="1" ht="13.5" customHeight="1" x14ac:dyDescent="0.25">
      <c r="A131" s="355"/>
      <c r="C131" s="356"/>
      <c r="D131" s="361"/>
      <c r="E131" s="363" t="s">
        <v>225</v>
      </c>
      <c r="F131" s="364"/>
    </row>
    <row r="132" spans="1:6" s="248" customFormat="1" ht="13.5" customHeight="1" x14ac:dyDescent="0.25">
      <c r="A132" s="355"/>
      <c r="C132" s="356"/>
      <c r="D132" s="361"/>
      <c r="E132" s="377" t="s">
        <v>221</v>
      </c>
      <c r="F132" s="364"/>
    </row>
    <row r="133" spans="1:6" s="248" customFormat="1" ht="13.5" customHeight="1" x14ac:dyDescent="0.25">
      <c r="A133" s="355"/>
      <c r="C133" s="356"/>
      <c r="D133" s="361"/>
      <c r="E133" s="363" t="s">
        <v>259</v>
      </c>
      <c r="F133" s="364"/>
    </row>
    <row r="134" spans="1:6" s="248" customFormat="1" ht="13.5" customHeight="1" x14ac:dyDescent="0.25">
      <c r="A134" s="355"/>
      <c r="C134" s="356"/>
      <c r="D134" s="361"/>
      <c r="E134" s="363" t="s">
        <v>220</v>
      </c>
      <c r="F134" s="364"/>
    </row>
    <row r="135" spans="1:6" s="248" customFormat="1" ht="13.5" customHeight="1" x14ac:dyDescent="0.25">
      <c r="A135" s="355"/>
      <c r="C135" s="356"/>
      <c r="D135" s="361"/>
      <c r="E135" s="400" t="s">
        <v>215</v>
      </c>
      <c r="F135" s="359"/>
    </row>
    <row r="136" spans="1:6" s="248" customFormat="1" ht="13.5" customHeight="1" x14ac:dyDescent="0.25">
      <c r="A136" s="365"/>
      <c r="B136" s="298"/>
      <c r="C136" s="295"/>
      <c r="D136" s="361"/>
      <c r="E136" s="362" t="s">
        <v>228</v>
      </c>
      <c r="F136" s="413"/>
    </row>
    <row r="137" spans="1:6" ht="25.5" customHeight="1" x14ac:dyDescent="0.25">
      <c r="A137" s="414">
        <v>17</v>
      </c>
      <c r="B137" s="414">
        <v>854</v>
      </c>
      <c r="C137" s="414">
        <v>85406</v>
      </c>
      <c r="D137" s="415">
        <v>2540</v>
      </c>
      <c r="E137" s="416" t="s">
        <v>271</v>
      </c>
      <c r="F137" s="263">
        <f>123905.02</f>
        <v>123905.02</v>
      </c>
    </row>
    <row r="138" spans="1:6" s="248" customFormat="1" ht="13.5" customHeight="1" x14ac:dyDescent="0.25">
      <c r="A138" s="372"/>
      <c r="B138" s="373"/>
      <c r="C138" s="374"/>
      <c r="D138" s="380"/>
      <c r="E138" s="417" t="s">
        <v>272</v>
      </c>
      <c r="F138" s="371"/>
    </row>
    <row r="139" spans="1:6" ht="14.25" customHeight="1" x14ac:dyDescent="0.25">
      <c r="A139" s="336">
        <v>18</v>
      </c>
      <c r="B139" s="336">
        <v>854</v>
      </c>
      <c r="C139" s="336">
        <v>85410</v>
      </c>
      <c r="D139" s="407">
        <v>2590</v>
      </c>
      <c r="E139" s="384" t="s">
        <v>34</v>
      </c>
      <c r="F139" s="339">
        <f>1565082.91+400000+400000</f>
        <v>2365082.91</v>
      </c>
    </row>
    <row r="140" spans="1:6" s="248" customFormat="1" ht="13.5" customHeight="1" x14ac:dyDescent="0.25">
      <c r="A140" s="350"/>
      <c r="B140" s="351"/>
      <c r="C140" s="291"/>
      <c r="D140" s="409"/>
      <c r="E140" s="298" t="s">
        <v>273</v>
      </c>
      <c r="F140" s="418"/>
    </row>
    <row r="141" spans="1:6" ht="14.25" customHeight="1" x14ac:dyDescent="0.25">
      <c r="A141" s="623"/>
      <c r="B141" s="619"/>
      <c r="C141" s="619"/>
      <c r="D141" s="308"/>
      <c r="E141" s="619" t="s">
        <v>206</v>
      </c>
      <c r="F141" s="339">
        <f>SUM(F38:F140)</f>
        <v>65563382.840000004</v>
      </c>
    </row>
    <row r="142" spans="1:6" ht="15.75" customHeight="1" x14ac:dyDescent="0.25">
      <c r="A142" s="419"/>
      <c r="B142" s="420"/>
      <c r="C142" s="420"/>
      <c r="D142" s="308"/>
      <c r="E142" s="420" t="s">
        <v>142</v>
      </c>
      <c r="F142" s="421">
        <f>SUM(F35,F141)</f>
        <v>96620416.760000005</v>
      </c>
    </row>
    <row r="144" spans="1:6" ht="12.6" customHeight="1" x14ac:dyDescent="0.25">
      <c r="A144" s="250"/>
      <c r="F144" s="264"/>
    </row>
    <row r="145" spans="6:7" x14ac:dyDescent="0.25">
      <c r="F145" s="264"/>
      <c r="G145" s="248"/>
    </row>
    <row r="146" spans="6:7" x14ac:dyDescent="0.25">
      <c r="F146" s="264"/>
      <c r="G146" s="248"/>
    </row>
    <row r="147" spans="6:7" x14ac:dyDescent="0.25">
      <c r="F147" s="264"/>
    </row>
    <row r="148" spans="6:7" x14ac:dyDescent="0.25">
      <c r="F148" s="264"/>
    </row>
    <row r="149" spans="6:7" x14ac:dyDescent="0.25">
      <c r="F149" s="264"/>
    </row>
    <row r="150" spans="6:7" x14ac:dyDescent="0.25">
      <c r="F150" s="264"/>
    </row>
    <row r="151" spans="6:7" x14ac:dyDescent="0.25">
      <c r="F151" s="264"/>
    </row>
  </sheetData>
  <pageMargins left="0.51181102362204722" right="0.51181102362204722" top="0.70866141732283472" bottom="0.74803149606299213" header="0.31496062992125984" footer="0.31496062992125984"/>
  <pageSetup paperSize="9" firstPageNumber="66" orientation="portrait" r:id="rId1"/>
  <headerFooter>
    <oddFooter>&amp;C&amp;"Arial Narrow,Normalny"&amp;8&amp;P</oddFooter>
  </headerFooter>
  <rowBreaks count="1" manualBreakCount="1">
    <brk id="35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5EE3E7-C3D6-47F2-8A90-E6AA85E3A6EE}">
  <sheetPr>
    <tabColor rgb="FFFFC000"/>
  </sheetPr>
  <dimension ref="A1:G41"/>
  <sheetViews>
    <sheetView zoomScale="130" zoomScaleNormal="130" workbookViewId="0"/>
  </sheetViews>
  <sheetFormatPr defaultRowHeight="15" x14ac:dyDescent="0.25"/>
  <cols>
    <col min="1" max="1" width="4.42578125" customWidth="1"/>
    <col min="2" max="2" width="7.5703125" customWidth="1"/>
    <col min="3" max="3" width="50.85546875" customWidth="1"/>
    <col min="4" max="4" width="14.85546875" customWidth="1"/>
    <col min="5" max="5" width="14" customWidth="1"/>
    <col min="6" max="6" width="14.140625" customWidth="1"/>
    <col min="7" max="7" width="14.7109375" customWidth="1"/>
    <col min="257" max="257" width="4.42578125" customWidth="1"/>
    <col min="258" max="258" width="7.5703125" customWidth="1"/>
    <col min="259" max="259" width="47.42578125" customWidth="1"/>
    <col min="260" max="260" width="14.85546875" customWidth="1"/>
    <col min="261" max="261" width="14" customWidth="1"/>
    <col min="262" max="262" width="14.140625" customWidth="1"/>
    <col min="263" max="263" width="14.7109375" customWidth="1"/>
    <col min="513" max="513" width="4.42578125" customWidth="1"/>
    <col min="514" max="514" width="7.5703125" customWidth="1"/>
    <col min="515" max="515" width="47.42578125" customWidth="1"/>
    <col min="516" max="516" width="14.85546875" customWidth="1"/>
    <col min="517" max="517" width="14" customWidth="1"/>
    <col min="518" max="518" width="14.140625" customWidth="1"/>
    <col min="519" max="519" width="14.7109375" customWidth="1"/>
    <col min="769" max="769" width="4.42578125" customWidth="1"/>
    <col min="770" max="770" width="7.5703125" customWidth="1"/>
    <col min="771" max="771" width="47.42578125" customWidth="1"/>
    <col min="772" max="772" width="14.85546875" customWidth="1"/>
    <col min="773" max="773" width="14" customWidth="1"/>
    <col min="774" max="774" width="14.140625" customWidth="1"/>
    <col min="775" max="775" width="14.7109375" customWidth="1"/>
    <col min="1025" max="1025" width="4.42578125" customWidth="1"/>
    <col min="1026" max="1026" width="7.5703125" customWidth="1"/>
    <col min="1027" max="1027" width="47.42578125" customWidth="1"/>
    <col min="1028" max="1028" width="14.85546875" customWidth="1"/>
    <col min="1029" max="1029" width="14" customWidth="1"/>
    <col min="1030" max="1030" width="14.140625" customWidth="1"/>
    <col min="1031" max="1031" width="14.7109375" customWidth="1"/>
    <col min="1281" max="1281" width="4.42578125" customWidth="1"/>
    <col min="1282" max="1282" width="7.5703125" customWidth="1"/>
    <col min="1283" max="1283" width="47.42578125" customWidth="1"/>
    <col min="1284" max="1284" width="14.85546875" customWidth="1"/>
    <col min="1285" max="1285" width="14" customWidth="1"/>
    <col min="1286" max="1286" width="14.140625" customWidth="1"/>
    <col min="1287" max="1287" width="14.7109375" customWidth="1"/>
    <col min="1537" max="1537" width="4.42578125" customWidth="1"/>
    <col min="1538" max="1538" width="7.5703125" customWidth="1"/>
    <col min="1539" max="1539" width="47.42578125" customWidth="1"/>
    <col min="1540" max="1540" width="14.85546875" customWidth="1"/>
    <col min="1541" max="1541" width="14" customWidth="1"/>
    <col min="1542" max="1542" width="14.140625" customWidth="1"/>
    <col min="1543" max="1543" width="14.7109375" customWidth="1"/>
    <col min="1793" max="1793" width="4.42578125" customWidth="1"/>
    <col min="1794" max="1794" width="7.5703125" customWidth="1"/>
    <col min="1795" max="1795" width="47.42578125" customWidth="1"/>
    <col min="1796" max="1796" width="14.85546875" customWidth="1"/>
    <col min="1797" max="1797" width="14" customWidth="1"/>
    <col min="1798" max="1798" width="14.140625" customWidth="1"/>
    <col min="1799" max="1799" width="14.7109375" customWidth="1"/>
    <col min="2049" max="2049" width="4.42578125" customWidth="1"/>
    <col min="2050" max="2050" width="7.5703125" customWidth="1"/>
    <col min="2051" max="2051" width="47.42578125" customWidth="1"/>
    <col min="2052" max="2052" width="14.85546875" customWidth="1"/>
    <col min="2053" max="2053" width="14" customWidth="1"/>
    <col min="2054" max="2054" width="14.140625" customWidth="1"/>
    <col min="2055" max="2055" width="14.7109375" customWidth="1"/>
    <col min="2305" max="2305" width="4.42578125" customWidth="1"/>
    <col min="2306" max="2306" width="7.5703125" customWidth="1"/>
    <col min="2307" max="2307" width="47.42578125" customWidth="1"/>
    <col min="2308" max="2308" width="14.85546875" customWidth="1"/>
    <col min="2309" max="2309" width="14" customWidth="1"/>
    <col min="2310" max="2310" width="14.140625" customWidth="1"/>
    <col min="2311" max="2311" width="14.7109375" customWidth="1"/>
    <col min="2561" max="2561" width="4.42578125" customWidth="1"/>
    <col min="2562" max="2562" width="7.5703125" customWidth="1"/>
    <col min="2563" max="2563" width="47.42578125" customWidth="1"/>
    <col min="2564" max="2564" width="14.85546875" customWidth="1"/>
    <col min="2565" max="2565" width="14" customWidth="1"/>
    <col min="2566" max="2566" width="14.140625" customWidth="1"/>
    <col min="2567" max="2567" width="14.7109375" customWidth="1"/>
    <col min="2817" max="2817" width="4.42578125" customWidth="1"/>
    <col min="2818" max="2818" width="7.5703125" customWidth="1"/>
    <col min="2819" max="2819" width="47.42578125" customWidth="1"/>
    <col min="2820" max="2820" width="14.85546875" customWidth="1"/>
    <col min="2821" max="2821" width="14" customWidth="1"/>
    <col min="2822" max="2822" width="14.140625" customWidth="1"/>
    <col min="2823" max="2823" width="14.7109375" customWidth="1"/>
    <col min="3073" max="3073" width="4.42578125" customWidth="1"/>
    <col min="3074" max="3074" width="7.5703125" customWidth="1"/>
    <col min="3075" max="3075" width="47.42578125" customWidth="1"/>
    <col min="3076" max="3076" width="14.85546875" customWidth="1"/>
    <col min="3077" max="3077" width="14" customWidth="1"/>
    <col min="3078" max="3078" width="14.140625" customWidth="1"/>
    <col min="3079" max="3079" width="14.7109375" customWidth="1"/>
    <col min="3329" max="3329" width="4.42578125" customWidth="1"/>
    <col min="3330" max="3330" width="7.5703125" customWidth="1"/>
    <col min="3331" max="3331" width="47.42578125" customWidth="1"/>
    <col min="3332" max="3332" width="14.85546875" customWidth="1"/>
    <col min="3333" max="3333" width="14" customWidth="1"/>
    <col min="3334" max="3334" width="14.140625" customWidth="1"/>
    <col min="3335" max="3335" width="14.7109375" customWidth="1"/>
    <col min="3585" max="3585" width="4.42578125" customWidth="1"/>
    <col min="3586" max="3586" width="7.5703125" customWidth="1"/>
    <col min="3587" max="3587" width="47.42578125" customWidth="1"/>
    <col min="3588" max="3588" width="14.85546875" customWidth="1"/>
    <col min="3589" max="3589" width="14" customWidth="1"/>
    <col min="3590" max="3590" width="14.140625" customWidth="1"/>
    <col min="3591" max="3591" width="14.7109375" customWidth="1"/>
    <col min="3841" max="3841" width="4.42578125" customWidth="1"/>
    <col min="3842" max="3842" width="7.5703125" customWidth="1"/>
    <col min="3843" max="3843" width="47.42578125" customWidth="1"/>
    <col min="3844" max="3844" width="14.85546875" customWidth="1"/>
    <col min="3845" max="3845" width="14" customWidth="1"/>
    <col min="3846" max="3846" width="14.140625" customWidth="1"/>
    <col min="3847" max="3847" width="14.7109375" customWidth="1"/>
    <col min="4097" max="4097" width="4.42578125" customWidth="1"/>
    <col min="4098" max="4098" width="7.5703125" customWidth="1"/>
    <col min="4099" max="4099" width="47.42578125" customWidth="1"/>
    <col min="4100" max="4100" width="14.85546875" customWidth="1"/>
    <col min="4101" max="4101" width="14" customWidth="1"/>
    <col min="4102" max="4102" width="14.140625" customWidth="1"/>
    <col min="4103" max="4103" width="14.7109375" customWidth="1"/>
    <col min="4353" max="4353" width="4.42578125" customWidth="1"/>
    <col min="4354" max="4354" width="7.5703125" customWidth="1"/>
    <col min="4355" max="4355" width="47.42578125" customWidth="1"/>
    <col min="4356" max="4356" width="14.85546875" customWidth="1"/>
    <col min="4357" max="4357" width="14" customWidth="1"/>
    <col min="4358" max="4358" width="14.140625" customWidth="1"/>
    <col min="4359" max="4359" width="14.7109375" customWidth="1"/>
    <col min="4609" max="4609" width="4.42578125" customWidth="1"/>
    <col min="4610" max="4610" width="7.5703125" customWidth="1"/>
    <col min="4611" max="4611" width="47.42578125" customWidth="1"/>
    <col min="4612" max="4612" width="14.85546875" customWidth="1"/>
    <col min="4613" max="4613" width="14" customWidth="1"/>
    <col min="4614" max="4614" width="14.140625" customWidth="1"/>
    <col min="4615" max="4615" width="14.7109375" customWidth="1"/>
    <col min="4865" max="4865" width="4.42578125" customWidth="1"/>
    <col min="4866" max="4866" width="7.5703125" customWidth="1"/>
    <col min="4867" max="4867" width="47.42578125" customWidth="1"/>
    <col min="4868" max="4868" width="14.85546875" customWidth="1"/>
    <col min="4869" max="4869" width="14" customWidth="1"/>
    <col min="4870" max="4870" width="14.140625" customWidth="1"/>
    <col min="4871" max="4871" width="14.7109375" customWidth="1"/>
    <col min="5121" max="5121" width="4.42578125" customWidth="1"/>
    <col min="5122" max="5122" width="7.5703125" customWidth="1"/>
    <col min="5123" max="5123" width="47.42578125" customWidth="1"/>
    <col min="5124" max="5124" width="14.85546875" customWidth="1"/>
    <col min="5125" max="5125" width="14" customWidth="1"/>
    <col min="5126" max="5126" width="14.140625" customWidth="1"/>
    <col min="5127" max="5127" width="14.7109375" customWidth="1"/>
    <col min="5377" max="5377" width="4.42578125" customWidth="1"/>
    <col min="5378" max="5378" width="7.5703125" customWidth="1"/>
    <col min="5379" max="5379" width="47.42578125" customWidth="1"/>
    <col min="5380" max="5380" width="14.85546875" customWidth="1"/>
    <col min="5381" max="5381" width="14" customWidth="1"/>
    <col min="5382" max="5382" width="14.140625" customWidth="1"/>
    <col min="5383" max="5383" width="14.7109375" customWidth="1"/>
    <col min="5633" max="5633" width="4.42578125" customWidth="1"/>
    <col min="5634" max="5634" width="7.5703125" customWidth="1"/>
    <col min="5635" max="5635" width="47.42578125" customWidth="1"/>
    <col min="5636" max="5636" width="14.85546875" customWidth="1"/>
    <col min="5637" max="5637" width="14" customWidth="1"/>
    <col min="5638" max="5638" width="14.140625" customWidth="1"/>
    <col min="5639" max="5639" width="14.7109375" customWidth="1"/>
    <col min="5889" max="5889" width="4.42578125" customWidth="1"/>
    <col min="5890" max="5890" width="7.5703125" customWidth="1"/>
    <col min="5891" max="5891" width="47.42578125" customWidth="1"/>
    <col min="5892" max="5892" width="14.85546875" customWidth="1"/>
    <col min="5893" max="5893" width="14" customWidth="1"/>
    <col min="5894" max="5894" width="14.140625" customWidth="1"/>
    <col min="5895" max="5895" width="14.7109375" customWidth="1"/>
    <col min="6145" max="6145" width="4.42578125" customWidth="1"/>
    <col min="6146" max="6146" width="7.5703125" customWidth="1"/>
    <col min="6147" max="6147" width="47.42578125" customWidth="1"/>
    <col min="6148" max="6148" width="14.85546875" customWidth="1"/>
    <col min="6149" max="6149" width="14" customWidth="1"/>
    <col min="6150" max="6150" width="14.140625" customWidth="1"/>
    <col min="6151" max="6151" width="14.7109375" customWidth="1"/>
    <col min="6401" max="6401" width="4.42578125" customWidth="1"/>
    <col min="6402" max="6402" width="7.5703125" customWidth="1"/>
    <col min="6403" max="6403" width="47.42578125" customWidth="1"/>
    <col min="6404" max="6404" width="14.85546875" customWidth="1"/>
    <col min="6405" max="6405" width="14" customWidth="1"/>
    <col min="6406" max="6406" width="14.140625" customWidth="1"/>
    <col min="6407" max="6407" width="14.7109375" customWidth="1"/>
    <col min="6657" max="6657" width="4.42578125" customWidth="1"/>
    <col min="6658" max="6658" width="7.5703125" customWidth="1"/>
    <col min="6659" max="6659" width="47.42578125" customWidth="1"/>
    <col min="6660" max="6660" width="14.85546875" customWidth="1"/>
    <col min="6661" max="6661" width="14" customWidth="1"/>
    <col min="6662" max="6662" width="14.140625" customWidth="1"/>
    <col min="6663" max="6663" width="14.7109375" customWidth="1"/>
    <col min="6913" max="6913" width="4.42578125" customWidth="1"/>
    <col min="6914" max="6914" width="7.5703125" customWidth="1"/>
    <col min="6915" max="6915" width="47.42578125" customWidth="1"/>
    <col min="6916" max="6916" width="14.85546875" customWidth="1"/>
    <col min="6917" max="6917" width="14" customWidth="1"/>
    <col min="6918" max="6918" width="14.140625" customWidth="1"/>
    <col min="6919" max="6919" width="14.7109375" customWidth="1"/>
    <col min="7169" max="7169" width="4.42578125" customWidth="1"/>
    <col min="7170" max="7170" width="7.5703125" customWidth="1"/>
    <col min="7171" max="7171" width="47.42578125" customWidth="1"/>
    <col min="7172" max="7172" width="14.85546875" customWidth="1"/>
    <col min="7173" max="7173" width="14" customWidth="1"/>
    <col min="7174" max="7174" width="14.140625" customWidth="1"/>
    <col min="7175" max="7175" width="14.7109375" customWidth="1"/>
    <col min="7425" max="7425" width="4.42578125" customWidth="1"/>
    <col min="7426" max="7426" width="7.5703125" customWidth="1"/>
    <col min="7427" max="7427" width="47.42578125" customWidth="1"/>
    <col min="7428" max="7428" width="14.85546875" customWidth="1"/>
    <col min="7429" max="7429" width="14" customWidth="1"/>
    <col min="7430" max="7430" width="14.140625" customWidth="1"/>
    <col min="7431" max="7431" width="14.7109375" customWidth="1"/>
    <col min="7681" max="7681" width="4.42578125" customWidth="1"/>
    <col min="7682" max="7682" width="7.5703125" customWidth="1"/>
    <col min="7683" max="7683" width="47.42578125" customWidth="1"/>
    <col min="7684" max="7684" width="14.85546875" customWidth="1"/>
    <col min="7685" max="7685" width="14" customWidth="1"/>
    <col min="7686" max="7686" width="14.140625" customWidth="1"/>
    <col min="7687" max="7687" width="14.7109375" customWidth="1"/>
    <col min="7937" max="7937" width="4.42578125" customWidth="1"/>
    <col min="7938" max="7938" width="7.5703125" customWidth="1"/>
    <col min="7939" max="7939" width="47.42578125" customWidth="1"/>
    <col min="7940" max="7940" width="14.85546875" customWidth="1"/>
    <col min="7941" max="7941" width="14" customWidth="1"/>
    <col min="7942" max="7942" width="14.140625" customWidth="1"/>
    <col min="7943" max="7943" width="14.7109375" customWidth="1"/>
    <col min="8193" max="8193" width="4.42578125" customWidth="1"/>
    <col min="8194" max="8194" width="7.5703125" customWidth="1"/>
    <col min="8195" max="8195" width="47.42578125" customWidth="1"/>
    <col min="8196" max="8196" width="14.85546875" customWidth="1"/>
    <col min="8197" max="8197" width="14" customWidth="1"/>
    <col min="8198" max="8198" width="14.140625" customWidth="1"/>
    <col min="8199" max="8199" width="14.7109375" customWidth="1"/>
    <col min="8449" max="8449" width="4.42578125" customWidth="1"/>
    <col min="8450" max="8450" width="7.5703125" customWidth="1"/>
    <col min="8451" max="8451" width="47.42578125" customWidth="1"/>
    <col min="8452" max="8452" width="14.85546875" customWidth="1"/>
    <col min="8453" max="8453" width="14" customWidth="1"/>
    <col min="8454" max="8454" width="14.140625" customWidth="1"/>
    <col min="8455" max="8455" width="14.7109375" customWidth="1"/>
    <col min="8705" max="8705" width="4.42578125" customWidth="1"/>
    <col min="8706" max="8706" width="7.5703125" customWidth="1"/>
    <col min="8707" max="8707" width="47.42578125" customWidth="1"/>
    <col min="8708" max="8708" width="14.85546875" customWidth="1"/>
    <col min="8709" max="8709" width="14" customWidth="1"/>
    <col min="8710" max="8710" width="14.140625" customWidth="1"/>
    <col min="8711" max="8711" width="14.7109375" customWidth="1"/>
    <col min="8961" max="8961" width="4.42578125" customWidth="1"/>
    <col min="8962" max="8962" width="7.5703125" customWidth="1"/>
    <col min="8963" max="8963" width="47.42578125" customWidth="1"/>
    <col min="8964" max="8964" width="14.85546875" customWidth="1"/>
    <col min="8965" max="8965" width="14" customWidth="1"/>
    <col min="8966" max="8966" width="14.140625" customWidth="1"/>
    <col min="8967" max="8967" width="14.7109375" customWidth="1"/>
    <col min="9217" max="9217" width="4.42578125" customWidth="1"/>
    <col min="9218" max="9218" width="7.5703125" customWidth="1"/>
    <col min="9219" max="9219" width="47.42578125" customWidth="1"/>
    <col min="9220" max="9220" width="14.85546875" customWidth="1"/>
    <col min="9221" max="9221" width="14" customWidth="1"/>
    <col min="9222" max="9222" width="14.140625" customWidth="1"/>
    <col min="9223" max="9223" width="14.7109375" customWidth="1"/>
    <col min="9473" max="9473" width="4.42578125" customWidth="1"/>
    <col min="9474" max="9474" width="7.5703125" customWidth="1"/>
    <col min="9475" max="9475" width="47.42578125" customWidth="1"/>
    <col min="9476" max="9476" width="14.85546875" customWidth="1"/>
    <col min="9477" max="9477" width="14" customWidth="1"/>
    <col min="9478" max="9478" width="14.140625" customWidth="1"/>
    <col min="9479" max="9479" width="14.7109375" customWidth="1"/>
    <col min="9729" max="9729" width="4.42578125" customWidth="1"/>
    <col min="9730" max="9730" width="7.5703125" customWidth="1"/>
    <col min="9731" max="9731" width="47.42578125" customWidth="1"/>
    <col min="9732" max="9732" width="14.85546875" customWidth="1"/>
    <col min="9733" max="9733" width="14" customWidth="1"/>
    <col min="9734" max="9734" width="14.140625" customWidth="1"/>
    <col min="9735" max="9735" width="14.7109375" customWidth="1"/>
    <col min="9985" max="9985" width="4.42578125" customWidth="1"/>
    <col min="9986" max="9986" width="7.5703125" customWidth="1"/>
    <col min="9987" max="9987" width="47.42578125" customWidth="1"/>
    <col min="9988" max="9988" width="14.85546875" customWidth="1"/>
    <col min="9989" max="9989" width="14" customWidth="1"/>
    <col min="9990" max="9990" width="14.140625" customWidth="1"/>
    <col min="9991" max="9991" width="14.7109375" customWidth="1"/>
    <col min="10241" max="10241" width="4.42578125" customWidth="1"/>
    <col min="10242" max="10242" width="7.5703125" customWidth="1"/>
    <col min="10243" max="10243" width="47.42578125" customWidth="1"/>
    <col min="10244" max="10244" width="14.85546875" customWidth="1"/>
    <col min="10245" max="10245" width="14" customWidth="1"/>
    <col min="10246" max="10246" width="14.140625" customWidth="1"/>
    <col min="10247" max="10247" width="14.7109375" customWidth="1"/>
    <col min="10497" max="10497" width="4.42578125" customWidth="1"/>
    <col min="10498" max="10498" width="7.5703125" customWidth="1"/>
    <col min="10499" max="10499" width="47.42578125" customWidth="1"/>
    <col min="10500" max="10500" width="14.85546875" customWidth="1"/>
    <col min="10501" max="10501" width="14" customWidth="1"/>
    <col min="10502" max="10502" width="14.140625" customWidth="1"/>
    <col min="10503" max="10503" width="14.7109375" customWidth="1"/>
    <col min="10753" max="10753" width="4.42578125" customWidth="1"/>
    <col min="10754" max="10754" width="7.5703125" customWidth="1"/>
    <col min="10755" max="10755" width="47.42578125" customWidth="1"/>
    <col min="10756" max="10756" width="14.85546875" customWidth="1"/>
    <col min="10757" max="10757" width="14" customWidth="1"/>
    <col min="10758" max="10758" width="14.140625" customWidth="1"/>
    <col min="10759" max="10759" width="14.7109375" customWidth="1"/>
    <col min="11009" max="11009" width="4.42578125" customWidth="1"/>
    <col min="11010" max="11010" width="7.5703125" customWidth="1"/>
    <col min="11011" max="11011" width="47.42578125" customWidth="1"/>
    <col min="11012" max="11012" width="14.85546875" customWidth="1"/>
    <col min="11013" max="11013" width="14" customWidth="1"/>
    <col min="11014" max="11014" width="14.140625" customWidth="1"/>
    <col min="11015" max="11015" width="14.7109375" customWidth="1"/>
    <col min="11265" max="11265" width="4.42578125" customWidth="1"/>
    <col min="11266" max="11266" width="7.5703125" customWidth="1"/>
    <col min="11267" max="11267" width="47.42578125" customWidth="1"/>
    <col min="11268" max="11268" width="14.85546875" customWidth="1"/>
    <col min="11269" max="11269" width="14" customWidth="1"/>
    <col min="11270" max="11270" width="14.140625" customWidth="1"/>
    <col min="11271" max="11271" width="14.7109375" customWidth="1"/>
    <col min="11521" max="11521" width="4.42578125" customWidth="1"/>
    <col min="11522" max="11522" width="7.5703125" customWidth="1"/>
    <col min="11523" max="11523" width="47.42578125" customWidth="1"/>
    <col min="11524" max="11524" width="14.85546875" customWidth="1"/>
    <col min="11525" max="11525" width="14" customWidth="1"/>
    <col min="11526" max="11526" width="14.140625" customWidth="1"/>
    <col min="11527" max="11527" width="14.7109375" customWidth="1"/>
    <col min="11777" max="11777" width="4.42578125" customWidth="1"/>
    <col min="11778" max="11778" width="7.5703125" customWidth="1"/>
    <col min="11779" max="11779" width="47.42578125" customWidth="1"/>
    <col min="11780" max="11780" width="14.85546875" customWidth="1"/>
    <col min="11781" max="11781" width="14" customWidth="1"/>
    <col min="11782" max="11782" width="14.140625" customWidth="1"/>
    <col min="11783" max="11783" width="14.7109375" customWidth="1"/>
    <col min="12033" max="12033" width="4.42578125" customWidth="1"/>
    <col min="12034" max="12034" width="7.5703125" customWidth="1"/>
    <col min="12035" max="12035" width="47.42578125" customWidth="1"/>
    <col min="12036" max="12036" width="14.85546875" customWidth="1"/>
    <col min="12037" max="12037" width="14" customWidth="1"/>
    <col min="12038" max="12038" width="14.140625" customWidth="1"/>
    <col min="12039" max="12039" width="14.7109375" customWidth="1"/>
    <col min="12289" max="12289" width="4.42578125" customWidth="1"/>
    <col min="12290" max="12290" width="7.5703125" customWidth="1"/>
    <col min="12291" max="12291" width="47.42578125" customWidth="1"/>
    <col min="12292" max="12292" width="14.85546875" customWidth="1"/>
    <col min="12293" max="12293" width="14" customWidth="1"/>
    <col min="12294" max="12294" width="14.140625" customWidth="1"/>
    <col min="12295" max="12295" width="14.7109375" customWidth="1"/>
    <col min="12545" max="12545" width="4.42578125" customWidth="1"/>
    <col min="12546" max="12546" width="7.5703125" customWidth="1"/>
    <col min="12547" max="12547" width="47.42578125" customWidth="1"/>
    <col min="12548" max="12548" width="14.85546875" customWidth="1"/>
    <col min="12549" max="12549" width="14" customWidth="1"/>
    <col min="12550" max="12550" width="14.140625" customWidth="1"/>
    <col min="12551" max="12551" width="14.7109375" customWidth="1"/>
    <col min="12801" max="12801" width="4.42578125" customWidth="1"/>
    <col min="12802" max="12802" width="7.5703125" customWidth="1"/>
    <col min="12803" max="12803" width="47.42578125" customWidth="1"/>
    <col min="12804" max="12804" width="14.85546875" customWidth="1"/>
    <col min="12805" max="12805" width="14" customWidth="1"/>
    <col min="12806" max="12806" width="14.140625" customWidth="1"/>
    <col min="12807" max="12807" width="14.7109375" customWidth="1"/>
    <col min="13057" max="13057" width="4.42578125" customWidth="1"/>
    <col min="13058" max="13058" width="7.5703125" customWidth="1"/>
    <col min="13059" max="13059" width="47.42578125" customWidth="1"/>
    <col min="13060" max="13060" width="14.85546875" customWidth="1"/>
    <col min="13061" max="13061" width="14" customWidth="1"/>
    <col min="13062" max="13062" width="14.140625" customWidth="1"/>
    <col min="13063" max="13063" width="14.7109375" customWidth="1"/>
    <col min="13313" max="13313" width="4.42578125" customWidth="1"/>
    <col min="13314" max="13314" width="7.5703125" customWidth="1"/>
    <col min="13315" max="13315" width="47.42578125" customWidth="1"/>
    <col min="13316" max="13316" width="14.85546875" customWidth="1"/>
    <col min="13317" max="13317" width="14" customWidth="1"/>
    <col min="13318" max="13318" width="14.140625" customWidth="1"/>
    <col min="13319" max="13319" width="14.7109375" customWidth="1"/>
    <col min="13569" max="13569" width="4.42578125" customWidth="1"/>
    <col min="13570" max="13570" width="7.5703125" customWidth="1"/>
    <col min="13571" max="13571" width="47.42578125" customWidth="1"/>
    <col min="13572" max="13572" width="14.85546875" customWidth="1"/>
    <col min="13573" max="13573" width="14" customWidth="1"/>
    <col min="13574" max="13574" width="14.140625" customWidth="1"/>
    <col min="13575" max="13575" width="14.7109375" customWidth="1"/>
    <col min="13825" max="13825" width="4.42578125" customWidth="1"/>
    <col min="13826" max="13826" width="7.5703125" customWidth="1"/>
    <col min="13827" max="13827" width="47.42578125" customWidth="1"/>
    <col min="13828" max="13828" width="14.85546875" customWidth="1"/>
    <col min="13829" max="13829" width="14" customWidth="1"/>
    <col min="13830" max="13830" width="14.140625" customWidth="1"/>
    <col min="13831" max="13831" width="14.7109375" customWidth="1"/>
    <col min="14081" max="14081" width="4.42578125" customWidth="1"/>
    <col min="14082" max="14082" width="7.5703125" customWidth="1"/>
    <col min="14083" max="14083" width="47.42578125" customWidth="1"/>
    <col min="14084" max="14084" width="14.85546875" customWidth="1"/>
    <col min="14085" max="14085" width="14" customWidth="1"/>
    <col min="14086" max="14086" width="14.140625" customWidth="1"/>
    <col min="14087" max="14087" width="14.7109375" customWidth="1"/>
    <col min="14337" max="14337" width="4.42578125" customWidth="1"/>
    <col min="14338" max="14338" width="7.5703125" customWidth="1"/>
    <col min="14339" max="14339" width="47.42578125" customWidth="1"/>
    <col min="14340" max="14340" width="14.85546875" customWidth="1"/>
    <col min="14341" max="14341" width="14" customWidth="1"/>
    <col min="14342" max="14342" width="14.140625" customWidth="1"/>
    <col min="14343" max="14343" width="14.7109375" customWidth="1"/>
    <col min="14593" max="14593" width="4.42578125" customWidth="1"/>
    <col min="14594" max="14594" width="7.5703125" customWidth="1"/>
    <col min="14595" max="14595" width="47.42578125" customWidth="1"/>
    <col min="14596" max="14596" width="14.85546875" customWidth="1"/>
    <col min="14597" max="14597" width="14" customWidth="1"/>
    <col min="14598" max="14598" width="14.140625" customWidth="1"/>
    <col min="14599" max="14599" width="14.7109375" customWidth="1"/>
    <col min="14849" max="14849" width="4.42578125" customWidth="1"/>
    <col min="14850" max="14850" width="7.5703125" customWidth="1"/>
    <col min="14851" max="14851" width="47.42578125" customWidth="1"/>
    <col min="14852" max="14852" width="14.85546875" customWidth="1"/>
    <col min="14853" max="14853" width="14" customWidth="1"/>
    <col min="14854" max="14854" width="14.140625" customWidth="1"/>
    <col min="14855" max="14855" width="14.7109375" customWidth="1"/>
    <col min="15105" max="15105" width="4.42578125" customWidth="1"/>
    <col min="15106" max="15106" width="7.5703125" customWidth="1"/>
    <col min="15107" max="15107" width="47.42578125" customWidth="1"/>
    <col min="15108" max="15108" width="14.85546875" customWidth="1"/>
    <col min="15109" max="15109" width="14" customWidth="1"/>
    <col min="15110" max="15110" width="14.140625" customWidth="1"/>
    <col min="15111" max="15111" width="14.7109375" customWidth="1"/>
    <col min="15361" max="15361" width="4.42578125" customWidth="1"/>
    <col min="15362" max="15362" width="7.5703125" customWidth="1"/>
    <col min="15363" max="15363" width="47.42578125" customWidth="1"/>
    <col min="15364" max="15364" width="14.85546875" customWidth="1"/>
    <col min="15365" max="15365" width="14" customWidth="1"/>
    <col min="15366" max="15366" width="14.140625" customWidth="1"/>
    <col min="15367" max="15367" width="14.7109375" customWidth="1"/>
    <col min="15617" max="15617" width="4.42578125" customWidth="1"/>
    <col min="15618" max="15618" width="7.5703125" customWidth="1"/>
    <col min="15619" max="15619" width="47.42578125" customWidth="1"/>
    <col min="15620" max="15620" width="14.85546875" customWidth="1"/>
    <col min="15621" max="15621" width="14" customWidth="1"/>
    <col min="15622" max="15622" width="14.140625" customWidth="1"/>
    <col min="15623" max="15623" width="14.7109375" customWidth="1"/>
    <col min="15873" max="15873" width="4.42578125" customWidth="1"/>
    <col min="15874" max="15874" width="7.5703125" customWidth="1"/>
    <col min="15875" max="15875" width="47.42578125" customWidth="1"/>
    <col min="15876" max="15876" width="14.85546875" customWidth="1"/>
    <col min="15877" max="15877" width="14" customWidth="1"/>
    <col min="15878" max="15878" width="14.140625" customWidth="1"/>
    <col min="15879" max="15879" width="14.7109375" customWidth="1"/>
    <col min="16129" max="16129" width="4.42578125" customWidth="1"/>
    <col min="16130" max="16130" width="7.5703125" customWidth="1"/>
    <col min="16131" max="16131" width="47.42578125" customWidth="1"/>
    <col min="16132" max="16132" width="14.85546875" customWidth="1"/>
    <col min="16133" max="16133" width="14" customWidth="1"/>
    <col min="16134" max="16134" width="14.140625" customWidth="1"/>
    <col min="16135" max="16135" width="14.7109375" customWidth="1"/>
  </cols>
  <sheetData>
    <row r="1" spans="1:7" s="1" customFormat="1" ht="12.75" x14ac:dyDescent="0.25">
      <c r="F1" s="2" t="s">
        <v>0</v>
      </c>
    </row>
    <row r="2" spans="1:7" s="1" customFormat="1" ht="12.75" x14ac:dyDescent="0.25">
      <c r="F2" s="3" t="s">
        <v>39</v>
      </c>
    </row>
    <row r="3" spans="1:7" s="1" customFormat="1" ht="12.75" x14ac:dyDescent="0.25">
      <c r="F3" s="3" t="s">
        <v>1</v>
      </c>
    </row>
    <row r="4" spans="1:7" s="1" customFormat="1" ht="12.75" x14ac:dyDescent="0.25">
      <c r="F4" s="3" t="s">
        <v>40</v>
      </c>
    </row>
    <row r="5" spans="1:7" s="4" customFormat="1" ht="25.5" customHeight="1" x14ac:dyDescent="0.2">
      <c r="A5" s="637" t="s">
        <v>2</v>
      </c>
      <c r="B5" s="637"/>
      <c r="C5" s="637"/>
      <c r="D5" s="637"/>
      <c r="E5" s="637"/>
      <c r="F5" s="637"/>
      <c r="G5" s="637"/>
    </row>
    <row r="6" spans="1:7" s="4" customFormat="1" ht="12" x14ac:dyDescent="0.2">
      <c r="A6" s="5" t="s">
        <v>3</v>
      </c>
      <c r="B6" s="5"/>
      <c r="C6" s="5"/>
      <c r="D6" s="5"/>
      <c r="E6" s="5"/>
      <c r="F6" s="5"/>
      <c r="G6" s="5"/>
    </row>
    <row r="7" spans="1:7" s="6" customFormat="1" ht="12" x14ac:dyDescent="0.2">
      <c r="A7" s="638" t="s">
        <v>4</v>
      </c>
      <c r="B7" s="638"/>
      <c r="C7" s="638"/>
      <c r="D7" s="638"/>
      <c r="E7" s="638"/>
      <c r="F7" s="638"/>
      <c r="G7" s="638"/>
    </row>
    <row r="8" spans="1:7" x14ac:dyDescent="0.25">
      <c r="A8" s="624"/>
      <c r="B8" s="624"/>
      <c r="C8" s="625"/>
      <c r="D8" s="624"/>
      <c r="E8" s="624"/>
      <c r="F8" s="624"/>
      <c r="G8" s="7"/>
    </row>
    <row r="9" spans="1:7" x14ac:dyDescent="0.25">
      <c r="A9" s="639" t="s">
        <v>5</v>
      </c>
      <c r="B9" s="8"/>
      <c r="C9" s="639" t="s">
        <v>6</v>
      </c>
      <c r="D9" s="642" t="s">
        <v>7</v>
      </c>
      <c r="E9" s="9"/>
      <c r="F9" s="10"/>
      <c r="G9" s="642" t="s">
        <v>8</v>
      </c>
    </row>
    <row r="10" spans="1:7" ht="9.75" customHeight="1" x14ac:dyDescent="0.25">
      <c r="A10" s="640"/>
      <c r="B10" s="11" t="s">
        <v>9</v>
      </c>
      <c r="C10" s="640"/>
      <c r="D10" s="643"/>
      <c r="E10" s="643" t="s">
        <v>10</v>
      </c>
      <c r="F10" s="643" t="s">
        <v>11</v>
      </c>
      <c r="G10" s="643"/>
    </row>
    <row r="11" spans="1:7" ht="3.75" customHeight="1" x14ac:dyDescent="0.25">
      <c r="A11" s="640"/>
      <c r="B11" s="12"/>
      <c r="C11" s="640"/>
      <c r="D11" s="643"/>
      <c r="E11" s="643"/>
      <c r="F11" s="643"/>
      <c r="G11" s="643"/>
    </row>
    <row r="12" spans="1:7" ht="13.5" customHeight="1" x14ac:dyDescent="0.25">
      <c r="A12" s="641"/>
      <c r="B12" s="12" t="s">
        <v>12</v>
      </c>
      <c r="C12" s="641"/>
      <c r="D12" s="644"/>
      <c r="E12" s="644"/>
      <c r="F12" s="644"/>
      <c r="G12" s="644"/>
    </row>
    <row r="13" spans="1:7" x14ac:dyDescent="0.25">
      <c r="A13" s="13">
        <v>1</v>
      </c>
      <c r="B13" s="13">
        <v>2</v>
      </c>
      <c r="C13" s="13">
        <v>3</v>
      </c>
      <c r="D13" s="13">
        <v>4</v>
      </c>
      <c r="E13" s="13">
        <v>5</v>
      </c>
      <c r="F13" s="13">
        <v>6</v>
      </c>
      <c r="G13" s="13">
        <v>7</v>
      </c>
    </row>
    <row r="14" spans="1:7" s="624" customFormat="1" ht="12" customHeight="1" x14ac:dyDescent="0.25">
      <c r="A14" s="14"/>
      <c r="B14" s="15">
        <v>801</v>
      </c>
      <c r="C14" s="626"/>
      <c r="D14" s="16"/>
      <c r="E14" s="16"/>
      <c r="F14" s="16"/>
      <c r="G14" s="16"/>
    </row>
    <row r="15" spans="1:7" ht="12" customHeight="1" x14ac:dyDescent="0.25">
      <c r="A15" s="17" t="s">
        <v>13</v>
      </c>
      <c r="B15" s="18">
        <v>80101</v>
      </c>
      <c r="C15" s="19" t="s">
        <v>14</v>
      </c>
      <c r="D15" s="20">
        <v>333</v>
      </c>
      <c r="E15" s="20">
        <f>835422.84+30030</f>
        <v>865452.84</v>
      </c>
      <c r="F15" s="20">
        <f>835755.84+30030</f>
        <v>865785.84</v>
      </c>
      <c r="G15" s="20">
        <v>0</v>
      </c>
    </row>
    <row r="16" spans="1:7" ht="12" customHeight="1" x14ac:dyDescent="0.25">
      <c r="A16" s="17" t="s">
        <v>15</v>
      </c>
      <c r="B16" s="18">
        <v>80104</v>
      </c>
      <c r="C16" s="21" t="s">
        <v>16</v>
      </c>
      <c r="D16" s="22">
        <v>2644.19</v>
      </c>
      <c r="E16" s="22">
        <v>5578632</v>
      </c>
      <c r="F16" s="22">
        <v>5581276.1900000004</v>
      </c>
      <c r="G16" s="22">
        <v>0</v>
      </c>
    </row>
    <row r="17" spans="1:7" ht="12" customHeight="1" x14ac:dyDescent="0.25">
      <c r="A17" s="23" t="s">
        <v>17</v>
      </c>
      <c r="B17" s="24">
        <v>80148</v>
      </c>
      <c r="C17" s="25" t="s">
        <v>18</v>
      </c>
      <c r="D17" s="26">
        <v>215.62</v>
      </c>
      <c r="E17" s="26">
        <f>3299009+100000</f>
        <v>3399009</v>
      </c>
      <c r="F17" s="26">
        <f>3299224.62+100000</f>
        <v>3399224.62</v>
      </c>
      <c r="G17" s="26">
        <v>0</v>
      </c>
    </row>
    <row r="18" spans="1:7" ht="12" customHeight="1" x14ac:dyDescent="0.25">
      <c r="A18" s="27"/>
      <c r="B18" s="28">
        <v>854</v>
      </c>
      <c r="C18" s="29"/>
      <c r="D18" s="30"/>
      <c r="E18" s="30"/>
      <c r="F18" s="30"/>
      <c r="G18" s="26"/>
    </row>
    <row r="19" spans="1:7" ht="23.25" customHeight="1" x14ac:dyDescent="0.25">
      <c r="A19" s="31" t="s">
        <v>13</v>
      </c>
      <c r="B19" s="32">
        <v>85412</v>
      </c>
      <c r="C19" s="33" t="s">
        <v>19</v>
      </c>
      <c r="D19" s="34">
        <v>0</v>
      </c>
      <c r="E19" s="34">
        <v>15000</v>
      </c>
      <c r="F19" s="34">
        <v>15000</v>
      </c>
      <c r="G19" s="35">
        <v>0</v>
      </c>
    </row>
    <row r="20" spans="1:7" x14ac:dyDescent="0.25">
      <c r="A20" s="36"/>
      <c r="B20" s="37"/>
      <c r="C20" s="627" t="s">
        <v>20</v>
      </c>
      <c r="D20" s="628">
        <f>SUM(D15:D17)+D19</f>
        <v>3192.81</v>
      </c>
      <c r="E20" s="628">
        <f t="shared" ref="E20:G20" si="0">SUM(E15:E17)+E19</f>
        <v>9858093.8399999999</v>
      </c>
      <c r="F20" s="628">
        <f t="shared" si="0"/>
        <v>9861286.6500000004</v>
      </c>
      <c r="G20" s="629">
        <f t="shared" si="0"/>
        <v>0</v>
      </c>
    </row>
    <row r="21" spans="1:7" ht="9" customHeight="1" x14ac:dyDescent="0.25">
      <c r="A21" s="38"/>
      <c r="B21" s="39"/>
      <c r="C21" s="40"/>
      <c r="D21" s="41"/>
      <c r="E21" s="41"/>
      <c r="F21" s="41"/>
      <c r="G21" s="41"/>
    </row>
    <row r="22" spans="1:7" x14ac:dyDescent="0.25">
      <c r="A22" s="28"/>
      <c r="B22" s="28">
        <v>801</v>
      </c>
      <c r="C22" s="630"/>
      <c r="D22" s="42"/>
      <c r="E22" s="42"/>
      <c r="F22" s="42"/>
      <c r="G22" s="42"/>
    </row>
    <row r="23" spans="1:7" ht="12" customHeight="1" x14ac:dyDescent="0.25">
      <c r="A23" s="43" t="s">
        <v>13</v>
      </c>
      <c r="B23" s="44">
        <v>80102</v>
      </c>
      <c r="C23" s="19" t="s">
        <v>21</v>
      </c>
      <c r="D23" s="20">
        <v>5.54</v>
      </c>
      <c r="E23" s="20">
        <f>14400+44048</f>
        <v>58448</v>
      </c>
      <c r="F23" s="20">
        <f>14405.54+44048</f>
        <v>58453.54</v>
      </c>
      <c r="G23" s="20">
        <v>0</v>
      </c>
    </row>
    <row r="24" spans="1:7" ht="12" customHeight="1" x14ac:dyDescent="0.25">
      <c r="A24" s="17" t="s">
        <v>15</v>
      </c>
      <c r="B24" s="18">
        <v>80115</v>
      </c>
      <c r="C24" s="21" t="s">
        <v>22</v>
      </c>
      <c r="D24" s="22">
        <v>373.99</v>
      </c>
      <c r="E24" s="22">
        <v>1134651</v>
      </c>
      <c r="F24" s="22">
        <v>1135024.99</v>
      </c>
      <c r="G24" s="22">
        <v>0</v>
      </c>
    </row>
    <row r="25" spans="1:7" ht="12" customHeight="1" x14ac:dyDescent="0.25">
      <c r="A25" s="17" t="s">
        <v>17</v>
      </c>
      <c r="B25" s="18">
        <v>80120</v>
      </c>
      <c r="C25" s="21" t="s">
        <v>23</v>
      </c>
      <c r="D25" s="45">
        <v>305.43</v>
      </c>
      <c r="E25" s="22">
        <v>278650</v>
      </c>
      <c r="F25" s="22">
        <v>278955.43</v>
      </c>
      <c r="G25" s="22">
        <v>0</v>
      </c>
    </row>
    <row r="26" spans="1:7" ht="12" customHeight="1" x14ac:dyDescent="0.25">
      <c r="A26" s="17" t="s">
        <v>24</v>
      </c>
      <c r="B26" s="18">
        <v>80132</v>
      </c>
      <c r="C26" s="21" t="s">
        <v>25</v>
      </c>
      <c r="D26" s="22">
        <v>0</v>
      </c>
      <c r="E26" s="22">
        <v>97791</v>
      </c>
      <c r="F26" s="22">
        <v>97791</v>
      </c>
      <c r="G26" s="46">
        <v>0</v>
      </c>
    </row>
    <row r="27" spans="1:7" ht="12" customHeight="1" x14ac:dyDescent="0.25">
      <c r="A27" s="47" t="s">
        <v>26</v>
      </c>
      <c r="B27" s="32">
        <v>80140</v>
      </c>
      <c r="C27" s="48" t="s">
        <v>27</v>
      </c>
      <c r="D27" s="49">
        <v>0</v>
      </c>
      <c r="E27" s="49">
        <v>150000</v>
      </c>
      <c r="F27" s="49">
        <v>150000</v>
      </c>
      <c r="G27" s="49">
        <v>0</v>
      </c>
    </row>
    <row r="28" spans="1:7" ht="12" customHeight="1" x14ac:dyDescent="0.25">
      <c r="A28" s="17" t="s">
        <v>28</v>
      </c>
      <c r="B28" s="32">
        <v>80142</v>
      </c>
      <c r="C28" s="48" t="s">
        <v>29</v>
      </c>
      <c r="D28" s="22">
        <v>0</v>
      </c>
      <c r="E28" s="22">
        <v>200000</v>
      </c>
      <c r="F28" s="22">
        <v>200000</v>
      </c>
      <c r="G28" s="22">
        <v>0</v>
      </c>
    </row>
    <row r="29" spans="1:7" ht="12" customHeight="1" x14ac:dyDescent="0.25">
      <c r="A29" s="17" t="s">
        <v>30</v>
      </c>
      <c r="B29" s="32">
        <v>80144</v>
      </c>
      <c r="C29" s="48" t="s">
        <v>31</v>
      </c>
      <c r="D29" s="22">
        <v>0</v>
      </c>
      <c r="E29" s="22">
        <v>100000</v>
      </c>
      <c r="F29" s="22">
        <v>100000</v>
      </c>
      <c r="G29" s="22">
        <v>0</v>
      </c>
    </row>
    <row r="30" spans="1:7" ht="12" customHeight="1" x14ac:dyDescent="0.25">
      <c r="A30" s="23" t="s">
        <v>32</v>
      </c>
      <c r="B30" s="24">
        <v>80148</v>
      </c>
      <c r="C30" s="25" t="s">
        <v>18</v>
      </c>
      <c r="D30" s="26">
        <v>0</v>
      </c>
      <c r="E30" s="26">
        <v>220315</v>
      </c>
      <c r="F30" s="26">
        <v>220315</v>
      </c>
      <c r="G30" s="26">
        <v>0</v>
      </c>
    </row>
    <row r="31" spans="1:7" ht="14.25" customHeight="1" x14ac:dyDescent="0.25">
      <c r="A31" s="50"/>
      <c r="B31" s="28">
        <v>854</v>
      </c>
      <c r="C31" s="51"/>
      <c r="D31" s="52"/>
      <c r="E31" s="52"/>
      <c r="F31" s="52"/>
      <c r="G31" s="52"/>
    </row>
    <row r="32" spans="1:7" ht="14.25" customHeight="1" x14ac:dyDescent="0.25">
      <c r="A32" s="32" t="s">
        <v>13</v>
      </c>
      <c r="B32" s="47">
        <v>85406</v>
      </c>
      <c r="C32" s="33" t="s">
        <v>33</v>
      </c>
      <c r="D32" s="49">
        <v>0</v>
      </c>
      <c r="E32" s="49">
        <v>4960</v>
      </c>
      <c r="F32" s="49">
        <v>4960</v>
      </c>
      <c r="G32" s="49">
        <v>0</v>
      </c>
    </row>
    <row r="33" spans="1:7" ht="12" customHeight="1" x14ac:dyDescent="0.25">
      <c r="A33" s="32" t="s">
        <v>15</v>
      </c>
      <c r="B33" s="18">
        <v>85410</v>
      </c>
      <c r="C33" s="21" t="s">
        <v>34</v>
      </c>
      <c r="D33" s="22">
        <v>318.79000000000002</v>
      </c>
      <c r="E33" s="22">
        <v>662650</v>
      </c>
      <c r="F33" s="22">
        <v>662968.79</v>
      </c>
      <c r="G33" s="22">
        <v>0</v>
      </c>
    </row>
    <row r="34" spans="1:7" ht="22.5" customHeight="1" x14ac:dyDescent="0.25">
      <c r="A34" s="32" t="s">
        <v>17</v>
      </c>
      <c r="B34" s="32">
        <v>85412</v>
      </c>
      <c r="C34" s="33" t="s">
        <v>19</v>
      </c>
      <c r="D34" s="49">
        <v>0</v>
      </c>
      <c r="E34" s="49">
        <v>2600</v>
      </c>
      <c r="F34" s="49">
        <v>2600</v>
      </c>
      <c r="G34" s="49">
        <v>0</v>
      </c>
    </row>
    <row r="35" spans="1:7" ht="12" customHeight="1" x14ac:dyDescent="0.25">
      <c r="A35" s="32" t="s">
        <v>24</v>
      </c>
      <c r="B35" s="18">
        <v>85417</v>
      </c>
      <c r="C35" s="33" t="s">
        <v>35</v>
      </c>
      <c r="D35" s="22">
        <v>0</v>
      </c>
      <c r="E35" s="22">
        <v>153400</v>
      </c>
      <c r="F35" s="22">
        <v>153400</v>
      </c>
      <c r="G35" s="22">
        <v>0</v>
      </c>
    </row>
    <row r="36" spans="1:7" ht="12" customHeight="1" x14ac:dyDescent="0.25">
      <c r="A36" s="24" t="s">
        <v>26</v>
      </c>
      <c r="B36" s="53">
        <v>85420</v>
      </c>
      <c r="C36" s="25" t="s">
        <v>36</v>
      </c>
      <c r="D36" s="54">
        <v>0</v>
      </c>
      <c r="E36" s="54">
        <v>37310.01</v>
      </c>
      <c r="F36" s="54">
        <v>37310.01</v>
      </c>
      <c r="G36" s="55">
        <v>0</v>
      </c>
    </row>
    <row r="37" spans="1:7" ht="12" customHeight="1" x14ac:dyDescent="0.25">
      <c r="A37" s="56"/>
      <c r="B37" s="53"/>
      <c r="C37" s="627" t="s">
        <v>37</v>
      </c>
      <c r="D37" s="631">
        <f>SUM(D23:D36)</f>
        <v>1003.75</v>
      </c>
      <c r="E37" s="631">
        <f t="shared" ref="E37:G37" si="1">SUM(E23:E36)</f>
        <v>3100775.01</v>
      </c>
      <c r="F37" s="631">
        <f t="shared" si="1"/>
        <v>3101778.76</v>
      </c>
      <c r="G37" s="631">
        <f t="shared" si="1"/>
        <v>0</v>
      </c>
    </row>
    <row r="38" spans="1:7" ht="12" customHeight="1" x14ac:dyDescent="0.25">
      <c r="A38" s="57"/>
      <c r="B38" s="58"/>
      <c r="C38" s="627" t="s">
        <v>38</v>
      </c>
      <c r="D38" s="629">
        <f>D20+D37</f>
        <v>4196.5599999999995</v>
      </c>
      <c r="E38" s="629">
        <f>E20+E37</f>
        <v>12958868.85</v>
      </c>
      <c r="F38" s="629">
        <f t="shared" ref="F38:G38" si="2">F20+F37</f>
        <v>12963065.41</v>
      </c>
      <c r="G38" s="629">
        <f t="shared" si="2"/>
        <v>0</v>
      </c>
    </row>
    <row r="39" spans="1:7" x14ac:dyDescent="0.25">
      <c r="A39" s="86"/>
      <c r="B39" s="86"/>
      <c r="C39" s="59"/>
    </row>
    <row r="40" spans="1:7" x14ac:dyDescent="0.25">
      <c r="A40" s="86"/>
      <c r="B40" s="86"/>
      <c r="C40" s="59"/>
    </row>
    <row r="41" spans="1:7" x14ac:dyDescent="0.25">
      <c r="A41" s="86"/>
      <c r="B41" s="86"/>
      <c r="C41" s="59"/>
    </row>
  </sheetData>
  <mergeCells count="8">
    <mergeCell ref="A5:G5"/>
    <mergeCell ref="A7:G7"/>
    <mergeCell ref="A9:A12"/>
    <mergeCell ref="C9:C12"/>
    <mergeCell ref="D9:D12"/>
    <mergeCell ref="G9:G12"/>
    <mergeCell ref="E10:E12"/>
    <mergeCell ref="F10:F12"/>
  </mergeCells>
  <pageMargins left="0.70866141732283472" right="0.70866141732283472" top="0.55118110236220474" bottom="0.55118110236220474" header="0.31496062992125984" footer="0.31496062992125984"/>
  <pageSetup paperSize="9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18351-3229-4206-B259-F91C5D84D6F8}">
  <sheetPr>
    <tabColor rgb="FF00B0F0"/>
  </sheetPr>
  <dimension ref="A1:H19"/>
  <sheetViews>
    <sheetView zoomScale="120" zoomScaleNormal="120" workbookViewId="0">
      <selection activeCell="A2" sqref="A2"/>
    </sheetView>
  </sheetViews>
  <sheetFormatPr defaultRowHeight="15" x14ac:dyDescent="0.25"/>
  <cols>
    <col min="1" max="1" width="7" customWidth="1"/>
    <col min="2" max="2" width="45" customWidth="1"/>
    <col min="3" max="3" width="14.85546875" customWidth="1"/>
    <col min="4" max="5" width="14" customWidth="1"/>
    <col min="6" max="7" width="14.140625" customWidth="1"/>
    <col min="8" max="8" width="14.7109375" customWidth="1"/>
    <col min="191" max="191" width="4.42578125" customWidth="1"/>
    <col min="192" max="192" width="7.5703125" customWidth="1"/>
    <col min="193" max="193" width="47.42578125" customWidth="1"/>
    <col min="194" max="194" width="14.85546875" customWidth="1"/>
    <col min="195" max="195" width="14" customWidth="1"/>
    <col min="196" max="196" width="14.140625" customWidth="1"/>
    <col min="197" max="197" width="14.7109375" customWidth="1"/>
    <col min="447" max="447" width="4.42578125" customWidth="1"/>
    <col min="448" max="448" width="7.5703125" customWidth="1"/>
    <col min="449" max="449" width="47.42578125" customWidth="1"/>
    <col min="450" max="450" width="14.85546875" customWidth="1"/>
    <col min="451" max="451" width="14" customWidth="1"/>
    <col min="452" max="452" width="14.140625" customWidth="1"/>
    <col min="453" max="453" width="14.7109375" customWidth="1"/>
    <col min="703" max="703" width="4.42578125" customWidth="1"/>
    <col min="704" max="704" width="7.5703125" customWidth="1"/>
    <col min="705" max="705" width="47.42578125" customWidth="1"/>
    <col min="706" max="706" width="14.85546875" customWidth="1"/>
    <col min="707" max="707" width="14" customWidth="1"/>
    <col min="708" max="708" width="14.140625" customWidth="1"/>
    <col min="709" max="709" width="14.7109375" customWidth="1"/>
    <col min="959" max="959" width="4.42578125" customWidth="1"/>
    <col min="960" max="960" width="7.5703125" customWidth="1"/>
    <col min="961" max="961" width="47.42578125" customWidth="1"/>
    <col min="962" max="962" width="14.85546875" customWidth="1"/>
    <col min="963" max="963" width="14" customWidth="1"/>
    <col min="964" max="964" width="14.140625" customWidth="1"/>
    <col min="965" max="965" width="14.7109375" customWidth="1"/>
    <col min="1215" max="1215" width="4.42578125" customWidth="1"/>
    <col min="1216" max="1216" width="7.5703125" customWidth="1"/>
    <col min="1217" max="1217" width="47.42578125" customWidth="1"/>
    <col min="1218" max="1218" width="14.85546875" customWidth="1"/>
    <col min="1219" max="1219" width="14" customWidth="1"/>
    <col min="1220" max="1220" width="14.140625" customWidth="1"/>
    <col min="1221" max="1221" width="14.7109375" customWidth="1"/>
    <col min="1471" max="1471" width="4.42578125" customWidth="1"/>
    <col min="1472" max="1472" width="7.5703125" customWidth="1"/>
    <col min="1473" max="1473" width="47.42578125" customWidth="1"/>
    <col min="1474" max="1474" width="14.85546875" customWidth="1"/>
    <col min="1475" max="1475" width="14" customWidth="1"/>
    <col min="1476" max="1476" width="14.140625" customWidth="1"/>
    <col min="1477" max="1477" width="14.7109375" customWidth="1"/>
    <col min="1727" max="1727" width="4.42578125" customWidth="1"/>
    <col min="1728" max="1728" width="7.5703125" customWidth="1"/>
    <col min="1729" max="1729" width="47.42578125" customWidth="1"/>
    <col min="1730" max="1730" width="14.85546875" customWidth="1"/>
    <col min="1731" max="1731" width="14" customWidth="1"/>
    <col min="1732" max="1732" width="14.140625" customWidth="1"/>
    <col min="1733" max="1733" width="14.7109375" customWidth="1"/>
    <col min="1983" max="1983" width="4.42578125" customWidth="1"/>
    <col min="1984" max="1984" width="7.5703125" customWidth="1"/>
    <col min="1985" max="1985" width="47.42578125" customWidth="1"/>
    <col min="1986" max="1986" width="14.85546875" customWidth="1"/>
    <col min="1987" max="1987" width="14" customWidth="1"/>
    <col min="1988" max="1988" width="14.140625" customWidth="1"/>
    <col min="1989" max="1989" width="14.7109375" customWidth="1"/>
    <col min="2239" max="2239" width="4.42578125" customWidth="1"/>
    <col min="2240" max="2240" width="7.5703125" customWidth="1"/>
    <col min="2241" max="2241" width="47.42578125" customWidth="1"/>
    <col min="2242" max="2242" width="14.85546875" customWidth="1"/>
    <col min="2243" max="2243" width="14" customWidth="1"/>
    <col min="2244" max="2244" width="14.140625" customWidth="1"/>
    <col min="2245" max="2245" width="14.7109375" customWidth="1"/>
    <col min="2495" max="2495" width="4.42578125" customWidth="1"/>
    <col min="2496" max="2496" width="7.5703125" customWidth="1"/>
    <col min="2497" max="2497" width="47.42578125" customWidth="1"/>
    <col min="2498" max="2498" width="14.85546875" customWidth="1"/>
    <col min="2499" max="2499" width="14" customWidth="1"/>
    <col min="2500" max="2500" width="14.140625" customWidth="1"/>
    <col min="2501" max="2501" width="14.7109375" customWidth="1"/>
    <col min="2751" max="2751" width="4.42578125" customWidth="1"/>
    <col min="2752" max="2752" width="7.5703125" customWidth="1"/>
    <col min="2753" max="2753" width="47.42578125" customWidth="1"/>
    <col min="2754" max="2754" width="14.85546875" customWidth="1"/>
    <col min="2755" max="2755" width="14" customWidth="1"/>
    <col min="2756" max="2756" width="14.140625" customWidth="1"/>
    <col min="2757" max="2757" width="14.7109375" customWidth="1"/>
    <col min="3007" max="3007" width="4.42578125" customWidth="1"/>
    <col min="3008" max="3008" width="7.5703125" customWidth="1"/>
    <col min="3009" max="3009" width="47.42578125" customWidth="1"/>
    <col min="3010" max="3010" width="14.85546875" customWidth="1"/>
    <col min="3011" max="3011" width="14" customWidth="1"/>
    <col min="3012" max="3012" width="14.140625" customWidth="1"/>
    <col min="3013" max="3013" width="14.7109375" customWidth="1"/>
    <col min="3263" max="3263" width="4.42578125" customWidth="1"/>
    <col min="3264" max="3264" width="7.5703125" customWidth="1"/>
    <col min="3265" max="3265" width="47.42578125" customWidth="1"/>
    <col min="3266" max="3266" width="14.85546875" customWidth="1"/>
    <col min="3267" max="3267" width="14" customWidth="1"/>
    <col min="3268" max="3268" width="14.140625" customWidth="1"/>
    <col min="3269" max="3269" width="14.7109375" customWidth="1"/>
    <col min="3519" max="3519" width="4.42578125" customWidth="1"/>
    <col min="3520" max="3520" width="7.5703125" customWidth="1"/>
    <col min="3521" max="3521" width="47.42578125" customWidth="1"/>
    <col min="3522" max="3522" width="14.85546875" customWidth="1"/>
    <col min="3523" max="3523" width="14" customWidth="1"/>
    <col min="3524" max="3524" width="14.140625" customWidth="1"/>
    <col min="3525" max="3525" width="14.7109375" customWidth="1"/>
    <col min="3775" max="3775" width="4.42578125" customWidth="1"/>
    <col min="3776" max="3776" width="7.5703125" customWidth="1"/>
    <col min="3777" max="3777" width="47.42578125" customWidth="1"/>
    <col min="3778" max="3778" width="14.85546875" customWidth="1"/>
    <col min="3779" max="3779" width="14" customWidth="1"/>
    <col min="3780" max="3780" width="14.140625" customWidth="1"/>
    <col min="3781" max="3781" width="14.7109375" customWidth="1"/>
    <col min="4031" max="4031" width="4.42578125" customWidth="1"/>
    <col min="4032" max="4032" width="7.5703125" customWidth="1"/>
    <col min="4033" max="4033" width="47.42578125" customWidth="1"/>
    <col min="4034" max="4034" width="14.85546875" customWidth="1"/>
    <col min="4035" max="4035" width="14" customWidth="1"/>
    <col min="4036" max="4036" width="14.140625" customWidth="1"/>
    <col min="4037" max="4037" width="14.7109375" customWidth="1"/>
    <col min="4287" max="4287" width="4.42578125" customWidth="1"/>
    <col min="4288" max="4288" width="7.5703125" customWidth="1"/>
    <col min="4289" max="4289" width="47.42578125" customWidth="1"/>
    <col min="4290" max="4290" width="14.85546875" customWidth="1"/>
    <col min="4291" max="4291" width="14" customWidth="1"/>
    <col min="4292" max="4292" width="14.140625" customWidth="1"/>
    <col min="4293" max="4293" width="14.7109375" customWidth="1"/>
    <col min="4543" max="4543" width="4.42578125" customWidth="1"/>
    <col min="4544" max="4544" width="7.5703125" customWidth="1"/>
    <col min="4545" max="4545" width="47.42578125" customWidth="1"/>
    <col min="4546" max="4546" width="14.85546875" customWidth="1"/>
    <col min="4547" max="4547" width="14" customWidth="1"/>
    <col min="4548" max="4548" width="14.140625" customWidth="1"/>
    <col min="4549" max="4549" width="14.7109375" customWidth="1"/>
    <col min="4799" max="4799" width="4.42578125" customWidth="1"/>
    <col min="4800" max="4800" width="7.5703125" customWidth="1"/>
    <col min="4801" max="4801" width="47.42578125" customWidth="1"/>
    <col min="4802" max="4802" width="14.85546875" customWidth="1"/>
    <col min="4803" max="4803" width="14" customWidth="1"/>
    <col min="4804" max="4804" width="14.140625" customWidth="1"/>
    <col min="4805" max="4805" width="14.7109375" customWidth="1"/>
    <col min="5055" max="5055" width="4.42578125" customWidth="1"/>
    <col min="5056" max="5056" width="7.5703125" customWidth="1"/>
    <col min="5057" max="5057" width="47.42578125" customWidth="1"/>
    <col min="5058" max="5058" width="14.85546875" customWidth="1"/>
    <col min="5059" max="5059" width="14" customWidth="1"/>
    <col min="5060" max="5060" width="14.140625" customWidth="1"/>
    <col min="5061" max="5061" width="14.7109375" customWidth="1"/>
    <col min="5311" max="5311" width="4.42578125" customWidth="1"/>
    <col min="5312" max="5312" width="7.5703125" customWidth="1"/>
    <col min="5313" max="5313" width="47.42578125" customWidth="1"/>
    <col min="5314" max="5314" width="14.85546875" customWidth="1"/>
    <col min="5315" max="5315" width="14" customWidth="1"/>
    <col min="5316" max="5316" width="14.140625" customWidth="1"/>
    <col min="5317" max="5317" width="14.7109375" customWidth="1"/>
    <col min="5567" max="5567" width="4.42578125" customWidth="1"/>
    <col min="5568" max="5568" width="7.5703125" customWidth="1"/>
    <col min="5569" max="5569" width="47.42578125" customWidth="1"/>
    <col min="5570" max="5570" width="14.85546875" customWidth="1"/>
    <col min="5571" max="5571" width="14" customWidth="1"/>
    <col min="5572" max="5572" width="14.140625" customWidth="1"/>
    <col min="5573" max="5573" width="14.7109375" customWidth="1"/>
    <col min="5823" max="5823" width="4.42578125" customWidth="1"/>
    <col min="5824" max="5824" width="7.5703125" customWidth="1"/>
    <col min="5825" max="5825" width="47.42578125" customWidth="1"/>
    <col min="5826" max="5826" width="14.85546875" customWidth="1"/>
    <col min="5827" max="5827" width="14" customWidth="1"/>
    <col min="5828" max="5828" width="14.140625" customWidth="1"/>
    <col min="5829" max="5829" width="14.7109375" customWidth="1"/>
    <col min="6079" max="6079" width="4.42578125" customWidth="1"/>
    <col min="6080" max="6080" width="7.5703125" customWidth="1"/>
    <col min="6081" max="6081" width="47.42578125" customWidth="1"/>
    <col min="6082" max="6082" width="14.85546875" customWidth="1"/>
    <col min="6083" max="6083" width="14" customWidth="1"/>
    <col min="6084" max="6084" width="14.140625" customWidth="1"/>
    <col min="6085" max="6085" width="14.7109375" customWidth="1"/>
    <col min="6335" max="6335" width="4.42578125" customWidth="1"/>
    <col min="6336" max="6336" width="7.5703125" customWidth="1"/>
    <col min="6337" max="6337" width="47.42578125" customWidth="1"/>
    <col min="6338" max="6338" width="14.85546875" customWidth="1"/>
    <col min="6339" max="6339" width="14" customWidth="1"/>
    <col min="6340" max="6340" width="14.140625" customWidth="1"/>
    <col min="6341" max="6341" width="14.7109375" customWidth="1"/>
    <col min="6591" max="6591" width="4.42578125" customWidth="1"/>
    <col min="6592" max="6592" width="7.5703125" customWidth="1"/>
    <col min="6593" max="6593" width="47.42578125" customWidth="1"/>
    <col min="6594" max="6594" width="14.85546875" customWidth="1"/>
    <col min="6595" max="6595" width="14" customWidth="1"/>
    <col min="6596" max="6596" width="14.140625" customWidth="1"/>
    <col min="6597" max="6597" width="14.7109375" customWidth="1"/>
    <col min="6847" max="6847" width="4.42578125" customWidth="1"/>
    <col min="6848" max="6848" width="7.5703125" customWidth="1"/>
    <col min="6849" max="6849" width="47.42578125" customWidth="1"/>
    <col min="6850" max="6850" width="14.85546875" customWidth="1"/>
    <col min="6851" max="6851" width="14" customWidth="1"/>
    <col min="6852" max="6852" width="14.140625" customWidth="1"/>
    <col min="6853" max="6853" width="14.7109375" customWidth="1"/>
    <col min="7103" max="7103" width="4.42578125" customWidth="1"/>
    <col min="7104" max="7104" width="7.5703125" customWidth="1"/>
    <col min="7105" max="7105" width="47.42578125" customWidth="1"/>
    <col min="7106" max="7106" width="14.85546875" customWidth="1"/>
    <col min="7107" max="7107" width="14" customWidth="1"/>
    <col min="7108" max="7108" width="14.140625" customWidth="1"/>
    <col min="7109" max="7109" width="14.7109375" customWidth="1"/>
    <col min="7359" max="7359" width="4.42578125" customWidth="1"/>
    <col min="7360" max="7360" width="7.5703125" customWidth="1"/>
    <col min="7361" max="7361" width="47.42578125" customWidth="1"/>
    <col min="7362" max="7362" width="14.85546875" customWidth="1"/>
    <col min="7363" max="7363" width="14" customWidth="1"/>
    <col min="7364" max="7364" width="14.140625" customWidth="1"/>
    <col min="7365" max="7365" width="14.7109375" customWidth="1"/>
    <col min="7615" max="7615" width="4.42578125" customWidth="1"/>
    <col min="7616" max="7616" width="7.5703125" customWidth="1"/>
    <col min="7617" max="7617" width="47.42578125" customWidth="1"/>
    <col min="7618" max="7618" width="14.85546875" customWidth="1"/>
    <col min="7619" max="7619" width="14" customWidth="1"/>
    <col min="7620" max="7620" width="14.140625" customWidth="1"/>
    <col min="7621" max="7621" width="14.7109375" customWidth="1"/>
    <col min="7871" max="7871" width="4.42578125" customWidth="1"/>
    <col min="7872" max="7872" width="7.5703125" customWidth="1"/>
    <col min="7873" max="7873" width="47.42578125" customWidth="1"/>
    <col min="7874" max="7874" width="14.85546875" customWidth="1"/>
    <col min="7875" max="7875" width="14" customWidth="1"/>
    <col min="7876" max="7876" width="14.140625" customWidth="1"/>
    <col min="7877" max="7877" width="14.7109375" customWidth="1"/>
    <col min="8127" max="8127" width="4.42578125" customWidth="1"/>
    <col min="8128" max="8128" width="7.5703125" customWidth="1"/>
    <col min="8129" max="8129" width="47.42578125" customWidth="1"/>
    <col min="8130" max="8130" width="14.85546875" customWidth="1"/>
    <col min="8131" max="8131" width="14" customWidth="1"/>
    <col min="8132" max="8132" width="14.140625" customWidth="1"/>
    <col min="8133" max="8133" width="14.7109375" customWidth="1"/>
    <col min="8383" max="8383" width="4.42578125" customWidth="1"/>
    <col min="8384" max="8384" width="7.5703125" customWidth="1"/>
    <col min="8385" max="8385" width="47.42578125" customWidth="1"/>
    <col min="8386" max="8386" width="14.85546875" customWidth="1"/>
    <col min="8387" max="8387" width="14" customWidth="1"/>
    <col min="8388" max="8388" width="14.140625" customWidth="1"/>
    <col min="8389" max="8389" width="14.7109375" customWidth="1"/>
    <col min="8639" max="8639" width="4.42578125" customWidth="1"/>
    <col min="8640" max="8640" width="7.5703125" customWidth="1"/>
    <col min="8641" max="8641" width="47.42578125" customWidth="1"/>
    <col min="8642" max="8642" width="14.85546875" customWidth="1"/>
    <col min="8643" max="8643" width="14" customWidth="1"/>
    <col min="8644" max="8644" width="14.140625" customWidth="1"/>
    <col min="8645" max="8645" width="14.7109375" customWidth="1"/>
    <col min="8895" max="8895" width="4.42578125" customWidth="1"/>
    <col min="8896" max="8896" width="7.5703125" customWidth="1"/>
    <col min="8897" max="8897" width="47.42578125" customWidth="1"/>
    <col min="8898" max="8898" width="14.85546875" customWidth="1"/>
    <col min="8899" max="8899" width="14" customWidth="1"/>
    <col min="8900" max="8900" width="14.140625" customWidth="1"/>
    <col min="8901" max="8901" width="14.7109375" customWidth="1"/>
    <col min="9151" max="9151" width="4.42578125" customWidth="1"/>
    <col min="9152" max="9152" width="7.5703125" customWidth="1"/>
    <col min="9153" max="9153" width="47.42578125" customWidth="1"/>
    <col min="9154" max="9154" width="14.85546875" customWidth="1"/>
    <col min="9155" max="9155" width="14" customWidth="1"/>
    <col min="9156" max="9156" width="14.140625" customWidth="1"/>
    <col min="9157" max="9157" width="14.7109375" customWidth="1"/>
    <col min="9407" max="9407" width="4.42578125" customWidth="1"/>
    <col min="9408" max="9408" width="7.5703125" customWidth="1"/>
    <col min="9409" max="9409" width="47.42578125" customWidth="1"/>
    <col min="9410" max="9410" width="14.85546875" customWidth="1"/>
    <col min="9411" max="9411" width="14" customWidth="1"/>
    <col min="9412" max="9412" width="14.140625" customWidth="1"/>
    <col min="9413" max="9413" width="14.7109375" customWidth="1"/>
    <col min="9663" max="9663" width="4.42578125" customWidth="1"/>
    <col min="9664" max="9664" width="7.5703125" customWidth="1"/>
    <col min="9665" max="9665" width="47.42578125" customWidth="1"/>
    <col min="9666" max="9666" width="14.85546875" customWidth="1"/>
    <col min="9667" max="9667" width="14" customWidth="1"/>
    <col min="9668" max="9668" width="14.140625" customWidth="1"/>
    <col min="9669" max="9669" width="14.7109375" customWidth="1"/>
    <col min="9919" max="9919" width="4.42578125" customWidth="1"/>
    <col min="9920" max="9920" width="7.5703125" customWidth="1"/>
    <col min="9921" max="9921" width="47.42578125" customWidth="1"/>
    <col min="9922" max="9922" width="14.85546875" customWidth="1"/>
    <col min="9923" max="9923" width="14" customWidth="1"/>
    <col min="9924" max="9924" width="14.140625" customWidth="1"/>
    <col min="9925" max="9925" width="14.7109375" customWidth="1"/>
    <col min="10175" max="10175" width="4.42578125" customWidth="1"/>
    <col min="10176" max="10176" width="7.5703125" customWidth="1"/>
    <col min="10177" max="10177" width="47.42578125" customWidth="1"/>
    <col min="10178" max="10178" width="14.85546875" customWidth="1"/>
    <col min="10179" max="10179" width="14" customWidth="1"/>
    <col min="10180" max="10180" width="14.140625" customWidth="1"/>
    <col min="10181" max="10181" width="14.7109375" customWidth="1"/>
    <col min="10431" max="10431" width="4.42578125" customWidth="1"/>
    <col min="10432" max="10432" width="7.5703125" customWidth="1"/>
    <col min="10433" max="10433" width="47.42578125" customWidth="1"/>
    <col min="10434" max="10434" width="14.85546875" customWidth="1"/>
    <col min="10435" max="10435" width="14" customWidth="1"/>
    <col min="10436" max="10436" width="14.140625" customWidth="1"/>
    <col min="10437" max="10437" width="14.7109375" customWidth="1"/>
    <col min="10687" max="10687" width="4.42578125" customWidth="1"/>
    <col min="10688" max="10688" width="7.5703125" customWidth="1"/>
    <col min="10689" max="10689" width="47.42578125" customWidth="1"/>
    <col min="10690" max="10690" width="14.85546875" customWidth="1"/>
    <col min="10691" max="10691" width="14" customWidth="1"/>
    <col min="10692" max="10692" width="14.140625" customWidth="1"/>
    <col min="10693" max="10693" width="14.7109375" customWidth="1"/>
    <col min="10943" max="10943" width="4.42578125" customWidth="1"/>
    <col min="10944" max="10944" width="7.5703125" customWidth="1"/>
    <col min="10945" max="10945" width="47.42578125" customWidth="1"/>
    <col min="10946" max="10946" width="14.85546875" customWidth="1"/>
    <col min="10947" max="10947" width="14" customWidth="1"/>
    <col min="10948" max="10948" width="14.140625" customWidth="1"/>
    <col min="10949" max="10949" width="14.7109375" customWidth="1"/>
    <col min="11199" max="11199" width="4.42578125" customWidth="1"/>
    <col min="11200" max="11200" width="7.5703125" customWidth="1"/>
    <col min="11201" max="11201" width="47.42578125" customWidth="1"/>
    <col min="11202" max="11202" width="14.85546875" customWidth="1"/>
    <col min="11203" max="11203" width="14" customWidth="1"/>
    <col min="11204" max="11204" width="14.140625" customWidth="1"/>
    <col min="11205" max="11205" width="14.7109375" customWidth="1"/>
    <col min="11455" max="11455" width="4.42578125" customWidth="1"/>
    <col min="11456" max="11456" width="7.5703125" customWidth="1"/>
    <col min="11457" max="11457" width="47.42578125" customWidth="1"/>
    <col min="11458" max="11458" width="14.85546875" customWidth="1"/>
    <col min="11459" max="11459" width="14" customWidth="1"/>
    <col min="11460" max="11460" width="14.140625" customWidth="1"/>
    <col min="11461" max="11461" width="14.7109375" customWidth="1"/>
    <col min="11711" max="11711" width="4.42578125" customWidth="1"/>
    <col min="11712" max="11712" width="7.5703125" customWidth="1"/>
    <col min="11713" max="11713" width="47.42578125" customWidth="1"/>
    <col min="11714" max="11714" width="14.85546875" customWidth="1"/>
    <col min="11715" max="11715" width="14" customWidth="1"/>
    <col min="11716" max="11716" width="14.140625" customWidth="1"/>
    <col min="11717" max="11717" width="14.7109375" customWidth="1"/>
    <col min="11967" max="11967" width="4.42578125" customWidth="1"/>
    <col min="11968" max="11968" width="7.5703125" customWidth="1"/>
    <col min="11969" max="11969" width="47.42578125" customWidth="1"/>
    <col min="11970" max="11970" width="14.85546875" customWidth="1"/>
    <col min="11971" max="11971" width="14" customWidth="1"/>
    <col min="11972" max="11972" width="14.140625" customWidth="1"/>
    <col min="11973" max="11973" width="14.7109375" customWidth="1"/>
    <col min="12223" max="12223" width="4.42578125" customWidth="1"/>
    <col min="12224" max="12224" width="7.5703125" customWidth="1"/>
    <col min="12225" max="12225" width="47.42578125" customWidth="1"/>
    <col min="12226" max="12226" width="14.85546875" customWidth="1"/>
    <col min="12227" max="12227" width="14" customWidth="1"/>
    <col min="12228" max="12228" width="14.140625" customWidth="1"/>
    <col min="12229" max="12229" width="14.7109375" customWidth="1"/>
    <col min="12479" max="12479" width="4.42578125" customWidth="1"/>
    <col min="12480" max="12480" width="7.5703125" customWidth="1"/>
    <col min="12481" max="12481" width="47.42578125" customWidth="1"/>
    <col min="12482" max="12482" width="14.85546875" customWidth="1"/>
    <col min="12483" max="12483" width="14" customWidth="1"/>
    <col min="12484" max="12484" width="14.140625" customWidth="1"/>
    <col min="12485" max="12485" width="14.7109375" customWidth="1"/>
    <col min="12735" max="12735" width="4.42578125" customWidth="1"/>
    <col min="12736" max="12736" width="7.5703125" customWidth="1"/>
    <col min="12737" max="12737" width="47.42578125" customWidth="1"/>
    <col min="12738" max="12738" width="14.85546875" customWidth="1"/>
    <col min="12739" max="12739" width="14" customWidth="1"/>
    <col min="12740" max="12740" width="14.140625" customWidth="1"/>
    <col min="12741" max="12741" width="14.7109375" customWidth="1"/>
    <col min="12991" max="12991" width="4.42578125" customWidth="1"/>
    <col min="12992" max="12992" width="7.5703125" customWidth="1"/>
    <col min="12993" max="12993" width="47.42578125" customWidth="1"/>
    <col min="12994" max="12994" width="14.85546875" customWidth="1"/>
    <col min="12995" max="12995" width="14" customWidth="1"/>
    <col min="12996" max="12996" width="14.140625" customWidth="1"/>
    <col min="12997" max="12997" width="14.7109375" customWidth="1"/>
    <col min="13247" max="13247" width="4.42578125" customWidth="1"/>
    <col min="13248" max="13248" width="7.5703125" customWidth="1"/>
    <col min="13249" max="13249" width="47.42578125" customWidth="1"/>
    <col min="13250" max="13250" width="14.85546875" customWidth="1"/>
    <col min="13251" max="13251" width="14" customWidth="1"/>
    <col min="13252" max="13252" width="14.140625" customWidth="1"/>
    <col min="13253" max="13253" width="14.7109375" customWidth="1"/>
    <col min="13503" max="13503" width="4.42578125" customWidth="1"/>
    <col min="13504" max="13504" width="7.5703125" customWidth="1"/>
    <col min="13505" max="13505" width="47.42578125" customWidth="1"/>
    <col min="13506" max="13506" width="14.85546875" customWidth="1"/>
    <col min="13507" max="13507" width="14" customWidth="1"/>
    <col min="13508" max="13508" width="14.140625" customWidth="1"/>
    <col min="13509" max="13509" width="14.7109375" customWidth="1"/>
    <col min="13759" max="13759" width="4.42578125" customWidth="1"/>
    <col min="13760" max="13760" width="7.5703125" customWidth="1"/>
    <col min="13761" max="13761" width="47.42578125" customWidth="1"/>
    <col min="13762" max="13762" width="14.85546875" customWidth="1"/>
    <col min="13763" max="13763" width="14" customWidth="1"/>
    <col min="13764" max="13764" width="14.140625" customWidth="1"/>
    <col min="13765" max="13765" width="14.7109375" customWidth="1"/>
    <col min="14015" max="14015" width="4.42578125" customWidth="1"/>
    <col min="14016" max="14016" width="7.5703125" customWidth="1"/>
    <col min="14017" max="14017" width="47.42578125" customWidth="1"/>
    <col min="14018" max="14018" width="14.85546875" customWidth="1"/>
    <col min="14019" max="14019" width="14" customWidth="1"/>
    <col min="14020" max="14020" width="14.140625" customWidth="1"/>
    <col min="14021" max="14021" width="14.7109375" customWidth="1"/>
    <col min="14271" max="14271" width="4.42578125" customWidth="1"/>
    <col min="14272" max="14272" width="7.5703125" customWidth="1"/>
    <col min="14273" max="14273" width="47.42578125" customWidth="1"/>
    <col min="14274" max="14274" width="14.85546875" customWidth="1"/>
    <col min="14275" max="14275" width="14" customWidth="1"/>
    <col min="14276" max="14276" width="14.140625" customWidth="1"/>
    <col min="14277" max="14277" width="14.7109375" customWidth="1"/>
    <col min="14527" max="14527" width="4.42578125" customWidth="1"/>
    <col min="14528" max="14528" width="7.5703125" customWidth="1"/>
    <col min="14529" max="14529" width="47.42578125" customWidth="1"/>
    <col min="14530" max="14530" width="14.85546875" customWidth="1"/>
    <col min="14531" max="14531" width="14" customWidth="1"/>
    <col min="14532" max="14532" width="14.140625" customWidth="1"/>
    <col min="14533" max="14533" width="14.7109375" customWidth="1"/>
    <col min="14783" max="14783" width="4.42578125" customWidth="1"/>
    <col min="14784" max="14784" width="7.5703125" customWidth="1"/>
    <col min="14785" max="14785" width="47.42578125" customWidth="1"/>
    <col min="14786" max="14786" width="14.85546875" customWidth="1"/>
    <col min="14787" max="14787" width="14" customWidth="1"/>
    <col min="14788" max="14788" width="14.140625" customWidth="1"/>
    <col min="14789" max="14789" width="14.7109375" customWidth="1"/>
    <col min="15039" max="15039" width="4.42578125" customWidth="1"/>
    <col min="15040" max="15040" width="7.5703125" customWidth="1"/>
    <col min="15041" max="15041" width="47.42578125" customWidth="1"/>
    <col min="15042" max="15042" width="14.85546875" customWidth="1"/>
    <col min="15043" max="15043" width="14" customWidth="1"/>
    <col min="15044" max="15044" width="14.140625" customWidth="1"/>
    <col min="15045" max="15045" width="14.7109375" customWidth="1"/>
    <col min="15295" max="15295" width="4.42578125" customWidth="1"/>
    <col min="15296" max="15296" width="7.5703125" customWidth="1"/>
    <col min="15297" max="15297" width="47.42578125" customWidth="1"/>
    <col min="15298" max="15298" width="14.85546875" customWidth="1"/>
    <col min="15299" max="15299" width="14" customWidth="1"/>
    <col min="15300" max="15300" width="14.140625" customWidth="1"/>
    <col min="15301" max="15301" width="14.7109375" customWidth="1"/>
    <col min="15551" max="15551" width="4.42578125" customWidth="1"/>
    <col min="15552" max="15552" width="7.5703125" customWidth="1"/>
    <col min="15553" max="15553" width="47.42578125" customWidth="1"/>
    <col min="15554" max="15554" width="14.85546875" customWidth="1"/>
    <col min="15555" max="15555" width="14" customWidth="1"/>
    <col min="15556" max="15556" width="14.140625" customWidth="1"/>
    <col min="15557" max="15557" width="14.7109375" customWidth="1"/>
    <col min="15807" max="15807" width="4.42578125" customWidth="1"/>
    <col min="15808" max="15808" width="7.5703125" customWidth="1"/>
    <col min="15809" max="15809" width="47.42578125" customWidth="1"/>
    <col min="15810" max="15810" width="14.85546875" customWidth="1"/>
    <col min="15811" max="15811" width="14" customWidth="1"/>
    <col min="15812" max="15812" width="14.140625" customWidth="1"/>
    <col min="15813" max="15813" width="14.7109375" customWidth="1"/>
    <col min="16063" max="16063" width="4.42578125" customWidth="1"/>
    <col min="16064" max="16064" width="7.5703125" customWidth="1"/>
    <col min="16065" max="16065" width="47.42578125" customWidth="1"/>
    <col min="16066" max="16066" width="14.85546875" customWidth="1"/>
    <col min="16067" max="16067" width="14" customWidth="1"/>
    <col min="16068" max="16068" width="14.140625" customWidth="1"/>
    <col min="16069" max="16069" width="14.7109375" customWidth="1"/>
  </cols>
  <sheetData>
    <row r="1" spans="1:8" s="6" customFormat="1" ht="12.75" x14ac:dyDescent="0.25">
      <c r="F1" s="60"/>
      <c r="G1" s="2" t="s">
        <v>41</v>
      </c>
      <c r="H1" s="61"/>
    </row>
    <row r="2" spans="1:8" s="6" customFormat="1" ht="12.75" x14ac:dyDescent="0.25">
      <c r="F2" s="62"/>
      <c r="G2" s="2" t="s">
        <v>39</v>
      </c>
      <c r="H2" s="63"/>
    </row>
    <row r="3" spans="1:8" s="6" customFormat="1" ht="12.75" x14ac:dyDescent="0.25">
      <c r="F3" s="62"/>
      <c r="G3" s="3" t="s">
        <v>1</v>
      </c>
      <c r="H3" s="63"/>
    </row>
    <row r="4" spans="1:8" s="6" customFormat="1" ht="12.75" x14ac:dyDescent="0.25">
      <c r="F4" s="62"/>
      <c r="G4" s="2" t="s">
        <v>40</v>
      </c>
      <c r="H4" s="63"/>
    </row>
    <row r="5" spans="1:8" x14ac:dyDescent="0.25">
      <c r="F5" s="62"/>
      <c r="G5" s="62"/>
    </row>
    <row r="6" spans="1:8" s="64" customFormat="1" ht="16.5" x14ac:dyDescent="0.3">
      <c r="A6" s="645" t="s">
        <v>42</v>
      </c>
      <c r="B6" s="645"/>
      <c r="C6" s="645"/>
      <c r="D6" s="645"/>
      <c r="E6" s="645"/>
      <c r="F6" s="645"/>
      <c r="G6" s="645"/>
      <c r="H6" s="645"/>
    </row>
    <row r="7" spans="1:8" s="66" customFormat="1" ht="12.75" x14ac:dyDescent="0.2">
      <c r="A7" s="65" t="s">
        <v>43</v>
      </c>
      <c r="B7" s="65"/>
      <c r="C7" s="65"/>
      <c r="D7" s="65"/>
      <c r="E7" s="65"/>
      <c r="F7" s="65"/>
      <c r="G7" s="65"/>
      <c r="H7" s="65"/>
    </row>
    <row r="8" spans="1:8" s="68" customFormat="1" ht="12.75" x14ac:dyDescent="0.2">
      <c r="A8" s="67"/>
      <c r="B8" s="67"/>
      <c r="C8" s="67"/>
      <c r="D8" s="67"/>
      <c r="E8" s="67"/>
      <c r="F8" s="67"/>
      <c r="G8" s="67"/>
      <c r="H8" s="67"/>
    </row>
    <row r="9" spans="1:8" s="68" customFormat="1" ht="12.75" x14ac:dyDescent="0.2">
      <c r="A9" s="67"/>
      <c r="B9" s="67"/>
      <c r="C9" s="67"/>
      <c r="D9" s="67"/>
      <c r="E9" s="67"/>
      <c r="F9" s="67"/>
      <c r="G9" s="67"/>
      <c r="H9" s="67"/>
    </row>
    <row r="10" spans="1:8" x14ac:dyDescent="0.25">
      <c r="A10" s="624"/>
      <c r="B10" s="624"/>
      <c r="C10" s="624"/>
      <c r="D10" s="624"/>
      <c r="E10" s="624"/>
      <c r="F10" s="624"/>
      <c r="G10" s="624"/>
      <c r="H10" s="7" t="s">
        <v>44</v>
      </c>
    </row>
    <row r="11" spans="1:8" ht="15" customHeight="1" x14ac:dyDescent="0.25">
      <c r="A11" s="69"/>
      <c r="B11" s="646" t="s">
        <v>6</v>
      </c>
      <c r="C11" s="649" t="s">
        <v>45</v>
      </c>
      <c r="D11" s="652" t="s">
        <v>46</v>
      </c>
      <c r="E11" s="653"/>
      <c r="F11" s="70"/>
      <c r="G11" s="70"/>
      <c r="H11" s="649" t="s">
        <v>47</v>
      </c>
    </row>
    <row r="12" spans="1:8" ht="15" customHeight="1" x14ac:dyDescent="0.25">
      <c r="A12" s="71" t="s">
        <v>9</v>
      </c>
      <c r="B12" s="647"/>
      <c r="C12" s="650"/>
      <c r="D12" s="73"/>
      <c r="E12" s="73"/>
      <c r="F12" s="650" t="s">
        <v>48</v>
      </c>
      <c r="G12" s="73"/>
      <c r="H12" s="650"/>
    </row>
    <row r="13" spans="1:8" ht="25.5" x14ac:dyDescent="0.25">
      <c r="A13" s="72" t="s">
        <v>12</v>
      </c>
      <c r="B13" s="647"/>
      <c r="C13" s="650"/>
      <c r="D13" s="73" t="s">
        <v>49</v>
      </c>
      <c r="E13" s="73" t="s">
        <v>50</v>
      </c>
      <c r="F13" s="650"/>
      <c r="G13" s="73" t="s">
        <v>51</v>
      </c>
      <c r="H13" s="650"/>
    </row>
    <row r="14" spans="1:8" x14ac:dyDescent="0.25">
      <c r="A14" s="71"/>
      <c r="B14" s="648"/>
      <c r="C14" s="651"/>
      <c r="D14" s="74"/>
      <c r="E14" s="74"/>
      <c r="F14" s="651"/>
      <c r="G14" s="74"/>
      <c r="H14" s="651"/>
    </row>
    <row r="15" spans="1:8" s="64" customFormat="1" ht="10.5" customHeight="1" x14ac:dyDescent="0.3">
      <c r="A15" s="75">
        <v>1</v>
      </c>
      <c r="B15" s="75">
        <v>2</v>
      </c>
      <c r="C15" s="75">
        <v>3</v>
      </c>
      <c r="D15" s="75">
        <v>4</v>
      </c>
      <c r="E15" s="75">
        <v>5</v>
      </c>
      <c r="F15" s="75">
        <v>6</v>
      </c>
      <c r="G15" s="75">
        <v>7</v>
      </c>
      <c r="H15" s="75">
        <v>8</v>
      </c>
    </row>
    <row r="16" spans="1:8" x14ac:dyDescent="0.25">
      <c r="A16" s="76">
        <v>853</v>
      </c>
      <c r="B16" s="77"/>
      <c r="C16" s="632"/>
      <c r="D16" s="632"/>
      <c r="E16" s="632"/>
      <c r="F16" s="632"/>
      <c r="G16" s="632"/>
      <c r="H16" s="632"/>
    </row>
    <row r="17" spans="1:8" ht="15.75" customHeight="1" x14ac:dyDescent="0.25">
      <c r="A17" s="78">
        <v>85395</v>
      </c>
      <c r="B17" s="79" t="s">
        <v>52</v>
      </c>
      <c r="C17" s="80">
        <f>520000-572445.24</f>
        <v>-52445.239999999991</v>
      </c>
      <c r="D17" s="80">
        <f>7164180+589000-460000+175684.22+198717.15+80000</f>
        <v>7747581.3700000001</v>
      </c>
      <c r="E17" s="80">
        <f>1186180+175684.22+198717.15</f>
        <v>1560581.3699999999</v>
      </c>
      <c r="F17" s="80">
        <f>7296418.98+198717.15</f>
        <v>7495136.1300000008</v>
      </c>
      <c r="G17" s="80">
        <v>0</v>
      </c>
      <c r="H17" s="80">
        <f>520000-90000-230000</f>
        <v>200000</v>
      </c>
    </row>
    <row r="18" spans="1:8" ht="14.25" customHeight="1" x14ac:dyDescent="0.25">
      <c r="A18" s="78"/>
      <c r="B18" s="79" t="s">
        <v>53</v>
      </c>
      <c r="C18" s="80"/>
      <c r="D18" s="80"/>
      <c r="E18" s="80"/>
      <c r="F18" s="80"/>
      <c r="G18" s="80"/>
      <c r="H18" s="80"/>
    </row>
    <row r="19" spans="1:8" ht="12.75" customHeight="1" x14ac:dyDescent="0.25">
      <c r="A19" s="81"/>
      <c r="B19" s="82" t="s">
        <v>54</v>
      </c>
      <c r="C19" s="83"/>
      <c r="D19" s="83"/>
      <c r="E19" s="83"/>
      <c r="F19" s="83"/>
      <c r="G19" s="83"/>
      <c r="H19" s="83"/>
    </row>
  </sheetData>
  <mergeCells count="6">
    <mergeCell ref="A6:H6"/>
    <mergeCell ref="B11:B14"/>
    <mergeCell ref="C11:C14"/>
    <mergeCell ref="D11:E11"/>
    <mergeCell ref="H11:H14"/>
    <mergeCell ref="F12:F14"/>
  </mergeCells>
  <pageMargins left="0.19685039370078741" right="0.19685039370078741" top="0.55118110236220474" bottom="0.55118110236220474" header="0.31496062992125984" footer="0.31496062992125984"/>
  <pageSetup paperSize="9" firstPageNumber="71" orientation="landscape" useFirstPageNumber="1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C4B6AE-64E4-46F1-9DF0-79AB158E3DE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Nazwane zakresy</vt:lpstr>
      </vt:variant>
      <vt:variant>
        <vt:i4>6</vt:i4>
      </vt:variant>
    </vt:vector>
  </HeadingPairs>
  <TitlesOfParts>
    <vt:vector size="15" baseType="lpstr">
      <vt:lpstr>Zał.Nr1</vt:lpstr>
      <vt:lpstr>Zał.Nr2</vt:lpstr>
      <vt:lpstr>Zał.Nr3</vt:lpstr>
      <vt:lpstr>Zał.Nr4</vt:lpstr>
      <vt:lpstr>Zał.Nr5</vt:lpstr>
      <vt:lpstr>Zał.Nr6</vt:lpstr>
      <vt:lpstr>Zał.Nr7</vt:lpstr>
      <vt:lpstr>Zał.Nr8</vt:lpstr>
      <vt:lpstr>Arkusz1</vt:lpstr>
      <vt:lpstr>Zał.Nr1!Obszar_wydruku</vt:lpstr>
      <vt:lpstr>Zał.Nr2!Obszar_wydruku</vt:lpstr>
      <vt:lpstr>Zał.Nr1!Tytuły_wydruku</vt:lpstr>
      <vt:lpstr>Zał.Nr2!Tytuły_wydruku</vt:lpstr>
      <vt:lpstr>Zał.Nr5!Tytuły_wydruku</vt:lpstr>
      <vt:lpstr>Zał.Nr6!Tytuły_wydruku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Duszeńska</dc:creator>
  <cp:lastModifiedBy>Renata Ciechurska</cp:lastModifiedBy>
  <cp:lastPrinted>2026-09-03T07:17:21Z</cp:lastPrinted>
  <dcterms:created xsi:type="dcterms:W3CDTF">2026-09-02T06:03:08Z</dcterms:created>
  <dcterms:modified xsi:type="dcterms:W3CDTF">2026-09-03T10:35:39Z</dcterms:modified>
</cp:coreProperties>
</file>