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ciechurska\Desktop\"/>
    </mc:Choice>
  </mc:AlternateContent>
  <xr:revisionPtr revIDLastSave="0" documentId="8_{6444FA9E-FBB3-4496-BFC3-EE9EF8198B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Zał.Nr1" sheetId="10" r:id="rId1"/>
    <sheet name="Zał.Nr2" sheetId="11" r:id="rId2"/>
    <sheet name="Zał.Nr3" sheetId="12" r:id="rId3"/>
    <sheet name="Arkusz1" sheetId="1" r:id="rId4"/>
  </sheets>
  <definedNames>
    <definedName name="_xlnm._FilterDatabase" localSheetId="0" hidden="1">Zał.Nr1!$A$213:$H$230</definedName>
    <definedName name="_xlnm.Print_Area" localSheetId="0">Zał.Nr1!$A$1:$H$256</definedName>
    <definedName name="_xlnm.Print_Titles" localSheetId="0">Zał.Nr1!$7:$9</definedName>
    <definedName name="_xlnm.Print_Titles" localSheetId="1">Zał.Nr2!$41:$41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7" i="12" l="1"/>
  <c r="E37" i="12"/>
  <c r="D37" i="12"/>
  <c r="D38" i="12" s="1"/>
  <c r="F23" i="12"/>
  <c r="F37" i="12" s="1"/>
  <c r="E23" i="12"/>
  <c r="G20" i="12"/>
  <c r="G38" i="12" s="1"/>
  <c r="F20" i="12"/>
  <c r="D20" i="12"/>
  <c r="F17" i="12"/>
  <c r="E17" i="12"/>
  <c r="F16" i="12"/>
  <c r="E16" i="12"/>
  <c r="F15" i="12"/>
  <c r="E15" i="12"/>
  <c r="E20" i="12" s="1"/>
  <c r="E38" i="12" s="1"/>
  <c r="F143" i="11"/>
  <c r="F141" i="11"/>
  <c r="F131" i="11"/>
  <c r="F129" i="11"/>
  <c r="F127" i="11"/>
  <c r="F119" i="11"/>
  <c r="F116" i="11"/>
  <c r="F110" i="11"/>
  <c r="F95" i="11"/>
  <c r="F88" i="11"/>
  <c r="F83" i="11"/>
  <c r="F80" i="11"/>
  <c r="F69" i="11"/>
  <c r="F67" i="11"/>
  <c r="F65" i="11"/>
  <c r="F50" i="11"/>
  <c r="F48" i="11"/>
  <c r="F42" i="11"/>
  <c r="F145" i="11" s="1"/>
  <c r="F38" i="11"/>
  <c r="F36" i="11"/>
  <c r="F35" i="11"/>
  <c r="F32" i="11"/>
  <c r="F31" i="11"/>
  <c r="F30" i="11"/>
  <c r="F29" i="11"/>
  <c r="F28" i="11"/>
  <c r="F27" i="11" s="1"/>
  <c r="F26" i="11"/>
  <c r="F25" i="11"/>
  <c r="F24" i="11"/>
  <c r="F23" i="11"/>
  <c r="F22" i="11"/>
  <c r="F21" i="11"/>
  <c r="F20" i="11"/>
  <c r="F19" i="11"/>
  <c r="F15" i="11"/>
  <c r="F14" i="11"/>
  <c r="F13" i="11"/>
  <c r="F12" i="11"/>
  <c r="F11" i="11"/>
  <c r="F39" i="11" s="1"/>
  <c r="F146" i="11" s="1"/>
  <c r="H255" i="10"/>
  <c r="G254" i="10"/>
  <c r="G251" i="10" s="1"/>
  <c r="G248" i="10" s="1"/>
  <c r="G247" i="10" s="1"/>
  <c r="F254" i="10"/>
  <c r="H253" i="10"/>
  <c r="G252" i="10"/>
  <c r="F252" i="10"/>
  <c r="H252" i="10" s="1"/>
  <c r="H246" i="10"/>
  <c r="G245" i="10"/>
  <c r="G244" i="10" s="1"/>
  <c r="G241" i="10" s="1"/>
  <c r="F245" i="10"/>
  <c r="F244" i="10" s="1"/>
  <c r="H240" i="10"/>
  <c r="H239" i="10"/>
  <c r="G238" i="10"/>
  <c r="G235" i="10" s="1"/>
  <c r="G232" i="10" s="1"/>
  <c r="G231" i="10" s="1"/>
  <c r="F238" i="10"/>
  <c r="H237" i="10"/>
  <c r="G236" i="10"/>
  <c r="F236" i="10"/>
  <c r="H236" i="10" s="1"/>
  <c r="H230" i="10"/>
  <c r="H229" i="10"/>
  <c r="H228" i="10"/>
  <c r="H227" i="10"/>
  <c r="H226" i="10"/>
  <c r="H225" i="10"/>
  <c r="G224" i="10"/>
  <c r="G223" i="10" s="1"/>
  <c r="F224" i="10"/>
  <c r="F223" i="10" s="1"/>
  <c r="F213" i="10" s="1"/>
  <c r="H221" i="10"/>
  <c r="H220" i="10"/>
  <c r="H219" i="10"/>
  <c r="H218" i="10"/>
  <c r="H217" i="10"/>
  <c r="H216" i="10"/>
  <c r="G215" i="10"/>
  <c r="H215" i="10" s="1"/>
  <c r="F215" i="10"/>
  <c r="F214" i="10"/>
  <c r="G212" i="10"/>
  <c r="F212" i="10"/>
  <c r="G211" i="10"/>
  <c r="F211" i="10"/>
  <c r="H211" i="10" s="1"/>
  <c r="G210" i="10"/>
  <c r="F210" i="10"/>
  <c r="G209" i="10"/>
  <c r="F209" i="10"/>
  <c r="H209" i="10" s="1"/>
  <c r="G208" i="10"/>
  <c r="F208" i="10"/>
  <c r="H208" i="10" s="1"/>
  <c r="G207" i="10"/>
  <c r="H207" i="10" s="1"/>
  <c r="F207" i="10"/>
  <c r="G206" i="10"/>
  <c r="H206" i="10" s="1"/>
  <c r="F206" i="10"/>
  <c r="G205" i="10"/>
  <c r="G204" i="10" s="1"/>
  <c r="F205" i="10"/>
  <c r="H203" i="10"/>
  <c r="H202" i="10"/>
  <c r="H201" i="10"/>
  <c r="H200" i="10"/>
  <c r="H199" i="10"/>
  <c r="H198" i="10"/>
  <c r="H197" i="10"/>
  <c r="H196" i="10"/>
  <c r="G195" i="10"/>
  <c r="F195" i="10"/>
  <c r="H195" i="10" s="1"/>
  <c r="H194" i="10"/>
  <c r="H193" i="10"/>
  <c r="G192" i="10"/>
  <c r="F192" i="10"/>
  <c r="H192" i="10" s="1"/>
  <c r="H191" i="10"/>
  <c r="H190" i="10"/>
  <c r="H189" i="10"/>
  <c r="H188" i="10"/>
  <c r="H187" i="10"/>
  <c r="H186" i="10"/>
  <c r="H185" i="10"/>
  <c r="H184" i="10"/>
  <c r="H183" i="10"/>
  <c r="H182" i="10"/>
  <c r="H181" i="10"/>
  <c r="H180" i="10"/>
  <c r="H179" i="10"/>
  <c r="H178" i="10"/>
  <c r="G177" i="10"/>
  <c r="F177" i="10"/>
  <c r="H177" i="10" s="1"/>
  <c r="H176" i="10"/>
  <c r="G175" i="10"/>
  <c r="F175" i="10"/>
  <c r="H173" i="10"/>
  <c r="H172" i="10"/>
  <c r="H171" i="10"/>
  <c r="H170" i="10"/>
  <c r="H169" i="10"/>
  <c r="H168" i="10"/>
  <c r="H167" i="10"/>
  <c r="G166" i="10"/>
  <c r="G165" i="10" s="1"/>
  <c r="F166" i="10"/>
  <c r="F165" i="10" s="1"/>
  <c r="H162" i="10"/>
  <c r="H161" i="10"/>
  <c r="H160" i="10"/>
  <c r="H159" i="10"/>
  <c r="H158" i="10"/>
  <c r="H157" i="10"/>
  <c r="H156" i="10"/>
  <c r="H155" i="10"/>
  <c r="G154" i="10"/>
  <c r="F154" i="10"/>
  <c r="H154" i="10" s="1"/>
  <c r="G153" i="10"/>
  <c r="H149" i="10"/>
  <c r="H148" i="10"/>
  <c r="H147" i="10"/>
  <c r="H146" i="10"/>
  <c r="H145" i="10"/>
  <c r="H144" i="10"/>
  <c r="H143" i="10"/>
  <c r="H142" i="10"/>
  <c r="H141" i="10"/>
  <c r="H140" i="10"/>
  <c r="H139" i="10"/>
  <c r="H138" i="10"/>
  <c r="H137" i="10"/>
  <c r="G136" i="10"/>
  <c r="G135" i="10" s="1"/>
  <c r="F136" i="10"/>
  <c r="H136" i="10" s="1"/>
  <c r="H134" i="10"/>
  <c r="H133" i="10"/>
  <c r="H132" i="10"/>
  <c r="G131" i="10"/>
  <c r="F131" i="10"/>
  <c r="H131" i="10" s="1"/>
  <c r="G130" i="10"/>
  <c r="H129" i="10"/>
  <c r="H128" i="10"/>
  <c r="H127" i="10"/>
  <c r="H126" i="10"/>
  <c r="H125" i="10"/>
  <c r="H124" i="10"/>
  <c r="H123" i="10"/>
  <c r="H122" i="10"/>
  <c r="H121" i="10"/>
  <c r="H120" i="10"/>
  <c r="H119" i="10"/>
  <c r="H118" i="10"/>
  <c r="H117" i="10"/>
  <c r="H116" i="10"/>
  <c r="G115" i="10"/>
  <c r="G114" i="10" s="1"/>
  <c r="F115" i="10"/>
  <c r="H115" i="10" s="1"/>
  <c r="H113" i="10"/>
  <c r="H112" i="10"/>
  <c r="H111" i="10"/>
  <c r="H110" i="10"/>
  <c r="H109" i="10"/>
  <c r="H108" i="10"/>
  <c r="H107" i="10"/>
  <c r="H106" i="10"/>
  <c r="H105" i="10"/>
  <c r="H104" i="10"/>
  <c r="H103" i="10"/>
  <c r="H102" i="10"/>
  <c r="H101" i="10"/>
  <c r="H100" i="10"/>
  <c r="H99" i="10"/>
  <c r="H98" i="10"/>
  <c r="G97" i="10"/>
  <c r="F97" i="10"/>
  <c r="F87" i="10" s="1"/>
  <c r="F86" i="10" s="1"/>
  <c r="H96" i="10"/>
  <c r="H95" i="10"/>
  <c r="H94" i="10"/>
  <c r="H93" i="10"/>
  <c r="H92" i="10"/>
  <c r="H91" i="10"/>
  <c r="H90" i="10"/>
  <c r="H89" i="10"/>
  <c r="H88" i="10"/>
  <c r="G87" i="10"/>
  <c r="H85" i="10"/>
  <c r="H84" i="10"/>
  <c r="H83" i="10"/>
  <c r="H82" i="10"/>
  <c r="H81" i="10"/>
  <c r="H80" i="10"/>
  <c r="H79" i="10"/>
  <c r="H78" i="10"/>
  <c r="H77" i="10"/>
  <c r="H76" i="10"/>
  <c r="H75" i="10"/>
  <c r="H74" i="10"/>
  <c r="H73" i="10"/>
  <c r="G72" i="10"/>
  <c r="H72" i="10" s="1"/>
  <c r="F72" i="10"/>
  <c r="F71" i="10"/>
  <c r="H70" i="10"/>
  <c r="H69" i="10"/>
  <c r="H68" i="10"/>
  <c r="H67" i="10"/>
  <c r="H66" i="10"/>
  <c r="H65" i="10"/>
  <c r="H64" i="10"/>
  <c r="H63" i="10"/>
  <c r="H62" i="10"/>
  <c r="H61" i="10"/>
  <c r="H60" i="10"/>
  <c r="H59" i="10"/>
  <c r="H58" i="10"/>
  <c r="H57" i="10"/>
  <c r="H56" i="10"/>
  <c r="H55" i="10"/>
  <c r="H54" i="10"/>
  <c r="H53" i="10"/>
  <c r="G52" i="10"/>
  <c r="F52" i="10"/>
  <c r="H51" i="10"/>
  <c r="H50" i="10"/>
  <c r="H49" i="10"/>
  <c r="H48" i="10"/>
  <c r="H47" i="10"/>
  <c r="H46" i="10"/>
  <c r="H45" i="10"/>
  <c r="H44" i="10"/>
  <c r="F43" i="10"/>
  <c r="H38" i="10"/>
  <c r="G37" i="10"/>
  <c r="G36" i="10" s="1"/>
  <c r="G33" i="10" s="1"/>
  <c r="G32" i="10" s="1"/>
  <c r="G26" i="10" s="1"/>
  <c r="F37" i="10"/>
  <c r="F36" i="10" s="1"/>
  <c r="H31" i="10"/>
  <c r="G30" i="10"/>
  <c r="H30" i="10" s="1"/>
  <c r="F30" i="10"/>
  <c r="F29" i="10"/>
  <c r="F26" i="10" s="1"/>
  <c r="H25" i="10"/>
  <c r="G24" i="10"/>
  <c r="G23" i="10" s="1"/>
  <c r="G20" i="10" s="1"/>
  <c r="G19" i="10" s="1"/>
  <c r="F24" i="10"/>
  <c r="H18" i="10"/>
  <c r="G17" i="10"/>
  <c r="G16" i="10" s="1"/>
  <c r="F17" i="10"/>
  <c r="F16" i="10" s="1"/>
  <c r="H16" i="10" s="1"/>
  <c r="H15" i="10"/>
  <c r="G14" i="10"/>
  <c r="G13" i="10" s="1"/>
  <c r="F14" i="10"/>
  <c r="H14" i="10" s="1"/>
  <c r="F38" i="12" l="1"/>
  <c r="H238" i="10"/>
  <c r="H254" i="10"/>
  <c r="H87" i="10"/>
  <c r="F135" i="10"/>
  <c r="H135" i="10" s="1"/>
  <c r="H24" i="10"/>
  <c r="H52" i="10"/>
  <c r="H97" i="10"/>
  <c r="F204" i="10"/>
  <c r="F174" i="10" s="1"/>
  <c r="H210" i="10"/>
  <c r="H212" i="10"/>
  <c r="H244" i="10"/>
  <c r="F241" i="10"/>
  <c r="H241" i="10" s="1"/>
  <c r="G12" i="10"/>
  <c r="G11" i="10" s="1"/>
  <c r="G10" i="10" s="1"/>
  <c r="H26" i="10"/>
  <c r="H36" i="10"/>
  <c r="F33" i="10"/>
  <c r="G174" i="10"/>
  <c r="H165" i="10"/>
  <c r="H204" i="10"/>
  <c r="H223" i="10"/>
  <c r="F42" i="10"/>
  <c r="G86" i="10"/>
  <c r="H86" i="10" s="1"/>
  <c r="G29" i="10"/>
  <c r="G43" i="10"/>
  <c r="G42" i="10" s="1"/>
  <c r="H166" i="10"/>
  <c r="G214" i="10"/>
  <c r="H214" i="10" s="1"/>
  <c r="H224" i="10"/>
  <c r="F13" i="10"/>
  <c r="H17" i="10"/>
  <c r="F23" i="10"/>
  <c r="H29" i="10"/>
  <c r="H37" i="10"/>
  <c r="F114" i="10"/>
  <c r="H114" i="10" s="1"/>
  <c r="F130" i="10"/>
  <c r="H130" i="10" s="1"/>
  <c r="F153" i="10"/>
  <c r="H153" i="10" s="1"/>
  <c r="H175" i="10"/>
  <c r="H205" i="10"/>
  <c r="F235" i="10"/>
  <c r="H245" i="10"/>
  <c r="F251" i="10"/>
  <c r="G71" i="10"/>
  <c r="H71" i="10" s="1"/>
  <c r="H174" i="10" l="1"/>
  <c r="G213" i="10"/>
  <c r="H213" i="10" s="1"/>
  <c r="F232" i="10"/>
  <c r="H235" i="10"/>
  <c r="F20" i="10"/>
  <c r="H23" i="10"/>
  <c r="F248" i="10"/>
  <c r="H251" i="10"/>
  <c r="H42" i="10"/>
  <c r="F41" i="10"/>
  <c r="F32" i="10"/>
  <c r="H32" i="10" s="1"/>
  <c r="H33" i="10"/>
  <c r="F12" i="10"/>
  <c r="H13" i="10"/>
  <c r="G41" i="10"/>
  <c r="G40" i="10" s="1"/>
  <c r="G39" i="10" s="1"/>
  <c r="H43" i="10"/>
  <c r="H20" i="10" l="1"/>
  <c r="F19" i="10"/>
  <c r="H19" i="10" s="1"/>
  <c r="F40" i="10"/>
  <c r="H41" i="10"/>
  <c r="H248" i="10"/>
  <c r="F247" i="10"/>
  <c r="H247" i="10" s="1"/>
  <c r="F11" i="10"/>
  <c r="H12" i="10"/>
  <c r="F231" i="10"/>
  <c r="H231" i="10" s="1"/>
  <c r="H232" i="10"/>
  <c r="F10" i="10" l="1"/>
  <c r="H11" i="10"/>
  <c r="F39" i="10"/>
  <c r="H40" i="10"/>
  <c r="H39" i="10" l="1"/>
  <c r="H10" i="10"/>
</calcChain>
</file>

<file path=xl/sharedStrings.xml><?xml version="1.0" encoding="utf-8"?>
<sst xmlns="http://schemas.openxmlformats.org/spreadsheetml/2006/main" count="567" uniqueCount="266">
  <si>
    <t>PREZYDENTA MIASTA WŁOCŁAWEK</t>
  </si>
  <si>
    <t>w złotych</t>
  </si>
  <si>
    <t>Plan</t>
  </si>
  <si>
    <t>Dz.</t>
  </si>
  <si>
    <t>Rozdz.</t>
  </si>
  <si>
    <t>§</t>
  </si>
  <si>
    <t>T r e ś ć</t>
  </si>
  <si>
    <t>przed zmianą</t>
  </si>
  <si>
    <t>zwiększyć</t>
  </si>
  <si>
    <t>zmniejszyć</t>
  </si>
  <si>
    <t>po zmianach</t>
  </si>
  <si>
    <t>WYDATKI OGÓŁEM:</t>
  </si>
  <si>
    <t xml:space="preserve">składki na Fundusz Pracy oraz Fundusz Solidarnościowy </t>
  </si>
  <si>
    <t>Zmiany w budżecie miasta Włocławek na 2026 rok</t>
  </si>
  <si>
    <t>Wydatki na zadania własne gminy:</t>
  </si>
  <si>
    <t>zakup usług remontowych</t>
  </si>
  <si>
    <t>Oświata i wychowanie</t>
  </si>
  <si>
    <t>DOCHODY OGÓŁEM:</t>
  </si>
  <si>
    <t>Dochody na zadania zlecone gminie:</t>
  </si>
  <si>
    <t>Organ</t>
  </si>
  <si>
    <t>2010</t>
  </si>
  <si>
    <t xml:space="preserve">dotacje celowe otrzymane z budżetu państwa na realizację zadań bieżących z zakresu administracji rządowej oraz innych zadań zleconych gminie (związkom gmin, związkom powiatowo-gminnym) ustawami </t>
  </si>
  <si>
    <t>Świetlice szkolne</t>
  </si>
  <si>
    <t>Jednostki oświatowe zbiorczo</t>
  </si>
  <si>
    <t xml:space="preserve">składki na ubezpieczenia społeczne </t>
  </si>
  <si>
    <t>wynagrodzenie osobowe nauczycieli</t>
  </si>
  <si>
    <t xml:space="preserve">Realizacja zadań wymagających stosowania specjalnej </t>
  </si>
  <si>
    <t>organizacji nauki i metod pracy dla dzieci i młodzieży</t>
  </si>
  <si>
    <t>w szkołach podstawowych</t>
  </si>
  <si>
    <t>Szkoły podstawowe specjalne</t>
  </si>
  <si>
    <t>Wydatki na zadania zlecone gminie:</t>
  </si>
  <si>
    <t>4210</t>
  </si>
  <si>
    <t>zakup materiałów i wyposażenia</t>
  </si>
  <si>
    <t>Załącznik Nr 1</t>
  </si>
  <si>
    <t>Dochody na zadania własne gminy:</t>
  </si>
  <si>
    <t>Szkoły podstawowe</t>
  </si>
  <si>
    <t>2030</t>
  </si>
  <si>
    <t>dotacja celowa otrzymana z budżetu państwa na realizację własnych zadań bieżących gmin (związków gmin, związków powiatowo-gminnych)</t>
  </si>
  <si>
    <t>Przedszkola</t>
  </si>
  <si>
    <t>Zapewnienie uczniom prawa do bezpłatnego dostępu</t>
  </si>
  <si>
    <t>do podręczników, materiałów edukacyjnych lub materiałów</t>
  </si>
  <si>
    <t>ćwiczeniowych</t>
  </si>
  <si>
    <t>Rodzina</t>
  </si>
  <si>
    <t xml:space="preserve">Składki na ubezpieczenie zdrowotne opłacane za osoby </t>
  </si>
  <si>
    <t>pobierające niektóre świadczenia rodzinne oraz za osoby</t>
  </si>
  <si>
    <t>pobierające zasiłki dla opiekunów</t>
  </si>
  <si>
    <t>Dochody na zadania rządowe powiatu:</t>
  </si>
  <si>
    <t>dotacje celowe otrzymane z budżetu państwa na zadania bieżące z zakresu administracji rządowej oraz inne zadania zlecone ustawami realizowane przez powiat</t>
  </si>
  <si>
    <t>wydatki osobowe niezaliczone do wynagrodzeń</t>
  </si>
  <si>
    <t>wynagrodzenia osobowe pracowników</t>
  </si>
  <si>
    <t>dodatkowe wynagrodzenie roczne</t>
  </si>
  <si>
    <t>wpłaty na Państwowy Fundusz Rehabilitacji Osób Niepełnosprawnych</t>
  </si>
  <si>
    <t>wynagrodzenia bezosobowe</t>
  </si>
  <si>
    <t>zakup środków dydaktycznych i książek</t>
  </si>
  <si>
    <t>zakup energii</t>
  </si>
  <si>
    <t>zakup usług zdrowotnych</t>
  </si>
  <si>
    <t>zakup usług pozostałych</t>
  </si>
  <si>
    <t>opłaty z tytułu zakupu usług telekomunikacyjnych</t>
  </si>
  <si>
    <t xml:space="preserve">zakup usług obejmujących wykonanie ekspertyz, analiz i opinii </t>
  </si>
  <si>
    <t>podróże służbowe krajowe</t>
  </si>
  <si>
    <t xml:space="preserve">różne opłaty i składki </t>
  </si>
  <si>
    <t>odpisy na zakładowy fundusz świadczeń socjalnych</t>
  </si>
  <si>
    <t>opłaty na rzecz budżetu państwa</t>
  </si>
  <si>
    <t>opłaty na rzecz budżetów jednostek samorządu terytorialnego</t>
  </si>
  <si>
    <t>podatek od towarów i usług (VAT)</t>
  </si>
  <si>
    <t>pozostałe odsetki</t>
  </si>
  <si>
    <t>koszty postępowania sądowego i prokuratorskiego</t>
  </si>
  <si>
    <t xml:space="preserve">szkolenia pracowników niebędących członkami korpusu służby cywilnej </t>
  </si>
  <si>
    <t>wpłaty na PPK finansowane przez podmiot zatrudniający</t>
  </si>
  <si>
    <t>dodatkowe wynagrodzenie roczne nauczycieli</t>
  </si>
  <si>
    <t>Oddziały przedszkolne w szkołach podstawowych</t>
  </si>
  <si>
    <t>4110</t>
  </si>
  <si>
    <t>4120</t>
  </si>
  <si>
    <t>4240</t>
  </si>
  <si>
    <t>4260</t>
  </si>
  <si>
    <t>4270</t>
  </si>
  <si>
    <t>4280</t>
  </si>
  <si>
    <t>4300</t>
  </si>
  <si>
    <t>4360</t>
  </si>
  <si>
    <t>4440</t>
  </si>
  <si>
    <t>4700</t>
  </si>
  <si>
    <t>4710</t>
  </si>
  <si>
    <t>4040</t>
  </si>
  <si>
    <t>4170</t>
  </si>
  <si>
    <t>4190</t>
  </si>
  <si>
    <t>nagrody konkursowe</t>
  </si>
  <si>
    <t>4220</t>
  </si>
  <si>
    <t>zakup środków żywności</t>
  </si>
  <si>
    <t>3020</t>
  </si>
  <si>
    <t>4790</t>
  </si>
  <si>
    <t>Dokształcanie i doskonalenie nauczycieli</t>
  </si>
  <si>
    <t>4410</t>
  </si>
  <si>
    <t>Stołówki szkolne i przedszkolne</t>
  </si>
  <si>
    <t>4010</t>
  </si>
  <si>
    <t xml:space="preserve">organizacji nauki i metod pracy dla dzieci w przedszkolach, </t>
  </si>
  <si>
    <t>oddziałach przedszkolnych, w szkołach podstawowych</t>
  </si>
  <si>
    <t xml:space="preserve"> i innych formach wychowania przedszkolnego</t>
  </si>
  <si>
    <t>Pozostała działalność</t>
  </si>
  <si>
    <t>Jednostki oświatowe zbiorczo - projekt pn. "Dostosowanie kształcenia ogólnego do potrzeb rynku pracy II etap" (szkoły podstawowe)</t>
  </si>
  <si>
    <t>4017</t>
  </si>
  <si>
    <t>4019</t>
  </si>
  <si>
    <t>4047</t>
  </si>
  <si>
    <t>4049</t>
  </si>
  <si>
    <t>składki na ubezpieczenia społeczne</t>
  </si>
  <si>
    <t xml:space="preserve">wynagrodzenia osobowe nauczycieli </t>
  </si>
  <si>
    <t>Szkoła Podstawowa Nr 3 - projekt pn. "Przyjazna szkoła"</t>
  </si>
  <si>
    <t>Jednostki oświatowe zbiorczo - Projekt "Kierunek zawód"</t>
  </si>
  <si>
    <t>Jednostki oświatowe zbiorczo - projekt w ramach grantów Lokalnej Grupy Działania Miasta Włocławek</t>
  </si>
  <si>
    <t>składki na Fundusz Pracy oraz Fundusz Solidarnościowy</t>
  </si>
  <si>
    <t xml:space="preserve">zakup materiałów i wyposażenia </t>
  </si>
  <si>
    <t xml:space="preserve">zakup środków dydaktycznych i książek </t>
  </si>
  <si>
    <t xml:space="preserve">zakup usług pozostałych </t>
  </si>
  <si>
    <t>Edukacyjna opieka wychowawcza</t>
  </si>
  <si>
    <t>Wczesne wspomaganie rozowju dziecka</t>
  </si>
  <si>
    <t>Kolonie i obozy oraz inne formy wypoczynku dzieci</t>
  </si>
  <si>
    <t>i młodzieży szkolnej, a także szkolenia młodzieży</t>
  </si>
  <si>
    <t>Wydział Edukacji, Zdrowia i Polityki Społecznej</t>
  </si>
  <si>
    <t>dotacja celowa z budżetu na finansowanie lub dofinansowanie zadań zleconych do realizacji pozostałym jednostkom niezaliczanym do sektora finansów publicznych</t>
  </si>
  <si>
    <t>Miejski Ośrodek Pomocy Rodzinie</t>
  </si>
  <si>
    <t xml:space="preserve">składki na ubezpieczenie zdrowotne </t>
  </si>
  <si>
    <t>Wydatki na zadania rządowe powiatu:</t>
  </si>
  <si>
    <t>do Zarządzenia NR 422/2026</t>
  </si>
  <si>
    <t>z dnia 1 września 2026 r.</t>
  </si>
  <si>
    <t>Załącznik Nr 2</t>
  </si>
  <si>
    <t xml:space="preserve">Dotacje udzielane z budżetu jednostki samorządu terytorialnego </t>
  </si>
  <si>
    <t>dla jednostek spoza sektora finansów publicznych na 2026 rok</t>
  </si>
  <si>
    <t>Lp.</t>
  </si>
  <si>
    <t>Dział</t>
  </si>
  <si>
    <t>Rozdział</t>
  </si>
  <si>
    <t xml:space="preserve">§ </t>
  </si>
  <si>
    <t>Nazwa zadania</t>
  </si>
  <si>
    <t>Kwota dotacji</t>
  </si>
  <si>
    <t>dotacje celowe</t>
  </si>
  <si>
    <t>Zadania w zakresie upowszechniania turystyki</t>
  </si>
  <si>
    <t>Dotacje do prac budowlanych w ramach rewitalizacji (dotacja na inwestycje)</t>
  </si>
  <si>
    <t>Pozostała działalność (prowadzenie Kawiarni Obywatelskiej "Śródmieście Cafe")</t>
  </si>
  <si>
    <t>Nieodpłatna pomoc prawna - zadanie rządowe</t>
  </si>
  <si>
    <t xml:space="preserve">Zapewnienie uczniom prawa do bezpłatnego dostępu do podręczników, materiałów edukacyjnych lub materiałów ćwiczeniowych </t>
  </si>
  <si>
    <t>Montessori - Schule</t>
  </si>
  <si>
    <t>Zespół Szkół Katolickich im. Ks. J. Długosza</t>
  </si>
  <si>
    <t xml:space="preserve">Zespół Szkół Akademickich im. Obrońców Wisły 1920 roku </t>
  </si>
  <si>
    <t>2837    2839</t>
  </si>
  <si>
    <t>Realizacja projektu unijnego "Dostosowanie kształcenia ogólnego do potrzeb rynku pracy I ETAP" (licea)</t>
  </si>
  <si>
    <t>Realizacja projektu unijnego "Dostosowanie kształcenia ogólnego do potrzeb rynku pracy II ETAP" (szkoły podstawowe)</t>
  </si>
  <si>
    <t>Realizacja projektu unijnego "Dostosowanie kształcenia zawodowego do potrzeb rynku pracy"</t>
  </si>
  <si>
    <t>Zwalczanie narkomanii</t>
  </si>
  <si>
    <t>Dofinansowanie programów dotyczących uzależnień, pozalekcyjnych zajęć sportowych (przeciwdzialanie alkoholizmowi)</t>
  </si>
  <si>
    <t>Pozostała działalność (promocja i ochrona zdrowia oraz działania na rzecz osób niepełnosprawnych)</t>
  </si>
  <si>
    <t>Pozostała działalność (ćwiczenia gimnastyczne poprawiające kondycję seniora - Budżet Obywatelski)</t>
  </si>
  <si>
    <t>Zapewnienie schronienia osobom bezdomnym (wypłata dodatku motywacyjnego dla pracowników schroniska dla osób bezdomnych w ramach programu rządowego)</t>
  </si>
  <si>
    <t>Usługi opiekuńcze i specjalistyczne usługi opiekuńcze - ogółem, z tego:</t>
  </si>
  <si>
    <t>14.1</t>
  </si>
  <si>
    <t xml:space="preserve"> - zadania własne</t>
  </si>
  <si>
    <t>14.2</t>
  </si>
  <si>
    <t xml:space="preserve"> - zadania zlecone</t>
  </si>
  <si>
    <t>Zapewnienie schronienia osobom bezdomnym (pozostała działalność)</t>
  </si>
  <si>
    <t>Pozostała działalność (aktywizacja społeczna seniorów, podnoszenie poziomu bezpieczeństwa i poprawa warunków funkcjonowania seniorów)</t>
  </si>
  <si>
    <t>2360                  2830</t>
  </si>
  <si>
    <t>Działalność placówek opiekuńczo - wychowawczych</t>
  </si>
  <si>
    <t>Dofinansowanie  przyłączy kanalizacyjnych do nieruchomości (dotacja na inwestycje)</t>
  </si>
  <si>
    <t>Ochrona powietrza atmosferycznego i klimatu (zadania w zakresie ekologii i ochrony zwierząt oraz ochrony dziedzictwa przyrodniczego)</t>
  </si>
  <si>
    <t>2366   2367</t>
  </si>
  <si>
    <t>Realizacja projektu unijnego  "Włocławek miastem bioróżnorodnym"</t>
  </si>
  <si>
    <t>Ochrona zabytków i opieka nad zabytkami</t>
  </si>
  <si>
    <t>Upowszechnianie kultury, sztuki, ochrony dóbr kultury i tradycji przez organizacje prowadzące działalność pożytku publicznego (pozostała działalność)</t>
  </si>
  <si>
    <t>Zadania w zakresie kultury fizycznej</t>
  </si>
  <si>
    <t>Razem</t>
  </si>
  <si>
    <t>dotacje podmiotowe</t>
  </si>
  <si>
    <t>Nazwa placówki/nazwa podmiotu</t>
  </si>
  <si>
    <t>2540        2590</t>
  </si>
  <si>
    <t>Publiczna Szkoła Podstawowa im. Ks. J. Długosza</t>
  </si>
  <si>
    <t xml:space="preserve">Szkoła Podstawowa Nr 24 w Zespole Szkół WSO "Cogito" </t>
  </si>
  <si>
    <t>Akademicka Szkoła Podstawowa Nr 1 im. Obrońców Wisły 1920 roku we Włocławku</t>
  </si>
  <si>
    <t>Akademicka Szkoła Podstawowa Mistrzostwa Sportowego Nr 1          im. Obrońców Wisły 1920 roku we Włocławku</t>
  </si>
  <si>
    <t>Szkoła Podstawowa z oddziałami dwujęzycznymi Monttessori-     Schule</t>
  </si>
  <si>
    <t>Niepubliczne Przedszkole "Skakanka"</t>
  </si>
  <si>
    <t>Przedszkole Niepubliczne "Chatka Puchatka"</t>
  </si>
  <si>
    <t>Niepubliczne Przedszkole "Smerfna Chata"</t>
  </si>
  <si>
    <t>Przedszkole Niepubliczne "Tęczowa Kraina"</t>
  </si>
  <si>
    <t>Niepubliczne Przedszkole "Na Wspólnej"</t>
  </si>
  <si>
    <t>Centrum Malucha - "Piotruś Pan"- Przedszkole Niepubliczne</t>
  </si>
  <si>
    <t>Niepubliczne Przedszkole "Domowe Przedszkole"</t>
  </si>
  <si>
    <t>Niepubliczne Przedszkole "Bajeczka" Kinga Mizak Aneta Kryczka s.c.</t>
  </si>
  <si>
    <t>Przedszkole Niepubliczne "Happy Kids"</t>
  </si>
  <si>
    <t>Przedszkole Niepubliczne "Kujawiaczek"</t>
  </si>
  <si>
    <t>Niepubliczne Przedszkole "Sensosmyki"</t>
  </si>
  <si>
    <t>Niepubliczne Przedszkole Leśne "Gniazdko Wilgi"</t>
  </si>
  <si>
    <t xml:space="preserve">Przedszkole Publiczne Nr 1 </t>
  </si>
  <si>
    <t>Katolickie Publiczne Przedszkole "Pod Aniołem Stróżem"</t>
  </si>
  <si>
    <t>Inne formy wychowania przedszkolnego - punkty przedszkolne</t>
  </si>
  <si>
    <t>Niepubliczny Punkt Przedszkolny "Kraina Bajek"</t>
  </si>
  <si>
    <t>Technika</t>
  </si>
  <si>
    <t>Akademickie Technikum Wojskowe im. Obrońców Wisły 1920 roku we Włocławku</t>
  </si>
  <si>
    <t>Szkoły policealne</t>
  </si>
  <si>
    <t>Publiczna Szkoła Policealna  "Cosinus Plus" we Włocławku</t>
  </si>
  <si>
    <t>Policealna Szkoła Techników Ochrony Fizycznej Osób i Mienia Elitarne Studium Służb Ochrony "Delta"</t>
  </si>
  <si>
    <t>Zaoczna Policealna Szkoła Zawodowa "Pascal" we Włocławku</t>
  </si>
  <si>
    <t>Stacjonarna Policealna Szkoła Medyczna "Pascal" we Włocławku</t>
  </si>
  <si>
    <t>Policealna Szkoła Medyczna "Pascal"</t>
  </si>
  <si>
    <t>Policealna Szkoła Centrum Nauki i Biznesu "Żak"</t>
  </si>
  <si>
    <t xml:space="preserve">Szkoła Policealna "Spectrum" </t>
  </si>
  <si>
    <t>Policealna Szkoła Futuro</t>
  </si>
  <si>
    <t>Szkoła Policealna Opieki Medycznej "Żak"</t>
  </si>
  <si>
    <t>Akademicka Szkoła Policealna przy Kujawskiej Szkole Wyższej we Włocławku</t>
  </si>
  <si>
    <t>Branżowe szkoły I stopnia</t>
  </si>
  <si>
    <t>Branżowa Szkoła I Stopnia IMPULS</t>
  </si>
  <si>
    <t xml:space="preserve">Branżowa Szkoła I Stopnia nr 9 w Zespole Szkół Włocławskiego Stowarzyszenia Oświatowego "Cogito" </t>
  </si>
  <si>
    <t>Licea ogólnokształcące</t>
  </si>
  <si>
    <t>Akademickie Liceum Ogólnokształcące nr 1 im. Obrońców Wisły 1920 roku we Włocławku</t>
  </si>
  <si>
    <t>Akademickie Liceum Ogólnokształcące Mistrzostwa Sportowego nr 1 im. Obrońców Wisły 1920 roku we Włocławku</t>
  </si>
  <si>
    <t>Liceum Ogólnokształcące Montessorii</t>
  </si>
  <si>
    <t>Publiczne Liceum Ogólnokształcące im. Ks. J. Długosza</t>
  </si>
  <si>
    <t>Licea ogólnokształcące dla dorosłych</t>
  </si>
  <si>
    <t>Liceum Ogólnokształcące dla Dorosłych Futuro</t>
  </si>
  <si>
    <t>Prywatne Liceum Ogólnokształcące dla Dorosłych (Katarzyna Balcer)</t>
  </si>
  <si>
    <t>Liceum Ogólnokształcące dla Dorosłych "Pascal' we Włocławku</t>
  </si>
  <si>
    <t xml:space="preserve">Liceum Ogólnokształcące "Spectrum" we Włocławku </t>
  </si>
  <si>
    <t>Liceum Ogólnokształcące dla Dorosłych "Żak"</t>
  </si>
  <si>
    <t>Publiczne Liceum Ogólnokształcące dla Dorosłych "Cosinus Plus"</t>
  </si>
  <si>
    <t>Realizacja zadań wymagających stosowania specjalnej organizacji nauki i metod pracy dla dzieci w przedszkolach, oddziałach przedszkolnych w szkołach podstawowych i innych formach wychowania przedszkolnego</t>
  </si>
  <si>
    <t>Terapeutyczny Punkt Przedszkolny Neuromind</t>
  </si>
  <si>
    <t>Terapeutyczny Punkt Przedszkolny "Synapsik"</t>
  </si>
  <si>
    <t>Terapeutyczny Punkt Przedszkolny "Zielony Słonik"</t>
  </si>
  <si>
    <t>Realizacja zadań wymagających stosowania specjalnej organizacji nauki i metod pracy dla dzieci i młodzieży w szkołach podstawowych</t>
  </si>
  <si>
    <t>Szkoła Podstawowa z oddziałami dwujęzycznymi Monttessori-      Schule</t>
  </si>
  <si>
    <t>Kwalifikacyjne kursy zawodowe</t>
  </si>
  <si>
    <t>Szkoła Policealna "Cosinus Plus" we Włocławku</t>
  </si>
  <si>
    <t>Realizacja zadań wymagających stosowania specjalnej organizacji nauki i metod pracy dla dzieci i młodzieży w gimnazjach, klasach dotychczasowego gimnazjum prowadzonych w szkołach innego typu, liceach ogólnokształcących, technikach, szkołach policealnych, branżowych szkołach I i II  stopnia i klasach dotychczasowej zasadniczej szkoły zawodowej prowadzonych w branżowych szkołach I stopnia oraz szkołach artystycznych</t>
  </si>
  <si>
    <t>Rehabilitacja zawodowa i społeczna osób niepełnosprawnych</t>
  </si>
  <si>
    <t>Warsztaty Terapii Zajęciowej</t>
  </si>
  <si>
    <t>Specjalne ośrodki wychowawcze</t>
  </si>
  <si>
    <t>Specjalny Ośrodek Wychowawczy Zgromadzenia Sióstr Orionistek</t>
  </si>
  <si>
    <t>Wczesne wspomaganie rozwoju dziecka</t>
  </si>
  <si>
    <t>Poradnie psychologiczno - pedagogiczne, w tym poradnie specjalistyczne</t>
  </si>
  <si>
    <t>Poradnia Psychologiczno - Pedagogiczna "Vitamed"</t>
  </si>
  <si>
    <t>Internaty i bursy szkolne</t>
  </si>
  <si>
    <t>Internat Zespołu Szkół Katolickich im. Ks. J. Długosza</t>
  </si>
  <si>
    <t>Ogółem:</t>
  </si>
  <si>
    <t>Załącznik Nr 3</t>
  </si>
  <si>
    <t xml:space="preserve">Plan </t>
  </si>
  <si>
    <t xml:space="preserve"> dochodów i wydatków wydzielonych rachunków dochodów oświatowych jednostek budżetowych na 2026 rok</t>
  </si>
  <si>
    <t>(zbiorczo)</t>
  </si>
  <si>
    <t>Wyszczególnienie</t>
  </si>
  <si>
    <t>Stan środków pieniężnych na początek roku</t>
  </si>
  <si>
    <t>Stan środków pieniężnych na koniec roku</t>
  </si>
  <si>
    <t>Dochody</t>
  </si>
  <si>
    <t>Wydatki</t>
  </si>
  <si>
    <t>1.</t>
  </si>
  <si>
    <t>2.</t>
  </si>
  <si>
    <t>3.</t>
  </si>
  <si>
    <t xml:space="preserve">Kolonie i obozy oraz inne formy wypoczynku dzieci i młodzieży szkolnej, a także szkolenia młodzieży </t>
  </si>
  <si>
    <t>Ogółem dochody i wydatki na zadania gminy</t>
  </si>
  <si>
    <t>4.</t>
  </si>
  <si>
    <t xml:space="preserve">Szkoły artystyczne </t>
  </si>
  <si>
    <t>5.</t>
  </si>
  <si>
    <t>Placówki kształcenia ustawicznego i centra kształcenia zawodowego</t>
  </si>
  <si>
    <t>6.</t>
  </si>
  <si>
    <t>Ośrodki szkolenia, dokształcania i doskonalenia kadr</t>
  </si>
  <si>
    <t>7.</t>
  </si>
  <si>
    <t>Inne formy kształcenia osobno niewymienione</t>
  </si>
  <si>
    <t>8.</t>
  </si>
  <si>
    <t xml:space="preserve">Poradnie psychologiczno-pedagogiczne, w tym poradnie specjalistyczne </t>
  </si>
  <si>
    <t>Szkolne schroniska młodzieżowe</t>
  </si>
  <si>
    <t>Młodzieżowe ośrodki wychowawcze</t>
  </si>
  <si>
    <t>Ogółem dochody i wydatki na zadania powiatu</t>
  </si>
  <si>
    <t xml:space="preserve">Ogółem dochody i wydatki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</si>
</sst>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38"/>
    </font>
    <font>
      <sz val="8"/>
      <name val="Arial Narrow"/>
      <family val="2"/>
      <charset val="238"/>
    </font>
    <font>
      <sz val="7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b/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sz val="11"/>
      <color rgb="FF9C0006"/>
      <name val="Calibri"/>
      <family val="2"/>
      <charset val="238"/>
      <scheme val="minor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sz val="6"/>
      <name val="Arial Narrow"/>
      <family val="2"/>
      <charset val="238"/>
    </font>
    <font>
      <b/>
      <sz val="9"/>
      <color rgb="FFFF0000"/>
      <name val="Arial Narrow"/>
      <family val="2"/>
      <charset val="238"/>
    </font>
    <font>
      <sz val="8"/>
      <color rgb="FFFF0000"/>
      <name val="Arial Narrow"/>
      <family val="2"/>
      <charset val="238"/>
    </font>
    <font>
      <b/>
      <sz val="9"/>
      <name val="Arial CE"/>
      <family val="2"/>
      <charset val="238"/>
    </font>
    <font>
      <sz val="9"/>
      <name val="Arial"/>
      <family val="2"/>
      <charset val="238"/>
    </font>
    <font>
      <b/>
      <sz val="9"/>
      <name val="Arial CE"/>
      <charset val="238"/>
    </font>
    <font>
      <sz val="9"/>
      <color theme="1"/>
      <name val="Calibri"/>
      <family val="2"/>
      <charset val="238"/>
      <scheme val="minor"/>
    </font>
    <font>
      <sz val="8"/>
      <name val="Arial CE"/>
      <family val="2"/>
      <charset val="238"/>
    </font>
    <font>
      <sz val="8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theme="1"/>
      <name val="Arial Narrow"/>
      <family val="2"/>
      <charset val="238"/>
    </font>
    <font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17">
    <xf numFmtId="0" fontId="0" fillId="0" borderId="0"/>
    <xf numFmtId="0" fontId="7" fillId="0" borderId="0"/>
    <xf numFmtId="0" fontId="8" fillId="0" borderId="0"/>
    <xf numFmtId="43" fontId="8" fillId="0" borderId="0" applyFont="0" applyFill="0" applyBorder="0" applyAlignment="0" applyProtection="0"/>
    <xf numFmtId="0" fontId="9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3" fillId="0" borderId="0"/>
    <xf numFmtId="0" fontId="17" fillId="2" borderId="0" applyNumberFormat="0" applyBorder="0" applyAlignment="0" applyProtection="0"/>
    <xf numFmtId="0" fontId="2" fillId="0" borderId="0"/>
    <xf numFmtId="0" fontId="8" fillId="0" borderId="0"/>
    <xf numFmtId="0" fontId="10" fillId="0" borderId="0"/>
  </cellStyleXfs>
  <cellXfs count="339">
    <xf numFmtId="0" fontId="0" fillId="0" borderId="0" xfId="0"/>
    <xf numFmtId="0" fontId="15" fillId="0" borderId="3" xfId="2" applyFont="1" applyBorder="1" applyAlignment="1">
      <alignment horizontal="right"/>
    </xf>
    <xf numFmtId="4" fontId="15" fillId="0" borderId="10" xfId="2" applyNumberFormat="1" applyFont="1" applyBorder="1"/>
    <xf numFmtId="0" fontId="11" fillId="0" borderId="3" xfId="2" applyFont="1" applyBorder="1" applyAlignment="1">
      <alignment horizontal="right"/>
    </xf>
    <xf numFmtId="4" fontId="11" fillId="0" borderId="3" xfId="2" applyNumberFormat="1" applyFont="1" applyBorder="1" applyAlignment="1">
      <alignment horizontal="right"/>
    </xf>
    <xf numFmtId="0" fontId="11" fillId="0" borderId="0" xfId="14" applyFont="1"/>
    <xf numFmtId="49" fontId="11" fillId="0" borderId="0" xfId="14" applyNumberFormat="1" applyFont="1"/>
    <xf numFmtId="0" fontId="11" fillId="0" borderId="0" xfId="14" applyFont="1" applyAlignment="1">
      <alignment horizontal="left"/>
    </xf>
    <xf numFmtId="0" fontId="13" fillId="0" borderId="0" xfId="14" applyFont="1"/>
    <xf numFmtId="0" fontId="14" fillId="0" borderId="0" xfId="14" applyFont="1" applyAlignment="1">
      <alignment horizontal="centerContinuous"/>
    </xf>
    <xf numFmtId="0" fontId="13" fillId="0" borderId="0" xfId="14" applyFont="1" applyAlignment="1">
      <alignment horizontal="centerContinuous"/>
    </xf>
    <xf numFmtId="49" fontId="14" fillId="0" borderId="0" xfId="14" applyNumberFormat="1" applyFont="1" applyAlignment="1">
      <alignment horizontal="centerContinuous"/>
    </xf>
    <xf numFmtId="0" fontId="15" fillId="0" borderId="0" xfId="14" applyFont="1"/>
    <xf numFmtId="0" fontId="11" fillId="0" borderId="0" xfId="14" applyFont="1" applyAlignment="1">
      <alignment horizontal="center"/>
    </xf>
    <xf numFmtId="0" fontId="12" fillId="0" borderId="0" xfId="14" applyFont="1" applyAlignment="1">
      <alignment horizontal="center"/>
    </xf>
    <xf numFmtId="0" fontId="11" fillId="0" borderId="1" xfId="14" applyFont="1" applyBorder="1"/>
    <xf numFmtId="49" fontId="11" fillId="0" borderId="1" xfId="14" applyNumberFormat="1" applyFont="1" applyBorder="1"/>
    <xf numFmtId="0" fontId="15" fillId="0" borderId="2" xfId="14" applyFont="1" applyBorder="1"/>
    <xf numFmtId="0" fontId="15" fillId="0" borderId="1" xfId="14" applyFont="1" applyBorder="1" applyAlignment="1">
      <alignment horizontal="center"/>
    </xf>
    <xf numFmtId="3" fontId="11" fillId="0" borderId="1" xfId="14" applyNumberFormat="1" applyFont="1" applyBorder="1"/>
    <xf numFmtId="0" fontId="11" fillId="0" borderId="1" xfId="14" applyFont="1" applyBorder="1" applyAlignment="1">
      <alignment horizontal="center"/>
    </xf>
    <xf numFmtId="0" fontId="16" fillId="0" borderId="0" xfId="14" applyFont="1"/>
    <xf numFmtId="0" fontId="15" fillId="0" borderId="3" xfId="14" applyFont="1" applyBorder="1" applyAlignment="1">
      <alignment horizontal="center"/>
    </xf>
    <xf numFmtId="49" fontId="15" fillId="0" borderId="3" xfId="14" applyNumberFormat="1" applyFont="1" applyBorder="1" applyAlignment="1">
      <alignment horizontal="center"/>
    </xf>
    <xf numFmtId="0" fontId="15" fillId="0" borderId="4" xfId="14" applyFont="1" applyBorder="1" applyAlignment="1">
      <alignment horizontal="center"/>
    </xf>
    <xf numFmtId="3" fontId="15" fillId="0" borderId="3" xfId="14" applyNumberFormat="1" applyFont="1" applyBorder="1" applyAlignment="1">
      <alignment horizontal="center"/>
    </xf>
    <xf numFmtId="0" fontId="15" fillId="0" borderId="5" xfId="14" applyFont="1" applyBorder="1" applyAlignment="1">
      <alignment horizontal="center"/>
    </xf>
    <xf numFmtId="49" fontId="15" fillId="0" borderId="5" xfId="14" applyNumberFormat="1" applyFont="1" applyBorder="1" applyAlignment="1">
      <alignment horizontal="center"/>
    </xf>
    <xf numFmtId="0" fontId="15" fillId="0" borderId="6" xfId="14" applyFont="1" applyBorder="1" applyAlignment="1">
      <alignment horizontal="center"/>
    </xf>
    <xf numFmtId="3" fontId="15" fillId="0" borderId="5" xfId="14" applyNumberFormat="1" applyFont="1" applyBorder="1" applyAlignment="1">
      <alignment horizontal="center"/>
    </xf>
    <xf numFmtId="3" fontId="11" fillId="0" borderId="3" xfId="14" applyNumberFormat="1" applyFont="1" applyBorder="1"/>
    <xf numFmtId="49" fontId="11" fillId="0" borderId="3" xfId="14" applyNumberFormat="1" applyFont="1" applyBorder="1" applyAlignment="1">
      <alignment horizontal="right"/>
    </xf>
    <xf numFmtId="0" fontId="15" fillId="0" borderId="7" xfId="14" applyFont="1" applyBorder="1"/>
    <xf numFmtId="4" fontId="15" fillId="0" borderId="8" xfId="14" applyNumberFormat="1" applyFont="1" applyBorder="1"/>
    <xf numFmtId="0" fontId="15" fillId="0" borderId="9" xfId="14" applyFont="1" applyBorder="1"/>
    <xf numFmtId="4" fontId="15" fillId="0" borderId="10" xfId="14" applyNumberFormat="1" applyFont="1" applyBorder="1"/>
    <xf numFmtId="3" fontId="15" fillId="0" borderId="3" xfId="14" applyNumberFormat="1" applyFont="1" applyBorder="1" applyAlignment="1">
      <alignment horizontal="right"/>
    </xf>
    <xf numFmtId="49" fontId="15" fillId="0" borderId="3" xfId="14" applyNumberFormat="1" applyFont="1" applyBorder="1" applyAlignment="1">
      <alignment horizontal="right"/>
    </xf>
    <xf numFmtId="3" fontId="15" fillId="0" borderId="4" xfId="14" applyNumberFormat="1" applyFont="1" applyBorder="1"/>
    <xf numFmtId="4" fontId="15" fillId="0" borderId="10" xfId="14" applyNumberFormat="1" applyFont="1" applyBorder="1" applyAlignment="1">
      <alignment horizontal="right"/>
    </xf>
    <xf numFmtId="0" fontId="11" fillId="0" borderId="3" xfId="14" applyFont="1" applyBorder="1"/>
    <xf numFmtId="0" fontId="11" fillId="0" borderId="6" xfId="14" applyFont="1" applyBorder="1"/>
    <xf numFmtId="4" fontId="11" fillId="0" borderId="5" xfId="14" applyNumberFormat="1" applyFont="1" applyBorder="1"/>
    <xf numFmtId="4" fontId="11" fillId="0" borderId="5" xfId="14" applyNumberFormat="1" applyFont="1" applyBorder="1" applyAlignment="1">
      <alignment horizontal="right"/>
    </xf>
    <xf numFmtId="49" fontId="11" fillId="0" borderId="3" xfId="14" applyNumberFormat="1" applyFont="1" applyBorder="1" applyAlignment="1">
      <alignment horizontal="center"/>
    </xf>
    <xf numFmtId="49" fontId="18" fillId="0" borderId="3" xfId="14" applyNumberFormat="1" applyFont="1" applyBorder="1" applyAlignment="1">
      <alignment horizontal="right"/>
    </xf>
    <xf numFmtId="49" fontId="11" fillId="0" borderId="3" xfId="14" applyNumberFormat="1" applyFont="1" applyBorder="1" applyAlignment="1">
      <alignment horizontal="right" vertical="top"/>
    </xf>
    <xf numFmtId="0" fontId="11" fillId="0" borderId="4" xfId="14" applyFont="1" applyBorder="1" applyAlignment="1">
      <alignment vertical="top" wrapText="1"/>
    </xf>
    <xf numFmtId="4" fontId="11" fillId="0" borderId="3" xfId="14" applyNumberFormat="1" applyFont="1" applyBorder="1"/>
    <xf numFmtId="4" fontId="11" fillId="0" borderId="3" xfId="14" applyNumberFormat="1" applyFont="1" applyBorder="1" applyAlignment="1">
      <alignment horizontal="right"/>
    </xf>
    <xf numFmtId="0" fontId="11" fillId="0" borderId="3" xfId="14" applyFont="1" applyBorder="1" applyAlignment="1">
      <alignment horizontal="right"/>
    </xf>
    <xf numFmtId="0" fontId="11" fillId="0" borderId="4" xfId="14" applyFont="1" applyBorder="1"/>
    <xf numFmtId="4" fontId="15" fillId="0" borderId="3" xfId="14" applyNumberFormat="1" applyFont="1" applyBorder="1" applyAlignment="1">
      <alignment horizontal="right"/>
    </xf>
    <xf numFmtId="3" fontId="15" fillId="0" borderId="3" xfId="14" applyNumberFormat="1" applyFont="1" applyBorder="1"/>
    <xf numFmtId="0" fontId="11" fillId="0" borderId="3" xfId="14" applyFont="1" applyBorder="1" applyAlignment="1">
      <alignment vertical="top" wrapText="1"/>
    </xf>
    <xf numFmtId="3" fontId="11" fillId="0" borderId="4" xfId="14" applyNumberFormat="1" applyFont="1" applyBorder="1"/>
    <xf numFmtId="0" fontId="11" fillId="0" borderId="3" xfId="14" applyFont="1" applyBorder="1" applyAlignment="1">
      <alignment vertical="center" wrapText="1"/>
    </xf>
    <xf numFmtId="4" fontId="15" fillId="0" borderId="3" xfId="14" applyNumberFormat="1" applyFont="1" applyBorder="1"/>
    <xf numFmtId="0" fontId="11" fillId="0" borderId="3" xfId="14" applyFont="1" applyBorder="1" applyAlignment="1">
      <alignment horizontal="right" vertical="top"/>
    </xf>
    <xf numFmtId="0" fontId="11" fillId="0" borderId="4" xfId="14" applyFont="1" applyBorder="1" applyAlignment="1">
      <alignment wrapText="1"/>
    </xf>
    <xf numFmtId="0" fontId="16" fillId="0" borderId="3" xfId="14" applyFont="1" applyBorder="1"/>
    <xf numFmtId="3" fontId="15" fillId="0" borderId="5" xfId="14" applyNumberFormat="1" applyFont="1" applyBorder="1"/>
    <xf numFmtId="0" fontId="11" fillId="0" borderId="5" xfId="14" applyFont="1" applyBorder="1"/>
    <xf numFmtId="0" fontId="11" fillId="0" borderId="5" xfId="14" applyFont="1" applyBorder="1" applyAlignment="1">
      <alignment horizontal="right" vertical="top"/>
    </xf>
    <xf numFmtId="4" fontId="11" fillId="0" borderId="5" xfId="2" applyNumberFormat="1" applyFont="1" applyBorder="1" applyAlignment="1">
      <alignment horizontal="right"/>
    </xf>
    <xf numFmtId="0" fontId="11" fillId="0" borderId="3" xfId="14" applyFont="1" applyBorder="1" applyAlignment="1">
      <alignment wrapText="1"/>
    </xf>
    <xf numFmtId="0" fontId="11" fillId="0" borderId="0" xfId="14" applyFont="1" applyAlignment="1">
      <alignment wrapText="1"/>
    </xf>
    <xf numFmtId="0" fontId="11" fillId="0" borderId="3" xfId="14" applyFont="1" applyBorder="1" applyAlignment="1">
      <alignment horizontal="right" vertical="center"/>
    </xf>
    <xf numFmtId="0" fontId="11" fillId="0" borderId="5" xfId="2" applyFont="1" applyBorder="1"/>
    <xf numFmtId="0" fontId="11" fillId="0" borderId="5" xfId="14" applyFont="1" applyBorder="1" applyAlignment="1">
      <alignment horizontal="right"/>
    </xf>
    <xf numFmtId="49" fontId="11" fillId="0" borderId="5" xfId="14" applyNumberFormat="1" applyFont="1" applyBorder="1" applyAlignment="1">
      <alignment horizontal="right"/>
    </xf>
    <xf numFmtId="0" fontId="11" fillId="0" borderId="4" xfId="15" applyFont="1" applyBorder="1"/>
    <xf numFmtId="0" fontId="11" fillId="0" borderId="4" xfId="2" applyFont="1" applyBorder="1"/>
    <xf numFmtId="0" fontId="11" fillId="0" borderId="3" xfId="15" applyFont="1" applyBorder="1" applyAlignment="1">
      <alignment horizontal="right"/>
    </xf>
    <xf numFmtId="0" fontId="11" fillId="0" borderId="3" xfId="2" applyFont="1" applyBorder="1"/>
    <xf numFmtId="0" fontId="16" fillId="0" borderId="0" xfId="15" applyFont="1"/>
    <xf numFmtId="4" fontId="11" fillId="0" borderId="14" xfId="14" applyNumberFormat="1" applyFont="1" applyBorder="1"/>
    <xf numFmtId="0" fontId="16" fillId="0" borderId="0" xfId="2" applyFont="1"/>
    <xf numFmtId="4" fontId="11" fillId="0" borderId="15" xfId="14" applyNumberFormat="1" applyFont="1" applyBorder="1"/>
    <xf numFmtId="4" fontId="11" fillId="0" borderId="15" xfId="14" applyNumberFormat="1" applyFont="1" applyBorder="1" applyAlignment="1">
      <alignment horizontal="right"/>
    </xf>
    <xf numFmtId="4" fontId="11" fillId="0" borderId="16" xfId="14" applyNumberFormat="1" applyFont="1" applyBorder="1"/>
    <xf numFmtId="4" fontId="11" fillId="0" borderId="16" xfId="14" applyNumberFormat="1" applyFont="1" applyBorder="1" applyAlignment="1">
      <alignment horizontal="right"/>
    </xf>
    <xf numFmtId="0" fontId="11" fillId="0" borderId="14" xfId="14" applyFont="1" applyBorder="1"/>
    <xf numFmtId="4" fontId="11" fillId="0" borderId="3" xfId="14" applyNumberFormat="1" applyFont="1" applyBorder="1" applyAlignment="1">
      <alignment horizontal="center"/>
    </xf>
    <xf numFmtId="0" fontId="11" fillId="0" borderId="4" xfId="14" applyFont="1" applyBorder="1" applyAlignment="1">
      <alignment vertical="center"/>
    </xf>
    <xf numFmtId="0" fontId="16" fillId="0" borderId="5" xfId="14" applyFont="1" applyBorder="1"/>
    <xf numFmtId="49" fontId="16" fillId="0" borderId="5" xfId="14" applyNumberFormat="1" applyFont="1" applyBorder="1" applyAlignment="1">
      <alignment horizontal="right"/>
    </xf>
    <xf numFmtId="0" fontId="16" fillId="0" borderId="6" xfId="14" applyFont="1" applyBorder="1"/>
    <xf numFmtId="0" fontId="18" fillId="0" borderId="0" xfId="11" applyFont="1"/>
    <xf numFmtId="0" fontId="18" fillId="0" borderId="0" xfId="11" applyFont="1" applyAlignment="1">
      <alignment horizontal="center"/>
    </xf>
    <xf numFmtId="0" fontId="11" fillId="0" borderId="0" xfId="11" applyFont="1"/>
    <xf numFmtId="0" fontId="11" fillId="0" borderId="0" xfId="11" applyFont="1" applyAlignment="1">
      <alignment horizontal="left"/>
    </xf>
    <xf numFmtId="0" fontId="19" fillId="0" borderId="0" xfId="11" applyFont="1" applyAlignment="1">
      <alignment horizontal="centerContinuous" vertical="center" wrapText="1"/>
    </xf>
    <xf numFmtId="0" fontId="19" fillId="0" borderId="0" xfId="11" applyFont="1" applyAlignment="1">
      <alignment horizontal="centerContinuous" wrapText="1"/>
    </xf>
    <xf numFmtId="0" fontId="12" fillId="0" borderId="0" xfId="11" applyFont="1" applyAlignment="1">
      <alignment horizontal="right"/>
    </xf>
    <xf numFmtId="0" fontId="19" fillId="3" borderId="17" xfId="11" applyFont="1" applyFill="1" applyBorder="1" applyAlignment="1">
      <alignment horizontal="center" vertical="center"/>
    </xf>
    <xf numFmtId="0" fontId="18" fillId="3" borderId="18" xfId="13" applyFont="1" applyFill="1" applyBorder="1" applyAlignment="1">
      <alignment horizontal="center" vertical="center"/>
    </xf>
    <xf numFmtId="0" fontId="19" fillId="3" borderId="18" xfId="11" applyFont="1" applyFill="1" applyBorder="1" applyAlignment="1">
      <alignment horizontal="centerContinuous" vertical="center"/>
    </xf>
    <xf numFmtId="0" fontId="20" fillId="3" borderId="17" xfId="11" applyFont="1" applyFill="1" applyBorder="1" applyAlignment="1">
      <alignment horizontal="center" vertical="center"/>
    </xf>
    <xf numFmtId="0" fontId="20" fillId="3" borderId="18" xfId="13" applyFont="1" applyFill="1" applyBorder="1" applyAlignment="1">
      <alignment horizontal="center" vertical="top"/>
    </xf>
    <xf numFmtId="0" fontId="20" fillId="3" borderId="18" xfId="11" applyFont="1" applyFill="1" applyBorder="1" applyAlignment="1">
      <alignment horizontal="centerContinuous" vertical="center"/>
    </xf>
    <xf numFmtId="0" fontId="20" fillId="0" borderId="0" xfId="11" applyFont="1"/>
    <xf numFmtId="0" fontId="18" fillId="0" borderId="19" xfId="13" applyFont="1" applyFill="1" applyBorder="1" applyAlignment="1">
      <alignment horizontal="center" vertical="top"/>
    </xf>
    <xf numFmtId="0" fontId="18" fillId="0" borderId="17" xfId="11" applyFont="1" applyBorder="1" applyAlignment="1">
      <alignment vertical="center"/>
    </xf>
    <xf numFmtId="0" fontId="18" fillId="0" borderId="17" xfId="11" applyFont="1" applyBorder="1" applyAlignment="1">
      <alignment horizontal="right" vertical="center"/>
    </xf>
    <xf numFmtId="0" fontId="18" fillId="0" borderId="17" xfId="11" applyFont="1" applyBorder="1" applyAlignment="1">
      <alignment vertical="center" wrapText="1"/>
    </xf>
    <xf numFmtId="4" fontId="18" fillId="0" borderId="17" xfId="11" applyNumberFormat="1" applyFont="1" applyBorder="1" applyAlignment="1">
      <alignment vertical="center"/>
    </xf>
    <xf numFmtId="0" fontId="18" fillId="3" borderId="17" xfId="11" applyFont="1" applyFill="1" applyBorder="1" applyAlignment="1">
      <alignment vertical="center"/>
    </xf>
    <xf numFmtId="0" fontId="18" fillId="3" borderId="17" xfId="13" applyFont="1" applyFill="1" applyBorder="1" applyAlignment="1">
      <alignment horizontal="center" vertical="center"/>
    </xf>
    <xf numFmtId="0" fontId="18" fillId="3" borderId="17" xfId="11" applyFont="1" applyFill="1" applyBorder="1" applyAlignment="1">
      <alignment horizontal="left" vertical="center" wrapText="1"/>
    </xf>
    <xf numFmtId="0" fontId="21" fillId="0" borderId="0" xfId="11" applyFont="1"/>
    <xf numFmtId="0" fontId="18" fillId="3" borderId="18" xfId="11" applyFont="1" applyFill="1" applyBorder="1" applyAlignment="1">
      <alignment vertical="top" wrapText="1"/>
    </xf>
    <xf numFmtId="4" fontId="18" fillId="0" borderId="0" xfId="11" applyNumberFormat="1" applyFont="1"/>
    <xf numFmtId="0" fontId="18" fillId="3" borderId="18" xfId="11" applyFont="1" applyFill="1" applyBorder="1" applyAlignment="1">
      <alignment vertical="center" wrapText="1"/>
    </xf>
    <xf numFmtId="4" fontId="18" fillId="0" borderId="5" xfId="11" applyNumberFormat="1" applyFont="1" applyBorder="1"/>
    <xf numFmtId="0" fontId="18" fillId="0" borderId="17" xfId="16" applyFont="1" applyBorder="1" applyAlignment="1">
      <alignment vertical="top"/>
    </xf>
    <xf numFmtId="0" fontId="18" fillId="0" borderId="18" xfId="16" applyFont="1" applyBorder="1" applyAlignment="1">
      <alignment vertical="top"/>
    </xf>
    <xf numFmtId="0" fontId="18" fillId="0" borderId="18" xfId="13" applyFont="1" applyFill="1" applyBorder="1" applyAlignment="1">
      <alignment horizontal="center" vertical="center"/>
    </xf>
    <xf numFmtId="0" fontId="18" fillId="0" borderId="18" xfId="16" applyFont="1" applyBorder="1" applyAlignment="1">
      <alignment vertical="top" wrapText="1"/>
    </xf>
    <xf numFmtId="4" fontId="18" fillId="0" borderId="17" xfId="16" applyNumberFormat="1" applyFont="1" applyBorder="1" applyAlignment="1">
      <alignment vertical="center"/>
    </xf>
    <xf numFmtId="0" fontId="18" fillId="0" borderId="2" xfId="16" applyFont="1" applyBorder="1" applyAlignment="1">
      <alignment vertical="top"/>
    </xf>
    <xf numFmtId="0" fontId="18" fillId="0" borderId="21" xfId="16" applyFont="1" applyBorder="1" applyAlignment="1">
      <alignment vertical="top"/>
    </xf>
    <xf numFmtId="0" fontId="18" fillId="0" borderId="1" xfId="13" applyFont="1" applyFill="1" applyBorder="1" applyAlignment="1">
      <alignment horizontal="center" vertical="top"/>
    </xf>
    <xf numFmtId="0" fontId="11" fillId="0" borderId="22" xfId="16" applyFont="1" applyBorder="1" applyAlignment="1">
      <alignment vertical="center" wrapText="1"/>
    </xf>
    <xf numFmtId="3" fontId="11" fillId="0" borderId="13" xfId="16" applyNumberFormat="1" applyFont="1" applyBorder="1"/>
    <xf numFmtId="0" fontId="18" fillId="0" borderId="4" xfId="16" applyFont="1" applyBorder="1" applyAlignment="1">
      <alignment vertical="top"/>
    </xf>
    <xf numFmtId="0" fontId="18" fillId="0" borderId="0" xfId="16" applyFont="1" applyAlignment="1">
      <alignment vertical="top"/>
    </xf>
    <xf numFmtId="0" fontId="18" fillId="0" borderId="3" xfId="13" applyFont="1" applyFill="1" applyBorder="1" applyAlignment="1">
      <alignment horizontal="center" vertical="top"/>
    </xf>
    <xf numFmtId="0" fontId="11" fillId="0" borderId="4" xfId="16" applyFont="1" applyBorder="1" applyAlignment="1">
      <alignment vertical="center" wrapText="1"/>
    </xf>
    <xf numFmtId="3" fontId="11" fillId="0" borderId="3" xfId="16" applyNumberFormat="1" applyFont="1" applyBorder="1"/>
    <xf numFmtId="0" fontId="18" fillId="0" borderId="6" xfId="16" applyFont="1" applyBorder="1" applyAlignment="1">
      <alignment vertical="top"/>
    </xf>
    <xf numFmtId="0" fontId="18" fillId="0" borderId="23" xfId="16" applyFont="1" applyBorder="1" applyAlignment="1">
      <alignment vertical="top"/>
    </xf>
    <xf numFmtId="0" fontId="18" fillId="0" borderId="5" xfId="13" applyFont="1" applyFill="1" applyBorder="1" applyAlignment="1">
      <alignment horizontal="center" vertical="top"/>
    </xf>
    <xf numFmtId="0" fontId="11" fillId="0" borderId="24" xfId="16" applyFont="1" applyBorder="1" applyAlignment="1">
      <alignment vertical="center" wrapText="1"/>
    </xf>
    <xf numFmtId="3" fontId="11" fillId="0" borderId="25" xfId="16" applyNumberFormat="1" applyFont="1" applyBorder="1"/>
    <xf numFmtId="0" fontId="18" fillId="3" borderId="6" xfId="13" applyFont="1" applyFill="1" applyBorder="1" applyAlignment="1">
      <alignment horizontal="center" vertical="center" wrapText="1"/>
    </xf>
    <xf numFmtId="0" fontId="18" fillId="3" borderId="6" xfId="11" applyFont="1" applyFill="1" applyBorder="1" applyAlignment="1">
      <alignment vertical="center" wrapText="1"/>
    </xf>
    <xf numFmtId="4" fontId="18" fillId="0" borderId="5" xfId="11" applyNumberFormat="1" applyFont="1" applyBorder="1" applyAlignment="1">
      <alignment vertical="center"/>
    </xf>
    <xf numFmtId="0" fontId="18" fillId="3" borderId="6" xfId="13" applyFont="1" applyFill="1" applyBorder="1" applyAlignment="1">
      <alignment horizontal="center" vertical="center"/>
    </xf>
    <xf numFmtId="0" fontId="18" fillId="3" borderId="6" xfId="11" applyFont="1" applyFill="1" applyBorder="1" applyAlignment="1">
      <alignment vertical="center"/>
    </xf>
    <xf numFmtId="0" fontId="18" fillId="0" borderId="1" xfId="11" applyFont="1" applyBorder="1" applyAlignment="1">
      <alignment vertical="center"/>
    </xf>
    <xf numFmtId="0" fontId="18" fillId="3" borderId="1" xfId="11" applyFont="1" applyFill="1" applyBorder="1" applyAlignment="1">
      <alignment vertical="center"/>
    </xf>
    <xf numFmtId="0" fontId="18" fillId="3" borderId="26" xfId="11" applyFont="1" applyFill="1" applyBorder="1" applyAlignment="1">
      <alignment vertical="center"/>
    </xf>
    <xf numFmtId="0" fontId="18" fillId="3" borderId="21" xfId="13" applyFont="1" applyFill="1" applyBorder="1" applyAlignment="1">
      <alignment horizontal="center" vertical="center"/>
    </xf>
    <xf numFmtId="0" fontId="18" fillId="0" borderId="18" xfId="11" applyFont="1" applyBorder="1" applyAlignment="1">
      <alignment vertical="top" wrapText="1"/>
    </xf>
    <xf numFmtId="0" fontId="18" fillId="0" borderId="18" xfId="11" applyFont="1" applyBorder="1" applyAlignment="1">
      <alignment vertical="center" wrapText="1"/>
    </xf>
    <xf numFmtId="0" fontId="18" fillId="3" borderId="1" xfId="11" applyFont="1" applyFill="1" applyBorder="1" applyAlignment="1">
      <alignment horizontal="right" vertical="center"/>
    </xf>
    <xf numFmtId="0" fontId="18" fillId="3" borderId="26" xfId="11" applyFont="1" applyFill="1" applyBorder="1" applyAlignment="1">
      <alignment horizontal="right" vertical="center"/>
    </xf>
    <xf numFmtId="0" fontId="18" fillId="3" borderId="18" xfId="11" applyFont="1" applyFill="1" applyBorder="1" applyAlignment="1">
      <alignment wrapText="1"/>
    </xf>
    <xf numFmtId="49" fontId="11" fillId="0" borderId="1" xfId="11" applyNumberFormat="1" applyFont="1" applyBorder="1" applyAlignment="1">
      <alignment horizontal="right"/>
    </xf>
    <xf numFmtId="0" fontId="11" fillId="3" borderId="1" xfId="11" applyFont="1" applyFill="1" applyBorder="1" applyAlignment="1">
      <alignment horizontal="right" vertical="top"/>
    </xf>
    <xf numFmtId="0" fontId="11" fillId="3" borderId="26" xfId="11" applyFont="1" applyFill="1" applyBorder="1" applyAlignment="1">
      <alignment horizontal="right" vertical="top"/>
    </xf>
    <xf numFmtId="0" fontId="11" fillId="3" borderId="21" xfId="13" applyFont="1" applyFill="1" applyBorder="1" applyAlignment="1">
      <alignment horizontal="center" vertical="top"/>
    </xf>
    <xf numFmtId="0" fontId="11" fillId="3" borderId="18" xfId="11" applyFont="1" applyFill="1" applyBorder="1" applyAlignment="1">
      <alignment wrapText="1"/>
    </xf>
    <xf numFmtId="4" fontId="11" fillId="0" borderId="17" xfId="11" applyNumberFormat="1" applyFont="1" applyBorder="1" applyAlignment="1">
      <alignment vertical="center"/>
    </xf>
    <xf numFmtId="0" fontId="18" fillId="0" borderId="17" xfId="11" applyFont="1" applyBorder="1"/>
    <xf numFmtId="0" fontId="18" fillId="3" borderId="17" xfId="11" applyFont="1" applyFill="1" applyBorder="1"/>
    <xf numFmtId="0" fontId="18" fillId="3" borderId="18" xfId="13" applyFont="1" applyFill="1" applyBorder="1" applyAlignment="1">
      <alignment horizontal="center"/>
    </xf>
    <xf numFmtId="4" fontId="18" fillId="0" borderId="17" xfId="11" applyNumberFormat="1" applyFont="1" applyBorder="1"/>
    <xf numFmtId="0" fontId="18" fillId="3" borderId="18" xfId="13" applyFont="1" applyFill="1" applyBorder="1" applyAlignment="1">
      <alignment horizontal="center" vertical="top" wrapText="1"/>
    </xf>
    <xf numFmtId="0" fontId="18" fillId="0" borderId="18" xfId="11" applyFont="1" applyBorder="1" applyAlignment="1">
      <alignment wrapText="1"/>
    </xf>
    <xf numFmtId="0" fontId="18" fillId="0" borderId="17" xfId="11" quotePrefix="1" applyFont="1" applyBorder="1" applyAlignment="1">
      <alignment horizontal="right" vertical="center"/>
    </xf>
    <xf numFmtId="0" fontId="18" fillId="0" borderId="18" xfId="11" quotePrefix="1" applyFont="1" applyBorder="1" applyAlignment="1">
      <alignment vertical="top" wrapText="1"/>
    </xf>
    <xf numFmtId="4" fontId="18" fillId="0" borderId="17" xfId="11" applyNumberFormat="1" applyFont="1" applyBorder="1" applyAlignment="1">
      <alignment horizontal="right" vertical="center"/>
    </xf>
    <xf numFmtId="0" fontId="22" fillId="0" borderId="0" xfId="11" applyFont="1" applyAlignment="1">
      <alignment horizontal="center" vertical="center"/>
    </xf>
    <xf numFmtId="0" fontId="18" fillId="3" borderId="18" xfId="11" applyFont="1" applyFill="1" applyBorder="1" applyAlignment="1">
      <alignment vertical="center"/>
    </xf>
    <xf numFmtId="0" fontId="18" fillId="3" borderId="18" xfId="13" applyFont="1" applyFill="1" applyBorder="1" applyAlignment="1">
      <alignment horizontal="center" vertical="center" wrapText="1"/>
    </xf>
    <xf numFmtId="0" fontId="18" fillId="0" borderId="19" xfId="13" applyFont="1" applyFill="1" applyBorder="1" applyAlignment="1">
      <alignment horizontal="center" vertical="center"/>
    </xf>
    <xf numFmtId="0" fontId="18" fillId="0" borderId="0" xfId="11" applyFont="1" applyAlignment="1">
      <alignment vertical="center"/>
    </xf>
    <xf numFmtId="4" fontId="18" fillId="0" borderId="0" xfId="11" applyNumberFormat="1" applyFont="1" applyAlignment="1">
      <alignment vertical="center"/>
    </xf>
    <xf numFmtId="0" fontId="18" fillId="3" borderId="18" xfId="13" applyFont="1" applyFill="1" applyBorder="1" applyAlignment="1">
      <alignment horizontal="center" vertical="top"/>
    </xf>
    <xf numFmtId="0" fontId="19" fillId="0" borderId="17" xfId="11" applyFont="1" applyBorder="1" applyAlignment="1">
      <alignment horizontal="center" vertical="center"/>
    </xf>
    <xf numFmtId="0" fontId="11" fillId="0" borderId="18" xfId="11" applyFont="1" applyBorder="1"/>
    <xf numFmtId="0" fontId="11" fillId="0" borderId="19" xfId="11" applyFont="1" applyBorder="1"/>
    <xf numFmtId="0" fontId="11" fillId="0" borderId="20" xfId="11" applyFont="1" applyBorder="1"/>
    <xf numFmtId="0" fontId="11" fillId="0" borderId="19" xfId="13" applyFont="1" applyFill="1" applyBorder="1" applyAlignment="1">
      <alignment horizontal="center" vertical="top"/>
    </xf>
    <xf numFmtId="0" fontId="11" fillId="0" borderId="18" xfId="11" applyFont="1" applyBorder="1" applyAlignment="1">
      <alignment vertical="center" wrapText="1"/>
    </xf>
    <xf numFmtId="4" fontId="11" fillId="0" borderId="17" xfId="11" applyNumberFormat="1" applyFont="1" applyBorder="1"/>
    <xf numFmtId="0" fontId="11" fillId="0" borderId="4" xfId="11" applyFont="1" applyBorder="1"/>
    <xf numFmtId="0" fontId="11" fillId="0" borderId="27" xfId="11" applyFont="1" applyBorder="1"/>
    <xf numFmtId="0" fontId="11" fillId="0" borderId="27" xfId="13" applyFont="1" applyFill="1" applyBorder="1" applyAlignment="1">
      <alignment horizontal="center" vertical="top"/>
    </xf>
    <xf numFmtId="0" fontId="11" fillId="0" borderId="12" xfId="11" applyFont="1" applyBorder="1" applyAlignment="1">
      <alignment horizontal="left" wrapText="1"/>
    </xf>
    <xf numFmtId="4" fontId="11" fillId="0" borderId="11" xfId="11" applyNumberFormat="1" applyFont="1" applyBorder="1"/>
    <xf numFmtId="0" fontId="22" fillId="0" borderId="0" xfId="11" applyFont="1"/>
    <xf numFmtId="0" fontId="11" fillId="0" borderId="0" xfId="13" applyFont="1" applyFill="1" applyBorder="1" applyAlignment="1">
      <alignment horizontal="center" vertical="top"/>
    </xf>
    <xf numFmtId="0" fontId="11" fillId="0" borderId="12" xfId="11" applyFont="1" applyBorder="1" applyAlignment="1">
      <alignment horizontal="left" vertical="center" wrapText="1"/>
    </xf>
    <xf numFmtId="0" fontId="11" fillId="0" borderId="28" xfId="11" applyFont="1" applyBorder="1" applyAlignment="1">
      <alignment horizontal="left" vertical="center" wrapText="1"/>
    </xf>
    <xf numFmtId="4" fontId="11" fillId="0" borderId="29" xfId="11" applyNumberFormat="1" applyFont="1" applyBorder="1"/>
    <xf numFmtId="0" fontId="11" fillId="0" borderId="6" xfId="11" applyFont="1" applyBorder="1"/>
    <xf numFmtId="0" fontId="11" fillId="0" borderId="23" xfId="11" applyFont="1" applyBorder="1"/>
    <xf numFmtId="0" fontId="11" fillId="0" borderId="30" xfId="11" applyFont="1" applyBorder="1"/>
    <xf numFmtId="0" fontId="11" fillId="0" borderId="23" xfId="13" applyFont="1" applyFill="1" applyBorder="1" applyAlignment="1">
      <alignment horizontal="center" vertical="top"/>
    </xf>
    <xf numFmtId="0" fontId="11" fillId="0" borderId="6" xfId="11" applyFont="1" applyBorder="1" applyAlignment="1">
      <alignment horizontal="left" wrapText="1"/>
    </xf>
    <xf numFmtId="4" fontId="11" fillId="0" borderId="5" xfId="11" applyNumberFormat="1" applyFont="1" applyBorder="1"/>
    <xf numFmtId="0" fontId="18" fillId="3" borderId="18" xfId="11" applyFont="1" applyFill="1" applyBorder="1"/>
    <xf numFmtId="0" fontId="11" fillId="0" borderId="22" xfId="11" applyFont="1" applyBorder="1" applyAlignment="1">
      <alignment horizontal="left" vertical="center" wrapText="1"/>
    </xf>
    <xf numFmtId="4" fontId="11" fillId="0" borderId="13" xfId="11" applyNumberFormat="1" applyFont="1" applyBorder="1"/>
    <xf numFmtId="0" fontId="11" fillId="0" borderId="2" xfId="11" applyFont="1" applyBorder="1"/>
    <xf numFmtId="0" fontId="11" fillId="0" borderId="21" xfId="11" applyFont="1" applyBorder="1"/>
    <xf numFmtId="0" fontId="11" fillId="0" borderId="26" xfId="11" applyFont="1" applyBorder="1"/>
    <xf numFmtId="0" fontId="11" fillId="0" borderId="21" xfId="13" applyFont="1" applyFill="1" applyBorder="1" applyAlignment="1">
      <alignment horizontal="center" vertical="top"/>
    </xf>
    <xf numFmtId="0" fontId="11" fillId="0" borderId="22" xfId="11" applyFont="1" applyBorder="1" applyAlignment="1">
      <alignment vertical="center" wrapText="1"/>
    </xf>
    <xf numFmtId="0" fontId="11" fillId="0" borderId="28" xfId="11" applyFont="1" applyBorder="1" applyAlignment="1">
      <alignment vertical="center" wrapText="1"/>
    </xf>
    <xf numFmtId="0" fontId="11" fillId="0" borderId="28" xfId="11" applyFont="1" applyBorder="1"/>
    <xf numFmtId="0" fontId="11" fillId="0" borderId="6" xfId="11" applyFont="1" applyBorder="1" applyAlignment="1">
      <alignment vertical="center" wrapText="1"/>
    </xf>
    <xf numFmtId="0" fontId="11" fillId="0" borderId="1" xfId="13" applyFont="1" applyFill="1" applyBorder="1" applyAlignment="1">
      <alignment horizontal="center" vertical="top"/>
    </xf>
    <xf numFmtId="0" fontId="11" fillId="0" borderId="31" xfId="11" applyFont="1" applyBorder="1" applyAlignment="1">
      <alignment vertical="center" wrapText="1"/>
    </xf>
    <xf numFmtId="4" fontId="11" fillId="0" borderId="32" xfId="11" applyNumberFormat="1" applyFont="1" applyBorder="1"/>
    <xf numFmtId="0" fontId="18" fillId="3" borderId="17" xfId="13" applyFont="1" applyFill="1" applyBorder="1" applyAlignment="1">
      <alignment horizontal="center"/>
    </xf>
    <xf numFmtId="0" fontId="18" fillId="3" borderId="19" xfId="11" applyFont="1" applyFill="1" applyBorder="1"/>
    <xf numFmtId="0" fontId="11" fillId="0" borderId="17" xfId="13" applyFont="1" applyFill="1" applyBorder="1" applyAlignment="1">
      <alignment horizontal="center" vertical="top"/>
    </xf>
    <xf numFmtId="0" fontId="11" fillId="0" borderId="19" xfId="11" applyFont="1" applyBorder="1" applyAlignment="1">
      <alignment horizontal="left" vertical="center" wrapText="1"/>
    </xf>
    <xf numFmtId="0" fontId="18" fillId="3" borderId="17" xfId="13" applyFont="1" applyFill="1" applyBorder="1" applyAlignment="1">
      <alignment horizontal="center" vertical="center" wrapText="1"/>
    </xf>
    <xf numFmtId="0" fontId="18" fillId="3" borderId="19" xfId="11" applyFont="1" applyFill="1" applyBorder="1" applyAlignment="1">
      <alignment vertical="center"/>
    </xf>
    <xf numFmtId="0" fontId="11" fillId="0" borderId="22" xfId="11" applyFont="1" applyBorder="1"/>
    <xf numFmtId="0" fontId="11" fillId="0" borderId="28" xfId="11" applyFont="1" applyBorder="1" applyAlignment="1">
      <alignment horizontal="left" wrapText="1"/>
    </xf>
    <xf numFmtId="0" fontId="11" fillId="0" borderId="0" xfId="13" quotePrefix="1" applyFont="1" applyFill="1" applyBorder="1" applyAlignment="1">
      <alignment horizontal="center" vertical="top"/>
    </xf>
    <xf numFmtId="0" fontId="11" fillId="0" borderId="12" xfId="11" applyFont="1" applyBorder="1"/>
    <xf numFmtId="0" fontId="11" fillId="0" borderId="27" xfId="13" quotePrefix="1" applyFont="1" applyFill="1" applyBorder="1" applyAlignment="1">
      <alignment horizontal="center" vertical="top"/>
    </xf>
    <xf numFmtId="0" fontId="18" fillId="0" borderId="18" xfId="13" applyFont="1" applyFill="1" applyBorder="1" applyAlignment="1">
      <alignment horizontal="center" vertical="center" wrapText="1"/>
    </xf>
    <xf numFmtId="0" fontId="11" fillId="0" borderId="18" xfId="11" applyFont="1" applyBorder="1" applyAlignment="1">
      <alignment horizontal="left" wrapText="1"/>
    </xf>
    <xf numFmtId="0" fontId="11" fillId="0" borderId="24" xfId="11" applyFont="1" applyBorder="1" applyAlignment="1">
      <alignment horizontal="left" vertical="center" wrapText="1"/>
    </xf>
    <xf numFmtId="4" fontId="11" fillId="0" borderId="25" xfId="11" applyNumberFormat="1" applyFont="1" applyBorder="1"/>
    <xf numFmtId="0" fontId="11" fillId="0" borderId="22" xfId="11" applyFont="1" applyBorder="1" applyAlignment="1">
      <alignment horizontal="left" wrapText="1"/>
    </xf>
    <xf numFmtId="0" fontId="11" fillId="0" borderId="12" xfId="11" applyFont="1" applyBorder="1" applyAlignment="1">
      <alignment wrapText="1"/>
    </xf>
    <xf numFmtId="0" fontId="11" fillId="0" borderId="0" xfId="11" applyFont="1" applyAlignment="1">
      <alignment vertical="center"/>
    </xf>
    <xf numFmtId="0" fontId="11" fillId="0" borderId="12" xfId="11" applyFont="1" applyBorder="1" applyAlignment="1">
      <alignment vertical="center" wrapText="1"/>
    </xf>
    <xf numFmtId="0" fontId="11" fillId="0" borderId="6" xfId="11" applyFont="1" applyBorder="1" applyAlignment="1">
      <alignment horizontal="left" vertical="center" wrapText="1"/>
    </xf>
    <xf numFmtId="0" fontId="18" fillId="0" borderId="17" xfId="13" applyFont="1" applyFill="1" applyBorder="1" applyAlignment="1">
      <alignment horizontal="center" vertical="top"/>
    </xf>
    <xf numFmtId="0" fontId="11" fillId="0" borderId="21" xfId="13" quotePrefix="1" applyFont="1" applyFill="1" applyBorder="1" applyAlignment="1">
      <alignment horizontal="center" vertical="top"/>
    </xf>
    <xf numFmtId="0" fontId="11" fillId="0" borderId="23" xfId="13" quotePrefix="1" applyFont="1" applyFill="1" applyBorder="1" applyAlignment="1">
      <alignment horizontal="center" vertical="top"/>
    </xf>
    <xf numFmtId="0" fontId="11" fillId="0" borderId="24" xfId="11" applyFont="1" applyBorder="1" applyAlignment="1">
      <alignment vertical="center" wrapText="1"/>
    </xf>
    <xf numFmtId="0" fontId="11" fillId="0" borderId="11" xfId="11" applyFont="1" applyBorder="1" applyAlignment="1">
      <alignment horizontal="left" vertical="center" wrapText="1"/>
    </xf>
    <xf numFmtId="0" fontId="18" fillId="0" borderId="5" xfId="11" applyFont="1" applyBorder="1"/>
    <xf numFmtId="0" fontId="18" fillId="0" borderId="17" xfId="13" applyFont="1" applyFill="1" applyBorder="1" applyAlignment="1">
      <alignment horizontal="center"/>
    </xf>
    <xf numFmtId="0" fontId="18" fillId="3" borderId="23" xfId="11" applyFont="1" applyFill="1" applyBorder="1"/>
    <xf numFmtId="0" fontId="11" fillId="0" borderId="5" xfId="13" applyFont="1" applyFill="1" applyBorder="1" applyAlignment="1">
      <alignment horizontal="center" vertical="top"/>
    </xf>
    <xf numFmtId="0" fontId="11" fillId="0" borderId="19" xfId="11" applyFont="1" applyBorder="1" applyAlignment="1">
      <alignment vertical="top" wrapText="1"/>
    </xf>
    <xf numFmtId="0" fontId="18" fillId="0" borderId="17" xfId="13" applyFont="1" applyFill="1" applyBorder="1" applyAlignment="1">
      <alignment horizontal="center" vertical="center" wrapText="1"/>
    </xf>
    <xf numFmtId="0" fontId="11" fillId="0" borderId="29" xfId="11" applyFont="1" applyBorder="1" applyAlignment="1">
      <alignment vertical="center" wrapText="1"/>
    </xf>
    <xf numFmtId="4" fontId="11" fillId="0" borderId="3" xfId="11" applyNumberFormat="1" applyFont="1" applyBorder="1"/>
    <xf numFmtId="0" fontId="18" fillId="0" borderId="5" xfId="11" applyFont="1" applyBorder="1" applyAlignment="1">
      <alignment vertical="center"/>
    </xf>
    <xf numFmtId="0" fontId="18" fillId="0" borderId="17" xfId="13" applyFont="1" applyFill="1" applyBorder="1" applyAlignment="1">
      <alignment horizontal="center" vertical="center"/>
    </xf>
    <xf numFmtId="0" fontId="18" fillId="3" borderId="18" xfId="11" applyFont="1" applyFill="1" applyBorder="1" applyAlignment="1">
      <alignment horizontal="left" vertical="top" wrapText="1"/>
    </xf>
    <xf numFmtId="0" fontId="11" fillId="0" borderId="33" xfId="11" applyFont="1" applyBorder="1" applyAlignment="1">
      <alignment vertical="top" wrapText="1"/>
    </xf>
    <xf numFmtId="4" fontId="11" fillId="3" borderId="17" xfId="11" applyNumberFormat="1" applyFont="1" applyFill="1" applyBorder="1"/>
    <xf numFmtId="0" fontId="19" fillId="0" borderId="18" xfId="11" applyFont="1" applyBorder="1" applyAlignment="1">
      <alignment horizontal="center" vertical="center"/>
    </xf>
    <xf numFmtId="0" fontId="19" fillId="0" borderId="19" xfId="11" applyFont="1" applyBorder="1" applyAlignment="1">
      <alignment horizontal="center" vertical="center"/>
    </xf>
    <xf numFmtId="4" fontId="19" fillId="0" borderId="17" xfId="11" applyNumberFormat="1" applyFont="1" applyBorder="1" applyAlignment="1">
      <alignment vertical="center"/>
    </xf>
    <xf numFmtId="0" fontId="24" fillId="0" borderId="0" xfId="14" applyFont="1"/>
    <xf numFmtId="0" fontId="23" fillId="0" borderId="0" xfId="14" applyFont="1" applyAlignment="1">
      <alignment horizontal="centerContinuous" vertical="center"/>
    </xf>
    <xf numFmtId="0" fontId="26" fillId="0" borderId="0" xfId="14" applyFont="1"/>
    <xf numFmtId="0" fontId="27" fillId="0" borderId="0" xfId="14" applyFont="1" applyAlignment="1">
      <alignment horizontal="center" vertical="center"/>
    </xf>
    <xf numFmtId="0" fontId="15" fillId="4" borderId="1" xfId="14" applyFont="1" applyFill="1" applyBorder="1" applyAlignment="1">
      <alignment horizontal="center" vertical="center"/>
    </xf>
    <xf numFmtId="0" fontId="15" fillId="4" borderId="2" xfId="14" applyFont="1" applyFill="1" applyBorder="1" applyAlignment="1">
      <alignment horizontal="center" vertical="center"/>
    </xf>
    <xf numFmtId="0" fontId="15" fillId="4" borderId="2" xfId="14" applyFont="1" applyFill="1" applyBorder="1" applyAlignment="1">
      <alignment horizontal="center" vertical="center" wrapText="1"/>
    </xf>
    <xf numFmtId="0" fontId="15" fillId="4" borderId="3" xfId="14" applyFont="1" applyFill="1" applyBorder="1" applyAlignment="1">
      <alignment horizontal="center" vertical="center"/>
    </xf>
    <xf numFmtId="0" fontId="15" fillId="4" borderId="5" xfId="14" applyFont="1" applyFill="1" applyBorder="1" applyAlignment="1">
      <alignment horizontal="center" vertical="center"/>
    </xf>
    <xf numFmtId="0" fontId="11" fillId="4" borderId="17" xfId="14" applyFont="1" applyFill="1" applyBorder="1" applyAlignment="1">
      <alignment horizontal="center" vertical="center"/>
    </xf>
    <xf numFmtId="0" fontId="15" fillId="0" borderId="5" xfId="14" applyFont="1" applyBorder="1" applyAlignment="1">
      <alignment vertical="center"/>
    </xf>
    <xf numFmtId="0" fontId="15" fillId="0" borderId="5" xfId="14" applyFont="1" applyBorder="1" applyAlignment="1">
      <alignment horizontal="center" vertical="center"/>
    </xf>
    <xf numFmtId="3" fontId="16" fillId="0" borderId="32" xfId="14" applyNumberFormat="1" applyFont="1" applyBorder="1" applyAlignment="1">
      <alignment vertical="center"/>
    </xf>
    <xf numFmtId="0" fontId="11" fillId="0" borderId="3" xfId="14" applyFont="1" applyBorder="1" applyAlignment="1">
      <alignment horizontal="center" vertical="center"/>
    </xf>
    <xf numFmtId="0" fontId="16" fillId="0" borderId="3" xfId="14" applyFont="1" applyBorder="1" applyAlignment="1">
      <alignment horizontal="center" vertical="center"/>
    </xf>
    <xf numFmtId="0" fontId="11" fillId="0" borderId="1" xfId="14" applyFont="1" applyBorder="1" applyAlignment="1">
      <alignment horizontal="left" vertical="center" indent="2"/>
    </xf>
    <xf numFmtId="4" fontId="16" fillId="0" borderId="1" xfId="14" applyNumberFormat="1" applyFont="1" applyBorder="1" applyAlignment="1">
      <alignment vertical="center"/>
    </xf>
    <xf numFmtId="0" fontId="11" fillId="0" borderId="3" xfId="14" applyFont="1" applyBorder="1" applyAlignment="1">
      <alignment horizontal="left" vertical="center" indent="2"/>
    </xf>
    <xf numFmtId="4" fontId="16" fillId="0" borderId="3" xfId="14" applyNumberFormat="1" applyFont="1" applyBorder="1" applyAlignment="1">
      <alignment vertical="center"/>
    </xf>
    <xf numFmtId="0" fontId="11" fillId="0" borderId="5" xfId="14" applyFont="1" applyBorder="1" applyAlignment="1">
      <alignment horizontal="center" vertical="center"/>
    </xf>
    <xf numFmtId="0" fontId="16" fillId="0" borderId="5" xfId="14" applyFont="1" applyBorder="1" applyAlignment="1">
      <alignment horizontal="center" vertical="top"/>
    </xf>
    <xf numFmtId="0" fontId="11" fillId="0" borderId="5" xfId="14" applyFont="1" applyBorder="1" applyAlignment="1">
      <alignment horizontal="left" vertical="center" indent="2"/>
    </xf>
    <xf numFmtId="4" fontId="16" fillId="0" borderId="5" xfId="14" applyNumberFormat="1" applyFont="1" applyBorder="1" applyAlignment="1">
      <alignment vertical="top"/>
    </xf>
    <xf numFmtId="0" fontId="11" fillId="0" borderId="6" xfId="14" applyFont="1" applyBorder="1" applyAlignment="1">
      <alignment horizontal="center" vertical="center"/>
    </xf>
    <xf numFmtId="0" fontId="15" fillId="0" borderId="17" xfId="14" applyFont="1" applyBorder="1" applyAlignment="1">
      <alignment horizontal="center" vertical="center"/>
    </xf>
    <xf numFmtId="0" fontId="11" fillId="0" borderId="6" xfId="14" applyFont="1" applyBorder="1" applyAlignment="1">
      <alignment horizontal="left" vertical="center" indent="2"/>
    </xf>
    <xf numFmtId="4" fontId="16" fillId="0" borderId="6" xfId="14" applyNumberFormat="1" applyFont="1" applyBorder="1" applyAlignment="1">
      <alignment vertical="top"/>
    </xf>
    <xf numFmtId="0" fontId="11" fillId="0" borderId="6" xfId="14" applyFont="1" applyBorder="1" applyAlignment="1">
      <alignment horizontal="center" vertical="top"/>
    </xf>
    <xf numFmtId="0" fontId="16" fillId="0" borderId="3" xfId="14" applyFont="1" applyBorder="1" applyAlignment="1">
      <alignment horizontal="center" vertical="top"/>
    </xf>
    <xf numFmtId="0" fontId="11" fillId="0" borderId="3" xfId="14" applyFont="1" applyBorder="1" applyAlignment="1">
      <alignment horizontal="left" vertical="center" wrapText="1" indent="2"/>
    </xf>
    <xf numFmtId="4" fontId="16" fillId="0" borderId="6" xfId="14" applyNumberFormat="1" applyFont="1" applyBorder="1"/>
    <xf numFmtId="4" fontId="16" fillId="0" borderId="5" xfId="14" applyNumberFormat="1" applyFont="1" applyBorder="1"/>
    <xf numFmtId="0" fontId="11" fillId="0" borderId="18" xfId="14" applyFont="1" applyBorder="1" applyAlignment="1">
      <alignment horizontal="center" vertical="center"/>
    </xf>
    <xf numFmtId="0" fontId="16" fillId="0" borderId="19" xfId="14" applyFont="1" applyBorder="1" applyAlignment="1">
      <alignment horizontal="center" vertical="top"/>
    </xf>
    <xf numFmtId="0" fontId="11" fillId="0" borderId="0" xfId="14" applyFont="1" applyAlignment="1">
      <alignment horizontal="center" vertical="center"/>
    </xf>
    <xf numFmtId="0" fontId="16" fillId="0" borderId="0" xfId="14" applyFont="1" applyAlignment="1">
      <alignment horizontal="center" vertical="center"/>
    </xf>
    <xf numFmtId="0" fontId="11" fillId="0" borderId="0" xfId="14" applyFont="1" applyAlignment="1">
      <alignment horizontal="left" vertical="center" indent="2"/>
    </xf>
    <xf numFmtId="4" fontId="16" fillId="0" borderId="0" xfId="14" applyNumberFormat="1" applyFont="1" applyAlignment="1">
      <alignment vertical="center"/>
    </xf>
    <xf numFmtId="3" fontId="16" fillId="0" borderId="17" xfId="14" applyNumberFormat="1" applyFont="1" applyBorder="1" applyAlignment="1">
      <alignment vertical="center"/>
    </xf>
    <xf numFmtId="0" fontId="11" fillId="0" borderId="1" xfId="14" applyFont="1" applyBorder="1" applyAlignment="1">
      <alignment horizontal="center" vertical="center"/>
    </xf>
    <xf numFmtId="0" fontId="16" fillId="0" borderId="1" xfId="14" applyFont="1" applyBorder="1" applyAlignment="1">
      <alignment horizontal="center" vertical="center"/>
    </xf>
    <xf numFmtId="4" fontId="16" fillId="0" borderId="3" xfId="14" applyNumberFormat="1" applyFont="1" applyBorder="1" applyAlignment="1">
      <alignment vertical="top"/>
    </xf>
    <xf numFmtId="4" fontId="16" fillId="0" borderId="3" xfId="14" applyNumberFormat="1" applyFont="1" applyBorder="1" applyAlignment="1">
      <alignment horizontal="right" vertical="center"/>
    </xf>
    <xf numFmtId="0" fontId="11" fillId="0" borderId="3" xfId="14" applyFont="1" applyBorder="1" applyAlignment="1">
      <alignment horizontal="center" vertical="top"/>
    </xf>
    <xf numFmtId="0" fontId="11" fillId="0" borderId="3" xfId="14" applyFont="1" applyBorder="1" applyAlignment="1">
      <alignment horizontal="left" vertical="top" wrapText="1" indent="2"/>
    </xf>
    <xf numFmtId="4" fontId="16" fillId="0" borderId="3" xfId="14" applyNumberFormat="1" applyFont="1" applyBorder="1"/>
    <xf numFmtId="0" fontId="16" fillId="0" borderId="17" xfId="14" applyFont="1" applyBorder="1" applyAlignment="1">
      <alignment horizontal="center" vertical="center"/>
    </xf>
    <xf numFmtId="0" fontId="11" fillId="0" borderId="17" xfId="14" applyFont="1" applyBorder="1" applyAlignment="1">
      <alignment horizontal="left" vertical="center" indent="2"/>
    </xf>
    <xf numFmtId="4" fontId="16" fillId="0" borderId="17" xfId="14" applyNumberFormat="1" applyFont="1" applyBorder="1" applyAlignment="1">
      <alignment vertical="center"/>
    </xf>
    <xf numFmtId="0" fontId="16" fillId="0" borderId="5" xfId="14" applyFont="1" applyBorder="1" applyAlignment="1">
      <alignment horizontal="center" vertical="center"/>
    </xf>
    <xf numFmtId="4" fontId="16" fillId="0" borderId="5" xfId="14" applyNumberFormat="1" applyFont="1" applyBorder="1" applyAlignment="1">
      <alignment vertical="center"/>
    </xf>
    <xf numFmtId="4" fontId="16" fillId="0" borderId="5" xfId="14" applyNumberFormat="1" applyFont="1" applyBorder="1" applyAlignment="1">
      <alignment horizontal="right" vertical="center"/>
    </xf>
    <xf numFmtId="0" fontId="16" fillId="0" borderId="6" xfId="14" applyFont="1" applyBorder="1" applyAlignment="1">
      <alignment vertical="top"/>
    </xf>
    <xf numFmtId="0" fontId="16" fillId="0" borderId="18" xfId="14" applyFont="1" applyBorder="1"/>
    <xf numFmtId="0" fontId="16" fillId="0" borderId="17" xfId="14" applyFont="1" applyBorder="1"/>
    <xf numFmtId="0" fontId="28" fillId="0" borderId="0" xfId="14" applyFont="1"/>
    <xf numFmtId="0" fontId="11" fillId="0" borderId="11" xfId="14" applyFont="1" applyBorder="1" applyAlignment="1">
      <alignment vertical="center" wrapText="1"/>
    </xf>
    <xf numFmtId="4" fontId="11" fillId="0" borderId="11" xfId="14" applyNumberFormat="1" applyFont="1" applyBorder="1"/>
    <xf numFmtId="4" fontId="11" fillId="0" borderId="11" xfId="14" applyNumberFormat="1" applyFont="1" applyBorder="1" applyAlignment="1">
      <alignment horizontal="right"/>
    </xf>
    <xf numFmtId="0" fontId="11" fillId="0" borderId="12" xfId="14" applyFont="1" applyBorder="1" applyAlignment="1">
      <alignment vertical="center"/>
    </xf>
    <xf numFmtId="0" fontId="11" fillId="0" borderId="12" xfId="14" applyFont="1" applyBorder="1"/>
    <xf numFmtId="0" fontId="11" fillId="0" borderId="12" xfId="14" applyFont="1" applyBorder="1" applyAlignment="1">
      <alignment wrapText="1"/>
    </xf>
    <xf numFmtId="3" fontId="11" fillId="0" borderId="3" xfId="14" applyNumberFormat="1" applyFont="1" applyBorder="1" applyAlignment="1">
      <alignment horizontal="right"/>
    </xf>
    <xf numFmtId="0" fontId="11" fillId="0" borderId="11" xfId="2" applyFont="1" applyBorder="1" applyAlignment="1">
      <alignment wrapText="1"/>
    </xf>
    <xf numFmtId="4" fontId="11" fillId="0" borderId="13" xfId="14" applyNumberFormat="1" applyFont="1" applyBorder="1"/>
    <xf numFmtId="0" fontId="19" fillId="0" borderId="18" xfId="11" applyFont="1" applyBorder="1" applyAlignment="1">
      <alignment horizontal="left" vertical="center"/>
    </xf>
    <xf numFmtId="0" fontId="19" fillId="0" borderId="19" xfId="11" applyFont="1" applyBorder="1" applyAlignment="1">
      <alignment horizontal="left" vertical="center"/>
    </xf>
    <xf numFmtId="0" fontId="19" fillId="0" borderId="20" xfId="11" applyFont="1" applyBorder="1" applyAlignment="1">
      <alignment horizontal="left" vertical="center"/>
    </xf>
    <xf numFmtId="0" fontId="18" fillId="0" borderId="18" xfId="11" applyFont="1" applyBorder="1" applyAlignment="1">
      <alignment horizontal="center" vertical="center"/>
    </xf>
    <xf numFmtId="0" fontId="18" fillId="0" borderId="19" xfId="11" applyFont="1" applyBorder="1" applyAlignment="1">
      <alignment horizontal="center" vertical="center"/>
    </xf>
    <xf numFmtId="0" fontId="18" fillId="0" borderId="18" xfId="11" applyFont="1" applyBorder="1" applyAlignment="1">
      <alignment horizontal="center"/>
    </xf>
    <xf numFmtId="0" fontId="18" fillId="0" borderId="19" xfId="11" applyFont="1" applyBorder="1" applyAlignment="1">
      <alignment horizontal="center"/>
    </xf>
    <xf numFmtId="0" fontId="1" fillId="0" borderId="0" xfId="14" applyFont="1" applyAlignment="1">
      <alignment vertical="center"/>
    </xf>
    <xf numFmtId="0" fontId="29" fillId="0" borderId="0" xfId="14" applyFont="1" applyAlignment="1">
      <alignment vertical="center"/>
    </xf>
    <xf numFmtId="0" fontId="1" fillId="0" borderId="0" xfId="14" applyFont="1"/>
    <xf numFmtId="0" fontId="15" fillId="0" borderId="32" xfId="14" applyFont="1" applyBorder="1" applyAlignment="1">
      <alignment vertical="center" wrapText="1"/>
    </xf>
    <xf numFmtId="0" fontId="30" fillId="0" borderId="18" xfId="14" applyFont="1" applyBorder="1" applyAlignment="1">
      <alignment horizontal="center"/>
    </xf>
    <xf numFmtId="4" fontId="30" fillId="0" borderId="18" xfId="14" applyNumberFormat="1" applyFont="1" applyBorder="1"/>
    <xf numFmtId="4" fontId="30" fillId="0" borderId="17" xfId="14" applyNumberFormat="1" applyFont="1" applyBorder="1"/>
    <xf numFmtId="0" fontId="15" fillId="0" borderId="17" xfId="14" applyFont="1" applyBorder="1" applyAlignment="1">
      <alignment vertical="center" wrapText="1"/>
    </xf>
    <xf numFmtId="4" fontId="30" fillId="0" borderId="5" xfId="14" applyNumberFormat="1" applyFont="1" applyBorder="1" applyAlignment="1">
      <alignment vertical="center"/>
    </xf>
    <xf numFmtId="0" fontId="31" fillId="0" borderId="0" xfId="14" applyFont="1"/>
    <xf numFmtId="0" fontId="23" fillId="0" borderId="0" xfId="14" applyFont="1" applyAlignment="1">
      <alignment horizontal="center"/>
    </xf>
    <xf numFmtId="0" fontId="25" fillId="0" borderId="0" xfId="14" applyFont="1" applyAlignment="1">
      <alignment horizontal="center" vertical="center"/>
    </xf>
    <xf numFmtId="0" fontId="15" fillId="4" borderId="1" xfId="14" applyFont="1" applyFill="1" applyBorder="1" applyAlignment="1">
      <alignment horizontal="center" vertical="center"/>
    </xf>
    <xf numFmtId="0" fontId="15" fillId="4" borderId="3" xfId="14" applyFont="1" applyFill="1" applyBorder="1" applyAlignment="1">
      <alignment horizontal="center" vertical="center"/>
    </xf>
    <xf numFmtId="0" fontId="15" fillId="4" borderId="5" xfId="14" applyFont="1" applyFill="1" applyBorder="1" applyAlignment="1">
      <alignment horizontal="center" vertical="center"/>
    </xf>
    <xf numFmtId="0" fontId="15" fillId="4" borderId="1" xfId="14" applyFont="1" applyFill="1" applyBorder="1" applyAlignment="1">
      <alignment horizontal="center" vertical="center" wrapText="1"/>
    </xf>
    <xf numFmtId="0" fontId="15" fillId="4" borderId="3" xfId="14" applyFont="1" applyFill="1" applyBorder="1" applyAlignment="1">
      <alignment horizontal="center" vertical="center" wrapText="1"/>
    </xf>
    <xf numFmtId="0" fontId="15" fillId="4" borderId="5" xfId="14" applyFont="1" applyFill="1" applyBorder="1" applyAlignment="1">
      <alignment horizontal="center" vertical="center" wrapText="1"/>
    </xf>
  </cellXfs>
  <cellStyles count="17">
    <cellStyle name="Dziesiętny 2" xfId="3" xr:uid="{BFCEA198-B5A6-4EF1-8723-5E8521CAD3DC}"/>
    <cellStyle name="Excel Built-in Normal" xfId="4" xr:uid="{0D973522-5471-440E-B74C-241DCBFE695A}"/>
    <cellStyle name="Normalny" xfId="0" builtinId="0"/>
    <cellStyle name="Normalny 10" xfId="14" xr:uid="{C06D3DB3-BD0A-42A2-B93E-C6EB07CD16A5}"/>
    <cellStyle name="Normalny 2" xfId="1" xr:uid="{F4A0727A-16F6-4BB8-93B1-4B9086AD85A6}"/>
    <cellStyle name="Normalny 2 2" xfId="2" xr:uid="{BE1E2D28-7667-4594-A8C7-64F906513484}"/>
    <cellStyle name="Normalny 3" xfId="5" xr:uid="{B757048F-EF6F-4793-91AA-B90652AC92F0}"/>
    <cellStyle name="Normalny 3 2" xfId="11" xr:uid="{67CEEE6D-0969-48F5-98DB-D6AC53B035C7}"/>
    <cellStyle name="Normalny 3 2 2" xfId="15" xr:uid="{348A10C9-7A37-432C-85A3-5F194BF93382}"/>
    <cellStyle name="Normalny 4" xfId="6" xr:uid="{B2465C60-8C82-4AA7-8F41-043A6B5FBEE2}"/>
    <cellStyle name="Normalny 5" xfId="7" xr:uid="{0D5F1684-5C1D-48A7-ABCD-0A8CAA6DAE29}"/>
    <cellStyle name="Normalny 5 2" xfId="16" xr:uid="{4E0237A9-B7D7-41B1-B8A5-5E628816165C}"/>
    <cellStyle name="Normalny 6" xfId="9" xr:uid="{2B0DED10-4C82-4D87-B036-A231710D7ED8}"/>
    <cellStyle name="Normalny 7" xfId="8" xr:uid="{62CD0728-EA2B-4DD2-AD34-21575365BC2A}"/>
    <cellStyle name="Normalny 8" xfId="10" xr:uid="{FCA48B7E-ED27-4C4B-BAF8-DFA7E6989938}"/>
    <cellStyle name="Normalny 9" xfId="12" xr:uid="{36CF2590-5D99-4991-97ED-69A44BBFA5E7}"/>
    <cellStyle name="Zły" xfId="13" builtinId="27"/>
  </cellStyles>
  <dxfs count="0"/>
  <tableStyles count="0" defaultTableStyle="TableStyleMedium2" defaultPivotStyle="PivotStyleLight16"/>
  <colors>
    <mruColors>
      <color rgb="FFCCCC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AD2DE-08FA-4130-AE2D-BA98A9563CEB}">
  <sheetPr>
    <tabColor rgb="FF00FFFF"/>
  </sheetPr>
  <dimension ref="A1:H487"/>
  <sheetViews>
    <sheetView tabSelected="1" zoomScale="150" zoomScaleNormal="150" workbookViewId="0">
      <selection activeCell="I165" sqref="I165"/>
    </sheetView>
  </sheetViews>
  <sheetFormatPr defaultRowHeight="16.5" x14ac:dyDescent="0.3"/>
  <cols>
    <col min="1" max="1" width="3.7109375" style="8" customWidth="1"/>
    <col min="2" max="2" width="5.5703125" style="8" customWidth="1"/>
    <col min="3" max="3" width="5" style="8" customWidth="1"/>
    <col min="4" max="4" width="38.5703125" style="8" customWidth="1"/>
    <col min="5" max="5" width="12.7109375" style="8" customWidth="1"/>
    <col min="6" max="6" width="11.28515625" style="8" customWidth="1"/>
    <col min="7" max="7" width="10.85546875" style="8" customWidth="1"/>
    <col min="8" max="8" width="12.7109375" style="8" customWidth="1"/>
    <col min="9" max="16384" width="9.140625" style="8"/>
  </cols>
  <sheetData>
    <row r="1" spans="1:8" ht="12" customHeight="1" x14ac:dyDescent="0.3">
      <c r="A1" s="5"/>
      <c r="B1" s="5"/>
      <c r="C1" s="6"/>
      <c r="D1" s="7"/>
      <c r="E1" s="7"/>
      <c r="F1" s="7" t="s">
        <v>33</v>
      </c>
      <c r="G1" s="7"/>
      <c r="H1" s="5"/>
    </row>
    <row r="2" spans="1:8" ht="12" customHeight="1" x14ac:dyDescent="0.3">
      <c r="A2" s="5"/>
      <c r="B2" s="5"/>
      <c r="C2" s="6"/>
      <c r="D2" s="7"/>
      <c r="E2" s="7"/>
      <c r="F2" s="7" t="s">
        <v>121</v>
      </c>
      <c r="G2" s="7"/>
      <c r="H2" s="5"/>
    </row>
    <row r="3" spans="1:8" ht="12" customHeight="1" x14ac:dyDescent="0.3">
      <c r="A3" s="5"/>
      <c r="B3" s="5"/>
      <c r="C3" s="6"/>
      <c r="D3" s="7"/>
      <c r="E3" s="7"/>
      <c r="F3" s="5" t="s">
        <v>0</v>
      </c>
      <c r="G3" s="5"/>
      <c r="H3" s="5"/>
    </row>
    <row r="4" spans="1:8" ht="12" customHeight="1" x14ac:dyDescent="0.3">
      <c r="A4" s="5"/>
      <c r="B4" s="5"/>
      <c r="C4" s="6"/>
      <c r="D4" s="7"/>
      <c r="E4" s="7"/>
      <c r="F4" s="7" t="s">
        <v>122</v>
      </c>
      <c r="G4" s="7"/>
      <c r="H4" s="5"/>
    </row>
    <row r="5" spans="1:8" ht="27.75" customHeight="1" x14ac:dyDescent="0.3">
      <c r="A5" s="9" t="s">
        <v>13</v>
      </c>
      <c r="B5" s="10"/>
      <c r="C5" s="11"/>
      <c r="D5" s="11"/>
      <c r="E5" s="10"/>
      <c r="F5" s="10"/>
      <c r="G5" s="9"/>
      <c r="H5" s="10"/>
    </row>
    <row r="6" spans="1:8" ht="29.25" customHeight="1" x14ac:dyDescent="0.3">
      <c r="A6" s="5"/>
      <c r="B6" s="5"/>
      <c r="C6" s="6"/>
      <c r="D6" s="6"/>
      <c r="E6" s="12"/>
      <c r="F6" s="5"/>
      <c r="G6" s="13"/>
      <c r="H6" s="14" t="s">
        <v>1</v>
      </c>
    </row>
    <row r="7" spans="1:8" s="21" customFormat="1" ht="12.75" x14ac:dyDescent="0.25">
      <c r="A7" s="15"/>
      <c r="B7" s="15"/>
      <c r="C7" s="16"/>
      <c r="D7" s="17"/>
      <c r="E7" s="18" t="s">
        <v>2</v>
      </c>
      <c r="F7" s="19"/>
      <c r="G7" s="20"/>
      <c r="H7" s="18" t="s">
        <v>2</v>
      </c>
    </row>
    <row r="8" spans="1:8" s="21" customFormat="1" ht="12.75" x14ac:dyDescent="0.25">
      <c r="A8" s="22" t="s">
        <v>3</v>
      </c>
      <c r="B8" s="22" t="s">
        <v>4</v>
      </c>
      <c r="C8" s="23" t="s">
        <v>5</v>
      </c>
      <c r="D8" s="24" t="s">
        <v>6</v>
      </c>
      <c r="E8" s="22" t="s">
        <v>7</v>
      </c>
      <c r="F8" s="25" t="s">
        <v>8</v>
      </c>
      <c r="G8" s="22" t="s">
        <v>9</v>
      </c>
      <c r="H8" s="22" t="s">
        <v>10</v>
      </c>
    </row>
    <row r="9" spans="1:8" s="21" customFormat="1" ht="4.5" customHeight="1" x14ac:dyDescent="0.25">
      <c r="A9" s="26"/>
      <c r="B9" s="26"/>
      <c r="C9" s="27"/>
      <c r="D9" s="28"/>
      <c r="E9" s="26"/>
      <c r="F9" s="29"/>
      <c r="G9" s="29"/>
      <c r="H9" s="26"/>
    </row>
    <row r="10" spans="1:8" s="21" customFormat="1" ht="19.5" customHeight="1" thickBot="1" x14ac:dyDescent="0.3">
      <c r="A10" s="30"/>
      <c r="B10" s="30"/>
      <c r="C10" s="31"/>
      <c r="D10" s="32" t="s">
        <v>17</v>
      </c>
      <c r="E10" s="33">
        <v>1419411132.7099998</v>
      </c>
      <c r="F10" s="33">
        <f>SUM(F11,F19,F32)</f>
        <v>1401879.8800000001</v>
      </c>
      <c r="G10" s="33">
        <f>SUM(G11,G19,G32)</f>
        <v>0</v>
      </c>
      <c r="H10" s="33">
        <f t="shared" ref="H10:H11" si="0">SUM(E10+F10-G10)</f>
        <v>1420813012.5899999</v>
      </c>
    </row>
    <row r="11" spans="1:8" s="21" customFormat="1" ht="18.75" customHeight="1" thickBot="1" x14ac:dyDescent="0.3">
      <c r="A11" s="30"/>
      <c r="B11" s="30"/>
      <c r="C11" s="31"/>
      <c r="D11" s="34" t="s">
        <v>34</v>
      </c>
      <c r="E11" s="35">
        <v>1237899189.05</v>
      </c>
      <c r="F11" s="35">
        <f>SUM(F12)</f>
        <v>270000</v>
      </c>
      <c r="G11" s="35">
        <f>SUM(G12)</f>
        <v>0</v>
      </c>
      <c r="H11" s="35">
        <f t="shared" si="0"/>
        <v>1238169189.05</v>
      </c>
    </row>
    <row r="12" spans="1:8" s="21" customFormat="1" ht="15.75" customHeight="1" thickTop="1" thickBot="1" x14ac:dyDescent="0.3">
      <c r="A12" s="36">
        <v>801</v>
      </c>
      <c r="B12" s="36"/>
      <c r="C12" s="37"/>
      <c r="D12" s="38" t="s">
        <v>16</v>
      </c>
      <c r="E12" s="35">
        <v>5838224.7500000009</v>
      </c>
      <c r="F12" s="39">
        <f>SUM(F13,F16,)</f>
        <v>270000</v>
      </c>
      <c r="G12" s="39">
        <f>SUM(G13,G16,)</f>
        <v>0</v>
      </c>
      <c r="H12" s="35">
        <f>SUM(E12+F12-G12)</f>
        <v>6108224.7500000009</v>
      </c>
    </row>
    <row r="13" spans="1:8" s="21" customFormat="1" ht="12" customHeight="1" thickTop="1" x14ac:dyDescent="0.25">
      <c r="A13" s="36"/>
      <c r="B13" s="40">
        <v>80101</v>
      </c>
      <c r="C13" s="31"/>
      <c r="D13" s="41" t="s">
        <v>35</v>
      </c>
      <c r="E13" s="42">
        <v>72918</v>
      </c>
      <c r="F13" s="43">
        <f>SUM(F14)</f>
        <v>255000</v>
      </c>
      <c r="G13" s="43">
        <f t="shared" ref="G13" si="1">SUM(G14)</f>
        <v>0</v>
      </c>
      <c r="H13" s="42">
        <f t="shared" ref="H13:H26" si="2">SUM(E13+F13-G13)</f>
        <v>327918</v>
      </c>
    </row>
    <row r="14" spans="1:8" s="21" customFormat="1" ht="12" customHeight="1" x14ac:dyDescent="0.25">
      <c r="A14" s="36"/>
      <c r="B14" s="44"/>
      <c r="C14" s="45"/>
      <c r="D14" s="305" t="s">
        <v>19</v>
      </c>
      <c r="E14" s="306">
        <v>0</v>
      </c>
      <c r="F14" s="307">
        <f>SUM(F15)</f>
        <v>255000</v>
      </c>
      <c r="G14" s="307">
        <f>SUM(G15:G15)</f>
        <v>0</v>
      </c>
      <c r="H14" s="306">
        <f t="shared" si="2"/>
        <v>255000</v>
      </c>
    </row>
    <row r="15" spans="1:8" s="21" customFormat="1" ht="24.75" customHeight="1" x14ac:dyDescent="0.25">
      <c r="A15" s="36"/>
      <c r="B15" s="44"/>
      <c r="C15" s="46" t="s">
        <v>36</v>
      </c>
      <c r="D15" s="47" t="s">
        <v>37</v>
      </c>
      <c r="E15" s="48">
        <v>0</v>
      </c>
      <c r="F15" s="48">
        <v>255000</v>
      </c>
      <c r="G15" s="49"/>
      <c r="H15" s="48">
        <f t="shared" si="2"/>
        <v>255000</v>
      </c>
    </row>
    <row r="16" spans="1:8" s="21" customFormat="1" ht="12" customHeight="1" x14ac:dyDescent="0.25">
      <c r="A16" s="36"/>
      <c r="B16" s="50">
        <v>80104</v>
      </c>
      <c r="C16" s="31"/>
      <c r="D16" s="41" t="s">
        <v>38</v>
      </c>
      <c r="E16" s="42">
        <v>2544518.19</v>
      </c>
      <c r="F16" s="43">
        <f>SUM(F17)</f>
        <v>15000</v>
      </c>
      <c r="G16" s="43">
        <f t="shared" ref="G16" si="3">SUM(G17)</f>
        <v>0</v>
      </c>
      <c r="H16" s="42">
        <f t="shared" si="2"/>
        <v>2559518.19</v>
      </c>
    </row>
    <row r="17" spans="1:8" s="21" customFormat="1" ht="12" customHeight="1" x14ac:dyDescent="0.25">
      <c r="A17" s="36"/>
      <c r="B17" s="44"/>
      <c r="C17" s="45"/>
      <c r="D17" s="305" t="s">
        <v>19</v>
      </c>
      <c r="E17" s="306">
        <v>0</v>
      </c>
      <c r="F17" s="307">
        <f>SUM(F18)</f>
        <v>15000</v>
      </c>
      <c r="G17" s="307">
        <f>SUM(G18:G18)</f>
        <v>0</v>
      </c>
      <c r="H17" s="306">
        <f t="shared" si="2"/>
        <v>15000</v>
      </c>
    </row>
    <row r="18" spans="1:8" s="21" customFormat="1" ht="24" customHeight="1" x14ac:dyDescent="0.25">
      <c r="A18" s="36"/>
      <c r="B18" s="44"/>
      <c r="C18" s="46" t="s">
        <v>36</v>
      </c>
      <c r="D18" s="47" t="s">
        <v>37</v>
      </c>
      <c r="E18" s="48">
        <v>0</v>
      </c>
      <c r="F18" s="48">
        <v>15000</v>
      </c>
      <c r="G18" s="49"/>
      <c r="H18" s="48">
        <f t="shared" si="2"/>
        <v>15000</v>
      </c>
    </row>
    <row r="19" spans="1:8" s="21" customFormat="1" ht="18.75" customHeight="1" thickBot="1" x14ac:dyDescent="0.3">
      <c r="A19" s="30"/>
      <c r="B19" s="30"/>
      <c r="C19" s="31"/>
      <c r="D19" s="34" t="s">
        <v>18</v>
      </c>
      <c r="E19" s="35">
        <v>63972957.069999993</v>
      </c>
      <c r="F19" s="39">
        <f>SUM(F20,F26)</f>
        <v>1045022.33</v>
      </c>
      <c r="G19" s="39">
        <f>SUM(G20,G26)</f>
        <v>0</v>
      </c>
      <c r="H19" s="35">
        <f t="shared" si="2"/>
        <v>65017979.399999991</v>
      </c>
    </row>
    <row r="20" spans="1:8" s="21" customFormat="1" ht="18" customHeight="1" thickTop="1" thickBot="1" x14ac:dyDescent="0.3">
      <c r="A20" s="36">
        <v>801</v>
      </c>
      <c r="B20" s="36"/>
      <c r="C20" s="37"/>
      <c r="D20" s="38" t="s">
        <v>16</v>
      </c>
      <c r="E20" s="39">
        <v>0</v>
      </c>
      <c r="F20" s="39">
        <f t="shared" ref="F20:G20" si="4">SUM(F23)</f>
        <v>1040773.33</v>
      </c>
      <c r="G20" s="39">
        <f t="shared" si="4"/>
        <v>0</v>
      </c>
      <c r="H20" s="39">
        <f t="shared" si="2"/>
        <v>1040773.33</v>
      </c>
    </row>
    <row r="21" spans="1:8" s="21" customFormat="1" ht="12" customHeight="1" thickTop="1" x14ac:dyDescent="0.25">
      <c r="A21" s="36"/>
      <c r="B21" s="40">
        <v>80153</v>
      </c>
      <c r="C21" s="37"/>
      <c r="D21" s="51" t="s">
        <v>39</v>
      </c>
      <c r="E21" s="52"/>
      <c r="F21" s="52"/>
      <c r="G21" s="52"/>
      <c r="H21" s="52"/>
    </row>
    <row r="22" spans="1:8" s="21" customFormat="1" ht="12" customHeight="1" x14ac:dyDescent="0.25">
      <c r="A22" s="36"/>
      <c r="B22" s="53"/>
      <c r="C22" s="37"/>
      <c r="D22" s="51" t="s">
        <v>40</v>
      </c>
      <c r="E22" s="52"/>
      <c r="F22" s="52"/>
      <c r="G22" s="52"/>
      <c r="H22" s="52"/>
    </row>
    <row r="23" spans="1:8" s="21" customFormat="1" ht="12" customHeight="1" x14ac:dyDescent="0.25">
      <c r="A23" s="36"/>
      <c r="B23" s="40"/>
      <c r="C23" s="31"/>
      <c r="D23" s="41" t="s">
        <v>41</v>
      </c>
      <c r="E23" s="42">
        <v>0</v>
      </c>
      <c r="F23" s="43">
        <f>SUM(F24)</f>
        <v>1040773.33</v>
      </c>
      <c r="G23" s="43">
        <f>SUM(G24)</f>
        <v>0</v>
      </c>
      <c r="H23" s="42">
        <f t="shared" si="2"/>
        <v>1040773.33</v>
      </c>
    </row>
    <row r="24" spans="1:8" s="21" customFormat="1" ht="12" customHeight="1" x14ac:dyDescent="0.25">
      <c r="A24" s="53"/>
      <c r="B24" s="40"/>
      <c r="C24" s="31"/>
      <c r="D24" s="308" t="s">
        <v>19</v>
      </c>
      <c r="E24" s="306">
        <v>0</v>
      </c>
      <c r="F24" s="307">
        <f>SUM(F25)</f>
        <v>1040773.33</v>
      </c>
      <c r="G24" s="307">
        <f>SUM(G25)</f>
        <v>0</v>
      </c>
      <c r="H24" s="306">
        <f t="shared" si="2"/>
        <v>1040773.33</v>
      </c>
    </row>
    <row r="25" spans="1:8" s="21" customFormat="1" ht="36.75" customHeight="1" x14ac:dyDescent="0.25">
      <c r="A25" s="53"/>
      <c r="B25" s="53"/>
      <c r="C25" s="46" t="s">
        <v>20</v>
      </c>
      <c r="D25" s="54" t="s">
        <v>21</v>
      </c>
      <c r="E25" s="48">
        <v>0</v>
      </c>
      <c r="F25" s="48">
        <v>1040773.33</v>
      </c>
      <c r="G25" s="48"/>
      <c r="H25" s="49">
        <f t="shared" si="2"/>
        <v>1040773.33</v>
      </c>
    </row>
    <row r="26" spans="1:8" s="21" customFormat="1" ht="12" customHeight="1" thickBot="1" x14ac:dyDescent="0.3">
      <c r="A26" s="53">
        <v>855</v>
      </c>
      <c r="B26" s="53"/>
      <c r="C26" s="37"/>
      <c r="D26" s="38" t="s">
        <v>42</v>
      </c>
      <c r="E26" s="39">
        <v>49327887.369999997</v>
      </c>
      <c r="F26" s="39">
        <f>SUM(F29,)</f>
        <v>4249</v>
      </c>
      <c r="G26" s="39">
        <f>SUM(G27,G32,)</f>
        <v>0</v>
      </c>
      <c r="H26" s="39">
        <f t="shared" si="2"/>
        <v>49332136.369999997</v>
      </c>
    </row>
    <row r="27" spans="1:8" s="21" customFormat="1" ht="12" customHeight="1" thickTop="1" x14ac:dyDescent="0.25">
      <c r="A27" s="53"/>
      <c r="B27" s="40">
        <v>85513</v>
      </c>
      <c r="C27" s="31"/>
      <c r="D27" s="40" t="s">
        <v>43</v>
      </c>
      <c r="E27" s="48"/>
      <c r="F27" s="49"/>
      <c r="G27" s="49"/>
      <c r="H27" s="49"/>
    </row>
    <row r="28" spans="1:8" s="21" customFormat="1" ht="12" customHeight="1" x14ac:dyDescent="0.25">
      <c r="A28" s="53"/>
      <c r="B28" s="30"/>
      <c r="C28" s="31"/>
      <c r="D28" s="55" t="s">
        <v>44</v>
      </c>
      <c r="E28" s="48"/>
      <c r="F28" s="49"/>
      <c r="G28" s="49"/>
      <c r="H28" s="49"/>
    </row>
    <row r="29" spans="1:8" s="21" customFormat="1" ht="12" customHeight="1" x14ac:dyDescent="0.25">
      <c r="A29" s="53"/>
      <c r="B29" s="40"/>
      <c r="C29" s="31"/>
      <c r="D29" s="41" t="s">
        <v>45</v>
      </c>
      <c r="E29" s="42">
        <v>844453.22</v>
      </c>
      <c r="F29" s="43">
        <f t="shared" ref="F29:G30" si="5">SUM(F30)</f>
        <v>4249</v>
      </c>
      <c r="G29" s="43">
        <f t="shared" si="5"/>
        <v>0</v>
      </c>
      <c r="H29" s="42">
        <f t="shared" ref="H29:H30" si="6">SUM(E29+F29-G29)</f>
        <v>848702.22</v>
      </c>
    </row>
    <row r="30" spans="1:8" s="21" customFormat="1" ht="12" customHeight="1" x14ac:dyDescent="0.25">
      <c r="A30" s="53"/>
      <c r="B30" s="40"/>
      <c r="C30" s="31"/>
      <c r="D30" s="308" t="s">
        <v>19</v>
      </c>
      <c r="E30" s="306">
        <v>844453.22</v>
      </c>
      <c r="F30" s="307">
        <f t="shared" si="5"/>
        <v>4249</v>
      </c>
      <c r="G30" s="307">
        <f t="shared" si="5"/>
        <v>0</v>
      </c>
      <c r="H30" s="306">
        <f t="shared" si="6"/>
        <v>848702.22</v>
      </c>
    </row>
    <row r="31" spans="1:8" s="21" customFormat="1" ht="36.75" customHeight="1" x14ac:dyDescent="0.25">
      <c r="A31" s="53"/>
      <c r="B31" s="53"/>
      <c r="C31" s="46" t="s">
        <v>20</v>
      </c>
      <c r="D31" s="56" t="s">
        <v>21</v>
      </c>
      <c r="E31" s="49">
        <v>844453.22</v>
      </c>
      <c r="F31" s="48">
        <v>4249</v>
      </c>
      <c r="G31" s="48"/>
      <c r="H31" s="49">
        <f>SUM(E31+F31-G31)</f>
        <v>848702.22</v>
      </c>
    </row>
    <row r="32" spans="1:8" s="21" customFormat="1" ht="18" customHeight="1" thickBot="1" x14ac:dyDescent="0.3">
      <c r="A32" s="30"/>
      <c r="B32" s="30"/>
      <c r="C32" s="31"/>
      <c r="D32" s="34" t="s">
        <v>46</v>
      </c>
      <c r="E32" s="35">
        <v>27847014.170000002</v>
      </c>
      <c r="F32" s="35">
        <f>SUM(F33,)</f>
        <v>86857.55</v>
      </c>
      <c r="G32" s="35">
        <f>SUM(G33,)</f>
        <v>0</v>
      </c>
      <c r="H32" s="35">
        <f t="shared" ref="H32" si="7">SUM(E32+F32-G32)</f>
        <v>27933871.720000003</v>
      </c>
    </row>
    <row r="33" spans="1:8" s="21" customFormat="1" ht="18" customHeight="1" thickTop="1" thickBot="1" x14ac:dyDescent="0.3">
      <c r="A33" s="36">
        <v>801</v>
      </c>
      <c r="B33" s="36"/>
      <c r="C33" s="37"/>
      <c r="D33" s="38" t="s">
        <v>16</v>
      </c>
      <c r="E33" s="35">
        <v>0</v>
      </c>
      <c r="F33" s="35">
        <f>SUM(F36)</f>
        <v>86857.55</v>
      </c>
      <c r="G33" s="35">
        <f>SUM(G36)</f>
        <v>0</v>
      </c>
      <c r="H33" s="35">
        <f>SUM(E33+F33-G33)</f>
        <v>86857.55</v>
      </c>
    </row>
    <row r="34" spans="1:8" s="21" customFormat="1" ht="12" customHeight="1" thickTop="1" x14ac:dyDescent="0.25">
      <c r="A34" s="36"/>
      <c r="B34" s="40">
        <v>80153</v>
      </c>
      <c r="C34" s="37"/>
      <c r="D34" s="51" t="s">
        <v>39</v>
      </c>
      <c r="E34" s="57"/>
      <c r="F34" s="57"/>
      <c r="G34" s="57"/>
      <c r="H34" s="57"/>
    </row>
    <row r="35" spans="1:8" s="21" customFormat="1" ht="12" customHeight="1" x14ac:dyDescent="0.25">
      <c r="A35" s="36"/>
      <c r="B35" s="53"/>
      <c r="C35" s="37"/>
      <c r="D35" s="51" t="s">
        <v>40</v>
      </c>
      <c r="E35" s="57"/>
      <c r="F35" s="57"/>
      <c r="G35" s="57"/>
      <c r="H35" s="57"/>
    </row>
    <row r="36" spans="1:8" s="21" customFormat="1" ht="12" customHeight="1" x14ac:dyDescent="0.25">
      <c r="A36" s="36"/>
      <c r="B36" s="40"/>
      <c r="C36" s="31"/>
      <c r="D36" s="41" t="s">
        <v>41</v>
      </c>
      <c r="E36" s="42">
        <v>0</v>
      </c>
      <c r="F36" s="42">
        <f t="shared" ref="F36:G37" si="8">SUM(F37)</f>
        <v>86857.55</v>
      </c>
      <c r="G36" s="42">
        <f t="shared" si="8"/>
        <v>0</v>
      </c>
      <c r="H36" s="42">
        <f>SUM(E36+F36-G36)</f>
        <v>86857.55</v>
      </c>
    </row>
    <row r="37" spans="1:8" s="21" customFormat="1" ht="12" customHeight="1" x14ac:dyDescent="0.25">
      <c r="A37" s="36"/>
      <c r="B37" s="40"/>
      <c r="C37" s="31"/>
      <c r="D37" s="308" t="s">
        <v>19</v>
      </c>
      <c r="E37" s="306">
        <v>0</v>
      </c>
      <c r="F37" s="307">
        <f t="shared" si="8"/>
        <v>86857.55</v>
      </c>
      <c r="G37" s="307">
        <f t="shared" si="8"/>
        <v>0</v>
      </c>
      <c r="H37" s="306">
        <f>SUM(E37+F37-G37)</f>
        <v>86857.55</v>
      </c>
    </row>
    <row r="38" spans="1:8" s="21" customFormat="1" ht="35.25" customHeight="1" x14ac:dyDescent="0.25">
      <c r="A38" s="36"/>
      <c r="B38" s="53"/>
      <c r="C38" s="58">
        <v>2110</v>
      </c>
      <c r="D38" s="59" t="s">
        <v>47</v>
      </c>
      <c r="E38" s="49">
        <v>0</v>
      </c>
      <c r="F38" s="48">
        <v>86857.55</v>
      </c>
      <c r="G38" s="48"/>
      <c r="H38" s="49">
        <f t="shared" ref="H38:H40" si="9">SUM(E38+F38-G38)</f>
        <v>86857.55</v>
      </c>
    </row>
    <row r="39" spans="1:8" s="21" customFormat="1" ht="18.75" customHeight="1" thickBot="1" x14ac:dyDescent="0.3">
      <c r="A39" s="40"/>
      <c r="B39" s="40"/>
      <c r="C39" s="31"/>
      <c r="D39" s="32" t="s">
        <v>11</v>
      </c>
      <c r="E39" s="33">
        <v>1581498760.9499993</v>
      </c>
      <c r="F39" s="33">
        <f>SUM(F40,F231,F247)</f>
        <v>35360154.359999999</v>
      </c>
      <c r="G39" s="33">
        <f>SUM(G40,G231,G247)</f>
        <v>33958274.480000004</v>
      </c>
      <c r="H39" s="33">
        <f t="shared" si="9"/>
        <v>1582900640.8299992</v>
      </c>
    </row>
    <row r="40" spans="1:8" s="21" customFormat="1" ht="18.75" customHeight="1" thickBot="1" x14ac:dyDescent="0.3">
      <c r="A40" s="40"/>
      <c r="B40" s="40"/>
      <c r="C40" s="31"/>
      <c r="D40" s="34" t="s">
        <v>14</v>
      </c>
      <c r="E40" s="35">
        <v>1082139841.5699999</v>
      </c>
      <c r="F40" s="35">
        <f>SUM(F41,F213)</f>
        <v>34228274.480000004</v>
      </c>
      <c r="G40" s="35">
        <f>SUM(G41,G213)</f>
        <v>33958274.480000004</v>
      </c>
      <c r="H40" s="35">
        <f t="shared" si="9"/>
        <v>1082409841.5699999</v>
      </c>
    </row>
    <row r="41" spans="1:8" s="21" customFormat="1" ht="15.75" customHeight="1" thickTop="1" thickBot="1" x14ac:dyDescent="0.3">
      <c r="A41" s="53">
        <v>801</v>
      </c>
      <c r="B41" s="53"/>
      <c r="C41" s="37"/>
      <c r="D41" s="38" t="s">
        <v>16</v>
      </c>
      <c r="E41" s="2">
        <v>260704473.18999997</v>
      </c>
      <c r="F41" s="39">
        <f>SUM(F42,F71,F86,F114,F130,F135,F153,F165,F174)</f>
        <v>34179218.570000008</v>
      </c>
      <c r="G41" s="39">
        <f>SUM(G42,G71,G86,G114,G130,G135,G153,G165,G174)</f>
        <v>33909218.570000008</v>
      </c>
      <c r="H41" s="35">
        <f>SUM(E41+F41-G41)</f>
        <v>260974473.19</v>
      </c>
    </row>
    <row r="42" spans="1:8" s="21" customFormat="1" ht="12" customHeight="1" thickTop="1" x14ac:dyDescent="0.25">
      <c r="A42" s="53"/>
      <c r="B42" s="40">
        <v>80101</v>
      </c>
      <c r="C42" s="31"/>
      <c r="D42" s="41" t="s">
        <v>35</v>
      </c>
      <c r="E42" s="42">
        <v>128660475.81</v>
      </c>
      <c r="F42" s="43">
        <f>SUM(F43)</f>
        <v>19335365.320000004</v>
      </c>
      <c r="G42" s="43">
        <f>SUM(G43)</f>
        <v>19080365.320000004</v>
      </c>
      <c r="H42" s="42">
        <f t="shared" ref="H42:H70" si="10">SUM(E42+F42-G42)</f>
        <v>128915475.80999999</v>
      </c>
    </row>
    <row r="43" spans="1:8" s="21" customFormat="1" ht="12" customHeight="1" x14ac:dyDescent="0.25">
      <c r="A43" s="53"/>
      <c r="B43" s="40"/>
      <c r="C43" s="31"/>
      <c r="D43" s="309" t="s">
        <v>23</v>
      </c>
      <c r="E43" s="306">
        <v>111440891.45</v>
      </c>
      <c r="F43" s="306">
        <f>SUM(F44:F70)</f>
        <v>19335365.320000004</v>
      </c>
      <c r="G43" s="306">
        <f>SUM(G44:G70)</f>
        <v>19080365.320000004</v>
      </c>
      <c r="H43" s="306">
        <f t="shared" si="10"/>
        <v>111695891.45</v>
      </c>
    </row>
    <row r="44" spans="1:8" s="21" customFormat="1" ht="12" customHeight="1" x14ac:dyDescent="0.25">
      <c r="A44" s="53"/>
      <c r="B44" s="40"/>
      <c r="C44" s="60">
        <v>3020</v>
      </c>
      <c r="D44" s="51" t="s">
        <v>48</v>
      </c>
      <c r="E44" s="4">
        <v>443179</v>
      </c>
      <c r="F44" s="48">
        <v>114492.85</v>
      </c>
      <c r="G44" s="48">
        <v>114492.85</v>
      </c>
      <c r="H44" s="48">
        <f t="shared" si="10"/>
        <v>443179</v>
      </c>
    </row>
    <row r="45" spans="1:8" s="21" customFormat="1" ht="12" customHeight="1" x14ac:dyDescent="0.25">
      <c r="A45" s="53"/>
      <c r="B45" s="40"/>
      <c r="C45" s="60">
        <v>4010</v>
      </c>
      <c r="D45" s="51" t="s">
        <v>49</v>
      </c>
      <c r="E45" s="4">
        <v>14533076.539999999</v>
      </c>
      <c r="F45" s="48">
        <v>2389573.19</v>
      </c>
      <c r="G45" s="48">
        <v>2389573.19</v>
      </c>
      <c r="H45" s="48">
        <f t="shared" si="10"/>
        <v>14533076.540000001</v>
      </c>
    </row>
    <row r="46" spans="1:8" s="21" customFormat="1" ht="12" customHeight="1" x14ac:dyDescent="0.25">
      <c r="A46" s="53"/>
      <c r="B46" s="40"/>
      <c r="C46" s="58">
        <v>4040</v>
      </c>
      <c r="D46" s="51" t="s">
        <v>50</v>
      </c>
      <c r="E46" s="4">
        <v>1152967.52</v>
      </c>
      <c r="F46" s="48">
        <v>19744.310000000001</v>
      </c>
      <c r="G46" s="48">
        <v>19744.310000000001</v>
      </c>
      <c r="H46" s="48">
        <f t="shared" si="10"/>
        <v>1152967.52</v>
      </c>
    </row>
    <row r="47" spans="1:8" s="21" customFormat="1" ht="12" customHeight="1" x14ac:dyDescent="0.25">
      <c r="A47" s="53"/>
      <c r="B47" s="40"/>
      <c r="C47" s="58">
        <v>4110</v>
      </c>
      <c r="D47" s="51" t="s">
        <v>24</v>
      </c>
      <c r="E47" s="4">
        <v>14331761</v>
      </c>
      <c r="F47" s="48">
        <v>2500163.7000000002</v>
      </c>
      <c r="G47" s="48">
        <v>2500163.7000000002</v>
      </c>
      <c r="H47" s="48">
        <f t="shared" si="10"/>
        <v>14331761</v>
      </c>
    </row>
    <row r="48" spans="1:8" s="21" customFormat="1" ht="12" customHeight="1" x14ac:dyDescent="0.25">
      <c r="A48" s="61"/>
      <c r="B48" s="62"/>
      <c r="C48" s="63">
        <v>4120</v>
      </c>
      <c r="D48" s="41" t="s">
        <v>12</v>
      </c>
      <c r="E48" s="64">
        <v>1958935</v>
      </c>
      <c r="F48" s="42">
        <v>575096.56000000006</v>
      </c>
      <c r="G48" s="42">
        <v>575096.56000000006</v>
      </c>
      <c r="H48" s="42">
        <f t="shared" si="10"/>
        <v>1958935</v>
      </c>
    </row>
    <row r="49" spans="1:8" s="21" customFormat="1" ht="12" customHeight="1" x14ac:dyDescent="0.25">
      <c r="A49" s="53"/>
      <c r="B49" s="40"/>
      <c r="C49" s="58">
        <v>4140</v>
      </c>
      <c r="D49" s="59" t="s">
        <v>51</v>
      </c>
      <c r="E49" s="4">
        <v>103902</v>
      </c>
      <c r="F49" s="48">
        <v>61777</v>
      </c>
      <c r="G49" s="48">
        <v>61777</v>
      </c>
      <c r="H49" s="48">
        <f t="shared" si="10"/>
        <v>103902</v>
      </c>
    </row>
    <row r="50" spans="1:8" s="21" customFormat="1" ht="12" customHeight="1" x14ac:dyDescent="0.25">
      <c r="A50" s="53"/>
      <c r="B50" s="40"/>
      <c r="C50" s="58">
        <v>4170</v>
      </c>
      <c r="D50" s="51" t="s">
        <v>52</v>
      </c>
      <c r="E50" s="4">
        <v>75191</v>
      </c>
      <c r="F50" s="48">
        <v>26059.040000000001</v>
      </c>
      <c r="G50" s="48">
        <v>26059.040000000001</v>
      </c>
      <c r="H50" s="48">
        <f t="shared" si="10"/>
        <v>75191</v>
      </c>
    </row>
    <row r="51" spans="1:8" s="21" customFormat="1" ht="12" customHeight="1" x14ac:dyDescent="0.25">
      <c r="A51" s="53"/>
      <c r="B51" s="40"/>
      <c r="C51" s="50">
        <v>4210</v>
      </c>
      <c r="D51" s="51" t="s">
        <v>32</v>
      </c>
      <c r="E51" s="48">
        <v>776723.96</v>
      </c>
      <c r="F51" s="48">
        <v>143194.42000000001</v>
      </c>
      <c r="G51" s="48">
        <v>143194.42000000001</v>
      </c>
      <c r="H51" s="48">
        <f t="shared" si="10"/>
        <v>776723.96</v>
      </c>
    </row>
    <row r="52" spans="1:8" s="21" customFormat="1" ht="12" customHeight="1" x14ac:dyDescent="0.25">
      <c r="A52" s="53"/>
      <c r="B52" s="40"/>
      <c r="C52" s="50">
        <v>4240</v>
      </c>
      <c r="D52" s="51" t="s">
        <v>53</v>
      </c>
      <c r="E52" s="48">
        <v>289670.5</v>
      </c>
      <c r="F52" s="48">
        <f>157008.13+255000</f>
        <v>412008.13</v>
      </c>
      <c r="G52" s="48">
        <f>157008.13</f>
        <v>157008.13</v>
      </c>
      <c r="H52" s="48">
        <f t="shared" si="10"/>
        <v>544670.5</v>
      </c>
    </row>
    <row r="53" spans="1:8" s="21" customFormat="1" ht="12" customHeight="1" x14ac:dyDescent="0.25">
      <c r="A53" s="53"/>
      <c r="B53" s="40"/>
      <c r="C53" s="50">
        <v>4260</v>
      </c>
      <c r="D53" s="51" t="s">
        <v>54</v>
      </c>
      <c r="E53" s="48">
        <v>7148944</v>
      </c>
      <c r="F53" s="48">
        <v>2076895.35</v>
      </c>
      <c r="G53" s="48">
        <v>2076895.35</v>
      </c>
      <c r="H53" s="48">
        <f t="shared" si="10"/>
        <v>7148944</v>
      </c>
    </row>
    <row r="54" spans="1:8" s="21" customFormat="1" ht="12" customHeight="1" x14ac:dyDescent="0.25">
      <c r="A54" s="53"/>
      <c r="B54" s="40"/>
      <c r="C54" s="58">
        <v>4270</v>
      </c>
      <c r="D54" s="51" t="s">
        <v>15</v>
      </c>
      <c r="E54" s="48">
        <v>458565</v>
      </c>
      <c r="F54" s="48">
        <v>167590.76</v>
      </c>
      <c r="G54" s="48">
        <v>167590.76</v>
      </c>
      <c r="H54" s="48">
        <f t="shared" si="10"/>
        <v>458565</v>
      </c>
    </row>
    <row r="55" spans="1:8" s="21" customFormat="1" ht="12" customHeight="1" x14ac:dyDescent="0.25">
      <c r="A55" s="53"/>
      <c r="B55" s="40"/>
      <c r="C55" s="58">
        <v>4280</v>
      </c>
      <c r="D55" s="51" t="s">
        <v>55</v>
      </c>
      <c r="E55" s="48">
        <v>115820</v>
      </c>
      <c r="F55" s="48">
        <v>42950</v>
      </c>
      <c r="G55" s="48">
        <v>42950</v>
      </c>
      <c r="H55" s="48">
        <f t="shared" si="10"/>
        <v>115820</v>
      </c>
    </row>
    <row r="56" spans="1:8" s="21" customFormat="1" ht="12" customHeight="1" x14ac:dyDescent="0.25">
      <c r="A56" s="53"/>
      <c r="B56" s="40"/>
      <c r="C56" s="50">
        <v>4300</v>
      </c>
      <c r="D56" s="51" t="s">
        <v>56</v>
      </c>
      <c r="E56" s="48">
        <v>1266953.2</v>
      </c>
      <c r="F56" s="48">
        <v>246058.48</v>
      </c>
      <c r="G56" s="48">
        <v>246058.48</v>
      </c>
      <c r="H56" s="48">
        <f t="shared" si="10"/>
        <v>1266953.2</v>
      </c>
    </row>
    <row r="57" spans="1:8" s="21" customFormat="1" ht="12" customHeight="1" x14ac:dyDescent="0.25">
      <c r="A57" s="53"/>
      <c r="B57" s="40"/>
      <c r="C57" s="50">
        <v>4360</v>
      </c>
      <c r="D57" s="51" t="s">
        <v>57</v>
      </c>
      <c r="E57" s="48">
        <v>60104</v>
      </c>
      <c r="F57" s="48">
        <v>21265</v>
      </c>
      <c r="G57" s="48">
        <v>21265</v>
      </c>
      <c r="H57" s="48">
        <f t="shared" si="10"/>
        <v>60104</v>
      </c>
    </row>
    <row r="58" spans="1:8" s="21" customFormat="1" ht="12" customHeight="1" x14ac:dyDescent="0.25">
      <c r="A58" s="53"/>
      <c r="B58" s="40"/>
      <c r="C58" s="50">
        <v>4390</v>
      </c>
      <c r="D58" s="59" t="s">
        <v>58</v>
      </c>
      <c r="E58" s="48">
        <v>21039.79</v>
      </c>
      <c r="F58" s="48">
        <v>14024.24</v>
      </c>
      <c r="G58" s="48">
        <v>14024.24</v>
      </c>
      <c r="H58" s="48">
        <f t="shared" si="10"/>
        <v>21039.79</v>
      </c>
    </row>
    <row r="59" spans="1:8" s="21" customFormat="1" ht="12" customHeight="1" x14ac:dyDescent="0.25">
      <c r="A59" s="53"/>
      <c r="B59" s="40"/>
      <c r="C59" s="50">
        <v>4410</v>
      </c>
      <c r="D59" s="51" t="s">
        <v>59</v>
      </c>
      <c r="E59" s="48">
        <v>33652.21</v>
      </c>
      <c r="F59" s="48">
        <v>16114.62</v>
      </c>
      <c r="G59" s="48">
        <v>16114.62</v>
      </c>
      <c r="H59" s="48">
        <f t="shared" si="10"/>
        <v>33652.21</v>
      </c>
    </row>
    <row r="60" spans="1:8" s="21" customFormat="1" ht="12" customHeight="1" x14ac:dyDescent="0.25">
      <c r="A60" s="53"/>
      <c r="B60" s="40"/>
      <c r="C60" s="50">
        <v>4430</v>
      </c>
      <c r="D60" s="5" t="s">
        <v>60</v>
      </c>
      <c r="E60" s="48">
        <v>10856</v>
      </c>
      <c r="F60" s="48">
        <v>4015.8</v>
      </c>
      <c r="G60" s="48">
        <v>4015.8</v>
      </c>
      <c r="H60" s="48">
        <f t="shared" si="10"/>
        <v>10856</v>
      </c>
    </row>
    <row r="61" spans="1:8" s="21" customFormat="1" ht="12" customHeight="1" x14ac:dyDescent="0.25">
      <c r="A61" s="53"/>
      <c r="B61" s="40"/>
      <c r="C61" s="50">
        <v>4440</v>
      </c>
      <c r="D61" s="5" t="s">
        <v>61</v>
      </c>
      <c r="E61" s="48">
        <v>4091937</v>
      </c>
      <c r="F61" s="48">
        <v>742240.88</v>
      </c>
      <c r="G61" s="48">
        <v>742240.88</v>
      </c>
      <c r="H61" s="48">
        <f t="shared" si="10"/>
        <v>4091937</v>
      </c>
    </row>
    <row r="62" spans="1:8" s="21" customFormat="1" ht="12" customHeight="1" x14ac:dyDescent="0.25">
      <c r="A62" s="53"/>
      <c r="B62" s="40"/>
      <c r="C62" s="50">
        <v>4510</v>
      </c>
      <c r="D62" s="5" t="s">
        <v>62</v>
      </c>
      <c r="E62" s="48">
        <v>888</v>
      </c>
      <c r="F62" s="48">
        <v>888</v>
      </c>
      <c r="G62" s="48">
        <v>888</v>
      </c>
      <c r="H62" s="48">
        <f t="shared" si="10"/>
        <v>888</v>
      </c>
    </row>
    <row r="63" spans="1:8" s="21" customFormat="1" ht="12" customHeight="1" x14ac:dyDescent="0.25">
      <c r="A63" s="53"/>
      <c r="B63" s="40"/>
      <c r="C63" s="50">
        <v>4520</v>
      </c>
      <c r="D63" s="65" t="s">
        <v>63</v>
      </c>
      <c r="E63" s="48">
        <v>285</v>
      </c>
      <c r="F63" s="48">
        <v>0.5</v>
      </c>
      <c r="G63" s="48">
        <v>0.5</v>
      </c>
      <c r="H63" s="48">
        <f t="shared" si="10"/>
        <v>285</v>
      </c>
    </row>
    <row r="64" spans="1:8" s="21" customFormat="1" ht="12" customHeight="1" x14ac:dyDescent="0.25">
      <c r="A64" s="53"/>
      <c r="B64" s="40"/>
      <c r="C64" s="50">
        <v>4530</v>
      </c>
      <c r="D64" s="51" t="s">
        <v>64</v>
      </c>
      <c r="E64" s="48">
        <v>262</v>
      </c>
      <c r="F64" s="48">
        <v>102</v>
      </c>
      <c r="G64" s="48">
        <v>102</v>
      </c>
      <c r="H64" s="48">
        <f t="shared" si="10"/>
        <v>262</v>
      </c>
    </row>
    <row r="65" spans="1:8" s="21" customFormat="1" ht="12" customHeight="1" x14ac:dyDescent="0.25">
      <c r="A65" s="53"/>
      <c r="B65" s="40"/>
      <c r="C65" s="50">
        <v>4580</v>
      </c>
      <c r="D65" s="51" t="s">
        <v>65</v>
      </c>
      <c r="E65" s="48">
        <v>40</v>
      </c>
      <c r="F65" s="48">
        <v>40</v>
      </c>
      <c r="G65" s="48">
        <v>40</v>
      </c>
      <c r="H65" s="48">
        <f t="shared" si="10"/>
        <v>40</v>
      </c>
    </row>
    <row r="66" spans="1:8" s="21" customFormat="1" ht="12" customHeight="1" x14ac:dyDescent="0.25">
      <c r="A66" s="53"/>
      <c r="B66" s="40"/>
      <c r="C66" s="50">
        <v>4610</v>
      </c>
      <c r="D66" s="40" t="s">
        <v>66</v>
      </c>
      <c r="E66" s="48">
        <v>680</v>
      </c>
      <c r="F66" s="48">
        <v>680</v>
      </c>
      <c r="G66" s="48">
        <v>680</v>
      </c>
      <c r="H66" s="48">
        <f t="shared" si="10"/>
        <v>680</v>
      </c>
    </row>
    <row r="67" spans="1:8" s="21" customFormat="1" ht="12" customHeight="1" x14ac:dyDescent="0.25">
      <c r="A67" s="53"/>
      <c r="B67" s="40"/>
      <c r="C67" s="58">
        <v>4700</v>
      </c>
      <c r="D67" s="66" t="s">
        <v>67</v>
      </c>
      <c r="E67" s="48">
        <v>107186</v>
      </c>
      <c r="F67" s="48">
        <v>39106.160000000003</v>
      </c>
      <c r="G67" s="48">
        <v>39106.160000000003</v>
      </c>
      <c r="H67" s="48">
        <f t="shared" si="10"/>
        <v>107186</v>
      </c>
    </row>
    <row r="68" spans="1:8" s="21" customFormat="1" ht="12" customHeight="1" x14ac:dyDescent="0.25">
      <c r="A68" s="53"/>
      <c r="B68" s="40"/>
      <c r="C68" s="67">
        <v>4710</v>
      </c>
      <c r="D68" s="66" t="s">
        <v>68</v>
      </c>
      <c r="E68" s="48">
        <v>339305</v>
      </c>
      <c r="F68" s="48">
        <v>90454.1</v>
      </c>
      <c r="G68" s="48">
        <v>90454.1</v>
      </c>
      <c r="H68" s="48">
        <f t="shared" si="10"/>
        <v>339305</v>
      </c>
    </row>
    <row r="69" spans="1:8" s="21" customFormat="1" ht="12" customHeight="1" x14ac:dyDescent="0.25">
      <c r="A69" s="53"/>
      <c r="B69" s="40"/>
      <c r="C69" s="50">
        <v>4790</v>
      </c>
      <c r="D69" s="21" t="s">
        <v>25</v>
      </c>
      <c r="E69" s="48">
        <v>59416557.640000001</v>
      </c>
      <c r="F69" s="48">
        <v>9579197.8900000006</v>
      </c>
      <c r="G69" s="48">
        <v>9579197.8900000006</v>
      </c>
      <c r="H69" s="48">
        <f t="shared" si="10"/>
        <v>59416557.640000001</v>
      </c>
    </row>
    <row r="70" spans="1:8" s="21" customFormat="1" ht="12" customHeight="1" x14ac:dyDescent="0.25">
      <c r="A70" s="53"/>
      <c r="B70" s="40"/>
      <c r="C70" s="60">
        <v>4800</v>
      </c>
      <c r="D70" s="21" t="s">
        <v>69</v>
      </c>
      <c r="E70" s="49">
        <v>4609881.09</v>
      </c>
      <c r="F70" s="49">
        <v>51632.34</v>
      </c>
      <c r="G70" s="49">
        <v>51632.34</v>
      </c>
      <c r="H70" s="48">
        <f t="shared" si="10"/>
        <v>4609881.09</v>
      </c>
    </row>
    <row r="71" spans="1:8" s="21" customFormat="1" ht="12" customHeight="1" x14ac:dyDescent="0.25">
      <c r="A71" s="53"/>
      <c r="B71" s="40">
        <v>80103</v>
      </c>
      <c r="C71" s="31"/>
      <c r="D71" s="68" t="s">
        <v>70</v>
      </c>
      <c r="E71" s="43">
        <v>590513.39</v>
      </c>
      <c r="F71" s="43">
        <f>F72</f>
        <v>55553.259999999995</v>
      </c>
      <c r="G71" s="43">
        <f>SUM(G72)</f>
        <v>55553.259999999995</v>
      </c>
      <c r="H71" s="42">
        <f>SUM(E71+F71-G71)</f>
        <v>590513.39</v>
      </c>
    </row>
    <row r="72" spans="1:8" s="21" customFormat="1" ht="12" customHeight="1" x14ac:dyDescent="0.25">
      <c r="A72" s="53"/>
      <c r="B72" s="40"/>
      <c r="C72" s="31"/>
      <c r="D72" s="309" t="s">
        <v>23</v>
      </c>
      <c r="E72" s="306">
        <v>392134.19</v>
      </c>
      <c r="F72" s="306">
        <f>SUM(F73:F85)</f>
        <v>55553.259999999995</v>
      </c>
      <c r="G72" s="306">
        <f>SUM(G73:G85)</f>
        <v>55553.259999999995</v>
      </c>
      <c r="H72" s="306">
        <f>SUM(E72+F72-G72)</f>
        <v>392134.19</v>
      </c>
    </row>
    <row r="73" spans="1:8" s="21" customFormat="1" ht="12" customHeight="1" x14ac:dyDescent="0.25">
      <c r="A73" s="53"/>
      <c r="B73" s="40"/>
      <c r="C73" s="31" t="s">
        <v>71</v>
      </c>
      <c r="D73" s="51" t="s">
        <v>24</v>
      </c>
      <c r="E73" s="48">
        <v>46972</v>
      </c>
      <c r="F73" s="48">
        <v>4881.0200000000004</v>
      </c>
      <c r="G73" s="48">
        <v>4881.0200000000004</v>
      </c>
      <c r="H73" s="48">
        <f t="shared" ref="H73:H85" si="11">SUM(E73+F73-G73)</f>
        <v>46972</v>
      </c>
    </row>
    <row r="74" spans="1:8" s="21" customFormat="1" ht="12" customHeight="1" x14ac:dyDescent="0.25">
      <c r="A74" s="53"/>
      <c r="B74" s="40"/>
      <c r="C74" s="31" t="s">
        <v>72</v>
      </c>
      <c r="D74" s="51" t="s">
        <v>12</v>
      </c>
      <c r="E74" s="48">
        <v>6184</v>
      </c>
      <c r="F74" s="48">
        <v>493.99</v>
      </c>
      <c r="G74" s="48">
        <v>493.99</v>
      </c>
      <c r="H74" s="48">
        <f t="shared" si="11"/>
        <v>6184</v>
      </c>
    </row>
    <row r="75" spans="1:8" s="21" customFormat="1" ht="12" customHeight="1" x14ac:dyDescent="0.25">
      <c r="A75" s="53"/>
      <c r="B75" s="40"/>
      <c r="C75" s="31" t="s">
        <v>31</v>
      </c>
      <c r="D75" s="5" t="s">
        <v>32</v>
      </c>
      <c r="E75" s="48">
        <v>12328</v>
      </c>
      <c r="F75" s="48">
        <v>2200</v>
      </c>
      <c r="G75" s="48">
        <v>2200</v>
      </c>
      <c r="H75" s="48">
        <f t="shared" si="11"/>
        <v>12328</v>
      </c>
    </row>
    <row r="76" spans="1:8" s="21" customFormat="1" ht="12" customHeight="1" x14ac:dyDescent="0.25">
      <c r="A76" s="53"/>
      <c r="B76" s="40"/>
      <c r="C76" s="31" t="s">
        <v>73</v>
      </c>
      <c r="D76" s="51" t="s">
        <v>53</v>
      </c>
      <c r="E76" s="48">
        <v>4312</v>
      </c>
      <c r="F76" s="48">
        <v>2788.4</v>
      </c>
      <c r="G76" s="48">
        <v>2788.4</v>
      </c>
      <c r="H76" s="48">
        <f t="shared" si="11"/>
        <v>4312</v>
      </c>
    </row>
    <row r="77" spans="1:8" s="21" customFormat="1" ht="12" customHeight="1" x14ac:dyDescent="0.25">
      <c r="A77" s="53"/>
      <c r="B77" s="40"/>
      <c r="C77" s="31" t="s">
        <v>74</v>
      </c>
      <c r="D77" s="51" t="s">
        <v>54</v>
      </c>
      <c r="E77" s="48">
        <v>47794</v>
      </c>
      <c r="F77" s="48">
        <v>12935</v>
      </c>
      <c r="G77" s="48">
        <v>12935</v>
      </c>
      <c r="H77" s="48">
        <f t="shared" si="11"/>
        <v>47794</v>
      </c>
    </row>
    <row r="78" spans="1:8" s="21" customFormat="1" ht="12" customHeight="1" x14ac:dyDescent="0.25">
      <c r="A78" s="53"/>
      <c r="B78" s="40"/>
      <c r="C78" s="31" t="s">
        <v>75</v>
      </c>
      <c r="D78" s="51" t="s">
        <v>15</v>
      </c>
      <c r="E78" s="48">
        <v>1278</v>
      </c>
      <c r="F78" s="48">
        <v>278</v>
      </c>
      <c r="G78" s="48">
        <v>278</v>
      </c>
      <c r="H78" s="48">
        <f t="shared" si="11"/>
        <v>1278</v>
      </c>
    </row>
    <row r="79" spans="1:8" s="21" customFormat="1" ht="12" customHeight="1" x14ac:dyDescent="0.25">
      <c r="A79" s="53"/>
      <c r="B79" s="40"/>
      <c r="C79" s="31" t="s">
        <v>76</v>
      </c>
      <c r="D79" s="51" t="s">
        <v>55</v>
      </c>
      <c r="E79" s="48">
        <v>200</v>
      </c>
      <c r="F79" s="48">
        <v>200</v>
      </c>
      <c r="G79" s="48">
        <v>200</v>
      </c>
      <c r="H79" s="48">
        <f t="shared" si="11"/>
        <v>200</v>
      </c>
    </row>
    <row r="80" spans="1:8" s="21" customFormat="1" ht="12" customHeight="1" x14ac:dyDescent="0.25">
      <c r="A80" s="53"/>
      <c r="B80" s="40"/>
      <c r="C80" s="31" t="s">
        <v>77</v>
      </c>
      <c r="D80" s="51" t="s">
        <v>56</v>
      </c>
      <c r="E80" s="48">
        <v>7830</v>
      </c>
      <c r="F80" s="48">
        <v>1830</v>
      </c>
      <c r="G80" s="48">
        <v>1830</v>
      </c>
      <c r="H80" s="48">
        <f t="shared" si="11"/>
        <v>7830</v>
      </c>
    </row>
    <row r="81" spans="1:8" s="21" customFormat="1" ht="12" customHeight="1" x14ac:dyDescent="0.25">
      <c r="A81" s="53"/>
      <c r="B81" s="40"/>
      <c r="C81" s="31" t="s">
        <v>78</v>
      </c>
      <c r="D81" s="51" t="s">
        <v>57</v>
      </c>
      <c r="E81" s="48">
        <v>852</v>
      </c>
      <c r="F81" s="48">
        <v>312</v>
      </c>
      <c r="G81" s="48">
        <v>312</v>
      </c>
      <c r="H81" s="48">
        <f t="shared" si="11"/>
        <v>852</v>
      </c>
    </row>
    <row r="82" spans="1:8" s="21" customFormat="1" ht="12" customHeight="1" x14ac:dyDescent="0.25">
      <c r="A82" s="53"/>
      <c r="B82" s="40"/>
      <c r="C82" s="31" t="s">
        <v>79</v>
      </c>
      <c r="D82" s="5" t="s">
        <v>61</v>
      </c>
      <c r="E82" s="48">
        <v>12316</v>
      </c>
      <c r="F82" s="48">
        <v>2032.37</v>
      </c>
      <c r="G82" s="48">
        <v>2032.37</v>
      </c>
      <c r="H82" s="48">
        <f t="shared" si="11"/>
        <v>12316</v>
      </c>
    </row>
    <row r="83" spans="1:8" s="21" customFormat="1" ht="12" customHeight="1" x14ac:dyDescent="0.25">
      <c r="A83" s="53"/>
      <c r="B83" s="40"/>
      <c r="C83" s="46" t="s">
        <v>80</v>
      </c>
      <c r="D83" s="66" t="s">
        <v>67</v>
      </c>
      <c r="E83" s="48">
        <v>100</v>
      </c>
      <c r="F83" s="48">
        <v>100</v>
      </c>
      <c r="G83" s="48">
        <v>100</v>
      </c>
      <c r="H83" s="48">
        <f t="shared" si="11"/>
        <v>100</v>
      </c>
    </row>
    <row r="84" spans="1:8" s="21" customFormat="1" ht="12" customHeight="1" x14ac:dyDescent="0.25">
      <c r="A84" s="53"/>
      <c r="B84" s="40"/>
      <c r="C84" s="31" t="s">
        <v>81</v>
      </c>
      <c r="D84" s="66" t="s">
        <v>68</v>
      </c>
      <c r="E84" s="48">
        <v>3249</v>
      </c>
      <c r="F84" s="48">
        <v>1523</v>
      </c>
      <c r="G84" s="48">
        <v>1523</v>
      </c>
      <c r="H84" s="48">
        <f t="shared" si="11"/>
        <v>3249</v>
      </c>
    </row>
    <row r="85" spans="1:8" s="21" customFormat="1" ht="12" customHeight="1" x14ac:dyDescent="0.25">
      <c r="A85" s="53"/>
      <c r="B85" s="40"/>
      <c r="C85" s="50">
        <v>4790</v>
      </c>
      <c r="D85" s="21" t="s">
        <v>25</v>
      </c>
      <c r="E85" s="48">
        <v>204016</v>
      </c>
      <c r="F85" s="48">
        <v>25979.48</v>
      </c>
      <c r="G85" s="48">
        <v>25979.48</v>
      </c>
      <c r="H85" s="48">
        <f t="shared" si="11"/>
        <v>204016</v>
      </c>
    </row>
    <row r="86" spans="1:8" s="21" customFormat="1" ht="12" customHeight="1" x14ac:dyDescent="0.25">
      <c r="A86" s="53"/>
      <c r="B86" s="40">
        <v>80104</v>
      </c>
      <c r="C86" s="31"/>
      <c r="D86" s="41" t="s">
        <v>38</v>
      </c>
      <c r="E86" s="43">
        <v>64449412.730000004</v>
      </c>
      <c r="F86" s="43">
        <f>SUM(F87)</f>
        <v>6510368.4700000007</v>
      </c>
      <c r="G86" s="43">
        <f>SUM(G87)</f>
        <v>6495368.4700000007</v>
      </c>
      <c r="H86" s="42">
        <f>SUM(E86+F86-G86)</f>
        <v>64464412.730000004</v>
      </c>
    </row>
    <row r="87" spans="1:8" s="21" customFormat="1" ht="12" customHeight="1" x14ac:dyDescent="0.25">
      <c r="A87" s="53"/>
      <c r="B87" s="40"/>
      <c r="C87" s="31"/>
      <c r="D87" s="309" t="s">
        <v>23</v>
      </c>
      <c r="E87" s="306">
        <v>51312139.730000004</v>
      </c>
      <c r="F87" s="306">
        <f>SUM(F88:F113)</f>
        <v>6510368.4700000007</v>
      </c>
      <c r="G87" s="306">
        <f>SUM(G88:G113)</f>
        <v>6495368.4700000007</v>
      </c>
      <c r="H87" s="306">
        <f>SUM(E87+F87-G87)</f>
        <v>51327139.730000004</v>
      </c>
    </row>
    <row r="88" spans="1:8" s="21" customFormat="1" ht="12" customHeight="1" x14ac:dyDescent="0.25">
      <c r="A88" s="53"/>
      <c r="B88" s="40"/>
      <c r="C88" s="60">
        <v>3020</v>
      </c>
      <c r="D88" s="51" t="s">
        <v>48</v>
      </c>
      <c r="E88" s="48">
        <v>382802</v>
      </c>
      <c r="F88" s="48">
        <v>86367.83</v>
      </c>
      <c r="G88" s="48">
        <v>86367.83</v>
      </c>
      <c r="H88" s="48">
        <f t="shared" ref="H88:H94" si="12">SUM(E88+F88-G88)</f>
        <v>382802</v>
      </c>
    </row>
    <row r="89" spans="1:8" s="21" customFormat="1" ht="12" customHeight="1" x14ac:dyDescent="0.25">
      <c r="A89" s="53"/>
      <c r="B89" s="40"/>
      <c r="C89" s="60">
        <v>4010</v>
      </c>
      <c r="D89" s="51" t="s">
        <v>49</v>
      </c>
      <c r="E89" s="48">
        <v>13933224.74</v>
      </c>
      <c r="F89" s="48">
        <v>1827530.88</v>
      </c>
      <c r="G89" s="48">
        <v>1827530.88</v>
      </c>
      <c r="H89" s="48">
        <f t="shared" si="12"/>
        <v>13933224.740000002</v>
      </c>
    </row>
    <row r="90" spans="1:8" s="21" customFormat="1" ht="12" customHeight="1" x14ac:dyDescent="0.25">
      <c r="A90" s="53"/>
      <c r="B90" s="40"/>
      <c r="C90" s="31" t="s">
        <v>82</v>
      </c>
      <c r="D90" s="51" t="s">
        <v>50</v>
      </c>
      <c r="E90" s="48">
        <v>1069786</v>
      </c>
      <c r="F90" s="48">
        <v>11654.2</v>
      </c>
      <c r="G90" s="48">
        <v>11654.2</v>
      </c>
      <c r="H90" s="48">
        <f t="shared" si="12"/>
        <v>1069786</v>
      </c>
    </row>
    <row r="91" spans="1:8" s="21" customFormat="1" ht="12" customHeight="1" x14ac:dyDescent="0.25">
      <c r="A91" s="53"/>
      <c r="B91" s="40"/>
      <c r="C91" s="31" t="s">
        <v>71</v>
      </c>
      <c r="D91" s="51" t="s">
        <v>24</v>
      </c>
      <c r="E91" s="48">
        <v>6576320</v>
      </c>
      <c r="F91" s="48">
        <v>814717.71</v>
      </c>
      <c r="G91" s="48">
        <v>814717.71</v>
      </c>
      <c r="H91" s="48">
        <f t="shared" si="12"/>
        <v>6576320</v>
      </c>
    </row>
    <row r="92" spans="1:8" s="21" customFormat="1" ht="12" customHeight="1" x14ac:dyDescent="0.25">
      <c r="A92" s="53"/>
      <c r="B92" s="40"/>
      <c r="C92" s="31" t="s">
        <v>72</v>
      </c>
      <c r="D92" s="51" t="s">
        <v>12</v>
      </c>
      <c r="E92" s="48">
        <v>833366</v>
      </c>
      <c r="F92" s="48">
        <v>153843.44</v>
      </c>
      <c r="G92" s="48">
        <v>153843.44</v>
      </c>
      <c r="H92" s="48">
        <f t="shared" si="12"/>
        <v>833366</v>
      </c>
    </row>
    <row r="93" spans="1:8" s="21" customFormat="1" ht="12" customHeight="1" x14ac:dyDescent="0.25">
      <c r="A93" s="53"/>
      <c r="B93" s="40"/>
      <c r="C93" s="31" t="s">
        <v>83</v>
      </c>
      <c r="D93" s="51" t="s">
        <v>52</v>
      </c>
      <c r="E93" s="48">
        <v>400</v>
      </c>
      <c r="F93" s="48">
        <v>400</v>
      </c>
      <c r="G93" s="48">
        <v>400</v>
      </c>
      <c r="H93" s="48">
        <f t="shared" si="12"/>
        <v>400</v>
      </c>
    </row>
    <row r="94" spans="1:8" s="21" customFormat="1" ht="12" customHeight="1" x14ac:dyDescent="0.25">
      <c r="A94" s="53"/>
      <c r="B94" s="40"/>
      <c r="C94" s="31" t="s">
        <v>84</v>
      </c>
      <c r="D94" s="51" t="s">
        <v>85</v>
      </c>
      <c r="E94" s="48">
        <v>300</v>
      </c>
      <c r="F94" s="48">
        <v>300</v>
      </c>
      <c r="G94" s="48">
        <v>300</v>
      </c>
      <c r="H94" s="48">
        <f t="shared" si="12"/>
        <v>300</v>
      </c>
    </row>
    <row r="95" spans="1:8" s="21" customFormat="1" ht="12" customHeight="1" x14ac:dyDescent="0.25">
      <c r="A95" s="53"/>
      <c r="B95" s="40"/>
      <c r="C95" s="31" t="s">
        <v>31</v>
      </c>
      <c r="D95" s="51" t="s">
        <v>32</v>
      </c>
      <c r="E95" s="48">
        <v>610598.65</v>
      </c>
      <c r="F95" s="48">
        <v>58783.55</v>
      </c>
      <c r="G95" s="48">
        <v>58783.55</v>
      </c>
      <c r="H95" s="48">
        <f>SUM(E95+F95-G95)</f>
        <v>610598.65</v>
      </c>
    </row>
    <row r="96" spans="1:8" s="21" customFormat="1" ht="12" customHeight="1" x14ac:dyDescent="0.25">
      <c r="A96" s="53"/>
      <c r="B96" s="40"/>
      <c r="C96" s="31" t="s">
        <v>86</v>
      </c>
      <c r="D96" s="51" t="s">
        <v>87</v>
      </c>
      <c r="E96" s="48">
        <v>750</v>
      </c>
      <c r="F96" s="48">
        <v>150</v>
      </c>
      <c r="G96" s="48">
        <v>150</v>
      </c>
      <c r="H96" s="48">
        <f>SUM(E96+F96-G96)</f>
        <v>750</v>
      </c>
    </row>
    <row r="97" spans="1:8" s="21" customFormat="1" ht="11.25" customHeight="1" x14ac:dyDescent="0.25">
      <c r="A97" s="53"/>
      <c r="B97" s="40"/>
      <c r="C97" s="31" t="s">
        <v>73</v>
      </c>
      <c r="D97" s="51" t="s">
        <v>53</v>
      </c>
      <c r="E97" s="48">
        <v>122756.5</v>
      </c>
      <c r="F97" s="48">
        <f>7108.18+15000</f>
        <v>22108.18</v>
      </c>
      <c r="G97" s="48">
        <f>7108.18</f>
        <v>7108.18</v>
      </c>
      <c r="H97" s="48">
        <f>SUM(E97+F97-G97)</f>
        <v>137756.5</v>
      </c>
    </row>
    <row r="98" spans="1:8" s="21" customFormat="1" ht="12" customHeight="1" x14ac:dyDescent="0.25">
      <c r="A98" s="53"/>
      <c r="B98" s="40"/>
      <c r="C98" s="50">
        <v>4260</v>
      </c>
      <c r="D98" s="51" t="s">
        <v>54</v>
      </c>
      <c r="E98" s="48">
        <v>2335721</v>
      </c>
      <c r="F98" s="48">
        <v>416941.95</v>
      </c>
      <c r="G98" s="48">
        <v>416941.95</v>
      </c>
      <c r="H98" s="48">
        <f t="shared" ref="H98:H99" si="13">SUM(E98+F98-G98)</f>
        <v>2335721</v>
      </c>
    </row>
    <row r="99" spans="1:8" s="21" customFormat="1" ht="12" customHeight="1" x14ac:dyDescent="0.25">
      <c r="A99" s="53"/>
      <c r="B99" s="40"/>
      <c r="C99" s="50">
        <v>4270</v>
      </c>
      <c r="D99" s="51" t="s">
        <v>15</v>
      </c>
      <c r="E99" s="48">
        <v>396960</v>
      </c>
      <c r="F99" s="48">
        <v>51341.36</v>
      </c>
      <c r="G99" s="48">
        <v>51341.36</v>
      </c>
      <c r="H99" s="48">
        <f t="shared" si="13"/>
        <v>396960</v>
      </c>
    </row>
    <row r="100" spans="1:8" s="21" customFormat="1" ht="12" customHeight="1" x14ac:dyDescent="0.25">
      <c r="A100" s="53"/>
      <c r="B100" s="40"/>
      <c r="C100" s="50">
        <v>4280</v>
      </c>
      <c r="D100" s="51" t="s">
        <v>55</v>
      </c>
      <c r="E100" s="48">
        <v>41922</v>
      </c>
      <c r="F100" s="48">
        <v>10772.06</v>
      </c>
      <c r="G100" s="48">
        <v>10772.06</v>
      </c>
      <c r="H100" s="48">
        <f>SUM(E100+F100-G100)</f>
        <v>41922</v>
      </c>
    </row>
    <row r="101" spans="1:8" s="21" customFormat="1" ht="12" customHeight="1" x14ac:dyDescent="0.25">
      <c r="A101" s="53"/>
      <c r="B101" s="40"/>
      <c r="C101" s="50">
        <v>4300</v>
      </c>
      <c r="D101" s="51" t="s">
        <v>56</v>
      </c>
      <c r="E101" s="48">
        <v>861144</v>
      </c>
      <c r="F101" s="48">
        <v>96670.95</v>
      </c>
      <c r="G101" s="48">
        <v>96670.95</v>
      </c>
      <c r="H101" s="48">
        <f t="shared" ref="H101:H149" si="14">SUM(E101+F101-G101)</f>
        <v>861144</v>
      </c>
    </row>
    <row r="102" spans="1:8" s="21" customFormat="1" ht="12" customHeight="1" x14ac:dyDescent="0.25">
      <c r="A102" s="53"/>
      <c r="B102" s="40"/>
      <c r="C102" s="50">
        <v>4360</v>
      </c>
      <c r="D102" s="51" t="s">
        <v>57</v>
      </c>
      <c r="E102" s="48">
        <v>26197</v>
      </c>
      <c r="F102" s="48">
        <v>4075.58</v>
      </c>
      <c r="G102" s="48">
        <v>4075.58</v>
      </c>
      <c r="H102" s="48">
        <f t="shared" si="14"/>
        <v>26197</v>
      </c>
    </row>
    <row r="103" spans="1:8" s="21" customFormat="1" ht="12" customHeight="1" x14ac:dyDescent="0.25">
      <c r="A103" s="53"/>
      <c r="B103" s="40"/>
      <c r="C103" s="50">
        <v>4390</v>
      </c>
      <c r="D103" s="51" t="s">
        <v>58</v>
      </c>
      <c r="E103" s="48">
        <v>20191</v>
      </c>
      <c r="F103" s="48">
        <v>9953</v>
      </c>
      <c r="G103" s="48">
        <v>9953</v>
      </c>
      <c r="H103" s="48">
        <f t="shared" si="14"/>
        <v>20191</v>
      </c>
    </row>
    <row r="104" spans="1:8" s="21" customFormat="1" ht="12" customHeight="1" x14ac:dyDescent="0.25">
      <c r="A104" s="53"/>
      <c r="B104" s="40"/>
      <c r="C104" s="50">
        <v>4410</v>
      </c>
      <c r="D104" s="51" t="s">
        <v>59</v>
      </c>
      <c r="E104" s="48">
        <v>4654.16</v>
      </c>
      <c r="F104" s="48">
        <v>1486.16</v>
      </c>
      <c r="G104" s="48">
        <v>1486.16</v>
      </c>
      <c r="H104" s="48">
        <f t="shared" si="14"/>
        <v>4654.16</v>
      </c>
    </row>
    <row r="105" spans="1:8" s="21" customFormat="1" ht="12" customHeight="1" x14ac:dyDescent="0.25">
      <c r="A105" s="53"/>
      <c r="B105" s="40"/>
      <c r="C105" s="50">
        <v>4430</v>
      </c>
      <c r="D105" s="51" t="s">
        <v>60</v>
      </c>
      <c r="E105" s="48">
        <v>17709</v>
      </c>
      <c r="F105" s="48">
        <v>6363.2</v>
      </c>
      <c r="G105" s="48">
        <v>6363.2</v>
      </c>
      <c r="H105" s="48">
        <f t="shared" si="14"/>
        <v>17709</v>
      </c>
    </row>
    <row r="106" spans="1:8" s="21" customFormat="1" ht="12" customHeight="1" x14ac:dyDescent="0.25">
      <c r="A106" s="53"/>
      <c r="B106" s="40"/>
      <c r="C106" s="50">
        <v>4440</v>
      </c>
      <c r="D106" s="51" t="s">
        <v>61</v>
      </c>
      <c r="E106" s="48">
        <v>1838859</v>
      </c>
      <c r="F106" s="48">
        <v>235020</v>
      </c>
      <c r="G106" s="48">
        <v>235020</v>
      </c>
      <c r="H106" s="48">
        <f>SUM(E106+F106-G106)</f>
        <v>1838859</v>
      </c>
    </row>
    <row r="107" spans="1:8" s="21" customFormat="1" ht="12" customHeight="1" x14ac:dyDescent="0.25">
      <c r="A107" s="53"/>
      <c r="B107" s="40"/>
      <c r="C107" s="50">
        <v>4510</v>
      </c>
      <c r="D107" s="51" t="s">
        <v>62</v>
      </c>
      <c r="E107" s="48">
        <v>333</v>
      </c>
      <c r="F107" s="48">
        <v>233</v>
      </c>
      <c r="G107" s="48">
        <v>233</v>
      </c>
      <c r="H107" s="48">
        <f t="shared" ref="H107:H109" si="15">SUM(E107+F107-G107)</f>
        <v>333</v>
      </c>
    </row>
    <row r="108" spans="1:8" s="21" customFormat="1" ht="12" customHeight="1" x14ac:dyDescent="0.25">
      <c r="A108" s="53"/>
      <c r="B108" s="40"/>
      <c r="C108" s="50">
        <v>4520</v>
      </c>
      <c r="D108" s="65" t="s">
        <v>63</v>
      </c>
      <c r="E108" s="48">
        <v>100</v>
      </c>
      <c r="F108" s="48">
        <v>50</v>
      </c>
      <c r="G108" s="48">
        <v>50</v>
      </c>
      <c r="H108" s="48">
        <f t="shared" si="15"/>
        <v>100</v>
      </c>
    </row>
    <row r="109" spans="1:8" s="21" customFormat="1" ht="12" customHeight="1" x14ac:dyDescent="0.25">
      <c r="A109" s="61"/>
      <c r="B109" s="62"/>
      <c r="C109" s="69">
        <v>4610</v>
      </c>
      <c r="D109" s="62" t="s">
        <v>66</v>
      </c>
      <c r="E109" s="42">
        <v>452</v>
      </c>
      <c r="F109" s="42">
        <v>452</v>
      </c>
      <c r="G109" s="42">
        <v>452</v>
      </c>
      <c r="H109" s="42">
        <f t="shared" si="15"/>
        <v>452</v>
      </c>
    </row>
    <row r="110" spans="1:8" s="21" customFormat="1" ht="12" customHeight="1" x14ac:dyDescent="0.25">
      <c r="A110" s="53"/>
      <c r="B110" s="40"/>
      <c r="C110" s="58">
        <v>4700</v>
      </c>
      <c r="D110" s="59" t="s">
        <v>67</v>
      </c>
      <c r="E110" s="49">
        <v>81710</v>
      </c>
      <c r="F110" s="49">
        <v>10217.31</v>
      </c>
      <c r="G110" s="49">
        <v>10217.31</v>
      </c>
      <c r="H110" s="48">
        <f t="shared" si="14"/>
        <v>81710</v>
      </c>
    </row>
    <row r="111" spans="1:8" s="21" customFormat="1" ht="12" customHeight="1" x14ac:dyDescent="0.25">
      <c r="A111" s="53"/>
      <c r="B111" s="40"/>
      <c r="C111" s="50">
        <v>4710</v>
      </c>
      <c r="D111" s="51" t="s">
        <v>68</v>
      </c>
      <c r="E111" s="49">
        <v>192271</v>
      </c>
      <c r="F111" s="49">
        <v>37328.129999999997</v>
      </c>
      <c r="G111" s="49">
        <v>37328.129999999997</v>
      </c>
      <c r="H111" s="48">
        <f t="shared" si="14"/>
        <v>192271</v>
      </c>
    </row>
    <row r="112" spans="1:8" s="21" customFormat="1" ht="12" customHeight="1" x14ac:dyDescent="0.25">
      <c r="A112" s="53"/>
      <c r="B112" s="40"/>
      <c r="C112" s="50">
        <v>4790</v>
      </c>
      <c r="D112" s="21" t="s">
        <v>25</v>
      </c>
      <c r="E112" s="49">
        <v>20557434.68</v>
      </c>
      <c r="F112" s="49">
        <v>2650337.0499999998</v>
      </c>
      <c r="G112" s="49">
        <v>2650337.0499999998</v>
      </c>
      <c r="H112" s="48">
        <f t="shared" si="14"/>
        <v>20557434.68</v>
      </c>
    </row>
    <row r="113" spans="1:8" s="21" customFormat="1" ht="12" customHeight="1" x14ac:dyDescent="0.25">
      <c r="A113" s="53"/>
      <c r="B113" s="40"/>
      <c r="C113" s="50">
        <v>4800</v>
      </c>
      <c r="D113" s="21" t="s">
        <v>69</v>
      </c>
      <c r="E113" s="49">
        <v>1394178</v>
      </c>
      <c r="F113" s="49">
        <v>3270.93</v>
      </c>
      <c r="G113" s="49">
        <v>3270.93</v>
      </c>
      <c r="H113" s="48">
        <f t="shared" si="14"/>
        <v>1394178</v>
      </c>
    </row>
    <row r="114" spans="1:8" s="21" customFormat="1" ht="12" customHeight="1" x14ac:dyDescent="0.25">
      <c r="A114" s="53"/>
      <c r="B114" s="40">
        <v>80107</v>
      </c>
      <c r="C114" s="31"/>
      <c r="D114" s="41" t="s">
        <v>22</v>
      </c>
      <c r="E114" s="43">
        <v>8847224.0600000005</v>
      </c>
      <c r="F114" s="43">
        <f>SUM(F115)</f>
        <v>2026421.91</v>
      </c>
      <c r="G114" s="43">
        <f>SUM(G115)</f>
        <v>2026421.91</v>
      </c>
      <c r="H114" s="42">
        <f t="shared" si="14"/>
        <v>8847224.0600000005</v>
      </c>
    </row>
    <row r="115" spans="1:8" s="21" customFormat="1" ht="12" customHeight="1" x14ac:dyDescent="0.25">
      <c r="A115" s="53"/>
      <c r="B115" s="40"/>
      <c r="C115" s="31"/>
      <c r="D115" s="309" t="s">
        <v>23</v>
      </c>
      <c r="E115" s="306">
        <v>8847224.0600000005</v>
      </c>
      <c r="F115" s="306">
        <f>SUM(F116:F129)</f>
        <v>2026421.91</v>
      </c>
      <c r="G115" s="306">
        <f>SUM(G116:G129)</f>
        <v>2026421.91</v>
      </c>
      <c r="H115" s="306">
        <f t="shared" si="14"/>
        <v>8847224.0600000005</v>
      </c>
    </row>
    <row r="116" spans="1:8" s="21" customFormat="1" ht="12" customHeight="1" x14ac:dyDescent="0.25">
      <c r="A116" s="53"/>
      <c r="B116" s="40"/>
      <c r="C116" s="31" t="s">
        <v>88</v>
      </c>
      <c r="D116" s="51" t="s">
        <v>48</v>
      </c>
      <c r="E116" s="48">
        <v>45625</v>
      </c>
      <c r="F116" s="48">
        <v>8508</v>
      </c>
      <c r="G116" s="48">
        <v>8508</v>
      </c>
      <c r="H116" s="48">
        <f t="shared" si="14"/>
        <v>45625</v>
      </c>
    </row>
    <row r="117" spans="1:8" s="21" customFormat="1" ht="12" customHeight="1" x14ac:dyDescent="0.25">
      <c r="A117" s="53"/>
      <c r="B117" s="40"/>
      <c r="C117" s="31" t="s">
        <v>71</v>
      </c>
      <c r="D117" s="51" t="s">
        <v>24</v>
      </c>
      <c r="E117" s="48">
        <v>1306640</v>
      </c>
      <c r="F117" s="48">
        <v>328866.96999999997</v>
      </c>
      <c r="G117" s="48">
        <v>328866.96999999997</v>
      </c>
      <c r="H117" s="48">
        <f t="shared" si="14"/>
        <v>1306640</v>
      </c>
    </row>
    <row r="118" spans="1:8" s="21" customFormat="1" ht="12" customHeight="1" x14ac:dyDescent="0.25">
      <c r="A118" s="53"/>
      <c r="B118" s="40"/>
      <c r="C118" s="31" t="s">
        <v>72</v>
      </c>
      <c r="D118" s="51" t="s">
        <v>12</v>
      </c>
      <c r="E118" s="48">
        <v>153161</v>
      </c>
      <c r="F118" s="48">
        <v>52090.17</v>
      </c>
      <c r="G118" s="48">
        <v>52090.17</v>
      </c>
      <c r="H118" s="48">
        <f t="shared" si="14"/>
        <v>153161</v>
      </c>
    </row>
    <row r="119" spans="1:8" s="21" customFormat="1" ht="12" customHeight="1" x14ac:dyDescent="0.25">
      <c r="A119" s="53"/>
      <c r="B119" s="40"/>
      <c r="C119" s="31" t="s">
        <v>31</v>
      </c>
      <c r="D119" s="51" t="s">
        <v>32</v>
      </c>
      <c r="E119" s="48">
        <v>18802</v>
      </c>
      <c r="F119" s="48">
        <v>11295.25</v>
      </c>
      <c r="G119" s="48">
        <v>11295.25</v>
      </c>
      <c r="H119" s="48">
        <f t="shared" si="14"/>
        <v>18802</v>
      </c>
    </row>
    <row r="120" spans="1:8" s="21" customFormat="1" ht="12" customHeight="1" x14ac:dyDescent="0.25">
      <c r="A120" s="53"/>
      <c r="B120" s="40"/>
      <c r="C120" s="31" t="s">
        <v>73</v>
      </c>
      <c r="D120" s="51" t="s">
        <v>53</v>
      </c>
      <c r="E120" s="48">
        <v>5919</v>
      </c>
      <c r="F120" s="48">
        <v>3981.15</v>
      </c>
      <c r="G120" s="48">
        <v>3981.15</v>
      </c>
      <c r="H120" s="48">
        <f t="shared" si="14"/>
        <v>5919</v>
      </c>
    </row>
    <row r="121" spans="1:8" s="21" customFormat="1" ht="12" customHeight="1" x14ac:dyDescent="0.25">
      <c r="A121" s="53"/>
      <c r="B121" s="40"/>
      <c r="C121" s="31" t="s">
        <v>74</v>
      </c>
      <c r="D121" s="51" t="s">
        <v>54</v>
      </c>
      <c r="E121" s="48">
        <v>12400</v>
      </c>
      <c r="F121" s="48">
        <v>11400</v>
      </c>
      <c r="G121" s="48">
        <v>11400</v>
      </c>
      <c r="H121" s="48">
        <f t="shared" si="14"/>
        <v>12400</v>
      </c>
    </row>
    <row r="122" spans="1:8" s="21" customFormat="1" ht="12" customHeight="1" x14ac:dyDescent="0.25">
      <c r="A122" s="53"/>
      <c r="B122" s="40"/>
      <c r="C122" s="31" t="s">
        <v>75</v>
      </c>
      <c r="D122" s="51" t="s">
        <v>15</v>
      </c>
      <c r="E122" s="48">
        <v>16000</v>
      </c>
      <c r="F122" s="48">
        <v>16000</v>
      </c>
      <c r="G122" s="48">
        <v>16000</v>
      </c>
      <c r="H122" s="48">
        <f t="shared" si="14"/>
        <v>16000</v>
      </c>
    </row>
    <row r="123" spans="1:8" s="21" customFormat="1" ht="12" customHeight="1" x14ac:dyDescent="0.25">
      <c r="A123" s="53"/>
      <c r="B123" s="40"/>
      <c r="C123" s="31" t="s">
        <v>76</v>
      </c>
      <c r="D123" s="51" t="s">
        <v>55</v>
      </c>
      <c r="E123" s="48">
        <v>2955</v>
      </c>
      <c r="F123" s="48">
        <v>2070</v>
      </c>
      <c r="G123" s="48">
        <v>2070</v>
      </c>
      <c r="H123" s="48">
        <f t="shared" si="14"/>
        <v>2955</v>
      </c>
    </row>
    <row r="124" spans="1:8" s="21" customFormat="1" ht="12" customHeight="1" x14ac:dyDescent="0.25">
      <c r="A124" s="53"/>
      <c r="B124" s="40"/>
      <c r="C124" s="31" t="s">
        <v>77</v>
      </c>
      <c r="D124" s="51" t="s">
        <v>56</v>
      </c>
      <c r="E124" s="48">
        <v>2847</v>
      </c>
      <c r="F124" s="48">
        <v>2000</v>
      </c>
      <c r="G124" s="48">
        <v>2000</v>
      </c>
      <c r="H124" s="48">
        <f t="shared" si="14"/>
        <v>2847</v>
      </c>
    </row>
    <row r="125" spans="1:8" s="21" customFormat="1" ht="12" customHeight="1" x14ac:dyDescent="0.25">
      <c r="A125" s="53"/>
      <c r="B125" s="40"/>
      <c r="C125" s="31" t="s">
        <v>79</v>
      </c>
      <c r="D125" s="51" t="s">
        <v>61</v>
      </c>
      <c r="E125" s="48">
        <v>355426</v>
      </c>
      <c r="F125" s="48">
        <v>58069.54</v>
      </c>
      <c r="G125" s="48">
        <v>58069.54</v>
      </c>
      <c r="H125" s="48">
        <f t="shared" si="14"/>
        <v>355426</v>
      </c>
    </row>
    <row r="126" spans="1:8" s="21" customFormat="1" ht="12" customHeight="1" x14ac:dyDescent="0.25">
      <c r="A126" s="53"/>
      <c r="B126" s="40"/>
      <c r="C126" s="31" t="s">
        <v>80</v>
      </c>
      <c r="D126" s="59" t="s">
        <v>67</v>
      </c>
      <c r="E126" s="48">
        <v>1093</v>
      </c>
      <c r="F126" s="48">
        <v>1093</v>
      </c>
      <c r="G126" s="48">
        <v>1093</v>
      </c>
      <c r="H126" s="48">
        <f t="shared" si="14"/>
        <v>1093</v>
      </c>
    </row>
    <row r="127" spans="1:8" s="21" customFormat="1" ht="12" customHeight="1" x14ac:dyDescent="0.25">
      <c r="A127" s="53"/>
      <c r="B127" s="40"/>
      <c r="C127" s="31" t="s">
        <v>81</v>
      </c>
      <c r="D127" s="51" t="s">
        <v>68</v>
      </c>
      <c r="E127" s="48">
        <v>59801</v>
      </c>
      <c r="F127" s="48">
        <v>29617.73</v>
      </c>
      <c r="G127" s="48">
        <v>29617.73</v>
      </c>
      <c r="H127" s="48">
        <f t="shared" si="14"/>
        <v>59801</v>
      </c>
    </row>
    <row r="128" spans="1:8" s="21" customFormat="1" ht="12" customHeight="1" x14ac:dyDescent="0.25">
      <c r="A128" s="53"/>
      <c r="B128" s="40"/>
      <c r="C128" s="31" t="s">
        <v>89</v>
      </c>
      <c r="D128" s="21" t="s">
        <v>25</v>
      </c>
      <c r="E128" s="48">
        <v>6442614</v>
      </c>
      <c r="F128" s="48">
        <v>1485015.55</v>
      </c>
      <c r="G128" s="48">
        <v>1485015.55</v>
      </c>
      <c r="H128" s="48">
        <f t="shared" si="14"/>
        <v>6442614</v>
      </c>
    </row>
    <row r="129" spans="1:8" s="21" customFormat="1" ht="12" customHeight="1" x14ac:dyDescent="0.25">
      <c r="A129" s="53"/>
      <c r="B129" s="40"/>
      <c r="C129" s="50">
        <v>4800</v>
      </c>
      <c r="D129" s="21" t="s">
        <v>69</v>
      </c>
      <c r="E129" s="48">
        <v>423941.06</v>
      </c>
      <c r="F129" s="48">
        <v>16414.55</v>
      </c>
      <c r="G129" s="48">
        <v>16414.55</v>
      </c>
      <c r="H129" s="48">
        <f t="shared" si="14"/>
        <v>423941.06</v>
      </c>
    </row>
    <row r="130" spans="1:8" s="21" customFormat="1" ht="12" customHeight="1" x14ac:dyDescent="0.25">
      <c r="A130" s="22"/>
      <c r="B130" s="40">
        <v>80146</v>
      </c>
      <c r="C130" s="31"/>
      <c r="D130" s="41" t="s">
        <v>90</v>
      </c>
      <c r="E130" s="42">
        <v>920600.16999999993</v>
      </c>
      <c r="F130" s="43">
        <f>SUM(F131)</f>
        <v>303812.96000000002</v>
      </c>
      <c r="G130" s="43">
        <f>SUM(G131)</f>
        <v>303812.96000000002</v>
      </c>
      <c r="H130" s="42">
        <f t="shared" si="14"/>
        <v>920600.16999999993</v>
      </c>
    </row>
    <row r="131" spans="1:8" s="21" customFormat="1" ht="12" customHeight="1" x14ac:dyDescent="0.25">
      <c r="A131" s="22"/>
      <c r="B131" s="40"/>
      <c r="C131" s="31"/>
      <c r="D131" s="309" t="s">
        <v>23</v>
      </c>
      <c r="E131" s="306">
        <v>920600.16999999993</v>
      </c>
      <c r="F131" s="307">
        <f>SUM(F132:F134)</f>
        <v>303812.96000000002</v>
      </c>
      <c r="G131" s="307">
        <f>SUM(G132:G134)</f>
        <v>303812.96000000002</v>
      </c>
      <c r="H131" s="306">
        <f t="shared" si="14"/>
        <v>920600.16999999993</v>
      </c>
    </row>
    <row r="132" spans="1:8" s="21" customFormat="1" ht="12" customHeight="1" x14ac:dyDescent="0.25">
      <c r="A132" s="22"/>
      <c r="B132" s="40"/>
      <c r="C132" s="31" t="s">
        <v>77</v>
      </c>
      <c r="D132" s="51" t="s">
        <v>56</v>
      </c>
      <c r="E132" s="48">
        <v>307568.32</v>
      </c>
      <c r="F132" s="49">
        <v>84214.33</v>
      </c>
      <c r="G132" s="49">
        <v>84214.33</v>
      </c>
      <c r="H132" s="49">
        <f t="shared" si="14"/>
        <v>307568.32</v>
      </c>
    </row>
    <row r="133" spans="1:8" s="21" customFormat="1" ht="12" customHeight="1" x14ac:dyDescent="0.25">
      <c r="A133" s="22"/>
      <c r="B133" s="40"/>
      <c r="C133" s="31" t="s">
        <v>91</v>
      </c>
      <c r="D133" s="51" t="s">
        <v>59</v>
      </c>
      <c r="E133" s="48">
        <v>32000</v>
      </c>
      <c r="F133" s="49">
        <v>12500</v>
      </c>
      <c r="G133" s="49">
        <v>12500</v>
      </c>
      <c r="H133" s="49">
        <f t="shared" si="14"/>
        <v>32000</v>
      </c>
    </row>
    <row r="134" spans="1:8" s="21" customFormat="1" ht="12" customHeight="1" x14ac:dyDescent="0.25">
      <c r="A134" s="22"/>
      <c r="B134" s="40"/>
      <c r="C134" s="50">
        <v>4700</v>
      </c>
      <c r="D134" s="59" t="s">
        <v>67</v>
      </c>
      <c r="E134" s="48">
        <v>581031.85</v>
      </c>
      <c r="F134" s="49">
        <v>207098.63</v>
      </c>
      <c r="G134" s="49">
        <v>207098.63</v>
      </c>
      <c r="H134" s="49">
        <f t="shared" si="14"/>
        <v>581031.85</v>
      </c>
    </row>
    <row r="135" spans="1:8" s="21" customFormat="1" ht="12" customHeight="1" x14ac:dyDescent="0.25">
      <c r="A135" s="22"/>
      <c r="B135" s="40">
        <v>80148</v>
      </c>
      <c r="C135" s="31"/>
      <c r="D135" s="41" t="s">
        <v>92</v>
      </c>
      <c r="E135" s="42">
        <v>6017630.6600000001</v>
      </c>
      <c r="F135" s="43">
        <f>SUM(F136)</f>
        <v>1301490.9800000002</v>
      </c>
      <c r="G135" s="43">
        <f>SUM(G136)</f>
        <v>1301490.9800000002</v>
      </c>
      <c r="H135" s="42">
        <f t="shared" si="14"/>
        <v>6017630.6600000001</v>
      </c>
    </row>
    <row r="136" spans="1:8" s="21" customFormat="1" ht="12" customHeight="1" x14ac:dyDescent="0.25">
      <c r="A136" s="22"/>
      <c r="B136" s="40"/>
      <c r="C136" s="31"/>
      <c r="D136" s="309" t="s">
        <v>23</v>
      </c>
      <c r="E136" s="306">
        <v>6017630.6600000001</v>
      </c>
      <c r="F136" s="307">
        <f>SUM(F137:F149)</f>
        <v>1301490.9800000002</v>
      </c>
      <c r="G136" s="307">
        <f>SUM(G137:G149)</f>
        <v>1301490.9800000002</v>
      </c>
      <c r="H136" s="306">
        <f t="shared" si="14"/>
        <v>6017630.6600000001</v>
      </c>
    </row>
    <row r="137" spans="1:8" s="21" customFormat="1" ht="12" customHeight="1" x14ac:dyDescent="0.25">
      <c r="A137" s="22"/>
      <c r="B137" s="40"/>
      <c r="C137" s="31" t="s">
        <v>88</v>
      </c>
      <c r="D137" s="51" t="s">
        <v>48</v>
      </c>
      <c r="E137" s="48">
        <v>11855</v>
      </c>
      <c r="F137" s="49">
        <v>8414.6299999999992</v>
      </c>
      <c r="G137" s="49">
        <v>8414.6299999999992</v>
      </c>
      <c r="H137" s="49">
        <f t="shared" si="14"/>
        <v>11854.999999999998</v>
      </c>
    </row>
    <row r="138" spans="1:8" s="21" customFormat="1" ht="12" customHeight="1" x14ac:dyDescent="0.25">
      <c r="A138" s="22"/>
      <c r="B138" s="40"/>
      <c r="C138" s="31" t="s">
        <v>93</v>
      </c>
      <c r="D138" s="51" t="s">
        <v>49</v>
      </c>
      <c r="E138" s="48">
        <v>3821427</v>
      </c>
      <c r="F138" s="49">
        <v>671723.27</v>
      </c>
      <c r="G138" s="49">
        <v>671723.27</v>
      </c>
      <c r="H138" s="49">
        <f t="shared" si="14"/>
        <v>3821426.9999999995</v>
      </c>
    </row>
    <row r="139" spans="1:8" s="21" customFormat="1" ht="12" customHeight="1" x14ac:dyDescent="0.25">
      <c r="A139" s="22"/>
      <c r="B139" s="40"/>
      <c r="C139" s="31" t="s">
        <v>82</v>
      </c>
      <c r="D139" s="51" t="s">
        <v>50</v>
      </c>
      <c r="E139" s="48">
        <v>327503.65999999997</v>
      </c>
      <c r="F139" s="49">
        <v>23182.71</v>
      </c>
      <c r="G139" s="49">
        <v>23182.71</v>
      </c>
      <c r="H139" s="49">
        <f t="shared" si="14"/>
        <v>327503.65999999997</v>
      </c>
    </row>
    <row r="140" spans="1:8" s="21" customFormat="1" ht="12" customHeight="1" x14ac:dyDescent="0.25">
      <c r="A140" s="22"/>
      <c r="B140" s="40"/>
      <c r="C140" s="31" t="s">
        <v>71</v>
      </c>
      <c r="D140" s="51" t="s">
        <v>24</v>
      </c>
      <c r="E140" s="48">
        <v>776205</v>
      </c>
      <c r="F140" s="49">
        <v>136650.44</v>
      </c>
      <c r="G140" s="49">
        <v>136650.44</v>
      </c>
      <c r="H140" s="49">
        <f t="shared" si="14"/>
        <v>776205</v>
      </c>
    </row>
    <row r="141" spans="1:8" s="21" customFormat="1" ht="12" customHeight="1" x14ac:dyDescent="0.25">
      <c r="A141" s="22"/>
      <c r="B141" s="40"/>
      <c r="C141" s="31" t="s">
        <v>72</v>
      </c>
      <c r="D141" s="51" t="s">
        <v>12</v>
      </c>
      <c r="E141" s="48">
        <v>99530</v>
      </c>
      <c r="F141" s="49">
        <v>29958.76</v>
      </c>
      <c r="G141" s="49">
        <v>29958.76</v>
      </c>
      <c r="H141" s="49">
        <f t="shared" si="14"/>
        <v>99530</v>
      </c>
    </row>
    <row r="142" spans="1:8" s="21" customFormat="1" ht="12" customHeight="1" x14ac:dyDescent="0.25">
      <c r="A142" s="22"/>
      <c r="B142" s="40"/>
      <c r="C142" s="31" t="s">
        <v>31</v>
      </c>
      <c r="D142" s="51" t="s">
        <v>32</v>
      </c>
      <c r="E142" s="48">
        <v>611705</v>
      </c>
      <c r="F142" s="49">
        <v>300078.87</v>
      </c>
      <c r="G142" s="49">
        <v>300078.87</v>
      </c>
      <c r="H142" s="49">
        <f t="shared" si="14"/>
        <v>611705</v>
      </c>
    </row>
    <row r="143" spans="1:8" s="21" customFormat="1" ht="12" customHeight="1" x14ac:dyDescent="0.25">
      <c r="A143" s="22"/>
      <c r="B143" s="40"/>
      <c r="C143" s="31" t="s">
        <v>74</v>
      </c>
      <c r="D143" s="51" t="s">
        <v>54</v>
      </c>
      <c r="E143" s="48">
        <v>31238</v>
      </c>
      <c r="F143" s="49">
        <v>16276.84</v>
      </c>
      <c r="G143" s="49">
        <v>16276.84</v>
      </c>
      <c r="H143" s="49">
        <f t="shared" si="14"/>
        <v>31237.999999999996</v>
      </c>
    </row>
    <row r="144" spans="1:8" s="21" customFormat="1" ht="12" customHeight="1" x14ac:dyDescent="0.25">
      <c r="A144" s="22"/>
      <c r="B144" s="40"/>
      <c r="C144" s="31" t="s">
        <v>75</v>
      </c>
      <c r="D144" s="51" t="s">
        <v>15</v>
      </c>
      <c r="E144" s="48">
        <v>75174</v>
      </c>
      <c r="F144" s="49">
        <v>37692.129999999997</v>
      </c>
      <c r="G144" s="49">
        <v>37692.129999999997</v>
      </c>
      <c r="H144" s="49">
        <f t="shared" si="14"/>
        <v>75174</v>
      </c>
    </row>
    <row r="145" spans="1:8" s="21" customFormat="1" ht="12" customHeight="1" x14ac:dyDescent="0.25">
      <c r="A145" s="22"/>
      <c r="B145" s="40"/>
      <c r="C145" s="31" t="s">
        <v>76</v>
      </c>
      <c r="D145" s="51" t="s">
        <v>55</v>
      </c>
      <c r="E145" s="48">
        <v>4842</v>
      </c>
      <c r="F145" s="49">
        <v>3115</v>
      </c>
      <c r="G145" s="49">
        <v>3115</v>
      </c>
      <c r="H145" s="49">
        <f t="shared" si="14"/>
        <v>4842</v>
      </c>
    </row>
    <row r="146" spans="1:8" s="21" customFormat="1" ht="12" customHeight="1" x14ac:dyDescent="0.25">
      <c r="A146" s="22"/>
      <c r="B146" s="40"/>
      <c r="C146" s="31" t="s">
        <v>77</v>
      </c>
      <c r="D146" s="51" t="s">
        <v>56</v>
      </c>
      <c r="E146" s="48">
        <v>52803</v>
      </c>
      <c r="F146" s="49">
        <v>22418.11</v>
      </c>
      <c r="G146" s="49">
        <v>22418.11</v>
      </c>
      <c r="H146" s="49">
        <f t="shared" si="14"/>
        <v>52803</v>
      </c>
    </row>
    <row r="147" spans="1:8" s="21" customFormat="1" ht="12" customHeight="1" x14ac:dyDescent="0.25">
      <c r="A147" s="22"/>
      <c r="B147" s="40"/>
      <c r="C147" s="31" t="s">
        <v>79</v>
      </c>
      <c r="D147" s="51" t="s">
        <v>61</v>
      </c>
      <c r="E147" s="48">
        <v>154524</v>
      </c>
      <c r="F147" s="49">
        <v>29404.98</v>
      </c>
      <c r="G147" s="49">
        <v>29404.98</v>
      </c>
      <c r="H147" s="49">
        <f t="shared" si="14"/>
        <v>154524</v>
      </c>
    </row>
    <row r="148" spans="1:8" s="21" customFormat="1" ht="12" customHeight="1" x14ac:dyDescent="0.25">
      <c r="A148" s="22"/>
      <c r="B148" s="40"/>
      <c r="C148" s="31" t="s">
        <v>80</v>
      </c>
      <c r="D148" s="59" t="s">
        <v>67</v>
      </c>
      <c r="E148" s="48">
        <v>1130</v>
      </c>
      <c r="F148" s="49">
        <v>1075</v>
      </c>
      <c r="G148" s="49">
        <v>1075</v>
      </c>
      <c r="H148" s="49">
        <f t="shared" si="14"/>
        <v>1130</v>
      </c>
    </row>
    <row r="149" spans="1:8" s="21" customFormat="1" ht="12" customHeight="1" x14ac:dyDescent="0.25">
      <c r="A149" s="22"/>
      <c r="B149" s="40"/>
      <c r="C149" s="50">
        <v>4710</v>
      </c>
      <c r="D149" s="51" t="s">
        <v>68</v>
      </c>
      <c r="E149" s="48">
        <v>49694</v>
      </c>
      <c r="F149" s="49">
        <v>21500.240000000002</v>
      </c>
      <c r="G149" s="49">
        <v>21500.240000000002</v>
      </c>
      <c r="H149" s="49">
        <f t="shared" si="14"/>
        <v>49694</v>
      </c>
    </row>
    <row r="150" spans="1:8" s="21" customFormat="1" ht="12" customHeight="1" x14ac:dyDescent="0.25">
      <c r="A150" s="22"/>
      <c r="B150" s="40">
        <v>80149</v>
      </c>
      <c r="C150" s="50"/>
      <c r="D150" s="51" t="s">
        <v>26</v>
      </c>
      <c r="E150" s="48"/>
      <c r="F150" s="49"/>
      <c r="G150" s="49"/>
      <c r="H150" s="49"/>
    </row>
    <row r="151" spans="1:8" s="21" customFormat="1" ht="12" customHeight="1" x14ac:dyDescent="0.25">
      <c r="A151" s="22"/>
      <c r="B151" s="40"/>
      <c r="C151" s="50"/>
      <c r="D151" s="51" t="s">
        <v>94</v>
      </c>
      <c r="E151" s="48"/>
      <c r="F151" s="49"/>
      <c r="G151" s="49"/>
      <c r="H151" s="49"/>
    </row>
    <row r="152" spans="1:8" s="21" customFormat="1" ht="12" customHeight="1" x14ac:dyDescent="0.25">
      <c r="A152" s="22"/>
      <c r="B152" s="40"/>
      <c r="C152" s="50"/>
      <c r="D152" s="51" t="s">
        <v>95</v>
      </c>
      <c r="E152" s="48"/>
      <c r="F152" s="49"/>
      <c r="G152" s="49"/>
      <c r="H152" s="49"/>
    </row>
    <row r="153" spans="1:8" s="21" customFormat="1" ht="12" customHeight="1" x14ac:dyDescent="0.25">
      <c r="A153" s="22"/>
      <c r="B153" s="40"/>
      <c r="C153" s="31"/>
      <c r="D153" s="41" t="s">
        <v>96</v>
      </c>
      <c r="E153" s="42">
        <v>12300617.98</v>
      </c>
      <c r="F153" s="43">
        <f>SUM(F154)</f>
        <v>891181.06</v>
      </c>
      <c r="G153" s="43">
        <f>SUM(G154)</f>
        <v>891181.06</v>
      </c>
      <c r="H153" s="42">
        <f>SUM(E153+F153-G153)</f>
        <v>12300617.98</v>
      </c>
    </row>
    <row r="154" spans="1:8" s="21" customFormat="1" ht="12" customHeight="1" x14ac:dyDescent="0.25">
      <c r="A154" s="22"/>
      <c r="B154" s="40"/>
      <c r="C154" s="31"/>
      <c r="D154" s="309" t="s">
        <v>23</v>
      </c>
      <c r="E154" s="306">
        <v>6776332.4600000009</v>
      </c>
      <c r="F154" s="307">
        <f>SUM(F155:F162)</f>
        <v>891181.06</v>
      </c>
      <c r="G154" s="307">
        <f>SUM(G155:G162)</f>
        <v>891181.06</v>
      </c>
      <c r="H154" s="306">
        <f t="shared" ref="H154:H162" si="16">SUM(E154+F154-G154)</f>
        <v>6776332.4600000009</v>
      </c>
    </row>
    <row r="155" spans="1:8" s="21" customFormat="1" ht="12" customHeight="1" x14ac:dyDescent="0.25">
      <c r="A155" s="22"/>
      <c r="B155" s="40"/>
      <c r="C155" s="31" t="s">
        <v>88</v>
      </c>
      <c r="D155" s="51" t="s">
        <v>48</v>
      </c>
      <c r="E155" s="48">
        <v>3400</v>
      </c>
      <c r="F155" s="49">
        <v>1082.24</v>
      </c>
      <c r="G155" s="49">
        <v>1082.24</v>
      </c>
      <c r="H155" s="49">
        <f t="shared" si="16"/>
        <v>3400</v>
      </c>
    </row>
    <row r="156" spans="1:8" s="21" customFormat="1" ht="12" customHeight="1" x14ac:dyDescent="0.25">
      <c r="A156" s="22"/>
      <c r="B156" s="40"/>
      <c r="C156" s="31" t="s">
        <v>71</v>
      </c>
      <c r="D156" s="51" t="s">
        <v>24</v>
      </c>
      <c r="E156" s="48">
        <v>963809</v>
      </c>
      <c r="F156" s="49">
        <v>109362.63</v>
      </c>
      <c r="G156" s="49">
        <v>109362.63</v>
      </c>
      <c r="H156" s="49">
        <f t="shared" si="16"/>
        <v>963808.99999999988</v>
      </c>
    </row>
    <row r="157" spans="1:8" s="21" customFormat="1" ht="12" customHeight="1" x14ac:dyDescent="0.25">
      <c r="A157" s="22"/>
      <c r="B157" s="40"/>
      <c r="C157" s="31" t="s">
        <v>72</v>
      </c>
      <c r="D157" s="51" t="s">
        <v>12</v>
      </c>
      <c r="E157" s="48">
        <v>135499</v>
      </c>
      <c r="F157" s="49">
        <v>16324.69</v>
      </c>
      <c r="G157" s="49">
        <v>16324.69</v>
      </c>
      <c r="H157" s="49">
        <f t="shared" si="16"/>
        <v>135499</v>
      </c>
    </row>
    <row r="158" spans="1:8" s="21" customFormat="1" ht="12" customHeight="1" x14ac:dyDescent="0.25">
      <c r="A158" s="22"/>
      <c r="B158" s="40"/>
      <c r="C158" s="31" t="s">
        <v>73</v>
      </c>
      <c r="D158" s="51" t="s">
        <v>53</v>
      </c>
      <c r="E158" s="48">
        <v>60340.9</v>
      </c>
      <c r="F158" s="49">
        <v>7347.77</v>
      </c>
      <c r="G158" s="49">
        <v>7347.77</v>
      </c>
      <c r="H158" s="49">
        <f t="shared" si="16"/>
        <v>60340.899999999994</v>
      </c>
    </row>
    <row r="159" spans="1:8" s="21" customFormat="1" ht="12" customHeight="1" x14ac:dyDescent="0.25">
      <c r="A159" s="22"/>
      <c r="B159" s="40"/>
      <c r="C159" s="31" t="s">
        <v>79</v>
      </c>
      <c r="D159" s="51" t="s">
        <v>61</v>
      </c>
      <c r="E159" s="48">
        <v>331904</v>
      </c>
      <c r="F159" s="49">
        <v>28450.77</v>
      </c>
      <c r="G159" s="49">
        <v>28450.77</v>
      </c>
      <c r="H159" s="49">
        <f t="shared" si="16"/>
        <v>331904</v>
      </c>
    </row>
    <row r="160" spans="1:8" s="21" customFormat="1" ht="12" customHeight="1" x14ac:dyDescent="0.25">
      <c r="A160" s="22"/>
      <c r="B160" s="40"/>
      <c r="C160" s="31" t="s">
        <v>81</v>
      </c>
      <c r="D160" s="51" t="s">
        <v>68</v>
      </c>
      <c r="E160" s="48">
        <v>35451</v>
      </c>
      <c r="F160" s="49">
        <v>8894.56</v>
      </c>
      <c r="G160" s="49">
        <v>8894.56</v>
      </c>
      <c r="H160" s="49">
        <f t="shared" si="16"/>
        <v>35451</v>
      </c>
    </row>
    <row r="161" spans="1:8" s="21" customFormat="1" ht="12" customHeight="1" x14ac:dyDescent="0.25">
      <c r="A161" s="22"/>
      <c r="B161" s="40"/>
      <c r="C161" s="31" t="s">
        <v>89</v>
      </c>
      <c r="D161" s="21" t="s">
        <v>25</v>
      </c>
      <c r="E161" s="48">
        <v>4951085.74</v>
      </c>
      <c r="F161" s="49">
        <v>716222.87</v>
      </c>
      <c r="G161" s="49">
        <v>716222.87</v>
      </c>
      <c r="H161" s="49">
        <f t="shared" si="16"/>
        <v>4951085.74</v>
      </c>
    </row>
    <row r="162" spans="1:8" s="21" customFormat="1" ht="12" customHeight="1" x14ac:dyDescent="0.25">
      <c r="A162" s="22"/>
      <c r="B162" s="40"/>
      <c r="C162" s="50">
        <v>4800</v>
      </c>
      <c r="D162" s="21" t="s">
        <v>69</v>
      </c>
      <c r="E162" s="48">
        <v>281842.82</v>
      </c>
      <c r="F162" s="48">
        <v>3495.53</v>
      </c>
      <c r="G162" s="48">
        <v>3495.53</v>
      </c>
      <c r="H162" s="49">
        <f t="shared" si="16"/>
        <v>281842.82</v>
      </c>
    </row>
    <row r="163" spans="1:8" s="21" customFormat="1" ht="12" customHeight="1" x14ac:dyDescent="0.25">
      <c r="A163" s="22"/>
      <c r="B163" s="40">
        <v>80150</v>
      </c>
      <c r="C163" s="31"/>
      <c r="D163" s="51" t="s">
        <v>26</v>
      </c>
      <c r="E163" s="49"/>
      <c r="F163" s="49"/>
      <c r="G163" s="49"/>
      <c r="H163" s="49"/>
    </row>
    <row r="164" spans="1:8" s="21" customFormat="1" ht="12" customHeight="1" x14ac:dyDescent="0.25">
      <c r="A164" s="22"/>
      <c r="B164" s="40"/>
      <c r="C164" s="31"/>
      <c r="D164" s="51" t="s">
        <v>27</v>
      </c>
      <c r="E164" s="49"/>
      <c r="F164" s="49"/>
      <c r="G164" s="49"/>
      <c r="H164" s="49"/>
    </row>
    <row r="165" spans="1:8" s="21" customFormat="1" ht="12" customHeight="1" x14ac:dyDescent="0.25">
      <c r="A165" s="22"/>
      <c r="B165" s="40"/>
      <c r="C165" s="31"/>
      <c r="D165" s="41" t="s">
        <v>28</v>
      </c>
      <c r="E165" s="42">
        <v>25271671.369999997</v>
      </c>
      <c r="F165" s="43">
        <f>SUM(F166)</f>
        <v>3075100.1900000004</v>
      </c>
      <c r="G165" s="43">
        <f>SUM(G166)</f>
        <v>3075100.1900000004</v>
      </c>
      <c r="H165" s="42">
        <f>SUM(E165+F165-G165)</f>
        <v>25271671.369999997</v>
      </c>
    </row>
    <row r="166" spans="1:8" s="21" customFormat="1" ht="12" customHeight="1" x14ac:dyDescent="0.25">
      <c r="A166" s="22"/>
      <c r="B166" s="40"/>
      <c r="C166" s="31"/>
      <c r="D166" s="309" t="s">
        <v>23</v>
      </c>
      <c r="E166" s="306">
        <v>23818603.359999996</v>
      </c>
      <c r="F166" s="306">
        <f>SUM(F167:F173)</f>
        <v>3075100.1900000004</v>
      </c>
      <c r="G166" s="306">
        <f>SUM(G167:G173)</f>
        <v>3075100.1900000004</v>
      </c>
      <c r="H166" s="306">
        <f t="shared" ref="H166:H173" si="17">SUM(E166+F166-G166)</f>
        <v>23818603.359999996</v>
      </c>
    </row>
    <row r="167" spans="1:8" s="21" customFormat="1" ht="12" customHeight="1" x14ac:dyDescent="0.25">
      <c r="A167" s="22"/>
      <c r="B167" s="40"/>
      <c r="C167" s="31" t="s">
        <v>71</v>
      </c>
      <c r="D167" s="51" t="s">
        <v>24</v>
      </c>
      <c r="E167" s="48">
        <v>3391561</v>
      </c>
      <c r="F167" s="48">
        <v>496146.16</v>
      </c>
      <c r="G167" s="48">
        <v>496146.16</v>
      </c>
      <c r="H167" s="49">
        <f t="shared" si="17"/>
        <v>3391561</v>
      </c>
    </row>
    <row r="168" spans="1:8" s="21" customFormat="1" ht="12" customHeight="1" x14ac:dyDescent="0.25">
      <c r="A168" s="22"/>
      <c r="B168" s="40"/>
      <c r="C168" s="31" t="s">
        <v>72</v>
      </c>
      <c r="D168" s="51" t="s">
        <v>12</v>
      </c>
      <c r="E168" s="48">
        <v>413289.25</v>
      </c>
      <c r="F168" s="48">
        <v>63430.9</v>
      </c>
      <c r="G168" s="48">
        <v>63430.9</v>
      </c>
      <c r="H168" s="49">
        <f t="shared" si="17"/>
        <v>413289.25</v>
      </c>
    </row>
    <row r="169" spans="1:8" s="21" customFormat="1" ht="12" customHeight="1" x14ac:dyDescent="0.25">
      <c r="A169" s="22"/>
      <c r="B169" s="40"/>
      <c r="C169" s="31" t="s">
        <v>73</v>
      </c>
      <c r="D169" s="51" t="s">
        <v>53</v>
      </c>
      <c r="E169" s="48">
        <v>86342.9</v>
      </c>
      <c r="F169" s="48">
        <v>30384.04</v>
      </c>
      <c r="G169" s="48">
        <v>30384.04</v>
      </c>
      <c r="H169" s="49">
        <f t="shared" si="17"/>
        <v>86342.9</v>
      </c>
    </row>
    <row r="170" spans="1:8" s="21" customFormat="1" ht="12" customHeight="1" x14ac:dyDescent="0.25">
      <c r="A170" s="26"/>
      <c r="B170" s="62"/>
      <c r="C170" s="70" t="s">
        <v>79</v>
      </c>
      <c r="D170" s="41" t="s">
        <v>61</v>
      </c>
      <c r="E170" s="42">
        <v>951669</v>
      </c>
      <c r="F170" s="42">
        <v>140951.43</v>
      </c>
      <c r="G170" s="42">
        <v>140951.43</v>
      </c>
      <c r="H170" s="43">
        <f t="shared" si="17"/>
        <v>951669</v>
      </c>
    </row>
    <row r="171" spans="1:8" s="21" customFormat="1" ht="12" customHeight="1" x14ac:dyDescent="0.25">
      <c r="A171" s="22"/>
      <c r="B171" s="40"/>
      <c r="C171" s="31" t="s">
        <v>81</v>
      </c>
      <c r="D171" s="51" t="s">
        <v>68</v>
      </c>
      <c r="E171" s="48">
        <v>101964.75</v>
      </c>
      <c r="F171" s="48">
        <v>34343.589999999997</v>
      </c>
      <c r="G171" s="48">
        <v>34343.589999999997</v>
      </c>
      <c r="H171" s="49">
        <f t="shared" si="17"/>
        <v>101964.75</v>
      </c>
    </row>
    <row r="172" spans="1:8" s="21" customFormat="1" ht="12" customHeight="1" x14ac:dyDescent="0.25">
      <c r="A172" s="22"/>
      <c r="B172" s="40"/>
      <c r="C172" s="31" t="s">
        <v>89</v>
      </c>
      <c r="D172" s="21" t="s">
        <v>25</v>
      </c>
      <c r="E172" s="48">
        <v>17706078.759999998</v>
      </c>
      <c r="F172" s="48">
        <v>2281645.64</v>
      </c>
      <c r="G172" s="48">
        <v>2281645.64</v>
      </c>
      <c r="H172" s="49">
        <f t="shared" si="17"/>
        <v>17706078.759999998</v>
      </c>
    </row>
    <row r="173" spans="1:8" s="21" customFormat="1" ht="12" customHeight="1" x14ac:dyDescent="0.25">
      <c r="A173" s="22"/>
      <c r="B173" s="40"/>
      <c r="C173" s="60">
        <v>4800</v>
      </c>
      <c r="D173" s="21" t="s">
        <v>69</v>
      </c>
      <c r="E173" s="48">
        <v>1141628.7</v>
      </c>
      <c r="F173" s="48">
        <v>28198.43</v>
      </c>
      <c r="G173" s="48">
        <v>28198.43</v>
      </c>
      <c r="H173" s="49">
        <f t="shared" si="17"/>
        <v>1141628.7</v>
      </c>
    </row>
    <row r="174" spans="1:8" s="21" customFormat="1" ht="12" customHeight="1" x14ac:dyDescent="0.25">
      <c r="A174" s="22"/>
      <c r="B174" s="40">
        <v>80195</v>
      </c>
      <c r="C174" s="31"/>
      <c r="D174" s="68" t="s">
        <v>97</v>
      </c>
      <c r="E174" s="43">
        <v>10378904.76</v>
      </c>
      <c r="F174" s="43">
        <f>SUM(F175,F177,F192,F195,F204)</f>
        <v>679924.41999999993</v>
      </c>
      <c r="G174" s="43">
        <f>SUM(G175,G177,G192,G195,G204)</f>
        <v>679924.41999999993</v>
      </c>
      <c r="H174" s="42">
        <f>SUM(E174+F174-G174)</f>
        <v>10378904.76</v>
      </c>
    </row>
    <row r="175" spans="1:8" s="21" customFormat="1" ht="12" customHeight="1" x14ac:dyDescent="0.25">
      <c r="A175" s="22"/>
      <c r="B175" s="40"/>
      <c r="C175" s="31"/>
      <c r="D175" s="309" t="s">
        <v>23</v>
      </c>
      <c r="E175" s="306">
        <v>1166151</v>
      </c>
      <c r="F175" s="306">
        <f>SUM(F176:F176)</f>
        <v>193576.2</v>
      </c>
      <c r="G175" s="306">
        <f>SUM(G176:G176)</f>
        <v>193576.2</v>
      </c>
      <c r="H175" s="306">
        <f>SUM(E175+F175-G175)</f>
        <v>1166151</v>
      </c>
    </row>
    <row r="176" spans="1:8" s="21" customFormat="1" ht="12" customHeight="1" x14ac:dyDescent="0.25">
      <c r="A176" s="22"/>
      <c r="B176" s="40"/>
      <c r="C176" s="31" t="s">
        <v>79</v>
      </c>
      <c r="D176" s="51" t="s">
        <v>61</v>
      </c>
      <c r="E176" s="48">
        <v>1166151</v>
      </c>
      <c r="F176" s="48">
        <v>193576.2</v>
      </c>
      <c r="G176" s="48">
        <v>193576.2</v>
      </c>
      <c r="H176" s="48">
        <f t="shared" ref="H176" si="18">SUM(E176+F176-G176)</f>
        <v>1166151</v>
      </c>
    </row>
    <row r="177" spans="1:8" s="21" customFormat="1" ht="24.75" customHeight="1" x14ac:dyDescent="0.25">
      <c r="A177" s="22"/>
      <c r="B177" s="40"/>
      <c r="C177" s="31"/>
      <c r="D177" s="310" t="s">
        <v>98</v>
      </c>
      <c r="E177" s="306">
        <v>751147.5</v>
      </c>
      <c r="F177" s="306">
        <f>SUM(F178:F191)</f>
        <v>135301.44000000003</v>
      </c>
      <c r="G177" s="306">
        <f>SUM(G178:G191)</f>
        <v>135301.44000000003</v>
      </c>
      <c r="H177" s="306">
        <f>SUM(E177+F177-G177)</f>
        <v>751147.5</v>
      </c>
    </row>
    <row r="178" spans="1:8" s="21" customFormat="1" ht="12" customHeight="1" x14ac:dyDescent="0.25">
      <c r="A178" s="22"/>
      <c r="B178" s="40"/>
      <c r="C178" s="31" t="s">
        <v>99</v>
      </c>
      <c r="D178" s="71" t="s">
        <v>49</v>
      </c>
      <c r="E178" s="48">
        <v>57614.5</v>
      </c>
      <c r="F178" s="48">
        <v>18984.46</v>
      </c>
      <c r="G178" s="48">
        <v>18984.46</v>
      </c>
      <c r="H178" s="48">
        <f t="shared" ref="H178:H191" si="19">SUM(E178+F178-G178)</f>
        <v>57614.499999999993</v>
      </c>
    </row>
    <row r="179" spans="1:8" s="21" customFormat="1" ht="12" customHeight="1" x14ac:dyDescent="0.25">
      <c r="A179" s="22"/>
      <c r="B179" s="40"/>
      <c r="C179" s="31" t="s">
        <v>100</v>
      </c>
      <c r="D179" s="71" t="s">
        <v>49</v>
      </c>
      <c r="E179" s="48">
        <v>3385.5</v>
      </c>
      <c r="F179" s="48">
        <v>1115.54</v>
      </c>
      <c r="G179" s="48">
        <v>1115.54</v>
      </c>
      <c r="H179" s="48">
        <f t="shared" si="19"/>
        <v>3385.5</v>
      </c>
    </row>
    <row r="180" spans="1:8" s="21" customFormat="1" ht="12" customHeight="1" x14ac:dyDescent="0.25">
      <c r="A180" s="22"/>
      <c r="B180" s="40"/>
      <c r="C180" s="31" t="s">
        <v>101</v>
      </c>
      <c r="D180" s="71" t="s">
        <v>50</v>
      </c>
      <c r="E180" s="48">
        <v>2741</v>
      </c>
      <c r="F180" s="48">
        <v>844.49</v>
      </c>
      <c r="G180" s="48">
        <v>844.49</v>
      </c>
      <c r="H180" s="48">
        <f t="shared" si="19"/>
        <v>2741</v>
      </c>
    </row>
    <row r="181" spans="1:8" s="21" customFormat="1" ht="12" customHeight="1" x14ac:dyDescent="0.25">
      <c r="A181" s="22"/>
      <c r="B181" s="40"/>
      <c r="C181" s="31" t="s">
        <v>102</v>
      </c>
      <c r="D181" s="71" t="s">
        <v>50</v>
      </c>
      <c r="E181" s="48">
        <v>240</v>
      </c>
      <c r="F181" s="48">
        <v>58.76</v>
      </c>
      <c r="G181" s="48">
        <v>58.76</v>
      </c>
      <c r="H181" s="48">
        <f t="shared" si="19"/>
        <v>240</v>
      </c>
    </row>
    <row r="182" spans="1:8" s="21" customFormat="1" ht="12" customHeight="1" x14ac:dyDescent="0.25">
      <c r="A182" s="22"/>
      <c r="B182" s="40"/>
      <c r="C182" s="3">
        <v>4117</v>
      </c>
      <c r="D182" s="72" t="s">
        <v>103</v>
      </c>
      <c r="E182" s="48">
        <v>94132.19</v>
      </c>
      <c r="F182" s="48">
        <v>14550.49</v>
      </c>
      <c r="G182" s="48">
        <v>14550.49</v>
      </c>
      <c r="H182" s="48">
        <f t="shared" si="19"/>
        <v>94132.19</v>
      </c>
    </row>
    <row r="183" spans="1:8" s="21" customFormat="1" ht="12" customHeight="1" x14ac:dyDescent="0.25">
      <c r="A183" s="22"/>
      <c r="B183" s="40"/>
      <c r="C183" s="3">
        <v>4119</v>
      </c>
      <c r="D183" s="72" t="s">
        <v>103</v>
      </c>
      <c r="E183" s="48">
        <v>5541.619999999999</v>
      </c>
      <c r="F183" s="48">
        <v>863.62</v>
      </c>
      <c r="G183" s="48">
        <v>863.62</v>
      </c>
      <c r="H183" s="48">
        <f t="shared" si="19"/>
        <v>5541.619999999999</v>
      </c>
    </row>
    <row r="184" spans="1:8" s="21" customFormat="1" ht="12" customHeight="1" x14ac:dyDescent="0.25">
      <c r="A184" s="22"/>
      <c r="B184" s="40"/>
      <c r="C184" s="3">
        <v>4127</v>
      </c>
      <c r="D184" s="71" t="s">
        <v>12</v>
      </c>
      <c r="E184" s="48">
        <v>13400.330000000002</v>
      </c>
      <c r="F184" s="48">
        <v>3911.65</v>
      </c>
      <c r="G184" s="48">
        <v>3911.65</v>
      </c>
      <c r="H184" s="48">
        <f t="shared" si="19"/>
        <v>13400.330000000004</v>
      </c>
    </row>
    <row r="185" spans="1:8" s="21" customFormat="1" ht="12" customHeight="1" x14ac:dyDescent="0.25">
      <c r="A185" s="22"/>
      <c r="B185" s="40"/>
      <c r="C185" s="3">
        <v>4129</v>
      </c>
      <c r="D185" s="71" t="s">
        <v>12</v>
      </c>
      <c r="E185" s="48">
        <v>790.83999999999992</v>
      </c>
      <c r="F185" s="48">
        <v>232.12</v>
      </c>
      <c r="G185" s="48">
        <v>232.12</v>
      </c>
      <c r="H185" s="48">
        <f t="shared" si="19"/>
        <v>790.83999999999992</v>
      </c>
    </row>
    <row r="186" spans="1:8" s="21" customFormat="1" ht="12" customHeight="1" x14ac:dyDescent="0.25">
      <c r="A186" s="22"/>
      <c r="B186" s="40"/>
      <c r="C186" s="73">
        <v>4717</v>
      </c>
      <c r="D186" s="71" t="s">
        <v>68</v>
      </c>
      <c r="E186" s="48">
        <v>7832.05</v>
      </c>
      <c r="F186" s="48">
        <v>3082.13</v>
      </c>
      <c r="G186" s="48">
        <v>3082.13</v>
      </c>
      <c r="H186" s="48">
        <f t="shared" si="19"/>
        <v>7832.05</v>
      </c>
    </row>
    <row r="187" spans="1:8" s="21" customFormat="1" ht="12" customHeight="1" x14ac:dyDescent="0.25">
      <c r="A187" s="22"/>
      <c r="B187" s="40"/>
      <c r="C187" s="73">
        <v>4719</v>
      </c>
      <c r="D187" s="71" t="s">
        <v>68</v>
      </c>
      <c r="E187" s="48">
        <v>462.38</v>
      </c>
      <c r="F187" s="48">
        <v>181.98</v>
      </c>
      <c r="G187" s="48">
        <v>181.98</v>
      </c>
      <c r="H187" s="48">
        <f t="shared" si="19"/>
        <v>462.38</v>
      </c>
    </row>
    <row r="188" spans="1:8" s="21" customFormat="1" ht="12" customHeight="1" x14ac:dyDescent="0.25">
      <c r="A188" s="22"/>
      <c r="B188" s="40"/>
      <c r="C188" s="3">
        <v>4797</v>
      </c>
      <c r="D188" s="74" t="s">
        <v>104</v>
      </c>
      <c r="E188" s="48">
        <v>459745.84</v>
      </c>
      <c r="F188" s="48">
        <v>70828.070000000007</v>
      </c>
      <c r="G188" s="48">
        <v>70828.070000000007</v>
      </c>
      <c r="H188" s="48">
        <f t="shared" si="19"/>
        <v>459745.84</v>
      </c>
    </row>
    <row r="189" spans="1:8" s="21" customFormat="1" ht="12" customHeight="1" x14ac:dyDescent="0.25">
      <c r="A189" s="22"/>
      <c r="B189" s="40"/>
      <c r="C189" s="3">
        <v>4799</v>
      </c>
      <c r="D189" s="74" t="s">
        <v>104</v>
      </c>
      <c r="E189" s="48">
        <v>27015.25</v>
      </c>
      <c r="F189" s="48">
        <v>4161.9399999999996</v>
      </c>
      <c r="G189" s="48">
        <v>4161.9399999999996</v>
      </c>
      <c r="H189" s="48">
        <f t="shared" si="19"/>
        <v>27015.25</v>
      </c>
    </row>
    <row r="190" spans="1:8" s="21" customFormat="1" ht="12" customHeight="1" x14ac:dyDescent="0.25">
      <c r="A190" s="22"/>
      <c r="B190" s="40"/>
      <c r="C190" s="73">
        <v>4807</v>
      </c>
      <c r="D190" s="75" t="s">
        <v>69</v>
      </c>
      <c r="E190" s="48">
        <v>73937</v>
      </c>
      <c r="F190" s="48">
        <v>15539.12</v>
      </c>
      <c r="G190" s="48">
        <v>15539.12</v>
      </c>
      <c r="H190" s="48">
        <f t="shared" si="19"/>
        <v>73937</v>
      </c>
    </row>
    <row r="191" spans="1:8" s="21" customFormat="1" ht="12" customHeight="1" x14ac:dyDescent="0.25">
      <c r="A191" s="22"/>
      <c r="B191" s="40"/>
      <c r="C191" s="73">
        <v>4809</v>
      </c>
      <c r="D191" s="75" t="s">
        <v>69</v>
      </c>
      <c r="E191" s="48">
        <v>4309</v>
      </c>
      <c r="F191" s="48">
        <v>947.07</v>
      </c>
      <c r="G191" s="48">
        <v>947.07</v>
      </c>
      <c r="H191" s="48">
        <f t="shared" si="19"/>
        <v>4309</v>
      </c>
    </row>
    <row r="192" spans="1:8" s="21" customFormat="1" ht="12" customHeight="1" x14ac:dyDescent="0.25">
      <c r="A192" s="22"/>
      <c r="B192" s="40"/>
      <c r="C192" s="31"/>
      <c r="D192" s="310" t="s">
        <v>105</v>
      </c>
      <c r="E192" s="306">
        <v>30992</v>
      </c>
      <c r="F192" s="306">
        <f>SUM(F193:F194)</f>
        <v>30992</v>
      </c>
      <c r="G192" s="306">
        <f>SUM(G193:G194)</f>
        <v>30992</v>
      </c>
      <c r="H192" s="306">
        <f>SUM(E192+F192-G192)</f>
        <v>30992</v>
      </c>
    </row>
    <row r="193" spans="1:8" s="21" customFormat="1" ht="12" customHeight="1" x14ac:dyDescent="0.25">
      <c r="A193" s="22"/>
      <c r="B193" s="40"/>
      <c r="C193" s="31" t="s">
        <v>99</v>
      </c>
      <c r="D193" s="71" t="s">
        <v>49</v>
      </c>
      <c r="E193" s="48">
        <v>25574.6</v>
      </c>
      <c r="F193" s="48">
        <v>25574.6</v>
      </c>
      <c r="G193" s="48">
        <v>25574.6</v>
      </c>
      <c r="H193" s="48">
        <f t="shared" ref="H193:H194" si="20">SUM(E193+F193-G193)</f>
        <v>25574.6</v>
      </c>
    </row>
    <row r="194" spans="1:8" s="21" customFormat="1" ht="12" customHeight="1" x14ac:dyDescent="0.25">
      <c r="A194" s="22"/>
      <c r="B194" s="40"/>
      <c r="C194" s="31" t="s">
        <v>100</v>
      </c>
      <c r="D194" s="71" t="s">
        <v>49</v>
      </c>
      <c r="E194" s="48">
        <v>5417.4</v>
      </c>
      <c r="F194" s="48">
        <v>5417.4</v>
      </c>
      <c r="G194" s="48">
        <v>5417.4</v>
      </c>
      <c r="H194" s="48">
        <f t="shared" si="20"/>
        <v>5417.4</v>
      </c>
    </row>
    <row r="195" spans="1:8" s="21" customFormat="1" ht="12" customHeight="1" x14ac:dyDescent="0.25">
      <c r="A195" s="22"/>
      <c r="B195" s="40"/>
      <c r="C195" s="31"/>
      <c r="D195" s="310" t="s">
        <v>106</v>
      </c>
      <c r="E195" s="306">
        <v>7199.83</v>
      </c>
      <c r="F195" s="306">
        <f>SUM(F196:F203)</f>
        <v>403.61</v>
      </c>
      <c r="G195" s="306">
        <f>SUM(G196:G203)</f>
        <v>403.61</v>
      </c>
      <c r="H195" s="306">
        <f>SUM(E195+F195-G195)</f>
        <v>7199.83</v>
      </c>
    </row>
    <row r="196" spans="1:8" s="21" customFormat="1" ht="12" customHeight="1" x14ac:dyDescent="0.25">
      <c r="A196" s="22"/>
      <c r="B196" s="40"/>
      <c r="C196" s="3">
        <v>4117</v>
      </c>
      <c r="D196" s="72" t="s">
        <v>103</v>
      </c>
      <c r="E196" s="48">
        <v>1031.7</v>
      </c>
      <c r="F196" s="48">
        <v>98.08</v>
      </c>
      <c r="G196" s="48">
        <v>98.08</v>
      </c>
      <c r="H196" s="48">
        <f t="shared" ref="H196:H203" si="21">SUM(E196+F196-G196)</f>
        <v>1031.7</v>
      </c>
    </row>
    <row r="197" spans="1:8" s="21" customFormat="1" ht="12" customHeight="1" x14ac:dyDescent="0.25">
      <c r="A197" s="22"/>
      <c r="B197" s="40"/>
      <c r="C197" s="3">
        <v>4119</v>
      </c>
      <c r="D197" s="72" t="s">
        <v>103</v>
      </c>
      <c r="E197" s="48">
        <v>60.62</v>
      </c>
      <c r="F197" s="48">
        <v>5.72</v>
      </c>
      <c r="G197" s="48">
        <v>5.72</v>
      </c>
      <c r="H197" s="48">
        <f t="shared" si="21"/>
        <v>60.620000000000005</v>
      </c>
    </row>
    <row r="198" spans="1:8" s="21" customFormat="1" ht="12" customHeight="1" x14ac:dyDescent="0.25">
      <c r="A198" s="22"/>
      <c r="B198" s="40"/>
      <c r="C198" s="3">
        <v>4127</v>
      </c>
      <c r="D198" s="71" t="s">
        <v>12</v>
      </c>
      <c r="E198" s="48">
        <v>135.97999999999999</v>
      </c>
      <c r="F198" s="48">
        <v>6.23</v>
      </c>
      <c r="G198" s="48">
        <v>6.23</v>
      </c>
      <c r="H198" s="48">
        <f t="shared" si="21"/>
        <v>135.97999999999999</v>
      </c>
    </row>
    <row r="199" spans="1:8" s="21" customFormat="1" ht="12" customHeight="1" x14ac:dyDescent="0.25">
      <c r="A199" s="22"/>
      <c r="B199" s="40"/>
      <c r="C199" s="3">
        <v>4129</v>
      </c>
      <c r="D199" s="71" t="s">
        <v>12</v>
      </c>
      <c r="E199" s="48">
        <v>7.99</v>
      </c>
      <c r="F199" s="48">
        <v>0.36</v>
      </c>
      <c r="G199" s="48">
        <v>0.36</v>
      </c>
      <c r="H199" s="48">
        <f t="shared" si="21"/>
        <v>7.9899999999999993</v>
      </c>
    </row>
    <row r="200" spans="1:8" s="21" customFormat="1" ht="12" customHeight="1" x14ac:dyDescent="0.25">
      <c r="A200" s="22"/>
      <c r="B200" s="40"/>
      <c r="C200" s="73">
        <v>4717</v>
      </c>
      <c r="D200" s="71" t="s">
        <v>68</v>
      </c>
      <c r="E200" s="48">
        <v>82.68</v>
      </c>
      <c r="F200" s="48">
        <v>22.68</v>
      </c>
      <c r="G200" s="48">
        <v>22.68</v>
      </c>
      <c r="H200" s="48">
        <f t="shared" si="21"/>
        <v>82.68</v>
      </c>
    </row>
    <row r="201" spans="1:8" s="21" customFormat="1" ht="12" customHeight="1" x14ac:dyDescent="0.25">
      <c r="A201" s="22"/>
      <c r="B201" s="40"/>
      <c r="C201" s="73">
        <v>4719</v>
      </c>
      <c r="D201" s="71" t="s">
        <v>68</v>
      </c>
      <c r="E201" s="48">
        <v>4.8600000000000003</v>
      </c>
      <c r="F201" s="48">
        <v>1.34</v>
      </c>
      <c r="G201" s="48">
        <v>1.34</v>
      </c>
      <c r="H201" s="48">
        <f t="shared" si="21"/>
        <v>4.8600000000000003</v>
      </c>
    </row>
    <row r="202" spans="1:8" s="21" customFormat="1" ht="12" customHeight="1" x14ac:dyDescent="0.25">
      <c r="A202" s="22"/>
      <c r="B202" s="40"/>
      <c r="C202" s="3">
        <v>4797</v>
      </c>
      <c r="D202" s="74" t="s">
        <v>104</v>
      </c>
      <c r="E202" s="48">
        <v>4786.7299999999996</v>
      </c>
      <c r="F202" s="48">
        <v>254.44</v>
      </c>
      <c r="G202" s="48">
        <v>254.44</v>
      </c>
      <c r="H202" s="48">
        <f t="shared" si="21"/>
        <v>4786.7299999999996</v>
      </c>
    </row>
    <row r="203" spans="1:8" s="21" customFormat="1" ht="12" customHeight="1" x14ac:dyDescent="0.25">
      <c r="A203" s="22"/>
      <c r="B203" s="40"/>
      <c r="C203" s="3">
        <v>4799</v>
      </c>
      <c r="D203" s="74" t="s">
        <v>104</v>
      </c>
      <c r="E203" s="48">
        <v>281.27</v>
      </c>
      <c r="F203" s="48">
        <v>14.76</v>
      </c>
      <c r="G203" s="48">
        <v>14.76</v>
      </c>
      <c r="H203" s="48">
        <f t="shared" si="21"/>
        <v>281.27</v>
      </c>
    </row>
    <row r="204" spans="1:8" s="21" customFormat="1" ht="24.75" customHeight="1" x14ac:dyDescent="0.25">
      <c r="A204" s="22"/>
      <c r="B204" s="40"/>
      <c r="C204" s="31"/>
      <c r="D204" s="310" t="s">
        <v>107</v>
      </c>
      <c r="E204" s="306">
        <v>411568.06</v>
      </c>
      <c r="F204" s="306">
        <f>SUM(F205:F212)</f>
        <v>319651.17</v>
      </c>
      <c r="G204" s="306">
        <f>SUM(G205:G212)</f>
        <v>319651.17</v>
      </c>
      <c r="H204" s="306">
        <f>SUM(E204+F204-G204)</f>
        <v>411568.06</v>
      </c>
    </row>
    <row r="205" spans="1:8" s="21" customFormat="1" ht="11.25" customHeight="1" x14ac:dyDescent="0.25">
      <c r="A205" s="22"/>
      <c r="B205" s="40"/>
      <c r="C205" s="3">
        <v>4117</v>
      </c>
      <c r="D205" s="74" t="s">
        <v>103</v>
      </c>
      <c r="E205" s="48">
        <v>30964.019999999997</v>
      </c>
      <c r="F205" s="48">
        <f>7340+7014.96+6036.97+5020.15</f>
        <v>25412.080000000002</v>
      </c>
      <c r="G205" s="48">
        <f>7340+7014.96+6036.97+5020.15</f>
        <v>25412.080000000002</v>
      </c>
      <c r="H205" s="76">
        <f t="shared" ref="H205:H212" si="22">SUM(E205+F205-G205)</f>
        <v>30964.019999999997</v>
      </c>
    </row>
    <row r="206" spans="1:8" s="21" customFormat="1" ht="11.25" customHeight="1" x14ac:dyDescent="0.25">
      <c r="A206" s="22"/>
      <c r="B206" s="40"/>
      <c r="C206" s="3">
        <v>4127</v>
      </c>
      <c r="D206" s="74" t="s">
        <v>108</v>
      </c>
      <c r="E206" s="48">
        <v>2904.66</v>
      </c>
      <c r="F206" s="48">
        <f>835+859.32+305.05+114.01</f>
        <v>2113.38</v>
      </c>
      <c r="G206" s="48">
        <f>835+859.32+305.05+114.01</f>
        <v>2113.38</v>
      </c>
      <c r="H206" s="48">
        <f t="shared" si="22"/>
        <v>2904.66</v>
      </c>
    </row>
    <row r="207" spans="1:8" s="21" customFormat="1" ht="11.25" customHeight="1" x14ac:dyDescent="0.25">
      <c r="A207" s="22"/>
      <c r="B207" s="40"/>
      <c r="C207" s="3">
        <v>4177</v>
      </c>
      <c r="D207" s="74" t="s">
        <v>52</v>
      </c>
      <c r="E207" s="48">
        <v>188615.47999999998</v>
      </c>
      <c r="F207" s="48">
        <f>42687+45708.4+36918.9+31003.8</f>
        <v>156318.09999999998</v>
      </c>
      <c r="G207" s="48">
        <f>42687+45708.4+36918.9+31003.8</f>
        <v>156318.09999999998</v>
      </c>
      <c r="H207" s="48">
        <f t="shared" si="22"/>
        <v>188615.47999999998</v>
      </c>
    </row>
    <row r="208" spans="1:8" s="21" customFormat="1" ht="11.25" customHeight="1" x14ac:dyDescent="0.25">
      <c r="A208" s="22"/>
      <c r="B208" s="40"/>
      <c r="C208" s="3">
        <v>4217</v>
      </c>
      <c r="D208" s="74" t="s">
        <v>109</v>
      </c>
      <c r="E208" s="48">
        <v>51020</v>
      </c>
      <c r="F208" s="48">
        <f>7960+23500+9330.97</f>
        <v>40790.97</v>
      </c>
      <c r="G208" s="48">
        <f>7960+23500+9330.97</f>
        <v>40790.97</v>
      </c>
      <c r="H208" s="48">
        <f t="shared" si="22"/>
        <v>51020</v>
      </c>
    </row>
    <row r="209" spans="1:8" s="21" customFormat="1" ht="11.25" customHeight="1" x14ac:dyDescent="0.25">
      <c r="A209" s="22"/>
      <c r="B209" s="40"/>
      <c r="C209" s="3">
        <v>4227</v>
      </c>
      <c r="D209" s="72" t="s">
        <v>87</v>
      </c>
      <c r="E209" s="48">
        <v>7492</v>
      </c>
      <c r="F209" s="48">
        <f>5080+912</f>
        <v>5992</v>
      </c>
      <c r="G209" s="48">
        <f>5080+912</f>
        <v>5992</v>
      </c>
      <c r="H209" s="48">
        <f t="shared" si="22"/>
        <v>7492</v>
      </c>
    </row>
    <row r="210" spans="1:8" s="21" customFormat="1" ht="12" customHeight="1" x14ac:dyDescent="0.25">
      <c r="A210" s="22"/>
      <c r="B210" s="40"/>
      <c r="C210" s="3">
        <v>4247</v>
      </c>
      <c r="D210" s="74" t="s">
        <v>110</v>
      </c>
      <c r="E210" s="48">
        <v>39069</v>
      </c>
      <c r="F210" s="48">
        <f>20060+19009</f>
        <v>39069</v>
      </c>
      <c r="G210" s="48">
        <f>20060+19009</f>
        <v>39069</v>
      </c>
      <c r="H210" s="48">
        <f t="shared" si="22"/>
        <v>39069</v>
      </c>
    </row>
    <row r="211" spans="1:8" s="21" customFormat="1" ht="12" customHeight="1" x14ac:dyDescent="0.25">
      <c r="A211" s="22"/>
      <c r="B211" s="40"/>
      <c r="C211" s="3">
        <v>4307</v>
      </c>
      <c r="D211" s="74" t="s">
        <v>111</v>
      </c>
      <c r="E211" s="48">
        <v>90122</v>
      </c>
      <c r="F211" s="48">
        <f>6020+13680+9540+19819.2</f>
        <v>49059.199999999997</v>
      </c>
      <c r="G211" s="48">
        <f>6020+13680+9540+19819.2</f>
        <v>49059.199999999997</v>
      </c>
      <c r="H211" s="48">
        <f t="shared" si="22"/>
        <v>90122.000000000015</v>
      </c>
    </row>
    <row r="212" spans="1:8" s="21" customFormat="1" ht="12" customHeight="1" x14ac:dyDescent="0.25">
      <c r="A212" s="22"/>
      <c r="B212" s="40"/>
      <c r="C212" s="3">
        <v>4717</v>
      </c>
      <c r="D212" s="77" t="s">
        <v>68</v>
      </c>
      <c r="E212" s="48">
        <v>1380.9</v>
      </c>
      <c r="F212" s="48">
        <f>18+177.32+339.08+362.04</f>
        <v>896.44</v>
      </c>
      <c r="G212" s="48">
        <f>18+177.32+339.08+362.04</f>
        <v>896.44</v>
      </c>
      <c r="H212" s="48">
        <f t="shared" si="22"/>
        <v>1380.9</v>
      </c>
    </row>
    <row r="213" spans="1:8" s="21" customFormat="1" ht="12" customHeight="1" thickBot="1" x14ac:dyDescent="0.3">
      <c r="A213" s="53">
        <v>854</v>
      </c>
      <c r="B213" s="53"/>
      <c r="C213" s="37"/>
      <c r="D213" s="38" t="s">
        <v>112</v>
      </c>
      <c r="E213" s="35">
        <v>1646957.5799999998</v>
      </c>
      <c r="F213" s="39">
        <f>SUM(F223,F214)</f>
        <v>49055.91</v>
      </c>
      <c r="G213" s="39">
        <f>SUM(G223,G214)</f>
        <v>49055.91</v>
      </c>
      <c r="H213" s="35">
        <f t="shared" ref="H213:H223" si="23">SUM(E213+F213-G213)</f>
        <v>1646957.5799999998</v>
      </c>
    </row>
    <row r="214" spans="1:8" s="21" customFormat="1" ht="12" customHeight="1" thickTop="1" x14ac:dyDescent="0.25">
      <c r="A214" s="53"/>
      <c r="B214" s="50">
        <v>85404</v>
      </c>
      <c r="C214" s="37"/>
      <c r="D214" s="62" t="s">
        <v>113</v>
      </c>
      <c r="E214" s="78">
        <v>1303870.5299999998</v>
      </c>
      <c r="F214" s="79">
        <f>SUM(F215)</f>
        <v>48493.3</v>
      </c>
      <c r="G214" s="79">
        <f t="shared" ref="G214" si="24">SUM(G215)</f>
        <v>48493.3</v>
      </c>
      <c r="H214" s="79">
        <f>E214+F214-G214</f>
        <v>1303870.5299999998</v>
      </c>
    </row>
    <row r="215" spans="1:8" s="21" customFormat="1" ht="12" customHeight="1" x14ac:dyDescent="0.25">
      <c r="A215" s="53"/>
      <c r="B215" s="53"/>
      <c r="C215" s="37"/>
      <c r="D215" s="309" t="s">
        <v>23</v>
      </c>
      <c r="E215" s="80">
        <v>94084</v>
      </c>
      <c r="F215" s="81">
        <f>SUM(F216:F221)</f>
        <v>48493.3</v>
      </c>
      <c r="G215" s="81">
        <f>SUM(G216:G221)</f>
        <v>48493.3</v>
      </c>
      <c r="H215" s="81">
        <f>E215+F215-G215</f>
        <v>94083.999999999985</v>
      </c>
    </row>
    <row r="216" spans="1:8" s="21" customFormat="1" ht="12" customHeight="1" x14ac:dyDescent="0.25">
      <c r="A216" s="53"/>
      <c r="B216" s="53"/>
      <c r="C216" s="31" t="s">
        <v>71</v>
      </c>
      <c r="D216" s="82" t="s">
        <v>24</v>
      </c>
      <c r="E216" s="48">
        <v>13664</v>
      </c>
      <c r="F216" s="49">
        <v>5099.67</v>
      </c>
      <c r="G216" s="49">
        <v>5099.67</v>
      </c>
      <c r="H216" s="48">
        <f>E216+F216-G216</f>
        <v>13663.999999999998</v>
      </c>
    </row>
    <row r="217" spans="1:8" s="21" customFormat="1" ht="12" customHeight="1" x14ac:dyDescent="0.25">
      <c r="A217" s="53"/>
      <c r="B217" s="53"/>
      <c r="C217" s="31" t="s">
        <v>72</v>
      </c>
      <c r="D217" s="51" t="s">
        <v>12</v>
      </c>
      <c r="E217" s="48">
        <v>2093</v>
      </c>
      <c r="F217" s="49">
        <v>798.08</v>
      </c>
      <c r="G217" s="49">
        <v>798.08</v>
      </c>
      <c r="H217" s="48">
        <f t="shared" ref="H217:H221" si="25">E217+F217-G217</f>
        <v>2093</v>
      </c>
    </row>
    <row r="218" spans="1:8" s="21" customFormat="1" ht="12" customHeight="1" x14ac:dyDescent="0.25">
      <c r="A218" s="53"/>
      <c r="B218" s="53"/>
      <c r="C218" s="31" t="s">
        <v>79</v>
      </c>
      <c r="D218" s="51" t="s">
        <v>61</v>
      </c>
      <c r="E218" s="48">
        <v>3079</v>
      </c>
      <c r="F218" s="49">
        <v>1046.98</v>
      </c>
      <c r="G218" s="49">
        <v>1046.98</v>
      </c>
      <c r="H218" s="48">
        <f t="shared" si="25"/>
        <v>3078.9999999999995</v>
      </c>
    </row>
    <row r="219" spans="1:8" s="21" customFormat="1" ht="12" customHeight="1" x14ac:dyDescent="0.25">
      <c r="A219" s="53"/>
      <c r="B219" s="53"/>
      <c r="C219" s="31" t="s">
        <v>81</v>
      </c>
      <c r="D219" s="51" t="s">
        <v>68</v>
      </c>
      <c r="E219" s="48">
        <v>669</v>
      </c>
      <c r="F219" s="49">
        <v>461.27</v>
      </c>
      <c r="G219" s="49">
        <v>461.27</v>
      </c>
      <c r="H219" s="48">
        <f t="shared" si="25"/>
        <v>669</v>
      </c>
    </row>
    <row r="220" spans="1:8" s="21" customFormat="1" ht="12" customHeight="1" x14ac:dyDescent="0.25">
      <c r="A220" s="53"/>
      <c r="B220" s="53"/>
      <c r="C220" s="31" t="s">
        <v>89</v>
      </c>
      <c r="D220" s="21" t="s">
        <v>25</v>
      </c>
      <c r="E220" s="48">
        <v>67623</v>
      </c>
      <c r="F220" s="49">
        <v>40575.040000000001</v>
      </c>
      <c r="G220" s="49">
        <v>40575.040000000001</v>
      </c>
      <c r="H220" s="48">
        <f t="shared" si="25"/>
        <v>67623</v>
      </c>
    </row>
    <row r="221" spans="1:8" s="21" customFormat="1" ht="12" customHeight="1" x14ac:dyDescent="0.25">
      <c r="A221" s="53"/>
      <c r="B221" s="53"/>
      <c r="C221" s="60">
        <v>4800</v>
      </c>
      <c r="D221" s="21" t="s">
        <v>69</v>
      </c>
      <c r="E221" s="48">
        <v>6956</v>
      </c>
      <c r="F221" s="49">
        <v>512.26</v>
      </c>
      <c r="G221" s="49">
        <v>512.26</v>
      </c>
      <c r="H221" s="48">
        <f t="shared" si="25"/>
        <v>6956</v>
      </c>
    </row>
    <row r="222" spans="1:8" s="21" customFormat="1" ht="12" customHeight="1" x14ac:dyDescent="0.25">
      <c r="A222" s="53"/>
      <c r="B222" s="50">
        <v>85412</v>
      </c>
      <c r="C222" s="60"/>
      <c r="D222" s="74" t="s">
        <v>114</v>
      </c>
      <c r="E222" s="48"/>
      <c r="F222" s="49"/>
      <c r="G222" s="49"/>
      <c r="H222" s="48"/>
    </row>
    <row r="223" spans="1:8" s="21" customFormat="1" ht="12" customHeight="1" x14ac:dyDescent="0.25">
      <c r="A223" s="53"/>
      <c r="B223" s="50"/>
      <c r="C223" s="44"/>
      <c r="D223" s="68" t="s">
        <v>115</v>
      </c>
      <c r="E223" s="42">
        <v>79290</v>
      </c>
      <c r="F223" s="43">
        <f>SUM(F224)</f>
        <v>562.61</v>
      </c>
      <c r="G223" s="43">
        <f>SUM(G224)</f>
        <v>562.61</v>
      </c>
      <c r="H223" s="42">
        <f t="shared" si="23"/>
        <v>79290</v>
      </c>
    </row>
    <row r="224" spans="1:8" s="21" customFormat="1" ht="12" customHeight="1" x14ac:dyDescent="0.25">
      <c r="A224" s="53"/>
      <c r="B224" s="50"/>
      <c r="C224" s="31"/>
      <c r="D224" s="309" t="s">
        <v>23</v>
      </c>
      <c r="E224" s="306">
        <v>71750</v>
      </c>
      <c r="F224" s="306">
        <f>SUM(F225:F230)</f>
        <v>562.61</v>
      </c>
      <c r="G224" s="306">
        <f>SUM(G225:G230)</f>
        <v>562.61</v>
      </c>
      <c r="H224" s="306">
        <f>SUM(E224+F224-G224)</f>
        <v>71750</v>
      </c>
    </row>
    <row r="225" spans="1:8" s="21" customFormat="1" ht="12" customHeight="1" x14ac:dyDescent="0.25">
      <c r="A225" s="53"/>
      <c r="B225" s="50"/>
      <c r="C225" s="31" t="s">
        <v>71</v>
      </c>
      <c r="D225" s="82" t="s">
        <v>24</v>
      </c>
      <c r="E225" s="48">
        <v>4594.17</v>
      </c>
      <c r="F225" s="48">
        <v>11</v>
      </c>
      <c r="G225" s="48">
        <v>11</v>
      </c>
      <c r="H225" s="48">
        <f t="shared" ref="H225:H231" si="26">SUM(E225+F225-G225)</f>
        <v>4594.17</v>
      </c>
    </row>
    <row r="226" spans="1:8" s="21" customFormat="1" ht="12" customHeight="1" x14ac:dyDescent="0.25">
      <c r="A226" s="53"/>
      <c r="B226" s="50"/>
      <c r="C226" s="31" t="s">
        <v>72</v>
      </c>
      <c r="D226" s="51" t="s">
        <v>12</v>
      </c>
      <c r="E226" s="48">
        <v>473.35</v>
      </c>
      <c r="F226" s="48">
        <v>2.54</v>
      </c>
      <c r="G226" s="48">
        <v>2.54</v>
      </c>
      <c r="H226" s="48">
        <f>E226+F226-G226</f>
        <v>473.35</v>
      </c>
    </row>
    <row r="227" spans="1:8" s="21" customFormat="1" ht="12" customHeight="1" x14ac:dyDescent="0.25">
      <c r="A227" s="53"/>
      <c r="B227" s="50"/>
      <c r="C227" s="31" t="s">
        <v>83</v>
      </c>
      <c r="D227" s="51" t="s">
        <v>52</v>
      </c>
      <c r="E227" s="48">
        <v>31304.48</v>
      </c>
      <c r="F227" s="48">
        <v>0.4</v>
      </c>
      <c r="G227" s="48">
        <v>0.4</v>
      </c>
      <c r="H227" s="48">
        <f t="shared" ref="H227:H228" si="27">E227+F227-G227</f>
        <v>31304.48</v>
      </c>
    </row>
    <row r="228" spans="1:8" s="21" customFormat="1" ht="12" customHeight="1" x14ac:dyDescent="0.25">
      <c r="A228" s="53"/>
      <c r="B228" s="50"/>
      <c r="C228" s="31" t="s">
        <v>86</v>
      </c>
      <c r="D228" s="51" t="s">
        <v>87</v>
      </c>
      <c r="E228" s="48">
        <v>12000</v>
      </c>
      <c r="F228" s="48">
        <v>284.95</v>
      </c>
      <c r="G228" s="48">
        <v>284.95</v>
      </c>
      <c r="H228" s="48">
        <f t="shared" si="27"/>
        <v>12000</v>
      </c>
    </row>
    <row r="229" spans="1:8" s="21" customFormat="1" ht="12" customHeight="1" x14ac:dyDescent="0.25">
      <c r="A229" s="61"/>
      <c r="B229" s="69"/>
      <c r="C229" s="70" t="s">
        <v>77</v>
      </c>
      <c r="D229" s="41" t="s">
        <v>56</v>
      </c>
      <c r="E229" s="42">
        <v>17850</v>
      </c>
      <c r="F229" s="42">
        <v>260</v>
      </c>
      <c r="G229" s="42">
        <v>260</v>
      </c>
      <c r="H229" s="42">
        <f t="shared" si="26"/>
        <v>17850</v>
      </c>
    </row>
    <row r="230" spans="1:8" s="21" customFormat="1" ht="12" customHeight="1" x14ac:dyDescent="0.25">
      <c r="A230" s="53"/>
      <c r="B230" s="50"/>
      <c r="C230" s="31" t="s">
        <v>81</v>
      </c>
      <c r="D230" s="51" t="s">
        <v>68</v>
      </c>
      <c r="E230" s="48">
        <v>128</v>
      </c>
      <c r="F230" s="48">
        <v>3.72</v>
      </c>
      <c r="G230" s="48">
        <v>3.72</v>
      </c>
      <c r="H230" s="48">
        <f t="shared" si="26"/>
        <v>128</v>
      </c>
    </row>
    <row r="231" spans="1:8" s="21" customFormat="1" ht="18" customHeight="1" thickBot="1" x14ac:dyDescent="0.3">
      <c r="A231" s="53"/>
      <c r="B231" s="50"/>
      <c r="C231" s="50"/>
      <c r="D231" s="34" t="s">
        <v>30</v>
      </c>
      <c r="E231" s="35">
        <v>63972923.719999999</v>
      </c>
      <c r="F231" s="35">
        <f>SUM(F232,F241,)</f>
        <v>1045022.33</v>
      </c>
      <c r="G231" s="35">
        <f>SUM(G232,G241,)</f>
        <v>0</v>
      </c>
      <c r="H231" s="35">
        <f t="shared" si="26"/>
        <v>65017946.049999997</v>
      </c>
    </row>
    <row r="232" spans="1:8" s="21" customFormat="1" ht="18.75" customHeight="1" thickTop="1" thickBot="1" x14ac:dyDescent="0.3">
      <c r="A232" s="36">
        <v>801</v>
      </c>
      <c r="B232" s="53"/>
      <c r="C232" s="37"/>
      <c r="D232" s="38" t="s">
        <v>16</v>
      </c>
      <c r="E232" s="35">
        <v>0</v>
      </c>
      <c r="F232" s="35">
        <f>SUM(F235,)</f>
        <v>1040773.33</v>
      </c>
      <c r="G232" s="35">
        <f>SUM(G235)</f>
        <v>0</v>
      </c>
      <c r="H232" s="35">
        <f>SUM(E232+F232-G232)</f>
        <v>1040773.33</v>
      </c>
    </row>
    <row r="233" spans="1:8" s="21" customFormat="1" ht="12" customHeight="1" thickTop="1" x14ac:dyDescent="0.25">
      <c r="A233" s="36"/>
      <c r="B233" s="40">
        <v>80153</v>
      </c>
      <c r="C233" s="37"/>
      <c r="D233" s="51" t="s">
        <v>39</v>
      </c>
      <c r="E233" s="57"/>
      <c r="F233" s="57"/>
      <c r="G233" s="57"/>
      <c r="H233" s="57"/>
    </row>
    <row r="234" spans="1:8" s="21" customFormat="1" ht="12" customHeight="1" x14ac:dyDescent="0.25">
      <c r="A234" s="36"/>
      <c r="B234" s="53"/>
      <c r="C234" s="37"/>
      <c r="D234" s="51" t="s">
        <v>40</v>
      </c>
      <c r="E234" s="57"/>
      <c r="F234" s="57"/>
      <c r="G234" s="57"/>
      <c r="H234" s="57"/>
    </row>
    <row r="235" spans="1:8" s="21" customFormat="1" ht="12" customHeight="1" x14ac:dyDescent="0.25">
      <c r="A235" s="53"/>
      <c r="B235" s="40"/>
      <c r="C235" s="31"/>
      <c r="D235" s="41" t="s">
        <v>41</v>
      </c>
      <c r="E235" s="42">
        <v>0</v>
      </c>
      <c r="F235" s="42">
        <f>SUM(F236,F238)</f>
        <v>1040773.33</v>
      </c>
      <c r="G235" s="42">
        <f>SUM(G236,G238)</f>
        <v>0</v>
      </c>
      <c r="H235" s="42">
        <f t="shared" ref="H235:H240" si="28">SUM(E235+F235-G235)</f>
        <v>1040773.33</v>
      </c>
    </row>
    <row r="236" spans="1:8" s="21" customFormat="1" ht="12" customHeight="1" x14ac:dyDescent="0.25">
      <c r="A236" s="311"/>
      <c r="B236" s="40"/>
      <c r="C236" s="31"/>
      <c r="D236" s="309" t="s">
        <v>23</v>
      </c>
      <c r="E236" s="306">
        <v>0</v>
      </c>
      <c r="F236" s="307">
        <f>SUM(F237:F237)</f>
        <v>928605.98</v>
      </c>
      <c r="G236" s="307">
        <f>SUM(G237:G237)</f>
        <v>0</v>
      </c>
      <c r="H236" s="306">
        <f t="shared" si="28"/>
        <v>928605.98</v>
      </c>
    </row>
    <row r="237" spans="1:8" s="21" customFormat="1" ht="12" customHeight="1" x14ac:dyDescent="0.25">
      <c r="A237" s="36"/>
      <c r="B237" s="30"/>
      <c r="C237" s="50">
        <v>4240</v>
      </c>
      <c r="D237" s="51" t="s">
        <v>53</v>
      </c>
      <c r="E237" s="48">
        <v>0</v>
      </c>
      <c r="F237" s="49">
        <v>928605.98</v>
      </c>
      <c r="G237" s="83"/>
      <c r="H237" s="48">
        <f t="shared" si="28"/>
        <v>928605.98</v>
      </c>
    </row>
    <row r="238" spans="1:8" s="21" customFormat="1" ht="12" customHeight="1" x14ac:dyDescent="0.25">
      <c r="A238" s="36"/>
      <c r="B238" s="30"/>
      <c r="C238" s="31"/>
      <c r="D238" s="309" t="s">
        <v>116</v>
      </c>
      <c r="E238" s="306">
        <v>0</v>
      </c>
      <c r="F238" s="307">
        <f>SUM(F239:F240)</f>
        <v>112167.34999999999</v>
      </c>
      <c r="G238" s="307">
        <f>SUM(G239:G240)</f>
        <v>0</v>
      </c>
      <c r="H238" s="306">
        <f t="shared" si="28"/>
        <v>112167.34999999999</v>
      </c>
    </row>
    <row r="239" spans="1:8" s="21" customFormat="1" ht="37.5" customHeight="1" x14ac:dyDescent="0.25">
      <c r="A239" s="36"/>
      <c r="B239" s="30"/>
      <c r="C239" s="58">
        <v>2830</v>
      </c>
      <c r="D239" s="65" t="s">
        <v>117</v>
      </c>
      <c r="E239" s="48">
        <v>0</v>
      </c>
      <c r="F239" s="49">
        <v>101862.7</v>
      </c>
      <c r="G239" s="49"/>
      <c r="H239" s="48">
        <f t="shared" si="28"/>
        <v>101862.7</v>
      </c>
    </row>
    <row r="240" spans="1:8" s="21" customFormat="1" ht="12" customHeight="1" x14ac:dyDescent="0.25">
      <c r="A240" s="36"/>
      <c r="B240" s="30"/>
      <c r="C240" s="50">
        <v>4210</v>
      </c>
      <c r="D240" s="51" t="s">
        <v>32</v>
      </c>
      <c r="E240" s="48">
        <v>0</v>
      </c>
      <c r="F240" s="49">
        <v>10304.65</v>
      </c>
      <c r="G240" s="83"/>
      <c r="H240" s="48">
        <f t="shared" si="28"/>
        <v>10304.65</v>
      </c>
    </row>
    <row r="241" spans="1:8" s="21" customFormat="1" ht="12" customHeight="1" thickBot="1" x14ac:dyDescent="0.3">
      <c r="A241" s="53">
        <v>855</v>
      </c>
      <c r="B241" s="53"/>
      <c r="C241" s="37"/>
      <c r="D241" s="38" t="s">
        <v>42</v>
      </c>
      <c r="E241" s="35">
        <v>49327887.369999997</v>
      </c>
      <c r="F241" s="35">
        <f>SUM(F244)</f>
        <v>4249</v>
      </c>
      <c r="G241" s="35">
        <f>SUM(G244)</f>
        <v>0</v>
      </c>
      <c r="H241" s="35">
        <f t="shared" ref="H241" si="29">SUM(E241+F241-G241)</f>
        <v>49332136.369999997</v>
      </c>
    </row>
    <row r="242" spans="1:8" s="21" customFormat="1" ht="12" customHeight="1" thickTop="1" x14ac:dyDescent="0.25">
      <c r="A242" s="36"/>
      <c r="B242" s="40">
        <v>85513</v>
      </c>
      <c r="C242" s="31"/>
      <c r="D242" s="40" t="s">
        <v>43</v>
      </c>
      <c r="E242" s="48"/>
      <c r="F242" s="48"/>
      <c r="G242" s="48"/>
      <c r="H242" s="49"/>
    </row>
    <row r="243" spans="1:8" s="21" customFormat="1" ht="12" customHeight="1" x14ac:dyDescent="0.25">
      <c r="A243" s="36"/>
      <c r="B243" s="30"/>
      <c r="C243" s="31"/>
      <c r="D243" s="55" t="s">
        <v>44</v>
      </c>
      <c r="E243" s="48"/>
      <c r="F243" s="48"/>
      <c r="G243" s="48"/>
      <c r="H243" s="49"/>
    </row>
    <row r="244" spans="1:8" s="21" customFormat="1" ht="12" customHeight="1" x14ac:dyDescent="0.25">
      <c r="A244" s="36"/>
      <c r="B244" s="40"/>
      <c r="C244" s="31"/>
      <c r="D244" s="41" t="s">
        <v>45</v>
      </c>
      <c r="E244" s="42">
        <v>844453.22</v>
      </c>
      <c r="F244" s="43">
        <f>SUM(F245)</f>
        <v>4249</v>
      </c>
      <c r="G244" s="43">
        <f>SUM(G245)</f>
        <v>0</v>
      </c>
      <c r="H244" s="42">
        <f t="shared" ref="H244:H246" si="30">SUM(E244+F244-G244)</f>
        <v>848702.22</v>
      </c>
    </row>
    <row r="245" spans="1:8" s="21" customFormat="1" ht="12" customHeight="1" x14ac:dyDescent="0.25">
      <c r="A245" s="36"/>
      <c r="B245" s="3"/>
      <c r="C245" s="1"/>
      <c r="D245" s="312" t="s">
        <v>118</v>
      </c>
      <c r="E245" s="313">
        <v>844453.22</v>
      </c>
      <c r="F245" s="307">
        <f>SUM(F246:F246)</f>
        <v>4249</v>
      </c>
      <c r="G245" s="307">
        <f>SUM(G246:G246)</f>
        <v>0</v>
      </c>
      <c r="H245" s="306">
        <f t="shared" si="30"/>
        <v>848702.22</v>
      </c>
    </row>
    <row r="246" spans="1:8" s="21" customFormat="1" ht="12" customHeight="1" x14ac:dyDescent="0.25">
      <c r="A246" s="36"/>
      <c r="B246" s="50"/>
      <c r="C246" s="67">
        <v>4130</v>
      </c>
      <c r="D246" s="84" t="s">
        <v>119</v>
      </c>
      <c r="E246" s="48">
        <v>844453.22</v>
      </c>
      <c r="F246" s="48">
        <v>4249</v>
      </c>
      <c r="G246" s="48"/>
      <c r="H246" s="49">
        <f t="shared" si="30"/>
        <v>848702.22</v>
      </c>
    </row>
    <row r="247" spans="1:8" s="21" customFormat="1" ht="18" customHeight="1" thickBot="1" x14ac:dyDescent="0.3">
      <c r="A247" s="36"/>
      <c r="B247" s="30"/>
      <c r="C247" s="50"/>
      <c r="D247" s="34" t="s">
        <v>120</v>
      </c>
      <c r="E247" s="35">
        <v>27847014.169999998</v>
      </c>
      <c r="F247" s="35">
        <f>SUM(F248,)</f>
        <v>86857.55</v>
      </c>
      <c r="G247" s="35">
        <f>SUM(G248,G253,G263,)</f>
        <v>0</v>
      </c>
      <c r="H247" s="35">
        <f>SUM(E247+F247-G247)</f>
        <v>27933871.719999999</v>
      </c>
    </row>
    <row r="248" spans="1:8" s="21" customFormat="1" ht="16.5" customHeight="1" thickTop="1" thickBot="1" x14ac:dyDescent="0.3">
      <c r="A248" s="36">
        <v>801</v>
      </c>
      <c r="B248" s="53"/>
      <c r="C248" s="37"/>
      <c r="D248" s="38" t="s">
        <v>16</v>
      </c>
      <c r="E248" s="35">
        <v>0</v>
      </c>
      <c r="F248" s="35">
        <f>SUM(F251)</f>
        <v>86857.55</v>
      </c>
      <c r="G248" s="35">
        <f>SUM(G251)</f>
        <v>0</v>
      </c>
      <c r="H248" s="35">
        <f>SUM(E248+F248-G248)</f>
        <v>86857.55</v>
      </c>
    </row>
    <row r="249" spans="1:8" s="21" customFormat="1" ht="12" customHeight="1" thickTop="1" x14ac:dyDescent="0.25">
      <c r="A249" s="36"/>
      <c r="B249" s="40">
        <v>80153</v>
      </c>
      <c r="C249" s="37"/>
      <c r="D249" s="51" t="s">
        <v>39</v>
      </c>
      <c r="E249" s="57"/>
      <c r="F249" s="57"/>
      <c r="G249" s="57"/>
      <c r="H249" s="57"/>
    </row>
    <row r="250" spans="1:8" s="21" customFormat="1" ht="12" customHeight="1" x14ac:dyDescent="0.25">
      <c r="A250" s="36"/>
      <c r="B250" s="53"/>
      <c r="C250" s="37"/>
      <c r="D250" s="51" t="s">
        <v>40</v>
      </c>
      <c r="E250" s="57"/>
      <c r="F250" s="57"/>
      <c r="G250" s="57"/>
      <c r="H250" s="57"/>
    </row>
    <row r="251" spans="1:8" s="21" customFormat="1" ht="12" customHeight="1" x14ac:dyDescent="0.25">
      <c r="A251" s="53"/>
      <c r="B251" s="40"/>
      <c r="C251" s="31"/>
      <c r="D251" s="41" t="s">
        <v>41</v>
      </c>
      <c r="E251" s="42">
        <v>0</v>
      </c>
      <c r="F251" s="42">
        <f>SUM(F252,F254)</f>
        <v>86857.55</v>
      </c>
      <c r="G251" s="42">
        <f>SUM(G252,G254)</f>
        <v>0</v>
      </c>
      <c r="H251" s="42">
        <f t="shared" ref="H251:H255" si="31">SUM(E251+F251-G251)</f>
        <v>86857.55</v>
      </c>
    </row>
    <row r="252" spans="1:8" s="21" customFormat="1" ht="12" customHeight="1" x14ac:dyDescent="0.25">
      <c r="A252" s="311"/>
      <c r="B252" s="40"/>
      <c r="C252" s="31"/>
      <c r="D252" s="309" t="s">
        <v>23</v>
      </c>
      <c r="E252" s="306">
        <v>0</v>
      </c>
      <c r="F252" s="307">
        <f>SUM(F253:F253)</f>
        <v>85997.6</v>
      </c>
      <c r="G252" s="307">
        <f>SUM(G253:G253)</f>
        <v>0</v>
      </c>
      <c r="H252" s="306">
        <f t="shared" si="31"/>
        <v>85997.6</v>
      </c>
    </row>
    <row r="253" spans="1:8" s="21" customFormat="1" ht="12" customHeight="1" x14ac:dyDescent="0.25">
      <c r="A253" s="36"/>
      <c r="B253" s="30"/>
      <c r="C253" s="50">
        <v>4240</v>
      </c>
      <c r="D253" s="51" t="s">
        <v>53</v>
      </c>
      <c r="E253" s="48">
        <v>0</v>
      </c>
      <c r="F253" s="49">
        <v>85997.6</v>
      </c>
      <c r="G253" s="83"/>
      <c r="H253" s="48">
        <f t="shared" si="31"/>
        <v>85997.6</v>
      </c>
    </row>
    <row r="254" spans="1:8" s="21" customFormat="1" ht="12" customHeight="1" x14ac:dyDescent="0.25">
      <c r="A254" s="36"/>
      <c r="B254" s="30"/>
      <c r="C254" s="31"/>
      <c r="D254" s="309" t="s">
        <v>116</v>
      </c>
      <c r="E254" s="306">
        <v>0</v>
      </c>
      <c r="F254" s="307">
        <f>SUM(F255:F255)</f>
        <v>859.95</v>
      </c>
      <c r="G254" s="307">
        <f>SUM(G255:G255)</f>
        <v>0</v>
      </c>
      <c r="H254" s="306">
        <f t="shared" si="31"/>
        <v>859.95</v>
      </c>
    </row>
    <row r="255" spans="1:8" s="21" customFormat="1" ht="12" customHeight="1" x14ac:dyDescent="0.25">
      <c r="A255" s="36"/>
      <c r="B255" s="30"/>
      <c r="C255" s="50">
        <v>4210</v>
      </c>
      <c r="D255" s="51" t="s">
        <v>32</v>
      </c>
      <c r="E255" s="48">
        <v>0</v>
      </c>
      <c r="F255" s="49">
        <v>859.95</v>
      </c>
      <c r="G255" s="83"/>
      <c r="H255" s="48">
        <f t="shared" si="31"/>
        <v>859.95</v>
      </c>
    </row>
    <row r="256" spans="1:8" s="21" customFormat="1" ht="5.25" customHeight="1" x14ac:dyDescent="0.25">
      <c r="A256" s="61"/>
      <c r="B256" s="85"/>
      <c r="C256" s="86"/>
      <c r="D256" s="87"/>
      <c r="E256" s="42"/>
      <c r="F256" s="42"/>
      <c r="G256" s="42"/>
      <c r="H256" s="42"/>
    </row>
    <row r="257" s="21" customFormat="1" ht="12.75" customHeight="1" x14ac:dyDescent="0.25"/>
    <row r="258" s="21" customFormat="1" ht="13.5" customHeight="1" x14ac:dyDescent="0.25"/>
    <row r="259" s="21" customFormat="1" ht="15" customHeight="1" x14ac:dyDescent="0.25"/>
    <row r="260" s="21" customFormat="1" ht="12.75" customHeight="1" x14ac:dyDescent="0.25"/>
    <row r="261" s="21" customFormat="1" ht="13.5" customHeight="1" x14ac:dyDescent="0.25"/>
    <row r="262" s="21" customFormat="1" ht="13.5" customHeight="1" x14ac:dyDescent="0.25"/>
    <row r="263" s="21" customFormat="1" ht="35.25" customHeight="1" x14ac:dyDescent="0.25"/>
    <row r="264" s="21" customFormat="1" ht="13.5" customHeight="1" x14ac:dyDescent="0.25"/>
    <row r="265" s="21" customFormat="1" ht="13.5" customHeight="1" x14ac:dyDescent="0.25"/>
    <row r="266" s="21" customFormat="1" ht="13.5" customHeight="1" x14ac:dyDescent="0.25"/>
    <row r="267" s="21" customFormat="1" ht="13.5" customHeight="1" x14ac:dyDescent="0.25"/>
    <row r="268" s="21" customFormat="1" ht="13.5" customHeight="1" x14ac:dyDescent="0.25"/>
    <row r="269" s="21" customFormat="1" ht="24" customHeight="1" x14ac:dyDescent="0.25"/>
    <row r="270" s="21" customFormat="1" ht="13.5" customHeight="1" x14ac:dyDescent="0.25"/>
    <row r="271" s="21" customFormat="1" ht="13.5" customHeight="1" x14ac:dyDescent="0.25"/>
    <row r="272" s="21" customFormat="1" ht="13.5" customHeight="1" x14ac:dyDescent="0.25"/>
    <row r="273" s="21" customFormat="1" ht="14.25" customHeight="1" x14ac:dyDescent="0.25"/>
    <row r="274" s="21" customFormat="1" ht="12.75" customHeight="1" x14ac:dyDescent="0.25"/>
    <row r="275" s="21" customFormat="1" ht="12.95" customHeight="1" x14ac:dyDescent="0.25"/>
    <row r="276" s="21" customFormat="1" ht="12.95" customHeight="1" x14ac:dyDescent="0.25"/>
    <row r="277" s="21" customFormat="1" ht="12.95" customHeight="1" x14ac:dyDescent="0.25"/>
    <row r="278" s="21" customFormat="1" ht="12.95" customHeight="1" x14ac:dyDescent="0.25"/>
    <row r="279" s="21" customFormat="1" ht="12.95" customHeight="1" x14ac:dyDescent="0.25"/>
    <row r="280" s="21" customFormat="1" ht="12.95" customHeight="1" x14ac:dyDescent="0.25"/>
    <row r="281" s="21" customFormat="1" ht="12.95" customHeight="1" x14ac:dyDescent="0.25"/>
    <row r="282" s="21" customFormat="1" ht="12.95" customHeight="1" x14ac:dyDescent="0.25"/>
    <row r="283" s="21" customFormat="1" ht="12.95" customHeight="1" x14ac:dyDescent="0.25"/>
    <row r="284" s="21" customFormat="1" ht="12.95" customHeight="1" x14ac:dyDescent="0.25"/>
    <row r="285" s="21" customFormat="1" ht="12.95" customHeight="1" x14ac:dyDescent="0.25"/>
    <row r="286" s="21" customFormat="1" ht="12.95" customHeight="1" x14ac:dyDescent="0.25"/>
    <row r="287" s="21" customFormat="1" ht="12.95" customHeight="1" x14ac:dyDescent="0.25"/>
    <row r="288" s="21" customFormat="1" ht="12.95" customHeight="1" x14ac:dyDescent="0.25"/>
    <row r="289" s="21" customFormat="1" ht="12.95" customHeight="1" x14ac:dyDescent="0.25"/>
    <row r="290" s="21" customFormat="1" ht="12.95" customHeight="1" x14ac:dyDescent="0.25"/>
    <row r="291" s="21" customFormat="1" ht="12.95" customHeight="1" x14ac:dyDescent="0.25"/>
    <row r="292" s="21" customFormat="1" ht="12.95" customHeight="1" x14ac:dyDescent="0.25"/>
    <row r="293" s="21" customFormat="1" ht="12.95" customHeight="1" x14ac:dyDescent="0.25"/>
    <row r="294" s="21" customFormat="1" ht="12.95" customHeight="1" x14ac:dyDescent="0.25"/>
    <row r="295" s="21" customFormat="1" ht="12.95" customHeight="1" x14ac:dyDescent="0.25"/>
    <row r="296" s="21" customFormat="1" ht="12.95" customHeight="1" x14ac:dyDescent="0.25"/>
    <row r="297" s="21" customFormat="1" ht="12.95" customHeight="1" x14ac:dyDescent="0.25"/>
    <row r="298" s="21" customFormat="1" ht="12.95" customHeight="1" x14ac:dyDescent="0.25"/>
    <row r="299" s="21" customFormat="1" ht="12.95" customHeight="1" x14ac:dyDescent="0.25"/>
    <row r="300" s="21" customFormat="1" ht="12.95" customHeight="1" x14ac:dyDescent="0.25"/>
    <row r="301" s="21" customFormat="1" ht="12.95" customHeight="1" x14ac:dyDescent="0.25"/>
    <row r="302" s="21" customFormat="1" ht="12.95" customHeight="1" x14ac:dyDescent="0.25"/>
    <row r="303" s="21" customFormat="1" ht="12.95" customHeight="1" x14ac:dyDescent="0.25"/>
    <row r="304" s="21" customFormat="1" ht="12.95" customHeight="1" x14ac:dyDescent="0.25"/>
    <row r="305" s="21" customFormat="1" ht="12.95" customHeight="1" x14ac:dyDescent="0.25"/>
    <row r="306" s="21" customFormat="1" ht="12.95" customHeight="1" x14ac:dyDescent="0.25"/>
    <row r="307" s="21" customFormat="1" ht="12.95" customHeight="1" x14ac:dyDescent="0.25"/>
    <row r="308" s="21" customFormat="1" ht="12.95" customHeight="1" x14ac:dyDescent="0.25"/>
    <row r="309" s="21" customFormat="1" ht="12.95" customHeight="1" x14ac:dyDescent="0.25"/>
    <row r="310" s="21" customFormat="1" ht="12.95" customHeight="1" x14ac:dyDescent="0.25"/>
    <row r="311" s="21" customFormat="1" ht="12.95" customHeight="1" x14ac:dyDescent="0.25"/>
    <row r="312" s="21" customFormat="1" ht="12.95" customHeight="1" x14ac:dyDescent="0.25"/>
    <row r="313" s="21" customFormat="1" ht="12.95" customHeight="1" x14ac:dyDescent="0.25"/>
    <row r="314" s="21" customFormat="1" ht="12.95" customHeight="1" x14ac:dyDescent="0.25"/>
    <row r="315" s="21" customFormat="1" ht="12.95" customHeight="1" x14ac:dyDescent="0.25"/>
    <row r="316" s="21" customFormat="1" ht="12.95" customHeight="1" x14ac:dyDescent="0.25"/>
    <row r="317" s="21" customFormat="1" ht="12.95" customHeight="1" x14ac:dyDescent="0.25"/>
    <row r="318" s="21" customFormat="1" ht="12.95" customHeight="1" x14ac:dyDescent="0.25"/>
    <row r="319" s="21" customFormat="1" ht="12.95" customHeight="1" x14ac:dyDescent="0.25"/>
    <row r="320" s="21" customFormat="1" ht="12.95" customHeight="1" x14ac:dyDescent="0.25"/>
    <row r="321" spans="1:8" s="21" customFormat="1" ht="12.95" customHeight="1" x14ac:dyDescent="0.25"/>
    <row r="322" spans="1:8" s="21" customFormat="1" ht="12.95" customHeight="1" x14ac:dyDescent="0.25"/>
    <row r="323" spans="1:8" s="21" customFormat="1" ht="12.95" customHeight="1" x14ac:dyDescent="0.25"/>
    <row r="324" spans="1:8" s="21" customFormat="1" ht="12.95" customHeight="1" x14ac:dyDescent="0.3">
      <c r="B324" s="8"/>
      <c r="C324" s="8"/>
      <c r="D324" s="8"/>
      <c r="E324" s="8"/>
      <c r="F324" s="8"/>
      <c r="G324" s="8"/>
      <c r="H324" s="8"/>
    </row>
    <row r="325" spans="1:8" s="21" customFormat="1" ht="12.95" customHeight="1" x14ac:dyDescent="0.3">
      <c r="A325" s="8"/>
      <c r="B325" s="8"/>
      <c r="C325" s="8"/>
      <c r="D325" s="8"/>
      <c r="E325" s="8"/>
      <c r="F325" s="8"/>
      <c r="G325" s="8"/>
      <c r="H325" s="8"/>
    </row>
    <row r="326" spans="1:8" s="21" customFormat="1" ht="12.95" customHeight="1" x14ac:dyDescent="0.3">
      <c r="A326" s="8"/>
      <c r="B326" s="8"/>
      <c r="C326" s="8"/>
      <c r="D326" s="8"/>
      <c r="E326" s="8"/>
      <c r="F326" s="8"/>
      <c r="G326" s="8"/>
      <c r="H326" s="8"/>
    </row>
    <row r="327" spans="1:8" s="21" customFormat="1" ht="12.95" customHeight="1" x14ac:dyDescent="0.3">
      <c r="A327" s="8"/>
      <c r="B327" s="8"/>
      <c r="C327" s="8"/>
      <c r="D327" s="8"/>
      <c r="E327" s="8"/>
      <c r="F327" s="8"/>
      <c r="G327" s="8"/>
      <c r="H327" s="8"/>
    </row>
    <row r="328" spans="1:8" s="21" customFormat="1" ht="12.95" customHeight="1" x14ac:dyDescent="0.3">
      <c r="A328" s="8"/>
      <c r="B328" s="8"/>
      <c r="C328" s="8"/>
      <c r="D328" s="8"/>
      <c r="E328" s="8"/>
      <c r="F328" s="8"/>
      <c r="G328" s="8"/>
      <c r="H328" s="8"/>
    </row>
    <row r="329" spans="1:8" s="21" customFormat="1" ht="12.95" customHeight="1" x14ac:dyDescent="0.3">
      <c r="A329" s="8"/>
      <c r="B329" s="8"/>
      <c r="C329" s="8"/>
      <c r="D329" s="8"/>
      <c r="E329" s="8"/>
      <c r="F329" s="8"/>
      <c r="G329" s="8"/>
      <c r="H329" s="8"/>
    </row>
    <row r="330" spans="1:8" s="21" customFormat="1" ht="12.95" customHeight="1" x14ac:dyDescent="0.3">
      <c r="A330" s="8"/>
      <c r="B330" s="8"/>
      <c r="C330" s="8"/>
      <c r="D330" s="8"/>
      <c r="E330" s="8"/>
      <c r="F330" s="8"/>
      <c r="G330" s="8"/>
      <c r="H330" s="8"/>
    </row>
    <row r="331" spans="1:8" s="21" customFormat="1" ht="12.95" customHeight="1" x14ac:dyDescent="0.3">
      <c r="A331" s="8"/>
      <c r="B331" s="8"/>
      <c r="C331" s="8"/>
      <c r="D331" s="8"/>
      <c r="E331" s="8"/>
      <c r="F331" s="8"/>
      <c r="G331" s="8"/>
      <c r="H331" s="8"/>
    </row>
    <row r="332" spans="1:8" s="21" customFormat="1" ht="12.95" customHeight="1" x14ac:dyDescent="0.3">
      <c r="A332" s="8"/>
      <c r="B332" s="8"/>
      <c r="C332" s="8"/>
      <c r="D332" s="8"/>
      <c r="E332" s="8"/>
      <c r="F332" s="8"/>
      <c r="G332" s="8"/>
      <c r="H332" s="8"/>
    </row>
    <row r="333" spans="1:8" s="21" customFormat="1" ht="12.95" customHeight="1" x14ac:dyDescent="0.3">
      <c r="A333" s="8"/>
      <c r="B333" s="8"/>
      <c r="C333" s="8"/>
      <c r="D333" s="8"/>
      <c r="E333" s="8"/>
      <c r="F333" s="8"/>
      <c r="G333" s="8"/>
      <c r="H333" s="8"/>
    </row>
    <row r="334" spans="1:8" s="21" customFormat="1" ht="12.95" customHeight="1" x14ac:dyDescent="0.3">
      <c r="A334" s="8"/>
      <c r="B334" s="8"/>
      <c r="C334" s="8"/>
      <c r="D334" s="8"/>
      <c r="E334" s="8"/>
      <c r="F334" s="8"/>
      <c r="G334" s="8"/>
      <c r="H334" s="8"/>
    </row>
    <row r="335" spans="1:8" s="21" customFormat="1" ht="12.95" customHeight="1" x14ac:dyDescent="0.3">
      <c r="A335" s="8"/>
      <c r="B335" s="8"/>
      <c r="C335" s="8"/>
      <c r="D335" s="8"/>
      <c r="E335" s="8"/>
      <c r="F335" s="8"/>
      <c r="G335" s="8"/>
      <c r="H335" s="8"/>
    </row>
    <row r="336" spans="1:8" s="21" customFormat="1" ht="12.95" customHeight="1" x14ac:dyDescent="0.3">
      <c r="A336" s="8"/>
      <c r="B336" s="8"/>
      <c r="C336" s="8"/>
      <c r="D336" s="8"/>
      <c r="E336" s="8"/>
      <c r="F336" s="8"/>
      <c r="G336" s="8"/>
      <c r="H336" s="8"/>
    </row>
    <row r="337" spans="1:8" s="21" customFormat="1" ht="12.95" customHeight="1" x14ac:dyDescent="0.3">
      <c r="A337" s="8"/>
      <c r="B337" s="8"/>
      <c r="C337" s="8"/>
      <c r="D337" s="8"/>
      <c r="E337" s="8"/>
      <c r="F337" s="8"/>
      <c r="G337" s="8"/>
      <c r="H337" s="8"/>
    </row>
    <row r="338" spans="1:8" s="21" customFormat="1" ht="12.95" customHeight="1" x14ac:dyDescent="0.3">
      <c r="A338" s="8"/>
      <c r="B338" s="8"/>
      <c r="C338" s="8"/>
      <c r="D338" s="8"/>
      <c r="E338" s="8"/>
      <c r="F338" s="8"/>
      <c r="G338" s="8"/>
      <c r="H338" s="8"/>
    </row>
    <row r="339" spans="1:8" s="21" customFormat="1" ht="12.95" customHeight="1" x14ac:dyDescent="0.3">
      <c r="A339" s="8"/>
      <c r="B339" s="8"/>
      <c r="C339" s="8"/>
      <c r="D339" s="8"/>
      <c r="E339" s="8"/>
      <c r="F339" s="8"/>
      <c r="G339" s="8"/>
      <c r="H339" s="8"/>
    </row>
    <row r="340" spans="1:8" ht="12.95" customHeight="1" x14ac:dyDescent="0.3"/>
    <row r="341" spans="1:8" ht="12.95" customHeight="1" x14ac:dyDescent="0.3"/>
    <row r="342" spans="1:8" ht="12.95" customHeight="1" x14ac:dyDescent="0.3"/>
    <row r="343" spans="1:8" ht="12.95" customHeight="1" x14ac:dyDescent="0.3"/>
    <row r="344" spans="1:8" ht="12.95" customHeight="1" x14ac:dyDescent="0.3"/>
    <row r="345" spans="1:8" ht="12.95" customHeight="1" x14ac:dyDescent="0.3"/>
    <row r="346" spans="1:8" ht="12.95" customHeight="1" x14ac:dyDescent="0.3"/>
    <row r="347" spans="1:8" ht="12.95" customHeight="1" x14ac:dyDescent="0.3"/>
    <row r="348" spans="1:8" ht="12.95" customHeight="1" x14ac:dyDescent="0.3"/>
    <row r="349" spans="1:8" ht="12.95" customHeight="1" x14ac:dyDescent="0.3"/>
    <row r="350" spans="1:8" ht="12.95" customHeight="1" x14ac:dyDescent="0.3"/>
    <row r="351" spans="1:8" ht="12.95" customHeight="1" x14ac:dyDescent="0.3"/>
    <row r="352" spans="1:8" ht="12.75" customHeight="1" x14ac:dyDescent="0.3"/>
    <row r="353" s="8" customFormat="1" ht="12.75" customHeight="1" x14ac:dyDescent="0.3"/>
    <row r="354" s="8" customFormat="1" ht="12.75" customHeight="1" x14ac:dyDescent="0.3"/>
    <row r="355" s="8" customFormat="1" ht="12.75" customHeight="1" x14ac:dyDescent="0.3"/>
    <row r="356" s="8" customFormat="1" ht="12.75" customHeight="1" x14ac:dyDescent="0.3"/>
    <row r="357" s="8" customFormat="1" ht="12.75" customHeight="1" x14ac:dyDescent="0.3"/>
    <row r="358" s="8" customFormat="1" ht="12.75" customHeight="1" x14ac:dyDescent="0.3"/>
    <row r="359" s="8" customFormat="1" ht="12.75" customHeight="1" x14ac:dyDescent="0.3"/>
    <row r="360" s="8" customFormat="1" ht="12.75" customHeight="1" x14ac:dyDescent="0.3"/>
    <row r="361" s="8" customFormat="1" ht="12.75" customHeight="1" x14ac:dyDescent="0.3"/>
    <row r="362" s="8" customFormat="1" ht="12.75" customHeight="1" x14ac:dyDescent="0.3"/>
    <row r="363" s="8" customFormat="1" ht="12.75" customHeight="1" x14ac:dyDescent="0.3"/>
    <row r="364" s="8" customFormat="1" ht="12.75" customHeight="1" x14ac:dyDescent="0.3"/>
    <row r="365" s="8" customFormat="1" ht="12.75" customHeight="1" x14ac:dyDescent="0.3"/>
    <row r="366" s="8" customFormat="1" ht="12.75" customHeight="1" x14ac:dyDescent="0.3"/>
    <row r="367" s="8" customFormat="1" ht="12.75" customHeight="1" x14ac:dyDescent="0.3"/>
    <row r="368" s="8" customFormat="1" ht="12.75" customHeight="1" x14ac:dyDescent="0.3"/>
    <row r="369" s="8" customFormat="1" ht="12.75" customHeight="1" x14ac:dyDescent="0.3"/>
    <row r="370" s="8" customFormat="1" ht="12.75" customHeight="1" x14ac:dyDescent="0.3"/>
    <row r="371" s="8" customFormat="1" ht="12.75" customHeight="1" x14ac:dyDescent="0.3"/>
    <row r="372" s="8" customFormat="1" ht="12.75" customHeight="1" x14ac:dyDescent="0.3"/>
    <row r="373" s="8" customFormat="1" ht="12.75" customHeight="1" x14ac:dyDescent="0.3"/>
    <row r="374" s="8" customFormat="1" ht="12.75" customHeight="1" x14ac:dyDescent="0.3"/>
    <row r="375" s="8" customFormat="1" ht="12.75" customHeight="1" x14ac:dyDescent="0.3"/>
    <row r="376" s="8" customFormat="1" ht="12.75" customHeight="1" x14ac:dyDescent="0.3"/>
    <row r="377" s="8" customFormat="1" ht="12.75" customHeight="1" x14ac:dyDescent="0.3"/>
    <row r="378" s="8" customFormat="1" ht="12.75" customHeight="1" x14ac:dyDescent="0.3"/>
    <row r="379" s="8" customFormat="1" ht="12.75" customHeight="1" x14ac:dyDescent="0.3"/>
    <row r="380" s="8" customFormat="1" ht="12.75" customHeight="1" x14ac:dyDescent="0.3"/>
    <row r="381" s="8" customFormat="1" ht="12.75" customHeight="1" x14ac:dyDescent="0.3"/>
    <row r="382" s="8" customFormat="1" ht="12.75" customHeight="1" x14ac:dyDescent="0.3"/>
    <row r="383" s="8" customFormat="1" ht="12.75" customHeight="1" x14ac:dyDescent="0.3"/>
    <row r="384" s="8" customFormat="1" ht="12.75" customHeight="1" x14ac:dyDescent="0.3"/>
    <row r="385" s="8" customFormat="1" ht="12.75" customHeight="1" x14ac:dyDescent="0.3"/>
    <row r="386" s="8" customFormat="1" ht="12.75" customHeight="1" x14ac:dyDescent="0.3"/>
    <row r="387" s="8" customFormat="1" ht="12.75" customHeight="1" x14ac:dyDescent="0.3"/>
    <row r="388" s="8" customFormat="1" ht="12.75" customHeight="1" x14ac:dyDescent="0.3"/>
    <row r="389" s="8" customFormat="1" ht="12.75" customHeight="1" x14ac:dyDescent="0.3"/>
    <row r="390" s="8" customFormat="1" ht="12.75" customHeight="1" x14ac:dyDescent="0.3"/>
    <row r="391" s="8" customFormat="1" ht="12.75" customHeight="1" x14ac:dyDescent="0.3"/>
    <row r="392" s="8" customFormat="1" ht="12.75" customHeight="1" x14ac:dyDescent="0.3"/>
    <row r="393" s="8" customFormat="1" ht="12.75" customHeight="1" x14ac:dyDescent="0.3"/>
    <row r="394" s="8" customFormat="1" ht="12.75" customHeight="1" x14ac:dyDescent="0.3"/>
    <row r="395" s="8" customFormat="1" ht="12.75" customHeight="1" x14ac:dyDescent="0.3"/>
    <row r="396" s="8" customFormat="1" ht="12.75" customHeight="1" x14ac:dyDescent="0.3"/>
    <row r="397" s="8" customFormat="1" ht="12.75" customHeight="1" x14ac:dyDescent="0.3"/>
    <row r="398" s="8" customFormat="1" ht="12.75" customHeight="1" x14ac:dyDescent="0.3"/>
    <row r="399" s="8" customFormat="1" ht="12.75" customHeight="1" x14ac:dyDescent="0.3"/>
    <row r="400" s="8" customFormat="1" ht="12.75" customHeight="1" x14ac:dyDescent="0.3"/>
    <row r="401" s="8" customFormat="1" ht="12.75" customHeight="1" x14ac:dyDescent="0.3"/>
    <row r="402" s="8" customFormat="1" ht="12.75" customHeight="1" x14ac:dyDescent="0.3"/>
    <row r="403" s="8" customFormat="1" ht="12.75" customHeight="1" x14ac:dyDescent="0.3"/>
    <row r="404" s="8" customFormat="1" ht="12.75" customHeight="1" x14ac:dyDescent="0.3"/>
    <row r="405" s="8" customFormat="1" ht="12.75" customHeight="1" x14ac:dyDescent="0.3"/>
    <row r="406" s="8" customFormat="1" ht="12.75" customHeight="1" x14ac:dyDescent="0.3"/>
    <row r="407" s="8" customFormat="1" ht="12.75" customHeight="1" x14ac:dyDescent="0.3"/>
    <row r="408" s="8" customFormat="1" ht="12.75" customHeight="1" x14ac:dyDescent="0.3"/>
    <row r="409" s="8" customFormat="1" ht="12.75" customHeight="1" x14ac:dyDescent="0.3"/>
    <row r="410" s="8" customFormat="1" ht="12.75" customHeight="1" x14ac:dyDescent="0.3"/>
    <row r="411" s="8" customFormat="1" ht="12.75" customHeight="1" x14ac:dyDescent="0.3"/>
    <row r="412" s="8" customFormat="1" ht="12.75" customHeight="1" x14ac:dyDescent="0.3"/>
    <row r="413" s="8" customFormat="1" ht="12.75" customHeight="1" x14ac:dyDescent="0.3"/>
    <row r="414" s="8" customFormat="1" ht="12.75" customHeight="1" x14ac:dyDescent="0.3"/>
    <row r="415" s="8" customFormat="1" ht="12.75" customHeight="1" x14ac:dyDescent="0.3"/>
    <row r="416" s="8" customFormat="1" ht="12.75" customHeight="1" x14ac:dyDescent="0.3"/>
    <row r="417" s="8" customFormat="1" ht="12.75" customHeight="1" x14ac:dyDescent="0.3"/>
    <row r="418" s="8" customFormat="1" ht="12.75" customHeight="1" x14ac:dyDescent="0.3"/>
    <row r="419" s="8" customFormat="1" ht="12.75" customHeight="1" x14ac:dyDescent="0.3"/>
    <row r="420" s="8" customFormat="1" ht="12.75" customHeight="1" x14ac:dyDescent="0.3"/>
    <row r="421" s="8" customFormat="1" ht="12.75" customHeight="1" x14ac:dyDescent="0.3"/>
    <row r="422" s="8" customFormat="1" ht="12.75" customHeight="1" x14ac:dyDescent="0.3"/>
    <row r="423" s="8" customFormat="1" ht="12.75" customHeight="1" x14ac:dyDescent="0.3"/>
    <row r="424" s="8" customFormat="1" ht="12.75" customHeight="1" x14ac:dyDescent="0.3"/>
    <row r="425" s="8" customFormat="1" ht="12.75" customHeight="1" x14ac:dyDescent="0.3"/>
    <row r="426" s="8" customFormat="1" ht="12.75" customHeight="1" x14ac:dyDescent="0.3"/>
    <row r="427" s="8" customFormat="1" ht="12.75" customHeight="1" x14ac:dyDescent="0.3"/>
    <row r="428" s="8" customFormat="1" ht="12.75" customHeight="1" x14ac:dyDescent="0.3"/>
    <row r="429" s="8" customFormat="1" ht="12.75" customHeight="1" x14ac:dyDescent="0.3"/>
    <row r="430" s="8" customFormat="1" ht="12.75" customHeight="1" x14ac:dyDescent="0.3"/>
    <row r="431" s="8" customFormat="1" ht="12.75" customHeight="1" x14ac:dyDescent="0.3"/>
    <row r="432" s="8" customFormat="1" ht="12.75" customHeight="1" x14ac:dyDescent="0.3"/>
    <row r="433" s="8" customFormat="1" ht="12.75" customHeight="1" x14ac:dyDescent="0.3"/>
    <row r="434" s="8" customFormat="1" ht="12.75" customHeight="1" x14ac:dyDescent="0.3"/>
    <row r="435" s="8" customFormat="1" ht="12.75" customHeight="1" x14ac:dyDescent="0.3"/>
    <row r="436" s="8" customFormat="1" ht="12.75" customHeight="1" x14ac:dyDescent="0.3"/>
    <row r="437" s="8" customFormat="1" ht="12.75" customHeight="1" x14ac:dyDescent="0.3"/>
    <row r="438" s="8" customFormat="1" ht="12.75" customHeight="1" x14ac:dyDescent="0.3"/>
    <row r="439" s="8" customFormat="1" ht="12.75" customHeight="1" x14ac:dyDescent="0.3"/>
    <row r="440" s="8" customFormat="1" ht="12.75" customHeight="1" x14ac:dyDescent="0.3"/>
    <row r="441" s="8" customFormat="1" ht="12.75" customHeight="1" x14ac:dyDescent="0.3"/>
    <row r="442" s="8" customFormat="1" ht="12.75" customHeight="1" x14ac:dyDescent="0.3"/>
    <row r="443" s="8" customFormat="1" ht="12.75" customHeight="1" x14ac:dyDescent="0.3"/>
    <row r="444" s="8" customFormat="1" ht="12.75" customHeight="1" x14ac:dyDescent="0.3"/>
    <row r="445" s="8" customFormat="1" ht="12.75" customHeight="1" x14ac:dyDescent="0.3"/>
    <row r="446" s="8" customFormat="1" ht="12.75" customHeight="1" x14ac:dyDescent="0.3"/>
    <row r="447" s="8" customFormat="1" ht="12.75" customHeight="1" x14ac:dyDescent="0.3"/>
    <row r="448" s="8" customFormat="1" ht="12.75" customHeight="1" x14ac:dyDescent="0.3"/>
    <row r="449" s="8" customFormat="1" ht="12.75" customHeight="1" x14ac:dyDescent="0.3"/>
    <row r="450" s="8" customFormat="1" ht="12.75" customHeight="1" x14ac:dyDescent="0.3"/>
    <row r="451" s="8" customFormat="1" ht="12.75" customHeight="1" x14ac:dyDescent="0.3"/>
    <row r="452" s="8" customFormat="1" ht="12.75" customHeight="1" x14ac:dyDescent="0.3"/>
    <row r="453" s="8" customFormat="1" ht="12.75" customHeight="1" x14ac:dyDescent="0.3"/>
    <row r="454" s="8" customFormat="1" ht="12.75" customHeight="1" x14ac:dyDescent="0.3"/>
    <row r="455" s="8" customFormat="1" ht="12.75" customHeight="1" x14ac:dyDescent="0.3"/>
    <row r="456" s="8" customFormat="1" ht="12.75" customHeight="1" x14ac:dyDescent="0.3"/>
    <row r="457" s="8" customFormat="1" ht="12.75" customHeight="1" x14ac:dyDescent="0.3"/>
    <row r="458" s="8" customFormat="1" ht="12.75" customHeight="1" x14ac:dyDescent="0.3"/>
    <row r="459" s="8" customFormat="1" ht="12.75" customHeight="1" x14ac:dyDescent="0.3"/>
    <row r="460" s="8" customFormat="1" ht="12.75" customHeight="1" x14ac:dyDescent="0.3"/>
    <row r="461" s="8" customFormat="1" ht="12.75" customHeight="1" x14ac:dyDescent="0.3"/>
    <row r="462" s="8" customFormat="1" ht="12.75" customHeight="1" x14ac:dyDescent="0.3"/>
    <row r="463" s="8" customFormat="1" ht="12.75" customHeight="1" x14ac:dyDescent="0.3"/>
    <row r="464" s="8" customFormat="1" ht="12.75" customHeight="1" x14ac:dyDescent="0.3"/>
    <row r="465" s="8" customFormat="1" ht="12.75" customHeight="1" x14ac:dyDescent="0.3"/>
    <row r="466" s="8" customFormat="1" ht="12.75" customHeight="1" x14ac:dyDescent="0.3"/>
    <row r="467" s="8" customFormat="1" ht="12.75" customHeight="1" x14ac:dyDescent="0.3"/>
    <row r="468" s="8" customFormat="1" ht="12.75" customHeight="1" x14ac:dyDescent="0.3"/>
    <row r="469" s="8" customFormat="1" ht="12.75" customHeight="1" x14ac:dyDescent="0.3"/>
    <row r="470" s="8" customFormat="1" ht="12.75" customHeight="1" x14ac:dyDescent="0.3"/>
    <row r="471" s="8" customFormat="1" ht="12.75" customHeight="1" x14ac:dyDescent="0.3"/>
    <row r="472" s="8" customFormat="1" ht="12.75" customHeight="1" x14ac:dyDescent="0.3"/>
    <row r="473" s="8" customFormat="1" ht="12.75" customHeight="1" x14ac:dyDescent="0.3"/>
    <row r="474" s="8" customFormat="1" ht="12.75" customHeight="1" x14ac:dyDescent="0.3"/>
    <row r="475" s="8" customFormat="1" ht="12.75" customHeight="1" x14ac:dyDescent="0.3"/>
    <row r="476" s="8" customFormat="1" ht="12.75" customHeight="1" x14ac:dyDescent="0.3"/>
    <row r="477" s="8" customFormat="1" ht="12.75" customHeight="1" x14ac:dyDescent="0.3"/>
    <row r="478" s="8" customFormat="1" ht="12.75" customHeight="1" x14ac:dyDescent="0.3"/>
    <row r="479" s="8" customFormat="1" ht="12.75" customHeight="1" x14ac:dyDescent="0.3"/>
    <row r="480" s="8" customFormat="1" ht="12.75" customHeight="1" x14ac:dyDescent="0.3"/>
    <row r="481" s="8" customFormat="1" ht="12.75" customHeight="1" x14ac:dyDescent="0.3"/>
    <row r="482" s="8" customFormat="1" ht="12.75" customHeight="1" x14ac:dyDescent="0.3"/>
    <row r="483" s="8" customFormat="1" ht="12.75" customHeight="1" x14ac:dyDescent="0.3"/>
    <row r="484" s="8" customFormat="1" ht="12.75" customHeight="1" x14ac:dyDescent="0.3"/>
    <row r="485" s="8" customFormat="1" ht="12.75" customHeight="1" x14ac:dyDescent="0.3"/>
    <row r="486" s="8" customFormat="1" ht="12.75" customHeight="1" x14ac:dyDescent="0.3"/>
    <row r="487" s="8" customFormat="1" ht="12.75" customHeight="1" x14ac:dyDescent="0.3"/>
  </sheetData>
  <pageMargins left="0" right="0" top="0.74803149606299213" bottom="0.74803149606299213" header="0.31496062992125984" footer="0.31496062992125984"/>
  <pageSetup paperSize="9" orientation="portrait" r:id="rId1"/>
  <headerFooter>
    <oddFooter>&amp;C&amp;"Arial,Normalny"&amp;8&amp;P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4781A-9030-4269-8D00-DC2A56CA0F7F}">
  <sheetPr>
    <tabColor rgb="FFFF99FF"/>
  </sheetPr>
  <dimension ref="A1:H155"/>
  <sheetViews>
    <sheetView zoomScale="130" zoomScaleNormal="130" workbookViewId="0"/>
  </sheetViews>
  <sheetFormatPr defaultRowHeight="13.5" x14ac:dyDescent="0.25"/>
  <cols>
    <col min="1" max="1" width="4.42578125" style="88" customWidth="1"/>
    <col min="2" max="2" width="5.28515625" style="88" customWidth="1"/>
    <col min="3" max="3" width="7.140625" style="88" customWidth="1"/>
    <col min="4" max="4" width="5.42578125" style="89" customWidth="1"/>
    <col min="5" max="5" width="47.42578125" style="88" customWidth="1"/>
    <col min="6" max="6" width="22.28515625" style="88" customWidth="1"/>
    <col min="7" max="7" width="9.140625" style="88" customWidth="1"/>
    <col min="8" max="8" width="12.28515625" style="88" customWidth="1"/>
    <col min="9" max="256" width="9.140625" style="88"/>
    <col min="257" max="257" width="4.42578125" style="88" customWidth="1"/>
    <col min="258" max="258" width="5.7109375" style="88" customWidth="1"/>
    <col min="259" max="259" width="7.5703125" style="88" customWidth="1"/>
    <col min="260" max="260" width="6.5703125" style="88" customWidth="1"/>
    <col min="261" max="261" width="47.42578125" style="88" customWidth="1"/>
    <col min="262" max="262" width="22.28515625" style="88" customWidth="1"/>
    <col min="263" max="263" width="9.140625" style="88"/>
    <col min="264" max="264" width="12.28515625" style="88" customWidth="1"/>
    <col min="265" max="512" width="9.140625" style="88"/>
    <col min="513" max="513" width="4.42578125" style="88" customWidth="1"/>
    <col min="514" max="514" width="5.7109375" style="88" customWidth="1"/>
    <col min="515" max="515" width="7.5703125" style="88" customWidth="1"/>
    <col min="516" max="516" width="6.5703125" style="88" customWidth="1"/>
    <col min="517" max="517" width="47.42578125" style="88" customWidth="1"/>
    <col min="518" max="518" width="22.28515625" style="88" customWidth="1"/>
    <col min="519" max="519" width="9.140625" style="88"/>
    <col min="520" max="520" width="12.28515625" style="88" customWidth="1"/>
    <col min="521" max="768" width="9.140625" style="88"/>
    <col min="769" max="769" width="4.42578125" style="88" customWidth="1"/>
    <col min="770" max="770" width="5.7109375" style="88" customWidth="1"/>
    <col min="771" max="771" width="7.5703125" style="88" customWidth="1"/>
    <col min="772" max="772" width="6.5703125" style="88" customWidth="1"/>
    <col min="773" max="773" width="47.42578125" style="88" customWidth="1"/>
    <col min="774" max="774" width="22.28515625" style="88" customWidth="1"/>
    <col min="775" max="775" width="9.140625" style="88"/>
    <col min="776" max="776" width="12.28515625" style="88" customWidth="1"/>
    <col min="777" max="1024" width="9.140625" style="88"/>
    <col min="1025" max="1025" width="4.42578125" style="88" customWidth="1"/>
    <col min="1026" max="1026" width="5.7109375" style="88" customWidth="1"/>
    <col min="1027" max="1027" width="7.5703125" style="88" customWidth="1"/>
    <col min="1028" max="1028" width="6.5703125" style="88" customWidth="1"/>
    <col min="1029" max="1029" width="47.42578125" style="88" customWidth="1"/>
    <col min="1030" max="1030" width="22.28515625" style="88" customWidth="1"/>
    <col min="1031" max="1031" width="9.140625" style="88"/>
    <col min="1032" max="1032" width="12.28515625" style="88" customWidth="1"/>
    <col min="1033" max="1280" width="9.140625" style="88"/>
    <col min="1281" max="1281" width="4.42578125" style="88" customWidth="1"/>
    <col min="1282" max="1282" width="5.7109375" style="88" customWidth="1"/>
    <col min="1283" max="1283" width="7.5703125" style="88" customWidth="1"/>
    <col min="1284" max="1284" width="6.5703125" style="88" customWidth="1"/>
    <col min="1285" max="1285" width="47.42578125" style="88" customWidth="1"/>
    <col min="1286" max="1286" width="22.28515625" style="88" customWidth="1"/>
    <col min="1287" max="1287" width="9.140625" style="88"/>
    <col min="1288" max="1288" width="12.28515625" style="88" customWidth="1"/>
    <col min="1289" max="1536" width="9.140625" style="88"/>
    <col min="1537" max="1537" width="4.42578125" style="88" customWidth="1"/>
    <col min="1538" max="1538" width="5.7109375" style="88" customWidth="1"/>
    <col min="1539" max="1539" width="7.5703125" style="88" customWidth="1"/>
    <col min="1540" max="1540" width="6.5703125" style="88" customWidth="1"/>
    <col min="1541" max="1541" width="47.42578125" style="88" customWidth="1"/>
    <col min="1542" max="1542" width="22.28515625" style="88" customWidth="1"/>
    <col min="1543" max="1543" width="9.140625" style="88"/>
    <col min="1544" max="1544" width="12.28515625" style="88" customWidth="1"/>
    <col min="1545" max="1792" width="9.140625" style="88"/>
    <col min="1793" max="1793" width="4.42578125" style="88" customWidth="1"/>
    <col min="1794" max="1794" width="5.7109375" style="88" customWidth="1"/>
    <col min="1795" max="1795" width="7.5703125" style="88" customWidth="1"/>
    <col min="1796" max="1796" width="6.5703125" style="88" customWidth="1"/>
    <col min="1797" max="1797" width="47.42578125" style="88" customWidth="1"/>
    <col min="1798" max="1798" width="22.28515625" style="88" customWidth="1"/>
    <col min="1799" max="1799" width="9.140625" style="88"/>
    <col min="1800" max="1800" width="12.28515625" style="88" customWidth="1"/>
    <col min="1801" max="2048" width="9.140625" style="88"/>
    <col min="2049" max="2049" width="4.42578125" style="88" customWidth="1"/>
    <col min="2050" max="2050" width="5.7109375" style="88" customWidth="1"/>
    <col min="2051" max="2051" width="7.5703125" style="88" customWidth="1"/>
    <col min="2052" max="2052" width="6.5703125" style="88" customWidth="1"/>
    <col min="2053" max="2053" width="47.42578125" style="88" customWidth="1"/>
    <col min="2054" max="2054" width="22.28515625" style="88" customWidth="1"/>
    <col min="2055" max="2055" width="9.140625" style="88"/>
    <col min="2056" max="2056" width="12.28515625" style="88" customWidth="1"/>
    <col min="2057" max="2304" width="9.140625" style="88"/>
    <col min="2305" max="2305" width="4.42578125" style="88" customWidth="1"/>
    <col min="2306" max="2306" width="5.7109375" style="88" customWidth="1"/>
    <col min="2307" max="2307" width="7.5703125" style="88" customWidth="1"/>
    <col min="2308" max="2308" width="6.5703125" style="88" customWidth="1"/>
    <col min="2309" max="2309" width="47.42578125" style="88" customWidth="1"/>
    <col min="2310" max="2310" width="22.28515625" style="88" customWidth="1"/>
    <col min="2311" max="2311" width="9.140625" style="88"/>
    <col min="2312" max="2312" width="12.28515625" style="88" customWidth="1"/>
    <col min="2313" max="2560" width="9.140625" style="88"/>
    <col min="2561" max="2561" width="4.42578125" style="88" customWidth="1"/>
    <col min="2562" max="2562" width="5.7109375" style="88" customWidth="1"/>
    <col min="2563" max="2563" width="7.5703125" style="88" customWidth="1"/>
    <col min="2564" max="2564" width="6.5703125" style="88" customWidth="1"/>
    <col min="2565" max="2565" width="47.42578125" style="88" customWidth="1"/>
    <col min="2566" max="2566" width="22.28515625" style="88" customWidth="1"/>
    <col min="2567" max="2567" width="9.140625" style="88"/>
    <col min="2568" max="2568" width="12.28515625" style="88" customWidth="1"/>
    <col min="2569" max="2816" width="9.140625" style="88"/>
    <col min="2817" max="2817" width="4.42578125" style="88" customWidth="1"/>
    <col min="2818" max="2818" width="5.7109375" style="88" customWidth="1"/>
    <col min="2819" max="2819" width="7.5703125" style="88" customWidth="1"/>
    <col min="2820" max="2820" width="6.5703125" style="88" customWidth="1"/>
    <col min="2821" max="2821" width="47.42578125" style="88" customWidth="1"/>
    <col min="2822" max="2822" width="22.28515625" style="88" customWidth="1"/>
    <col min="2823" max="2823" width="9.140625" style="88"/>
    <col min="2824" max="2824" width="12.28515625" style="88" customWidth="1"/>
    <col min="2825" max="3072" width="9.140625" style="88"/>
    <col min="3073" max="3073" width="4.42578125" style="88" customWidth="1"/>
    <col min="3074" max="3074" width="5.7109375" style="88" customWidth="1"/>
    <col min="3075" max="3075" width="7.5703125" style="88" customWidth="1"/>
    <col min="3076" max="3076" width="6.5703125" style="88" customWidth="1"/>
    <col min="3077" max="3077" width="47.42578125" style="88" customWidth="1"/>
    <col min="3078" max="3078" width="22.28515625" style="88" customWidth="1"/>
    <col min="3079" max="3079" width="9.140625" style="88"/>
    <col min="3080" max="3080" width="12.28515625" style="88" customWidth="1"/>
    <col min="3081" max="3328" width="9.140625" style="88"/>
    <col min="3329" max="3329" width="4.42578125" style="88" customWidth="1"/>
    <col min="3330" max="3330" width="5.7109375" style="88" customWidth="1"/>
    <col min="3331" max="3331" width="7.5703125" style="88" customWidth="1"/>
    <col min="3332" max="3332" width="6.5703125" style="88" customWidth="1"/>
    <col min="3333" max="3333" width="47.42578125" style="88" customWidth="1"/>
    <col min="3334" max="3334" width="22.28515625" style="88" customWidth="1"/>
    <col min="3335" max="3335" width="9.140625" style="88"/>
    <col min="3336" max="3336" width="12.28515625" style="88" customWidth="1"/>
    <col min="3337" max="3584" width="9.140625" style="88"/>
    <col min="3585" max="3585" width="4.42578125" style="88" customWidth="1"/>
    <col min="3586" max="3586" width="5.7109375" style="88" customWidth="1"/>
    <col min="3587" max="3587" width="7.5703125" style="88" customWidth="1"/>
    <col min="3588" max="3588" width="6.5703125" style="88" customWidth="1"/>
    <col min="3589" max="3589" width="47.42578125" style="88" customWidth="1"/>
    <col min="3590" max="3590" width="22.28515625" style="88" customWidth="1"/>
    <col min="3591" max="3591" width="9.140625" style="88"/>
    <col min="3592" max="3592" width="12.28515625" style="88" customWidth="1"/>
    <col min="3593" max="3840" width="9.140625" style="88"/>
    <col min="3841" max="3841" width="4.42578125" style="88" customWidth="1"/>
    <col min="3842" max="3842" width="5.7109375" style="88" customWidth="1"/>
    <col min="3843" max="3843" width="7.5703125" style="88" customWidth="1"/>
    <col min="3844" max="3844" width="6.5703125" style="88" customWidth="1"/>
    <col min="3845" max="3845" width="47.42578125" style="88" customWidth="1"/>
    <col min="3846" max="3846" width="22.28515625" style="88" customWidth="1"/>
    <col min="3847" max="3847" width="9.140625" style="88"/>
    <col min="3848" max="3848" width="12.28515625" style="88" customWidth="1"/>
    <col min="3849" max="4096" width="9.140625" style="88"/>
    <col min="4097" max="4097" width="4.42578125" style="88" customWidth="1"/>
    <col min="4098" max="4098" width="5.7109375" style="88" customWidth="1"/>
    <col min="4099" max="4099" width="7.5703125" style="88" customWidth="1"/>
    <col min="4100" max="4100" width="6.5703125" style="88" customWidth="1"/>
    <col min="4101" max="4101" width="47.42578125" style="88" customWidth="1"/>
    <col min="4102" max="4102" width="22.28515625" style="88" customWidth="1"/>
    <col min="4103" max="4103" width="9.140625" style="88"/>
    <col min="4104" max="4104" width="12.28515625" style="88" customWidth="1"/>
    <col min="4105" max="4352" width="9.140625" style="88"/>
    <col min="4353" max="4353" width="4.42578125" style="88" customWidth="1"/>
    <col min="4354" max="4354" width="5.7109375" style="88" customWidth="1"/>
    <col min="4355" max="4355" width="7.5703125" style="88" customWidth="1"/>
    <col min="4356" max="4356" width="6.5703125" style="88" customWidth="1"/>
    <col min="4357" max="4357" width="47.42578125" style="88" customWidth="1"/>
    <col min="4358" max="4358" width="22.28515625" style="88" customWidth="1"/>
    <col min="4359" max="4359" width="9.140625" style="88"/>
    <col min="4360" max="4360" width="12.28515625" style="88" customWidth="1"/>
    <col min="4361" max="4608" width="9.140625" style="88"/>
    <col min="4609" max="4609" width="4.42578125" style="88" customWidth="1"/>
    <col min="4610" max="4610" width="5.7109375" style="88" customWidth="1"/>
    <col min="4611" max="4611" width="7.5703125" style="88" customWidth="1"/>
    <col min="4612" max="4612" width="6.5703125" style="88" customWidth="1"/>
    <col min="4613" max="4613" width="47.42578125" style="88" customWidth="1"/>
    <col min="4614" max="4614" width="22.28515625" style="88" customWidth="1"/>
    <col min="4615" max="4615" width="9.140625" style="88"/>
    <col min="4616" max="4616" width="12.28515625" style="88" customWidth="1"/>
    <col min="4617" max="4864" width="9.140625" style="88"/>
    <col min="4865" max="4865" width="4.42578125" style="88" customWidth="1"/>
    <col min="4866" max="4866" width="5.7109375" style="88" customWidth="1"/>
    <col min="4867" max="4867" width="7.5703125" style="88" customWidth="1"/>
    <col min="4868" max="4868" width="6.5703125" style="88" customWidth="1"/>
    <col min="4869" max="4869" width="47.42578125" style="88" customWidth="1"/>
    <col min="4870" max="4870" width="22.28515625" style="88" customWidth="1"/>
    <col min="4871" max="4871" width="9.140625" style="88"/>
    <col min="4872" max="4872" width="12.28515625" style="88" customWidth="1"/>
    <col min="4873" max="5120" width="9.140625" style="88"/>
    <col min="5121" max="5121" width="4.42578125" style="88" customWidth="1"/>
    <col min="5122" max="5122" width="5.7109375" style="88" customWidth="1"/>
    <col min="5123" max="5123" width="7.5703125" style="88" customWidth="1"/>
    <col min="5124" max="5124" width="6.5703125" style="88" customWidth="1"/>
    <col min="5125" max="5125" width="47.42578125" style="88" customWidth="1"/>
    <col min="5126" max="5126" width="22.28515625" style="88" customWidth="1"/>
    <col min="5127" max="5127" width="9.140625" style="88"/>
    <col min="5128" max="5128" width="12.28515625" style="88" customWidth="1"/>
    <col min="5129" max="5376" width="9.140625" style="88"/>
    <col min="5377" max="5377" width="4.42578125" style="88" customWidth="1"/>
    <col min="5378" max="5378" width="5.7109375" style="88" customWidth="1"/>
    <col min="5379" max="5379" width="7.5703125" style="88" customWidth="1"/>
    <col min="5380" max="5380" width="6.5703125" style="88" customWidth="1"/>
    <col min="5381" max="5381" width="47.42578125" style="88" customWidth="1"/>
    <col min="5382" max="5382" width="22.28515625" style="88" customWidth="1"/>
    <col min="5383" max="5383" width="9.140625" style="88"/>
    <col min="5384" max="5384" width="12.28515625" style="88" customWidth="1"/>
    <col min="5385" max="5632" width="9.140625" style="88"/>
    <col min="5633" max="5633" width="4.42578125" style="88" customWidth="1"/>
    <col min="5634" max="5634" width="5.7109375" style="88" customWidth="1"/>
    <col min="5635" max="5635" width="7.5703125" style="88" customWidth="1"/>
    <col min="5636" max="5636" width="6.5703125" style="88" customWidth="1"/>
    <col min="5637" max="5637" width="47.42578125" style="88" customWidth="1"/>
    <col min="5638" max="5638" width="22.28515625" style="88" customWidth="1"/>
    <col min="5639" max="5639" width="9.140625" style="88"/>
    <col min="5640" max="5640" width="12.28515625" style="88" customWidth="1"/>
    <col min="5641" max="5888" width="9.140625" style="88"/>
    <col min="5889" max="5889" width="4.42578125" style="88" customWidth="1"/>
    <col min="5890" max="5890" width="5.7109375" style="88" customWidth="1"/>
    <col min="5891" max="5891" width="7.5703125" style="88" customWidth="1"/>
    <col min="5892" max="5892" width="6.5703125" style="88" customWidth="1"/>
    <col min="5893" max="5893" width="47.42578125" style="88" customWidth="1"/>
    <col min="5894" max="5894" width="22.28515625" style="88" customWidth="1"/>
    <col min="5895" max="5895" width="9.140625" style="88"/>
    <col min="5896" max="5896" width="12.28515625" style="88" customWidth="1"/>
    <col min="5897" max="6144" width="9.140625" style="88"/>
    <col min="6145" max="6145" width="4.42578125" style="88" customWidth="1"/>
    <col min="6146" max="6146" width="5.7109375" style="88" customWidth="1"/>
    <col min="6147" max="6147" width="7.5703125" style="88" customWidth="1"/>
    <col min="6148" max="6148" width="6.5703125" style="88" customWidth="1"/>
    <col min="6149" max="6149" width="47.42578125" style="88" customWidth="1"/>
    <col min="6150" max="6150" width="22.28515625" style="88" customWidth="1"/>
    <col min="6151" max="6151" width="9.140625" style="88"/>
    <col min="6152" max="6152" width="12.28515625" style="88" customWidth="1"/>
    <col min="6153" max="6400" width="9.140625" style="88"/>
    <col min="6401" max="6401" width="4.42578125" style="88" customWidth="1"/>
    <col min="6402" max="6402" width="5.7109375" style="88" customWidth="1"/>
    <col min="6403" max="6403" width="7.5703125" style="88" customWidth="1"/>
    <col min="6404" max="6404" width="6.5703125" style="88" customWidth="1"/>
    <col min="6405" max="6405" width="47.42578125" style="88" customWidth="1"/>
    <col min="6406" max="6406" width="22.28515625" style="88" customWidth="1"/>
    <col min="6407" max="6407" width="9.140625" style="88"/>
    <col min="6408" max="6408" width="12.28515625" style="88" customWidth="1"/>
    <col min="6409" max="6656" width="9.140625" style="88"/>
    <col min="6657" max="6657" width="4.42578125" style="88" customWidth="1"/>
    <col min="6658" max="6658" width="5.7109375" style="88" customWidth="1"/>
    <col min="6659" max="6659" width="7.5703125" style="88" customWidth="1"/>
    <col min="6660" max="6660" width="6.5703125" style="88" customWidth="1"/>
    <col min="6661" max="6661" width="47.42578125" style="88" customWidth="1"/>
    <col min="6662" max="6662" width="22.28515625" style="88" customWidth="1"/>
    <col min="6663" max="6663" width="9.140625" style="88"/>
    <col min="6664" max="6664" width="12.28515625" style="88" customWidth="1"/>
    <col min="6665" max="6912" width="9.140625" style="88"/>
    <col min="6913" max="6913" width="4.42578125" style="88" customWidth="1"/>
    <col min="6914" max="6914" width="5.7109375" style="88" customWidth="1"/>
    <col min="6915" max="6915" width="7.5703125" style="88" customWidth="1"/>
    <col min="6916" max="6916" width="6.5703125" style="88" customWidth="1"/>
    <col min="6917" max="6917" width="47.42578125" style="88" customWidth="1"/>
    <col min="6918" max="6918" width="22.28515625" style="88" customWidth="1"/>
    <col min="6919" max="6919" width="9.140625" style="88"/>
    <col min="6920" max="6920" width="12.28515625" style="88" customWidth="1"/>
    <col min="6921" max="7168" width="9.140625" style="88"/>
    <col min="7169" max="7169" width="4.42578125" style="88" customWidth="1"/>
    <col min="7170" max="7170" width="5.7109375" style="88" customWidth="1"/>
    <col min="7171" max="7171" width="7.5703125" style="88" customWidth="1"/>
    <col min="7172" max="7172" width="6.5703125" style="88" customWidth="1"/>
    <col min="7173" max="7173" width="47.42578125" style="88" customWidth="1"/>
    <col min="7174" max="7174" width="22.28515625" style="88" customWidth="1"/>
    <col min="7175" max="7175" width="9.140625" style="88"/>
    <col min="7176" max="7176" width="12.28515625" style="88" customWidth="1"/>
    <col min="7177" max="7424" width="9.140625" style="88"/>
    <col min="7425" max="7425" width="4.42578125" style="88" customWidth="1"/>
    <col min="7426" max="7426" width="5.7109375" style="88" customWidth="1"/>
    <col min="7427" max="7427" width="7.5703125" style="88" customWidth="1"/>
    <col min="7428" max="7428" width="6.5703125" style="88" customWidth="1"/>
    <col min="7429" max="7429" width="47.42578125" style="88" customWidth="1"/>
    <col min="7430" max="7430" width="22.28515625" style="88" customWidth="1"/>
    <col min="7431" max="7431" width="9.140625" style="88"/>
    <col min="7432" max="7432" width="12.28515625" style="88" customWidth="1"/>
    <col min="7433" max="7680" width="9.140625" style="88"/>
    <col min="7681" max="7681" width="4.42578125" style="88" customWidth="1"/>
    <col min="7682" max="7682" width="5.7109375" style="88" customWidth="1"/>
    <col min="7683" max="7683" width="7.5703125" style="88" customWidth="1"/>
    <col min="7684" max="7684" width="6.5703125" style="88" customWidth="1"/>
    <col min="7685" max="7685" width="47.42578125" style="88" customWidth="1"/>
    <col min="7686" max="7686" width="22.28515625" style="88" customWidth="1"/>
    <col min="7687" max="7687" width="9.140625" style="88"/>
    <col min="7688" max="7688" width="12.28515625" style="88" customWidth="1"/>
    <col min="7689" max="7936" width="9.140625" style="88"/>
    <col min="7937" max="7937" width="4.42578125" style="88" customWidth="1"/>
    <col min="7938" max="7938" width="5.7109375" style="88" customWidth="1"/>
    <col min="7939" max="7939" width="7.5703125" style="88" customWidth="1"/>
    <col min="7940" max="7940" width="6.5703125" style="88" customWidth="1"/>
    <col min="7941" max="7941" width="47.42578125" style="88" customWidth="1"/>
    <col min="7942" max="7942" width="22.28515625" style="88" customWidth="1"/>
    <col min="7943" max="7943" width="9.140625" style="88"/>
    <col min="7944" max="7944" width="12.28515625" style="88" customWidth="1"/>
    <col min="7945" max="8192" width="9.140625" style="88"/>
    <col min="8193" max="8193" width="4.42578125" style="88" customWidth="1"/>
    <col min="8194" max="8194" width="5.7109375" style="88" customWidth="1"/>
    <col min="8195" max="8195" width="7.5703125" style="88" customWidth="1"/>
    <col min="8196" max="8196" width="6.5703125" style="88" customWidth="1"/>
    <col min="8197" max="8197" width="47.42578125" style="88" customWidth="1"/>
    <col min="8198" max="8198" width="22.28515625" style="88" customWidth="1"/>
    <col min="8199" max="8199" width="9.140625" style="88"/>
    <col min="8200" max="8200" width="12.28515625" style="88" customWidth="1"/>
    <col min="8201" max="8448" width="9.140625" style="88"/>
    <col min="8449" max="8449" width="4.42578125" style="88" customWidth="1"/>
    <col min="8450" max="8450" width="5.7109375" style="88" customWidth="1"/>
    <col min="8451" max="8451" width="7.5703125" style="88" customWidth="1"/>
    <col min="8452" max="8452" width="6.5703125" style="88" customWidth="1"/>
    <col min="8453" max="8453" width="47.42578125" style="88" customWidth="1"/>
    <col min="8454" max="8454" width="22.28515625" style="88" customWidth="1"/>
    <col min="8455" max="8455" width="9.140625" style="88"/>
    <col min="8456" max="8456" width="12.28515625" style="88" customWidth="1"/>
    <col min="8457" max="8704" width="9.140625" style="88"/>
    <col min="8705" max="8705" width="4.42578125" style="88" customWidth="1"/>
    <col min="8706" max="8706" width="5.7109375" style="88" customWidth="1"/>
    <col min="8707" max="8707" width="7.5703125" style="88" customWidth="1"/>
    <col min="8708" max="8708" width="6.5703125" style="88" customWidth="1"/>
    <col min="8709" max="8709" width="47.42578125" style="88" customWidth="1"/>
    <col min="8710" max="8710" width="22.28515625" style="88" customWidth="1"/>
    <col min="8711" max="8711" width="9.140625" style="88"/>
    <col min="8712" max="8712" width="12.28515625" style="88" customWidth="1"/>
    <col min="8713" max="8960" width="9.140625" style="88"/>
    <col min="8961" max="8961" width="4.42578125" style="88" customWidth="1"/>
    <col min="8962" max="8962" width="5.7109375" style="88" customWidth="1"/>
    <col min="8963" max="8963" width="7.5703125" style="88" customWidth="1"/>
    <col min="8964" max="8964" width="6.5703125" style="88" customWidth="1"/>
    <col min="8965" max="8965" width="47.42578125" style="88" customWidth="1"/>
    <col min="8966" max="8966" width="22.28515625" style="88" customWidth="1"/>
    <col min="8967" max="8967" width="9.140625" style="88"/>
    <col min="8968" max="8968" width="12.28515625" style="88" customWidth="1"/>
    <col min="8969" max="9216" width="9.140625" style="88"/>
    <col min="9217" max="9217" width="4.42578125" style="88" customWidth="1"/>
    <col min="9218" max="9218" width="5.7109375" style="88" customWidth="1"/>
    <col min="9219" max="9219" width="7.5703125" style="88" customWidth="1"/>
    <col min="9220" max="9220" width="6.5703125" style="88" customWidth="1"/>
    <col min="9221" max="9221" width="47.42578125" style="88" customWidth="1"/>
    <col min="9222" max="9222" width="22.28515625" style="88" customWidth="1"/>
    <col min="9223" max="9223" width="9.140625" style="88"/>
    <col min="9224" max="9224" width="12.28515625" style="88" customWidth="1"/>
    <col min="9225" max="9472" width="9.140625" style="88"/>
    <col min="9473" max="9473" width="4.42578125" style="88" customWidth="1"/>
    <col min="9474" max="9474" width="5.7109375" style="88" customWidth="1"/>
    <col min="9475" max="9475" width="7.5703125" style="88" customWidth="1"/>
    <col min="9476" max="9476" width="6.5703125" style="88" customWidth="1"/>
    <col min="9477" max="9477" width="47.42578125" style="88" customWidth="1"/>
    <col min="9478" max="9478" width="22.28515625" style="88" customWidth="1"/>
    <col min="9479" max="9479" width="9.140625" style="88"/>
    <col min="9480" max="9480" width="12.28515625" style="88" customWidth="1"/>
    <col min="9481" max="9728" width="9.140625" style="88"/>
    <col min="9729" max="9729" width="4.42578125" style="88" customWidth="1"/>
    <col min="9730" max="9730" width="5.7109375" style="88" customWidth="1"/>
    <col min="9731" max="9731" width="7.5703125" style="88" customWidth="1"/>
    <col min="9732" max="9732" width="6.5703125" style="88" customWidth="1"/>
    <col min="9733" max="9733" width="47.42578125" style="88" customWidth="1"/>
    <col min="9734" max="9734" width="22.28515625" style="88" customWidth="1"/>
    <col min="9735" max="9735" width="9.140625" style="88"/>
    <col min="9736" max="9736" width="12.28515625" style="88" customWidth="1"/>
    <col min="9737" max="9984" width="9.140625" style="88"/>
    <col min="9985" max="9985" width="4.42578125" style="88" customWidth="1"/>
    <col min="9986" max="9986" width="5.7109375" style="88" customWidth="1"/>
    <col min="9987" max="9987" width="7.5703125" style="88" customWidth="1"/>
    <col min="9988" max="9988" width="6.5703125" style="88" customWidth="1"/>
    <col min="9989" max="9989" width="47.42578125" style="88" customWidth="1"/>
    <col min="9990" max="9990" width="22.28515625" style="88" customWidth="1"/>
    <col min="9991" max="9991" width="9.140625" style="88"/>
    <col min="9992" max="9992" width="12.28515625" style="88" customWidth="1"/>
    <col min="9993" max="10240" width="9.140625" style="88"/>
    <col min="10241" max="10241" width="4.42578125" style="88" customWidth="1"/>
    <col min="10242" max="10242" width="5.7109375" style="88" customWidth="1"/>
    <col min="10243" max="10243" width="7.5703125" style="88" customWidth="1"/>
    <col min="10244" max="10244" width="6.5703125" style="88" customWidth="1"/>
    <col min="10245" max="10245" width="47.42578125" style="88" customWidth="1"/>
    <col min="10246" max="10246" width="22.28515625" style="88" customWidth="1"/>
    <col min="10247" max="10247" width="9.140625" style="88"/>
    <col min="10248" max="10248" width="12.28515625" style="88" customWidth="1"/>
    <col min="10249" max="10496" width="9.140625" style="88"/>
    <col min="10497" max="10497" width="4.42578125" style="88" customWidth="1"/>
    <col min="10498" max="10498" width="5.7109375" style="88" customWidth="1"/>
    <col min="10499" max="10499" width="7.5703125" style="88" customWidth="1"/>
    <col min="10500" max="10500" width="6.5703125" style="88" customWidth="1"/>
    <col min="10501" max="10501" width="47.42578125" style="88" customWidth="1"/>
    <col min="10502" max="10502" width="22.28515625" style="88" customWidth="1"/>
    <col min="10503" max="10503" width="9.140625" style="88"/>
    <col min="10504" max="10504" width="12.28515625" style="88" customWidth="1"/>
    <col min="10505" max="10752" width="9.140625" style="88"/>
    <col min="10753" max="10753" width="4.42578125" style="88" customWidth="1"/>
    <col min="10754" max="10754" width="5.7109375" style="88" customWidth="1"/>
    <col min="10755" max="10755" width="7.5703125" style="88" customWidth="1"/>
    <col min="10756" max="10756" width="6.5703125" style="88" customWidth="1"/>
    <col min="10757" max="10757" width="47.42578125" style="88" customWidth="1"/>
    <col min="10758" max="10758" width="22.28515625" style="88" customWidth="1"/>
    <col min="10759" max="10759" width="9.140625" style="88"/>
    <col min="10760" max="10760" width="12.28515625" style="88" customWidth="1"/>
    <col min="10761" max="11008" width="9.140625" style="88"/>
    <col min="11009" max="11009" width="4.42578125" style="88" customWidth="1"/>
    <col min="11010" max="11010" width="5.7109375" style="88" customWidth="1"/>
    <col min="11011" max="11011" width="7.5703125" style="88" customWidth="1"/>
    <col min="11012" max="11012" width="6.5703125" style="88" customWidth="1"/>
    <col min="11013" max="11013" width="47.42578125" style="88" customWidth="1"/>
    <col min="11014" max="11014" width="22.28515625" style="88" customWidth="1"/>
    <col min="11015" max="11015" width="9.140625" style="88"/>
    <col min="11016" max="11016" width="12.28515625" style="88" customWidth="1"/>
    <col min="11017" max="11264" width="9.140625" style="88"/>
    <col min="11265" max="11265" width="4.42578125" style="88" customWidth="1"/>
    <col min="11266" max="11266" width="5.7109375" style="88" customWidth="1"/>
    <col min="11267" max="11267" width="7.5703125" style="88" customWidth="1"/>
    <col min="11268" max="11268" width="6.5703125" style="88" customWidth="1"/>
    <col min="11269" max="11269" width="47.42578125" style="88" customWidth="1"/>
    <col min="11270" max="11270" width="22.28515625" style="88" customWidth="1"/>
    <col min="11271" max="11271" width="9.140625" style="88"/>
    <col min="11272" max="11272" width="12.28515625" style="88" customWidth="1"/>
    <col min="11273" max="11520" width="9.140625" style="88"/>
    <col min="11521" max="11521" width="4.42578125" style="88" customWidth="1"/>
    <col min="11522" max="11522" width="5.7109375" style="88" customWidth="1"/>
    <col min="11523" max="11523" width="7.5703125" style="88" customWidth="1"/>
    <col min="11524" max="11524" width="6.5703125" style="88" customWidth="1"/>
    <col min="11525" max="11525" width="47.42578125" style="88" customWidth="1"/>
    <col min="11526" max="11526" width="22.28515625" style="88" customWidth="1"/>
    <col min="11527" max="11527" width="9.140625" style="88"/>
    <col min="11528" max="11528" width="12.28515625" style="88" customWidth="1"/>
    <col min="11529" max="11776" width="9.140625" style="88"/>
    <col min="11777" max="11777" width="4.42578125" style="88" customWidth="1"/>
    <col min="11778" max="11778" width="5.7109375" style="88" customWidth="1"/>
    <col min="11779" max="11779" width="7.5703125" style="88" customWidth="1"/>
    <col min="11780" max="11780" width="6.5703125" style="88" customWidth="1"/>
    <col min="11781" max="11781" width="47.42578125" style="88" customWidth="1"/>
    <col min="11782" max="11782" width="22.28515625" style="88" customWidth="1"/>
    <col min="11783" max="11783" width="9.140625" style="88"/>
    <col min="11784" max="11784" width="12.28515625" style="88" customWidth="1"/>
    <col min="11785" max="12032" width="9.140625" style="88"/>
    <col min="12033" max="12033" width="4.42578125" style="88" customWidth="1"/>
    <col min="12034" max="12034" width="5.7109375" style="88" customWidth="1"/>
    <col min="12035" max="12035" width="7.5703125" style="88" customWidth="1"/>
    <col min="12036" max="12036" width="6.5703125" style="88" customWidth="1"/>
    <col min="12037" max="12037" width="47.42578125" style="88" customWidth="1"/>
    <col min="12038" max="12038" width="22.28515625" style="88" customWidth="1"/>
    <col min="12039" max="12039" width="9.140625" style="88"/>
    <col min="12040" max="12040" width="12.28515625" style="88" customWidth="1"/>
    <col min="12041" max="12288" width="9.140625" style="88"/>
    <col min="12289" max="12289" width="4.42578125" style="88" customWidth="1"/>
    <col min="12290" max="12290" width="5.7109375" style="88" customWidth="1"/>
    <col min="12291" max="12291" width="7.5703125" style="88" customWidth="1"/>
    <col min="12292" max="12292" width="6.5703125" style="88" customWidth="1"/>
    <col min="12293" max="12293" width="47.42578125" style="88" customWidth="1"/>
    <col min="12294" max="12294" width="22.28515625" style="88" customWidth="1"/>
    <col min="12295" max="12295" width="9.140625" style="88"/>
    <col min="12296" max="12296" width="12.28515625" style="88" customWidth="1"/>
    <col min="12297" max="12544" width="9.140625" style="88"/>
    <col min="12545" max="12545" width="4.42578125" style="88" customWidth="1"/>
    <col min="12546" max="12546" width="5.7109375" style="88" customWidth="1"/>
    <col min="12547" max="12547" width="7.5703125" style="88" customWidth="1"/>
    <col min="12548" max="12548" width="6.5703125" style="88" customWidth="1"/>
    <col min="12549" max="12549" width="47.42578125" style="88" customWidth="1"/>
    <col min="12550" max="12550" width="22.28515625" style="88" customWidth="1"/>
    <col min="12551" max="12551" width="9.140625" style="88"/>
    <col min="12552" max="12552" width="12.28515625" style="88" customWidth="1"/>
    <col min="12553" max="12800" width="9.140625" style="88"/>
    <col min="12801" max="12801" width="4.42578125" style="88" customWidth="1"/>
    <col min="12802" max="12802" width="5.7109375" style="88" customWidth="1"/>
    <col min="12803" max="12803" width="7.5703125" style="88" customWidth="1"/>
    <col min="12804" max="12804" width="6.5703125" style="88" customWidth="1"/>
    <col min="12805" max="12805" width="47.42578125" style="88" customWidth="1"/>
    <col min="12806" max="12806" width="22.28515625" style="88" customWidth="1"/>
    <col min="12807" max="12807" width="9.140625" style="88"/>
    <col min="12808" max="12808" width="12.28515625" style="88" customWidth="1"/>
    <col min="12809" max="13056" width="9.140625" style="88"/>
    <col min="13057" max="13057" width="4.42578125" style="88" customWidth="1"/>
    <col min="13058" max="13058" width="5.7109375" style="88" customWidth="1"/>
    <col min="13059" max="13059" width="7.5703125" style="88" customWidth="1"/>
    <col min="13060" max="13060" width="6.5703125" style="88" customWidth="1"/>
    <col min="13061" max="13061" width="47.42578125" style="88" customWidth="1"/>
    <col min="13062" max="13062" width="22.28515625" style="88" customWidth="1"/>
    <col min="13063" max="13063" width="9.140625" style="88"/>
    <col min="13064" max="13064" width="12.28515625" style="88" customWidth="1"/>
    <col min="13065" max="13312" width="9.140625" style="88"/>
    <col min="13313" max="13313" width="4.42578125" style="88" customWidth="1"/>
    <col min="13314" max="13314" width="5.7109375" style="88" customWidth="1"/>
    <col min="13315" max="13315" width="7.5703125" style="88" customWidth="1"/>
    <col min="13316" max="13316" width="6.5703125" style="88" customWidth="1"/>
    <col min="13317" max="13317" width="47.42578125" style="88" customWidth="1"/>
    <col min="13318" max="13318" width="22.28515625" style="88" customWidth="1"/>
    <col min="13319" max="13319" width="9.140625" style="88"/>
    <col min="13320" max="13320" width="12.28515625" style="88" customWidth="1"/>
    <col min="13321" max="13568" width="9.140625" style="88"/>
    <col min="13569" max="13569" width="4.42578125" style="88" customWidth="1"/>
    <col min="13570" max="13570" width="5.7109375" style="88" customWidth="1"/>
    <col min="13571" max="13571" width="7.5703125" style="88" customWidth="1"/>
    <col min="13572" max="13572" width="6.5703125" style="88" customWidth="1"/>
    <col min="13573" max="13573" width="47.42578125" style="88" customWidth="1"/>
    <col min="13574" max="13574" width="22.28515625" style="88" customWidth="1"/>
    <col min="13575" max="13575" width="9.140625" style="88"/>
    <col min="13576" max="13576" width="12.28515625" style="88" customWidth="1"/>
    <col min="13577" max="13824" width="9.140625" style="88"/>
    <col min="13825" max="13825" width="4.42578125" style="88" customWidth="1"/>
    <col min="13826" max="13826" width="5.7109375" style="88" customWidth="1"/>
    <col min="13827" max="13827" width="7.5703125" style="88" customWidth="1"/>
    <col min="13828" max="13828" width="6.5703125" style="88" customWidth="1"/>
    <col min="13829" max="13829" width="47.42578125" style="88" customWidth="1"/>
    <col min="13830" max="13830" width="22.28515625" style="88" customWidth="1"/>
    <col min="13831" max="13831" width="9.140625" style="88"/>
    <col min="13832" max="13832" width="12.28515625" style="88" customWidth="1"/>
    <col min="13833" max="14080" width="9.140625" style="88"/>
    <col min="14081" max="14081" width="4.42578125" style="88" customWidth="1"/>
    <col min="14082" max="14082" width="5.7109375" style="88" customWidth="1"/>
    <col min="14083" max="14083" width="7.5703125" style="88" customWidth="1"/>
    <col min="14084" max="14084" width="6.5703125" style="88" customWidth="1"/>
    <col min="14085" max="14085" width="47.42578125" style="88" customWidth="1"/>
    <col min="14086" max="14086" width="22.28515625" style="88" customWidth="1"/>
    <col min="14087" max="14087" width="9.140625" style="88"/>
    <col min="14088" max="14088" width="12.28515625" style="88" customWidth="1"/>
    <col min="14089" max="14336" width="9.140625" style="88"/>
    <col min="14337" max="14337" width="4.42578125" style="88" customWidth="1"/>
    <col min="14338" max="14338" width="5.7109375" style="88" customWidth="1"/>
    <col min="14339" max="14339" width="7.5703125" style="88" customWidth="1"/>
    <col min="14340" max="14340" width="6.5703125" style="88" customWidth="1"/>
    <col min="14341" max="14341" width="47.42578125" style="88" customWidth="1"/>
    <col min="14342" max="14342" width="22.28515625" style="88" customWidth="1"/>
    <col min="14343" max="14343" width="9.140625" style="88"/>
    <col min="14344" max="14344" width="12.28515625" style="88" customWidth="1"/>
    <col min="14345" max="14592" width="9.140625" style="88"/>
    <col min="14593" max="14593" width="4.42578125" style="88" customWidth="1"/>
    <col min="14594" max="14594" width="5.7109375" style="88" customWidth="1"/>
    <col min="14595" max="14595" width="7.5703125" style="88" customWidth="1"/>
    <col min="14596" max="14596" width="6.5703125" style="88" customWidth="1"/>
    <col min="14597" max="14597" width="47.42578125" style="88" customWidth="1"/>
    <col min="14598" max="14598" width="22.28515625" style="88" customWidth="1"/>
    <col min="14599" max="14599" width="9.140625" style="88"/>
    <col min="14600" max="14600" width="12.28515625" style="88" customWidth="1"/>
    <col min="14601" max="14848" width="9.140625" style="88"/>
    <col min="14849" max="14849" width="4.42578125" style="88" customWidth="1"/>
    <col min="14850" max="14850" width="5.7109375" style="88" customWidth="1"/>
    <col min="14851" max="14851" width="7.5703125" style="88" customWidth="1"/>
    <col min="14852" max="14852" width="6.5703125" style="88" customWidth="1"/>
    <col min="14853" max="14853" width="47.42578125" style="88" customWidth="1"/>
    <col min="14854" max="14854" width="22.28515625" style="88" customWidth="1"/>
    <col min="14855" max="14855" width="9.140625" style="88"/>
    <col min="14856" max="14856" width="12.28515625" style="88" customWidth="1"/>
    <col min="14857" max="15104" width="9.140625" style="88"/>
    <col min="15105" max="15105" width="4.42578125" style="88" customWidth="1"/>
    <col min="15106" max="15106" width="5.7109375" style="88" customWidth="1"/>
    <col min="15107" max="15107" width="7.5703125" style="88" customWidth="1"/>
    <col min="15108" max="15108" width="6.5703125" style="88" customWidth="1"/>
    <col min="15109" max="15109" width="47.42578125" style="88" customWidth="1"/>
    <col min="15110" max="15110" width="22.28515625" style="88" customWidth="1"/>
    <col min="15111" max="15111" width="9.140625" style="88"/>
    <col min="15112" max="15112" width="12.28515625" style="88" customWidth="1"/>
    <col min="15113" max="15360" width="9.140625" style="88"/>
    <col min="15361" max="15361" width="4.42578125" style="88" customWidth="1"/>
    <col min="15362" max="15362" width="5.7109375" style="88" customWidth="1"/>
    <col min="15363" max="15363" width="7.5703125" style="88" customWidth="1"/>
    <col min="15364" max="15364" width="6.5703125" style="88" customWidth="1"/>
    <col min="15365" max="15365" width="47.42578125" style="88" customWidth="1"/>
    <col min="15366" max="15366" width="22.28515625" style="88" customWidth="1"/>
    <col min="15367" max="15367" width="9.140625" style="88"/>
    <col min="15368" max="15368" width="12.28515625" style="88" customWidth="1"/>
    <col min="15369" max="15616" width="9.140625" style="88"/>
    <col min="15617" max="15617" width="4.42578125" style="88" customWidth="1"/>
    <col min="15618" max="15618" width="5.7109375" style="88" customWidth="1"/>
    <col min="15619" max="15619" width="7.5703125" style="88" customWidth="1"/>
    <col min="15620" max="15620" width="6.5703125" style="88" customWidth="1"/>
    <col min="15621" max="15621" width="47.42578125" style="88" customWidth="1"/>
    <col min="15622" max="15622" width="22.28515625" style="88" customWidth="1"/>
    <col min="15623" max="15623" width="9.140625" style="88"/>
    <col min="15624" max="15624" width="12.28515625" style="88" customWidth="1"/>
    <col min="15625" max="15872" width="9.140625" style="88"/>
    <col min="15873" max="15873" width="4.42578125" style="88" customWidth="1"/>
    <col min="15874" max="15874" width="5.7109375" style="88" customWidth="1"/>
    <col min="15875" max="15875" width="7.5703125" style="88" customWidth="1"/>
    <col min="15876" max="15876" width="6.5703125" style="88" customWidth="1"/>
    <col min="15877" max="15877" width="47.42578125" style="88" customWidth="1"/>
    <col min="15878" max="15878" width="22.28515625" style="88" customWidth="1"/>
    <col min="15879" max="15879" width="9.140625" style="88"/>
    <col min="15880" max="15880" width="12.28515625" style="88" customWidth="1"/>
    <col min="15881" max="16128" width="9.140625" style="88"/>
    <col min="16129" max="16129" width="4.42578125" style="88" customWidth="1"/>
    <col min="16130" max="16130" width="5.7109375" style="88" customWidth="1"/>
    <col min="16131" max="16131" width="7.5703125" style="88" customWidth="1"/>
    <col min="16132" max="16132" width="6.5703125" style="88" customWidth="1"/>
    <col min="16133" max="16133" width="47.42578125" style="88" customWidth="1"/>
    <col min="16134" max="16134" width="22.28515625" style="88" customWidth="1"/>
    <col min="16135" max="16135" width="9.140625" style="88"/>
    <col min="16136" max="16136" width="12.28515625" style="88" customWidth="1"/>
    <col min="16137" max="16384" width="9.140625" style="88"/>
  </cols>
  <sheetData>
    <row r="1" spans="1:8" ht="12.95" customHeight="1" x14ac:dyDescent="0.25">
      <c r="F1" s="90" t="s">
        <v>123</v>
      </c>
    </row>
    <row r="2" spans="1:8" ht="12.95" customHeight="1" x14ac:dyDescent="0.25">
      <c r="F2" s="91" t="s">
        <v>121</v>
      </c>
    </row>
    <row r="3" spans="1:8" ht="12.95" customHeight="1" x14ac:dyDescent="0.25">
      <c r="F3" s="90" t="s">
        <v>0</v>
      </c>
    </row>
    <row r="4" spans="1:8" ht="12.75" customHeight="1" x14ac:dyDescent="0.25">
      <c r="F4" s="91" t="s">
        <v>122</v>
      </c>
    </row>
    <row r="5" spans="1:8" ht="26.25" customHeight="1" x14ac:dyDescent="0.25">
      <c r="A5" s="92" t="s">
        <v>124</v>
      </c>
      <c r="B5" s="92"/>
      <c r="C5" s="92"/>
      <c r="D5" s="93"/>
      <c r="E5" s="92"/>
      <c r="F5" s="92"/>
    </row>
    <row r="6" spans="1:8" ht="15.75" customHeight="1" x14ac:dyDescent="0.25">
      <c r="A6" s="92" t="s">
        <v>125</v>
      </c>
      <c r="B6" s="92"/>
      <c r="C6" s="92"/>
      <c r="D6" s="93"/>
      <c r="E6" s="92"/>
      <c r="F6" s="92"/>
    </row>
    <row r="7" spans="1:8" ht="24.75" customHeight="1" x14ac:dyDescent="0.25">
      <c r="F7" s="94" t="s">
        <v>1</v>
      </c>
    </row>
    <row r="8" spans="1:8" ht="20.25" customHeight="1" x14ac:dyDescent="0.25">
      <c r="A8" s="95" t="s">
        <v>126</v>
      </c>
      <c r="B8" s="95" t="s">
        <v>127</v>
      </c>
      <c r="C8" s="95" t="s">
        <v>128</v>
      </c>
      <c r="D8" s="96" t="s">
        <v>129</v>
      </c>
      <c r="E8" s="97" t="s">
        <v>130</v>
      </c>
      <c r="F8" s="95" t="s">
        <v>131</v>
      </c>
    </row>
    <row r="9" spans="1:8" s="101" customFormat="1" ht="10.5" customHeight="1" x14ac:dyDescent="0.3">
      <c r="A9" s="98">
        <v>1</v>
      </c>
      <c r="B9" s="98">
        <v>2</v>
      </c>
      <c r="C9" s="98">
        <v>3</v>
      </c>
      <c r="D9" s="99">
        <v>4</v>
      </c>
      <c r="E9" s="100">
        <v>5</v>
      </c>
      <c r="F9" s="98">
        <v>6</v>
      </c>
    </row>
    <row r="10" spans="1:8" ht="17.25" customHeight="1" x14ac:dyDescent="0.25">
      <c r="A10" s="314" t="s">
        <v>132</v>
      </c>
      <c r="B10" s="315"/>
      <c r="C10" s="315"/>
      <c r="D10" s="102"/>
      <c r="E10" s="315"/>
      <c r="F10" s="316"/>
    </row>
    <row r="11" spans="1:8" ht="15" customHeight="1" x14ac:dyDescent="0.25">
      <c r="A11" s="103">
        <v>1</v>
      </c>
      <c r="B11" s="104">
        <v>630</v>
      </c>
      <c r="C11" s="104">
        <v>63003</v>
      </c>
      <c r="D11" s="96">
        <v>2360</v>
      </c>
      <c r="E11" s="105" t="s">
        <v>133</v>
      </c>
      <c r="F11" s="106">
        <f>35000</f>
        <v>35000</v>
      </c>
    </row>
    <row r="12" spans="1:8" ht="26.25" customHeight="1" x14ac:dyDescent="0.25">
      <c r="A12" s="103">
        <v>2</v>
      </c>
      <c r="B12" s="107">
        <v>700</v>
      </c>
      <c r="C12" s="107">
        <v>70095</v>
      </c>
      <c r="D12" s="108">
        <v>6230</v>
      </c>
      <c r="E12" s="109" t="s">
        <v>134</v>
      </c>
      <c r="F12" s="106">
        <f>1500000</f>
        <v>1500000</v>
      </c>
      <c r="G12" s="110"/>
    </row>
    <row r="13" spans="1:8" ht="26.25" customHeight="1" x14ac:dyDescent="0.25">
      <c r="A13" s="103">
        <v>3</v>
      </c>
      <c r="B13" s="107">
        <v>750</v>
      </c>
      <c r="C13" s="107">
        <v>75095</v>
      </c>
      <c r="D13" s="96">
        <v>2360</v>
      </c>
      <c r="E13" s="111" t="s">
        <v>135</v>
      </c>
      <c r="F13" s="106">
        <f>200000</f>
        <v>200000</v>
      </c>
      <c r="H13" s="112"/>
    </row>
    <row r="14" spans="1:8" ht="15" customHeight="1" x14ac:dyDescent="0.25">
      <c r="A14" s="103">
        <v>4</v>
      </c>
      <c r="B14" s="107">
        <v>755</v>
      </c>
      <c r="C14" s="107">
        <v>75515</v>
      </c>
      <c r="D14" s="96">
        <v>2360</v>
      </c>
      <c r="E14" s="113" t="s">
        <v>136</v>
      </c>
      <c r="F14" s="114">
        <f>146896.8</f>
        <v>146896.79999999999</v>
      </c>
      <c r="H14" s="112"/>
    </row>
    <row r="15" spans="1:8" ht="27.75" customHeight="1" x14ac:dyDescent="0.25">
      <c r="A15" s="115">
        <v>5</v>
      </c>
      <c r="B15" s="115">
        <v>801</v>
      </c>
      <c r="C15" s="116">
        <v>80153</v>
      </c>
      <c r="D15" s="117">
        <v>2830</v>
      </c>
      <c r="E15" s="118" t="s">
        <v>137</v>
      </c>
      <c r="F15" s="119">
        <f>101862.7</f>
        <v>101862.7</v>
      </c>
      <c r="H15" s="112"/>
    </row>
    <row r="16" spans="1:8" ht="15" customHeight="1" x14ac:dyDescent="0.25">
      <c r="A16" s="120"/>
      <c r="B16" s="121"/>
      <c r="C16" s="121"/>
      <c r="D16" s="122"/>
      <c r="E16" s="123" t="s">
        <v>138</v>
      </c>
      <c r="F16" s="124"/>
      <c r="H16" s="112"/>
    </row>
    <row r="17" spans="1:8" ht="15" customHeight="1" x14ac:dyDescent="0.25">
      <c r="A17" s="125"/>
      <c r="B17" s="126"/>
      <c r="C17" s="126"/>
      <c r="D17" s="127"/>
      <c r="E17" s="128" t="s">
        <v>139</v>
      </c>
      <c r="F17" s="129"/>
      <c r="H17" s="112"/>
    </row>
    <row r="18" spans="1:8" ht="15" customHeight="1" x14ac:dyDescent="0.25">
      <c r="A18" s="130"/>
      <c r="B18" s="131"/>
      <c r="C18" s="131"/>
      <c r="D18" s="132"/>
      <c r="E18" s="133" t="s">
        <v>140</v>
      </c>
      <c r="F18" s="134"/>
      <c r="H18" s="112"/>
    </row>
    <row r="19" spans="1:8" ht="27" customHeight="1" x14ac:dyDescent="0.25">
      <c r="A19" s="103">
        <v>6</v>
      </c>
      <c r="B19" s="107">
        <v>801</v>
      </c>
      <c r="C19" s="107">
        <v>80195</v>
      </c>
      <c r="D19" s="135" t="s">
        <v>141</v>
      </c>
      <c r="E19" s="136" t="s">
        <v>142</v>
      </c>
      <c r="F19" s="137">
        <f>18864+1109</f>
        <v>19973</v>
      </c>
      <c r="H19" s="112"/>
    </row>
    <row r="20" spans="1:8" ht="28.9" customHeight="1" x14ac:dyDescent="0.25">
      <c r="A20" s="103">
        <v>7</v>
      </c>
      <c r="B20" s="107">
        <v>801</v>
      </c>
      <c r="C20" s="107">
        <v>80195</v>
      </c>
      <c r="D20" s="135" t="s">
        <v>141</v>
      </c>
      <c r="E20" s="136" t="s">
        <v>143</v>
      </c>
      <c r="F20" s="137">
        <f>144716.29+8503.71</f>
        <v>153220</v>
      </c>
      <c r="H20" s="112"/>
    </row>
    <row r="21" spans="1:8" ht="28.9" customHeight="1" x14ac:dyDescent="0.25">
      <c r="A21" s="103">
        <v>8</v>
      </c>
      <c r="B21" s="107">
        <v>801</v>
      </c>
      <c r="C21" s="107">
        <v>80195</v>
      </c>
      <c r="D21" s="135" t="s">
        <v>141</v>
      </c>
      <c r="E21" s="136" t="s">
        <v>144</v>
      </c>
      <c r="F21" s="137">
        <f>396690+23310</f>
        <v>420000</v>
      </c>
      <c r="H21" s="112"/>
    </row>
    <row r="22" spans="1:8" ht="15" customHeight="1" x14ac:dyDescent="0.25">
      <c r="A22" s="103">
        <v>9</v>
      </c>
      <c r="B22" s="107">
        <v>851</v>
      </c>
      <c r="C22" s="107">
        <v>85153</v>
      </c>
      <c r="D22" s="138">
        <v>2360</v>
      </c>
      <c r="E22" s="139" t="s">
        <v>145</v>
      </c>
      <c r="F22" s="137">
        <f>48765</f>
        <v>48765</v>
      </c>
      <c r="H22" s="112"/>
    </row>
    <row r="23" spans="1:8" ht="27" customHeight="1" x14ac:dyDescent="0.25">
      <c r="A23" s="103">
        <v>10</v>
      </c>
      <c r="B23" s="107">
        <v>851</v>
      </c>
      <c r="C23" s="107">
        <v>85154</v>
      </c>
      <c r="D23" s="96">
        <v>2360</v>
      </c>
      <c r="E23" s="111" t="s">
        <v>146</v>
      </c>
      <c r="F23" s="106">
        <f>615000+235000+41482+20000</f>
        <v>911482</v>
      </c>
    </row>
    <row r="24" spans="1:8" ht="24.75" customHeight="1" x14ac:dyDescent="0.25">
      <c r="A24" s="140">
        <v>11</v>
      </c>
      <c r="B24" s="141">
        <v>851</v>
      </c>
      <c r="C24" s="142">
        <v>85195</v>
      </c>
      <c r="D24" s="143">
        <v>2360</v>
      </c>
      <c r="E24" s="144" t="s">
        <v>147</v>
      </c>
      <c r="F24" s="106">
        <f>122500+20000</f>
        <v>142500</v>
      </c>
    </row>
    <row r="25" spans="1:8" ht="24.75" customHeight="1" x14ac:dyDescent="0.25">
      <c r="A25" s="140">
        <v>12</v>
      </c>
      <c r="B25" s="141">
        <v>851</v>
      </c>
      <c r="C25" s="142">
        <v>85195</v>
      </c>
      <c r="D25" s="143">
        <v>2360</v>
      </c>
      <c r="E25" s="144" t="s">
        <v>148</v>
      </c>
      <c r="F25" s="106">
        <f>125000</f>
        <v>125000</v>
      </c>
    </row>
    <row r="26" spans="1:8" ht="38.25" customHeight="1" x14ac:dyDescent="0.25">
      <c r="A26" s="140">
        <v>13</v>
      </c>
      <c r="B26" s="103">
        <v>852</v>
      </c>
      <c r="C26" s="103">
        <v>85219</v>
      </c>
      <c r="D26" s="117">
        <v>2830</v>
      </c>
      <c r="E26" s="145" t="s">
        <v>149</v>
      </c>
      <c r="F26" s="106">
        <f>171894+157203</f>
        <v>329097</v>
      </c>
    </row>
    <row r="27" spans="1:8" ht="24.75" customHeight="1" x14ac:dyDescent="0.25">
      <c r="A27" s="140">
        <v>14</v>
      </c>
      <c r="B27" s="146">
        <v>852</v>
      </c>
      <c r="C27" s="147">
        <v>85228</v>
      </c>
      <c r="D27" s="143">
        <v>2360</v>
      </c>
      <c r="E27" s="148" t="s">
        <v>150</v>
      </c>
      <c r="F27" s="106">
        <f>F28+F29</f>
        <v>14392416.119999999</v>
      </c>
    </row>
    <row r="28" spans="1:8" s="90" customFormat="1" ht="13.5" customHeight="1" x14ac:dyDescent="0.25">
      <c r="A28" s="149" t="s">
        <v>151</v>
      </c>
      <c r="B28" s="150"/>
      <c r="C28" s="151"/>
      <c r="D28" s="152"/>
      <c r="E28" s="153" t="s">
        <v>152</v>
      </c>
      <c r="F28" s="154">
        <f>8905485.52-12000+144403.6-27500</f>
        <v>9010389.1199999992</v>
      </c>
    </row>
    <row r="29" spans="1:8" s="90" customFormat="1" ht="13.5" customHeight="1" x14ac:dyDescent="0.25">
      <c r="A29" s="149" t="s">
        <v>153</v>
      </c>
      <c r="B29" s="150"/>
      <c r="C29" s="151"/>
      <c r="D29" s="152"/>
      <c r="E29" s="153" t="s">
        <v>154</v>
      </c>
      <c r="F29" s="154">
        <f>4754169+627858</f>
        <v>5382027</v>
      </c>
    </row>
    <row r="30" spans="1:8" ht="15" customHeight="1" x14ac:dyDescent="0.25">
      <c r="A30" s="155">
        <v>15</v>
      </c>
      <c r="B30" s="156">
        <v>852</v>
      </c>
      <c r="C30" s="156">
        <v>85295</v>
      </c>
      <c r="D30" s="157">
        <v>2360</v>
      </c>
      <c r="E30" s="148" t="s">
        <v>155</v>
      </c>
      <c r="F30" s="158">
        <f>2691864</f>
        <v>2691864</v>
      </c>
    </row>
    <row r="31" spans="1:8" ht="38.25" customHeight="1" x14ac:dyDescent="0.25">
      <c r="A31" s="103">
        <v>16</v>
      </c>
      <c r="B31" s="107">
        <v>853</v>
      </c>
      <c r="C31" s="107">
        <v>85395</v>
      </c>
      <c r="D31" s="96">
        <v>2360</v>
      </c>
      <c r="E31" s="111" t="s">
        <v>156</v>
      </c>
      <c r="F31" s="106">
        <f>19000</f>
        <v>19000</v>
      </c>
    </row>
    <row r="32" spans="1:8" ht="24.75" customHeight="1" x14ac:dyDescent="0.25">
      <c r="A32" s="103">
        <v>17</v>
      </c>
      <c r="B32" s="107">
        <v>855</v>
      </c>
      <c r="C32" s="107">
        <v>85510</v>
      </c>
      <c r="D32" s="159" t="s">
        <v>157</v>
      </c>
      <c r="E32" s="113" t="s">
        <v>158</v>
      </c>
      <c r="F32" s="106">
        <f>2830580+188620</f>
        <v>3019200</v>
      </c>
    </row>
    <row r="33" spans="1:8" ht="24.75" customHeight="1" x14ac:dyDescent="0.25">
      <c r="A33" s="103">
        <v>18</v>
      </c>
      <c r="B33" s="107">
        <v>900</v>
      </c>
      <c r="C33" s="107">
        <v>90001</v>
      </c>
      <c r="D33" s="96">
        <v>6230</v>
      </c>
      <c r="E33" s="160" t="s">
        <v>159</v>
      </c>
      <c r="F33" s="106">
        <v>5000</v>
      </c>
    </row>
    <row r="34" spans="1:8" ht="26.25" customHeight="1" x14ac:dyDescent="0.25">
      <c r="A34" s="161">
        <v>19</v>
      </c>
      <c r="B34" s="107">
        <v>900</v>
      </c>
      <c r="C34" s="107">
        <v>90005</v>
      </c>
      <c r="D34" s="96">
        <v>2360</v>
      </c>
      <c r="E34" s="162" t="s">
        <v>160</v>
      </c>
      <c r="F34" s="163">
        <v>100000</v>
      </c>
      <c r="G34" s="164"/>
    </row>
    <row r="35" spans="1:8" ht="28.5" customHeight="1" x14ac:dyDescent="0.25">
      <c r="A35" s="161">
        <v>20</v>
      </c>
      <c r="B35" s="107">
        <v>900</v>
      </c>
      <c r="C35" s="107">
        <v>90095</v>
      </c>
      <c r="D35" s="135" t="s">
        <v>161</v>
      </c>
      <c r="E35" s="136" t="s">
        <v>162</v>
      </c>
      <c r="F35" s="137">
        <f>14643+82977</f>
        <v>97620</v>
      </c>
      <c r="G35" s="164"/>
    </row>
    <row r="36" spans="1:8" s="90" customFormat="1" ht="15" customHeight="1" x14ac:dyDescent="0.25">
      <c r="A36" s="103">
        <v>21</v>
      </c>
      <c r="B36" s="107">
        <v>921</v>
      </c>
      <c r="C36" s="107">
        <v>92120</v>
      </c>
      <c r="D36" s="96">
        <v>2720</v>
      </c>
      <c r="E36" s="165" t="s">
        <v>163</v>
      </c>
      <c r="F36" s="163">
        <f>750000</f>
        <v>750000</v>
      </c>
    </row>
    <row r="37" spans="1:8" ht="38.25" customHeight="1" x14ac:dyDescent="0.25">
      <c r="A37" s="103">
        <v>22</v>
      </c>
      <c r="B37" s="107">
        <v>921</v>
      </c>
      <c r="C37" s="107">
        <v>92195</v>
      </c>
      <c r="D37" s="166">
        <v>2360</v>
      </c>
      <c r="E37" s="111" t="s">
        <v>164</v>
      </c>
      <c r="F37" s="163">
        <v>950000</v>
      </c>
    </row>
    <row r="38" spans="1:8" ht="15.6" customHeight="1" x14ac:dyDescent="0.25">
      <c r="A38" s="103">
        <v>23</v>
      </c>
      <c r="B38" s="107">
        <v>926</v>
      </c>
      <c r="C38" s="107">
        <v>92605</v>
      </c>
      <c r="D38" s="166">
        <v>2360</v>
      </c>
      <c r="E38" s="113" t="s">
        <v>165</v>
      </c>
      <c r="F38" s="106">
        <f>5000000</f>
        <v>5000000</v>
      </c>
    </row>
    <row r="39" spans="1:8" s="168" customFormat="1" ht="18" customHeight="1" x14ac:dyDescent="0.25">
      <c r="A39" s="317"/>
      <c r="B39" s="318"/>
      <c r="C39" s="318"/>
      <c r="D39" s="167"/>
      <c r="E39" s="318" t="s">
        <v>166</v>
      </c>
      <c r="F39" s="106">
        <f>SUM(F11,F12,F13,F14,F15,F19,F20,F21,F22,F23,F24,F25,F26,F27,F33,F30,F31,F32,F34,F35,F36,F37,F38)</f>
        <v>31158896.619999997</v>
      </c>
      <c r="H39" s="169"/>
    </row>
    <row r="40" spans="1:8" ht="17.25" customHeight="1" x14ac:dyDescent="0.25">
      <c r="A40" s="314" t="s">
        <v>167</v>
      </c>
      <c r="B40" s="315"/>
      <c r="C40" s="315"/>
      <c r="D40" s="102"/>
      <c r="E40" s="315"/>
      <c r="F40" s="316"/>
    </row>
    <row r="41" spans="1:8" ht="17.25" customHeight="1" x14ac:dyDescent="0.25">
      <c r="A41" s="95" t="s">
        <v>126</v>
      </c>
      <c r="B41" s="95" t="s">
        <v>127</v>
      </c>
      <c r="C41" s="95" t="s">
        <v>128</v>
      </c>
      <c r="D41" s="170"/>
      <c r="E41" s="97" t="s">
        <v>168</v>
      </c>
      <c r="F41" s="171" t="s">
        <v>131</v>
      </c>
    </row>
    <row r="42" spans="1:8" ht="24" customHeight="1" x14ac:dyDescent="0.25">
      <c r="A42" s="107">
        <v>1</v>
      </c>
      <c r="B42" s="107">
        <v>801</v>
      </c>
      <c r="C42" s="107">
        <v>80101</v>
      </c>
      <c r="D42" s="166" t="s">
        <v>169</v>
      </c>
      <c r="E42" s="165" t="s">
        <v>35</v>
      </c>
      <c r="F42" s="106">
        <f>3611632.2+9720952.16-550000-1100000-400000</f>
        <v>11282584.359999999</v>
      </c>
    </row>
    <row r="43" spans="1:8" s="90" customFormat="1" ht="13.5" customHeight="1" x14ac:dyDescent="0.25">
      <c r="A43" s="172"/>
      <c r="B43" s="173"/>
      <c r="C43" s="174"/>
      <c r="D43" s="175"/>
      <c r="E43" s="176" t="s">
        <v>170</v>
      </c>
      <c r="F43" s="177"/>
    </row>
    <row r="44" spans="1:8" s="90" customFormat="1" ht="13.5" customHeight="1" x14ac:dyDescent="0.25">
      <c r="A44" s="178"/>
      <c r="C44" s="179"/>
      <c r="D44" s="180"/>
      <c r="E44" s="181" t="s">
        <v>171</v>
      </c>
      <c r="F44" s="182"/>
      <c r="G44" s="183"/>
    </row>
    <row r="45" spans="1:8" s="90" customFormat="1" ht="14.25" customHeight="1" x14ac:dyDescent="0.25">
      <c r="A45" s="178"/>
      <c r="C45" s="179"/>
      <c r="D45" s="184"/>
      <c r="E45" s="185" t="s">
        <v>172</v>
      </c>
      <c r="F45" s="182"/>
    </row>
    <row r="46" spans="1:8" s="90" customFormat="1" ht="25.5" customHeight="1" x14ac:dyDescent="0.25">
      <c r="A46" s="178"/>
      <c r="C46" s="179"/>
      <c r="D46" s="184"/>
      <c r="E46" s="186" t="s">
        <v>173</v>
      </c>
      <c r="F46" s="187"/>
    </row>
    <row r="47" spans="1:8" s="90" customFormat="1" ht="13.5" customHeight="1" x14ac:dyDescent="0.25">
      <c r="A47" s="188"/>
      <c r="B47" s="189"/>
      <c r="C47" s="190"/>
      <c r="D47" s="191"/>
      <c r="E47" s="192" t="s">
        <v>174</v>
      </c>
      <c r="F47" s="193"/>
    </row>
    <row r="48" spans="1:8" ht="13.9" customHeight="1" x14ac:dyDescent="0.25">
      <c r="A48" s="156">
        <v>2</v>
      </c>
      <c r="B48" s="156">
        <v>801</v>
      </c>
      <c r="C48" s="156">
        <v>80103</v>
      </c>
      <c r="D48" s="157">
        <v>2540</v>
      </c>
      <c r="E48" s="194" t="s">
        <v>70</v>
      </c>
      <c r="F48" s="158">
        <f>198379.2</f>
        <v>198379.2</v>
      </c>
    </row>
    <row r="49" spans="1:6" s="90" customFormat="1" ht="13.5" customHeight="1" x14ac:dyDescent="0.25">
      <c r="A49" s="178"/>
      <c r="C49" s="179"/>
      <c r="D49" s="184"/>
      <c r="E49" s="195" t="s">
        <v>172</v>
      </c>
      <c r="F49" s="196"/>
    </row>
    <row r="50" spans="1:6" ht="24" customHeight="1" x14ac:dyDescent="0.25">
      <c r="A50" s="107">
        <v>3</v>
      </c>
      <c r="B50" s="107">
        <v>801</v>
      </c>
      <c r="C50" s="107">
        <v>80104</v>
      </c>
      <c r="D50" s="166" t="s">
        <v>169</v>
      </c>
      <c r="E50" s="165" t="s">
        <v>38</v>
      </c>
      <c r="F50" s="106">
        <f>9183881.2+3891938.8-800000</f>
        <v>12275820</v>
      </c>
    </row>
    <row r="51" spans="1:6" s="90" customFormat="1" ht="13.5" customHeight="1" x14ac:dyDescent="0.25">
      <c r="A51" s="197"/>
      <c r="B51" s="198"/>
      <c r="C51" s="199"/>
      <c r="D51" s="200"/>
      <c r="E51" s="201" t="s">
        <v>175</v>
      </c>
      <c r="F51" s="196"/>
    </row>
    <row r="52" spans="1:6" s="90" customFormat="1" ht="13.5" customHeight="1" x14ac:dyDescent="0.25">
      <c r="A52" s="178"/>
      <c r="C52" s="179"/>
      <c r="D52" s="184"/>
      <c r="E52" s="202" t="s">
        <v>176</v>
      </c>
      <c r="F52" s="187"/>
    </row>
    <row r="53" spans="1:6" s="90" customFormat="1" ht="13.5" customHeight="1" x14ac:dyDescent="0.25">
      <c r="A53" s="178"/>
      <c r="C53" s="179"/>
      <c r="D53" s="184"/>
      <c r="E53" s="202" t="s">
        <v>177</v>
      </c>
      <c r="F53" s="187"/>
    </row>
    <row r="54" spans="1:6" s="90" customFormat="1" ht="13.5" customHeight="1" x14ac:dyDescent="0.25">
      <c r="A54" s="178"/>
      <c r="C54" s="179"/>
      <c r="D54" s="184"/>
      <c r="E54" s="202" t="s">
        <v>178</v>
      </c>
      <c r="F54" s="187"/>
    </row>
    <row r="55" spans="1:6" s="90" customFormat="1" ht="13.5" customHeight="1" x14ac:dyDescent="0.25">
      <c r="A55" s="178"/>
      <c r="C55" s="179"/>
      <c r="D55" s="184"/>
      <c r="E55" s="186" t="s">
        <v>179</v>
      </c>
      <c r="F55" s="187"/>
    </row>
    <row r="56" spans="1:6" s="90" customFormat="1" ht="13.5" customHeight="1" x14ac:dyDescent="0.25">
      <c r="A56" s="178"/>
      <c r="C56" s="179"/>
      <c r="D56" s="184"/>
      <c r="E56" s="186" t="s">
        <v>180</v>
      </c>
      <c r="F56" s="187"/>
    </row>
    <row r="57" spans="1:6" s="90" customFormat="1" ht="13.5" customHeight="1" x14ac:dyDescent="0.25">
      <c r="A57" s="178"/>
      <c r="C57" s="179"/>
      <c r="D57" s="184"/>
      <c r="E57" s="202" t="s">
        <v>181</v>
      </c>
      <c r="F57" s="187"/>
    </row>
    <row r="58" spans="1:6" s="90" customFormat="1" ht="13.5" customHeight="1" x14ac:dyDescent="0.25">
      <c r="A58" s="178"/>
      <c r="C58" s="179"/>
      <c r="D58" s="184"/>
      <c r="E58" s="202" t="s">
        <v>182</v>
      </c>
      <c r="F58" s="187"/>
    </row>
    <row r="59" spans="1:6" s="90" customFormat="1" ht="13.5" customHeight="1" x14ac:dyDescent="0.25">
      <c r="A59" s="178"/>
      <c r="C59" s="179"/>
      <c r="D59" s="184"/>
      <c r="E59" s="186" t="s">
        <v>183</v>
      </c>
      <c r="F59" s="187"/>
    </row>
    <row r="60" spans="1:6" s="90" customFormat="1" ht="13.5" customHeight="1" x14ac:dyDescent="0.25">
      <c r="A60" s="178"/>
      <c r="C60" s="179"/>
      <c r="D60" s="184"/>
      <c r="E60" s="203" t="s">
        <v>184</v>
      </c>
      <c r="F60" s="187"/>
    </row>
    <row r="61" spans="1:6" s="90" customFormat="1" ht="13.5" customHeight="1" x14ac:dyDescent="0.25">
      <c r="A61" s="178"/>
      <c r="C61" s="179"/>
      <c r="D61" s="184"/>
      <c r="E61" s="186" t="s">
        <v>185</v>
      </c>
      <c r="F61" s="187"/>
    </row>
    <row r="62" spans="1:6" s="90" customFormat="1" ht="13.5" customHeight="1" x14ac:dyDescent="0.25">
      <c r="A62" s="178"/>
      <c r="C62" s="179"/>
      <c r="D62" s="184"/>
      <c r="E62" s="203" t="s">
        <v>186</v>
      </c>
      <c r="F62" s="187"/>
    </row>
    <row r="63" spans="1:6" s="90" customFormat="1" ht="13.5" customHeight="1" x14ac:dyDescent="0.25">
      <c r="A63" s="178"/>
      <c r="C63" s="179"/>
      <c r="D63" s="184"/>
      <c r="E63" s="203" t="s">
        <v>187</v>
      </c>
      <c r="F63" s="187"/>
    </row>
    <row r="64" spans="1:6" s="90" customFormat="1" ht="13.5" customHeight="1" x14ac:dyDescent="0.25">
      <c r="A64" s="188"/>
      <c r="B64" s="189"/>
      <c r="C64" s="190"/>
      <c r="D64" s="191"/>
      <c r="E64" s="204" t="s">
        <v>188</v>
      </c>
      <c r="F64" s="193"/>
    </row>
    <row r="65" spans="1:6" ht="22.5" customHeight="1" x14ac:dyDescent="0.25">
      <c r="A65" s="107">
        <v>4</v>
      </c>
      <c r="B65" s="107">
        <v>801</v>
      </c>
      <c r="C65" s="107">
        <v>80106</v>
      </c>
      <c r="D65" s="96">
        <v>2540</v>
      </c>
      <c r="E65" s="113" t="s">
        <v>189</v>
      </c>
      <c r="F65" s="106">
        <f>158564</f>
        <v>158564</v>
      </c>
    </row>
    <row r="66" spans="1:6" s="90" customFormat="1" ht="13.5" customHeight="1" x14ac:dyDescent="0.25">
      <c r="A66" s="178"/>
      <c r="C66" s="179"/>
      <c r="D66" s="205"/>
      <c r="E66" s="206" t="s">
        <v>190</v>
      </c>
      <c r="F66" s="207"/>
    </row>
    <row r="67" spans="1:6" ht="13.5" customHeight="1" x14ac:dyDescent="0.25">
      <c r="A67" s="156">
        <v>5</v>
      </c>
      <c r="B67" s="156">
        <v>801</v>
      </c>
      <c r="C67" s="156">
        <v>80115</v>
      </c>
      <c r="D67" s="208">
        <v>2540</v>
      </c>
      <c r="E67" s="209" t="s">
        <v>191</v>
      </c>
      <c r="F67" s="158">
        <f>3756329.44-100000</f>
        <v>3656329.44</v>
      </c>
    </row>
    <row r="68" spans="1:6" s="90" customFormat="1" ht="12.75" customHeight="1" x14ac:dyDescent="0.25">
      <c r="A68" s="172"/>
      <c r="B68" s="173"/>
      <c r="C68" s="174"/>
      <c r="D68" s="210"/>
      <c r="E68" s="211" t="s">
        <v>192</v>
      </c>
      <c r="F68" s="177"/>
    </row>
    <row r="69" spans="1:6" ht="23.25" customHeight="1" x14ac:dyDescent="0.25">
      <c r="A69" s="107">
        <v>6</v>
      </c>
      <c r="B69" s="107">
        <v>801</v>
      </c>
      <c r="C69" s="107">
        <v>80116</v>
      </c>
      <c r="D69" s="212" t="s">
        <v>169</v>
      </c>
      <c r="E69" s="213" t="s">
        <v>193</v>
      </c>
      <c r="F69" s="158">
        <f>9078519.3+650000+300000+400000-40000</f>
        <v>10388519.300000001</v>
      </c>
    </row>
    <row r="70" spans="1:6" s="90" customFormat="1" ht="13.5" customHeight="1" x14ac:dyDescent="0.25">
      <c r="A70" s="197"/>
      <c r="B70" s="198"/>
      <c r="C70" s="199"/>
      <c r="D70" s="200"/>
      <c r="E70" s="214" t="s">
        <v>194</v>
      </c>
      <c r="F70" s="196"/>
    </row>
    <row r="71" spans="1:6" s="90" customFormat="1" ht="25.5" customHeight="1" x14ac:dyDescent="0.25">
      <c r="A71" s="178"/>
      <c r="C71" s="179"/>
      <c r="D71" s="184"/>
      <c r="E71" s="215" t="s">
        <v>195</v>
      </c>
      <c r="F71" s="187"/>
    </row>
    <row r="72" spans="1:6" s="90" customFormat="1" ht="13.5" customHeight="1" x14ac:dyDescent="0.25">
      <c r="A72" s="178"/>
      <c r="C72" s="179"/>
      <c r="D72" s="184"/>
      <c r="E72" s="203" t="s">
        <v>196</v>
      </c>
      <c r="F72" s="187"/>
    </row>
    <row r="73" spans="1:6" s="90" customFormat="1" ht="13.5" customHeight="1" x14ac:dyDescent="0.25">
      <c r="A73" s="178"/>
      <c r="C73" s="179"/>
      <c r="D73" s="184"/>
      <c r="E73" s="215" t="s">
        <v>197</v>
      </c>
      <c r="F73" s="187"/>
    </row>
    <row r="74" spans="1:6" s="90" customFormat="1" ht="13.5" customHeight="1" x14ac:dyDescent="0.25">
      <c r="A74" s="178"/>
      <c r="C74" s="179"/>
      <c r="D74" s="184"/>
      <c r="E74" s="203" t="s">
        <v>198</v>
      </c>
      <c r="F74" s="187"/>
    </row>
    <row r="75" spans="1:6" s="90" customFormat="1" ht="13.5" customHeight="1" x14ac:dyDescent="0.25">
      <c r="A75" s="178"/>
      <c r="C75" s="179"/>
      <c r="D75" s="184"/>
      <c r="E75" s="203" t="s">
        <v>199</v>
      </c>
      <c r="F75" s="187"/>
    </row>
    <row r="76" spans="1:6" s="90" customFormat="1" ht="13.5" customHeight="1" x14ac:dyDescent="0.25">
      <c r="A76" s="178"/>
      <c r="C76" s="179"/>
      <c r="D76" s="216"/>
      <c r="E76" s="217" t="s">
        <v>200</v>
      </c>
      <c r="F76" s="182"/>
    </row>
    <row r="77" spans="1:6" s="90" customFormat="1" ht="13.5" customHeight="1" x14ac:dyDescent="0.25">
      <c r="A77" s="178"/>
      <c r="C77" s="179"/>
      <c r="D77" s="216"/>
      <c r="E77" s="203" t="s">
        <v>201</v>
      </c>
      <c r="F77" s="187"/>
    </row>
    <row r="78" spans="1:6" s="90" customFormat="1" ht="13.5" customHeight="1" x14ac:dyDescent="0.25">
      <c r="A78" s="178"/>
      <c r="C78" s="179"/>
      <c r="D78" s="218"/>
      <c r="E78" s="217" t="s">
        <v>202</v>
      </c>
      <c r="F78" s="182"/>
    </row>
    <row r="79" spans="1:6" s="90" customFormat="1" ht="13.5" customHeight="1" x14ac:dyDescent="0.25">
      <c r="A79" s="188"/>
      <c r="B79" s="189"/>
      <c r="C79" s="190"/>
      <c r="D79" s="191"/>
      <c r="E79" s="192" t="s">
        <v>203</v>
      </c>
      <c r="F79" s="193"/>
    </row>
    <row r="80" spans="1:6" ht="24" customHeight="1" x14ac:dyDescent="0.25">
      <c r="A80" s="103">
        <v>7</v>
      </c>
      <c r="B80" s="103">
        <v>801</v>
      </c>
      <c r="C80" s="103">
        <v>80117</v>
      </c>
      <c r="D80" s="219" t="s">
        <v>169</v>
      </c>
      <c r="E80" s="165" t="s">
        <v>204</v>
      </c>
      <c r="F80" s="106">
        <f>2677774+1983634.18-200000</f>
        <v>4461408.18</v>
      </c>
    </row>
    <row r="81" spans="1:7" s="90" customFormat="1" ht="13.5" customHeight="1" x14ac:dyDescent="0.25">
      <c r="A81" s="172"/>
      <c r="B81" s="173"/>
      <c r="C81" s="174"/>
      <c r="D81" s="175"/>
      <c r="E81" s="220" t="s">
        <v>205</v>
      </c>
      <c r="F81" s="177"/>
    </row>
    <row r="82" spans="1:7" s="90" customFormat="1" ht="24" customHeight="1" x14ac:dyDescent="0.25">
      <c r="A82" s="188"/>
      <c r="B82" s="189"/>
      <c r="C82" s="190"/>
      <c r="D82" s="191"/>
      <c r="E82" s="192" t="s">
        <v>206</v>
      </c>
      <c r="F82" s="193"/>
    </row>
    <row r="83" spans="1:7" ht="24" customHeight="1" x14ac:dyDescent="0.25">
      <c r="A83" s="103">
        <v>8</v>
      </c>
      <c r="B83" s="103">
        <v>801</v>
      </c>
      <c r="C83" s="103">
        <v>80120</v>
      </c>
      <c r="D83" s="219" t="s">
        <v>169</v>
      </c>
      <c r="E83" s="165" t="s">
        <v>207</v>
      </c>
      <c r="F83" s="106">
        <f>3471265.85+4785976.45-430423</f>
        <v>7826819.3000000007</v>
      </c>
    </row>
    <row r="84" spans="1:7" s="90" customFormat="1" ht="25.5" customHeight="1" x14ac:dyDescent="0.25">
      <c r="A84" s="178"/>
      <c r="C84" s="179"/>
      <c r="D84" s="184"/>
      <c r="E84" s="186" t="s">
        <v>208</v>
      </c>
      <c r="F84" s="187"/>
    </row>
    <row r="85" spans="1:7" s="90" customFormat="1" ht="24.75" customHeight="1" x14ac:dyDescent="0.25">
      <c r="A85" s="188"/>
      <c r="B85" s="189"/>
      <c r="C85" s="190"/>
      <c r="D85" s="191"/>
      <c r="E85" s="221" t="s">
        <v>209</v>
      </c>
      <c r="F85" s="222"/>
    </row>
    <row r="86" spans="1:7" s="90" customFormat="1" ht="13.5" customHeight="1" x14ac:dyDescent="0.25">
      <c r="A86" s="178"/>
      <c r="C86" s="179"/>
      <c r="D86" s="184"/>
      <c r="E86" s="217" t="s">
        <v>210</v>
      </c>
      <c r="F86" s="182"/>
    </row>
    <row r="87" spans="1:7" s="90" customFormat="1" ht="13.5" customHeight="1" x14ac:dyDescent="0.25">
      <c r="A87" s="188"/>
      <c r="B87" s="189"/>
      <c r="C87" s="190"/>
      <c r="D87" s="191"/>
      <c r="E87" s="204" t="s">
        <v>211</v>
      </c>
      <c r="F87" s="193"/>
    </row>
    <row r="88" spans="1:7" ht="26.25" customHeight="1" x14ac:dyDescent="0.25">
      <c r="A88" s="103">
        <v>9</v>
      </c>
      <c r="B88" s="103">
        <v>801</v>
      </c>
      <c r="C88" s="103">
        <v>80122</v>
      </c>
      <c r="D88" s="219" t="s">
        <v>169</v>
      </c>
      <c r="E88" s="165" t="s">
        <v>212</v>
      </c>
      <c r="F88" s="106">
        <f>395800+902460-100000-260000-100000+40000</f>
        <v>878260</v>
      </c>
    </row>
    <row r="89" spans="1:7" s="90" customFormat="1" ht="12.75" customHeight="1" x14ac:dyDescent="0.25">
      <c r="A89" s="197"/>
      <c r="B89" s="198"/>
      <c r="C89" s="199"/>
      <c r="D89" s="200"/>
      <c r="E89" s="223" t="s">
        <v>213</v>
      </c>
      <c r="F89" s="196"/>
    </row>
    <row r="90" spans="1:7" s="90" customFormat="1" ht="13.5" customHeight="1" x14ac:dyDescent="0.25">
      <c r="A90" s="178"/>
      <c r="C90" s="179"/>
      <c r="D90" s="216"/>
      <c r="E90" s="224" t="s">
        <v>214</v>
      </c>
      <c r="F90" s="182"/>
    </row>
    <row r="91" spans="1:7" s="90" customFormat="1" ht="13.5" customHeight="1" x14ac:dyDescent="0.25">
      <c r="A91" s="178"/>
      <c r="C91" s="179"/>
      <c r="D91" s="184"/>
      <c r="E91" s="215" t="s">
        <v>215</v>
      </c>
      <c r="F91" s="187"/>
      <c r="G91" s="225"/>
    </row>
    <row r="92" spans="1:7" s="90" customFormat="1" ht="13.5" customHeight="1" x14ac:dyDescent="0.25">
      <c r="A92" s="178"/>
      <c r="C92" s="179"/>
      <c r="D92" s="184"/>
      <c r="E92" s="202" t="s">
        <v>216</v>
      </c>
      <c r="F92" s="187"/>
    </row>
    <row r="93" spans="1:7" s="90" customFormat="1" ht="13.5" customHeight="1" x14ac:dyDescent="0.25">
      <c r="A93" s="178"/>
      <c r="C93" s="179"/>
      <c r="D93" s="184"/>
      <c r="E93" s="202" t="s">
        <v>217</v>
      </c>
      <c r="F93" s="187"/>
    </row>
    <row r="94" spans="1:7" s="90" customFormat="1" ht="13.5" customHeight="1" x14ac:dyDescent="0.25">
      <c r="A94" s="178"/>
      <c r="C94" s="179"/>
      <c r="D94" s="184"/>
      <c r="E94" s="203" t="s">
        <v>218</v>
      </c>
      <c r="F94" s="187"/>
    </row>
    <row r="95" spans="1:7" ht="51.75" customHeight="1" x14ac:dyDescent="0.25">
      <c r="A95" s="107">
        <v>10</v>
      </c>
      <c r="B95" s="107">
        <v>801</v>
      </c>
      <c r="C95" s="107">
        <v>80149</v>
      </c>
      <c r="D95" s="166" t="s">
        <v>169</v>
      </c>
      <c r="E95" s="113" t="s">
        <v>219</v>
      </c>
      <c r="F95" s="106">
        <f>5113118.41+55575.11-444408-100000+100000+800000</f>
        <v>5524285.5200000005</v>
      </c>
    </row>
    <row r="96" spans="1:7" s="90" customFormat="1" ht="13.5" customHeight="1" x14ac:dyDescent="0.25">
      <c r="A96" s="178"/>
      <c r="C96" s="179"/>
      <c r="D96" s="184"/>
      <c r="E96" s="186" t="s">
        <v>184</v>
      </c>
      <c r="F96" s="187"/>
    </row>
    <row r="97" spans="1:6" s="90" customFormat="1" ht="13.5" customHeight="1" x14ac:dyDescent="0.25">
      <c r="A97" s="178"/>
      <c r="C97" s="179"/>
      <c r="D97" s="184"/>
      <c r="E97" s="186" t="s">
        <v>220</v>
      </c>
      <c r="F97" s="187"/>
    </row>
    <row r="98" spans="1:6" s="90" customFormat="1" ht="13.5" customHeight="1" x14ac:dyDescent="0.25">
      <c r="A98" s="178"/>
      <c r="C98" s="179"/>
      <c r="D98" s="184"/>
      <c r="E98" s="226" t="s">
        <v>175</v>
      </c>
      <c r="F98" s="182"/>
    </row>
    <row r="99" spans="1:6" s="90" customFormat="1" ht="13.5" customHeight="1" x14ac:dyDescent="0.25">
      <c r="A99" s="178"/>
      <c r="C99" s="179"/>
      <c r="D99" s="184"/>
      <c r="E99" s="202" t="s">
        <v>177</v>
      </c>
      <c r="F99" s="187"/>
    </row>
    <row r="100" spans="1:6" s="90" customFormat="1" ht="13.5" customHeight="1" x14ac:dyDescent="0.25">
      <c r="A100" s="178"/>
      <c r="C100" s="179"/>
      <c r="D100" s="184"/>
      <c r="E100" s="186" t="s">
        <v>221</v>
      </c>
      <c r="F100" s="187"/>
    </row>
    <row r="101" spans="1:6" s="90" customFormat="1" ht="13.5" customHeight="1" x14ac:dyDescent="0.25">
      <c r="A101" s="178"/>
      <c r="C101" s="179"/>
      <c r="D101" s="184"/>
      <c r="E101" s="186" t="s">
        <v>222</v>
      </c>
      <c r="F101" s="187"/>
    </row>
    <row r="102" spans="1:6" s="90" customFormat="1" ht="13.5" customHeight="1" x14ac:dyDescent="0.25">
      <c r="A102" s="178"/>
      <c r="C102" s="179"/>
      <c r="D102" s="184"/>
      <c r="E102" s="186" t="s">
        <v>185</v>
      </c>
      <c r="F102" s="187"/>
    </row>
    <row r="103" spans="1:6" s="90" customFormat="1" ht="13.5" customHeight="1" x14ac:dyDescent="0.25">
      <c r="A103" s="178"/>
      <c r="C103" s="179"/>
      <c r="D103" s="184"/>
      <c r="E103" s="186" t="s">
        <v>180</v>
      </c>
      <c r="F103" s="187"/>
    </row>
    <row r="104" spans="1:6" s="90" customFormat="1" ht="13.5" customHeight="1" x14ac:dyDescent="0.25">
      <c r="A104" s="178"/>
      <c r="C104" s="179"/>
      <c r="D104" s="180"/>
      <c r="E104" s="202" t="s">
        <v>176</v>
      </c>
      <c r="F104" s="187"/>
    </row>
    <row r="105" spans="1:6" s="90" customFormat="1" ht="13.5" customHeight="1" x14ac:dyDescent="0.25">
      <c r="A105" s="178"/>
      <c r="C105" s="179"/>
      <c r="D105" s="184"/>
      <c r="E105" s="202" t="s">
        <v>183</v>
      </c>
      <c r="F105" s="187"/>
    </row>
    <row r="106" spans="1:6" s="90" customFormat="1" ht="13.5" customHeight="1" x14ac:dyDescent="0.25">
      <c r="A106" s="178"/>
      <c r="C106" s="179"/>
      <c r="D106" s="184"/>
      <c r="E106" s="202" t="s">
        <v>179</v>
      </c>
      <c r="F106" s="187"/>
    </row>
    <row r="107" spans="1:6" s="90" customFormat="1" ht="13.5" customHeight="1" x14ac:dyDescent="0.25">
      <c r="A107" s="178"/>
      <c r="C107" s="179"/>
      <c r="D107" s="184"/>
      <c r="E107" s="226" t="s">
        <v>186</v>
      </c>
      <c r="F107" s="182"/>
    </row>
    <row r="108" spans="1:6" s="90" customFormat="1" ht="13.5" customHeight="1" x14ac:dyDescent="0.25">
      <c r="A108" s="178"/>
      <c r="C108" s="179"/>
      <c r="D108" s="184"/>
      <c r="E108" s="185" t="s">
        <v>188</v>
      </c>
      <c r="F108" s="182"/>
    </row>
    <row r="109" spans="1:6" s="90" customFormat="1" ht="13.5" customHeight="1" x14ac:dyDescent="0.25">
      <c r="A109" s="188"/>
      <c r="B109" s="189"/>
      <c r="C109" s="190"/>
      <c r="D109" s="191"/>
      <c r="E109" s="227" t="s">
        <v>187</v>
      </c>
      <c r="F109" s="193"/>
    </row>
    <row r="110" spans="1:6" ht="30" customHeight="1" x14ac:dyDescent="0.25">
      <c r="A110" s="103">
        <v>11</v>
      </c>
      <c r="B110" s="103">
        <v>801</v>
      </c>
      <c r="C110" s="103">
        <v>80150</v>
      </c>
      <c r="D110" s="219" t="s">
        <v>169</v>
      </c>
      <c r="E110" s="145" t="s">
        <v>223</v>
      </c>
      <c r="F110" s="106">
        <f>434541.03+548526.98+170000+300000</f>
        <v>1453068.01</v>
      </c>
    </row>
    <row r="111" spans="1:6" s="90" customFormat="1" ht="13.5" customHeight="1" x14ac:dyDescent="0.25">
      <c r="A111" s="178"/>
      <c r="C111" s="179"/>
      <c r="D111" s="184"/>
      <c r="E111" s="215" t="s">
        <v>224</v>
      </c>
      <c r="F111" s="187"/>
    </row>
    <row r="112" spans="1:6" s="90" customFormat="1" ht="25.9" customHeight="1" x14ac:dyDescent="0.25">
      <c r="A112" s="178"/>
      <c r="C112" s="179"/>
      <c r="D112" s="184"/>
      <c r="E112" s="186" t="s">
        <v>173</v>
      </c>
      <c r="F112" s="187"/>
    </row>
    <row r="113" spans="1:7" s="90" customFormat="1" ht="14.25" customHeight="1" x14ac:dyDescent="0.25">
      <c r="A113" s="178"/>
      <c r="C113" s="179"/>
      <c r="D113" s="184"/>
      <c r="E113" s="185" t="s">
        <v>172</v>
      </c>
      <c r="F113" s="187"/>
    </row>
    <row r="114" spans="1:7" s="90" customFormat="1" ht="13.5" customHeight="1" x14ac:dyDescent="0.25">
      <c r="A114" s="178"/>
      <c r="C114" s="179"/>
      <c r="D114" s="184"/>
      <c r="E114" s="186" t="s">
        <v>170</v>
      </c>
      <c r="F114" s="187"/>
    </row>
    <row r="115" spans="1:7" s="90" customFormat="1" ht="13.5" customHeight="1" x14ac:dyDescent="0.25">
      <c r="A115" s="188"/>
      <c r="B115" s="189"/>
      <c r="C115" s="190"/>
      <c r="D115" s="191"/>
      <c r="E115" s="192" t="s">
        <v>171</v>
      </c>
      <c r="F115" s="193"/>
      <c r="G115" s="183"/>
    </row>
    <row r="116" spans="1:7" ht="13.5" customHeight="1" x14ac:dyDescent="0.25">
      <c r="A116" s="155">
        <v>12</v>
      </c>
      <c r="B116" s="155">
        <v>801</v>
      </c>
      <c r="C116" s="155">
        <v>80151</v>
      </c>
      <c r="D116" s="228">
        <v>2540</v>
      </c>
      <c r="E116" s="209" t="s">
        <v>225</v>
      </c>
      <c r="F116" s="158">
        <f>54992.29</f>
        <v>54992.29</v>
      </c>
    </row>
    <row r="117" spans="1:7" s="90" customFormat="1" ht="13.5" customHeight="1" x14ac:dyDescent="0.25">
      <c r="A117" s="197"/>
      <c r="B117" s="198"/>
      <c r="C117" s="199"/>
      <c r="D117" s="229"/>
      <c r="E117" s="214" t="s">
        <v>226</v>
      </c>
      <c r="F117" s="196"/>
    </row>
    <row r="118" spans="1:7" s="90" customFormat="1" ht="13.5" customHeight="1" x14ac:dyDescent="0.25">
      <c r="A118" s="188"/>
      <c r="B118" s="189"/>
      <c r="C118" s="190"/>
      <c r="D118" s="230"/>
      <c r="E118" s="204" t="s">
        <v>199</v>
      </c>
      <c r="F118" s="193"/>
    </row>
    <row r="119" spans="1:7" ht="78.75" customHeight="1" x14ac:dyDescent="0.25">
      <c r="A119" s="103">
        <v>13</v>
      </c>
      <c r="B119" s="103">
        <v>801</v>
      </c>
      <c r="C119" s="103">
        <v>80152</v>
      </c>
      <c r="D119" s="219" t="s">
        <v>169</v>
      </c>
      <c r="E119" s="113" t="s">
        <v>227</v>
      </c>
      <c r="F119" s="106">
        <f>944760.81+461079.88+180000+400000</f>
        <v>1985840.69</v>
      </c>
    </row>
    <row r="120" spans="1:7" s="90" customFormat="1" ht="13.5" customHeight="1" x14ac:dyDescent="0.25">
      <c r="A120" s="178"/>
      <c r="C120" s="179"/>
      <c r="D120" s="184"/>
      <c r="E120" s="181" t="s">
        <v>205</v>
      </c>
      <c r="F120" s="182"/>
    </row>
    <row r="121" spans="1:7" s="90" customFormat="1" ht="13.5" customHeight="1" x14ac:dyDescent="0.25">
      <c r="A121" s="188"/>
      <c r="B121" s="189"/>
      <c r="C121" s="190"/>
      <c r="D121" s="191"/>
      <c r="E121" s="231" t="s">
        <v>211</v>
      </c>
      <c r="F121" s="222"/>
    </row>
    <row r="122" spans="1:7" s="90" customFormat="1" ht="13.5" customHeight="1" x14ac:dyDescent="0.25">
      <c r="A122" s="178"/>
      <c r="C122" s="179"/>
      <c r="D122" s="180"/>
      <c r="E122" s="232" t="s">
        <v>192</v>
      </c>
      <c r="F122" s="182"/>
    </row>
    <row r="123" spans="1:7" s="90" customFormat="1" ht="22.9" customHeight="1" x14ac:dyDescent="0.25">
      <c r="A123" s="178"/>
      <c r="C123" s="179"/>
      <c r="D123" s="184"/>
      <c r="E123" s="186" t="s">
        <v>208</v>
      </c>
      <c r="F123" s="182"/>
    </row>
    <row r="124" spans="1:7" s="90" customFormat="1" ht="24.75" customHeight="1" x14ac:dyDescent="0.25">
      <c r="A124" s="178"/>
      <c r="C124" s="179"/>
      <c r="D124" s="184"/>
      <c r="E124" s="186" t="s">
        <v>209</v>
      </c>
      <c r="F124" s="187"/>
    </row>
    <row r="125" spans="1:7" s="90" customFormat="1" ht="13.5" customHeight="1" x14ac:dyDescent="0.25">
      <c r="A125" s="178"/>
      <c r="C125" s="179"/>
      <c r="D125" s="184"/>
      <c r="E125" s="202" t="s">
        <v>210</v>
      </c>
      <c r="F125" s="187"/>
    </row>
    <row r="126" spans="1:7" s="90" customFormat="1" ht="24" customHeight="1" x14ac:dyDescent="0.25">
      <c r="A126" s="188"/>
      <c r="B126" s="189"/>
      <c r="C126" s="190"/>
      <c r="D126" s="191"/>
      <c r="E126" s="192" t="s">
        <v>206</v>
      </c>
      <c r="F126" s="193"/>
    </row>
    <row r="127" spans="1:7" ht="15.75" customHeight="1" x14ac:dyDescent="0.25">
      <c r="A127" s="233">
        <v>14</v>
      </c>
      <c r="B127" s="233">
        <v>853</v>
      </c>
      <c r="C127" s="233">
        <v>85311</v>
      </c>
      <c r="D127" s="234">
        <v>2580</v>
      </c>
      <c r="E127" s="235" t="s">
        <v>228</v>
      </c>
      <c r="F127" s="114">
        <f>293325+27500</f>
        <v>320825</v>
      </c>
    </row>
    <row r="128" spans="1:7" s="90" customFormat="1" ht="13.5" customHeight="1" x14ac:dyDescent="0.25">
      <c r="A128" s="172"/>
      <c r="B128" s="173"/>
      <c r="C128" s="190"/>
      <c r="D128" s="236"/>
      <c r="E128" s="189" t="s">
        <v>229</v>
      </c>
      <c r="F128" s="193"/>
    </row>
    <row r="129" spans="1:6" ht="15.75" customHeight="1" x14ac:dyDescent="0.25">
      <c r="A129" s="155">
        <v>15</v>
      </c>
      <c r="B129" s="155">
        <v>854</v>
      </c>
      <c r="C129" s="155">
        <v>85402</v>
      </c>
      <c r="D129" s="234">
        <v>2540</v>
      </c>
      <c r="E129" s="209" t="s">
        <v>230</v>
      </c>
      <c r="F129" s="158">
        <f>1138913.09+260000</f>
        <v>1398913.09</v>
      </c>
    </row>
    <row r="130" spans="1:6" s="90" customFormat="1" ht="13.5" customHeight="1" x14ac:dyDescent="0.25">
      <c r="A130" s="172"/>
      <c r="B130" s="173"/>
      <c r="C130" s="174"/>
      <c r="D130" s="210"/>
      <c r="E130" s="237" t="s">
        <v>231</v>
      </c>
      <c r="F130" s="177"/>
    </row>
    <row r="131" spans="1:6" ht="25.5" customHeight="1" x14ac:dyDescent="0.25">
      <c r="A131" s="103">
        <v>16</v>
      </c>
      <c r="B131" s="103">
        <v>854</v>
      </c>
      <c r="C131" s="103">
        <v>85404</v>
      </c>
      <c r="D131" s="238" t="s">
        <v>169</v>
      </c>
      <c r="E131" s="213" t="s">
        <v>232</v>
      </c>
      <c r="F131" s="106">
        <f>1189786.53+20000</f>
        <v>1209786.53</v>
      </c>
    </row>
    <row r="132" spans="1:6" s="90" customFormat="1" ht="13.5" customHeight="1" x14ac:dyDescent="0.25">
      <c r="A132" s="178"/>
      <c r="C132" s="179"/>
      <c r="D132" s="184"/>
      <c r="E132" s="203" t="s">
        <v>186</v>
      </c>
      <c r="F132" s="182"/>
    </row>
    <row r="133" spans="1:6" s="90" customFormat="1" ht="13.5" customHeight="1" x14ac:dyDescent="0.25">
      <c r="A133" s="178"/>
      <c r="C133" s="179"/>
      <c r="D133" s="184"/>
      <c r="E133" s="239" t="s">
        <v>177</v>
      </c>
      <c r="F133" s="187"/>
    </row>
    <row r="134" spans="1:6" s="90" customFormat="1" ht="13.5" customHeight="1" x14ac:dyDescent="0.25">
      <c r="A134" s="178"/>
      <c r="C134" s="179"/>
      <c r="D134" s="184"/>
      <c r="E134" s="186" t="s">
        <v>220</v>
      </c>
      <c r="F134" s="187"/>
    </row>
    <row r="135" spans="1:6" s="90" customFormat="1" ht="13.5" customHeight="1" x14ac:dyDescent="0.25">
      <c r="A135" s="178"/>
      <c r="C135" s="179"/>
      <c r="D135" s="184"/>
      <c r="E135" s="186" t="s">
        <v>185</v>
      </c>
      <c r="F135" s="187"/>
    </row>
    <row r="136" spans="1:6" s="90" customFormat="1" ht="13.5" customHeight="1" x14ac:dyDescent="0.25">
      <c r="A136" s="178"/>
      <c r="C136" s="179"/>
      <c r="D136" s="184"/>
      <c r="E136" s="202" t="s">
        <v>181</v>
      </c>
      <c r="F136" s="187"/>
    </row>
    <row r="137" spans="1:6" s="90" customFormat="1" ht="13.5" customHeight="1" x14ac:dyDescent="0.25">
      <c r="A137" s="178"/>
      <c r="C137" s="179"/>
      <c r="D137" s="184"/>
      <c r="E137" s="186" t="s">
        <v>221</v>
      </c>
      <c r="F137" s="187"/>
    </row>
    <row r="138" spans="1:6" s="90" customFormat="1" ht="13.5" customHeight="1" x14ac:dyDescent="0.25">
      <c r="A138" s="178"/>
      <c r="C138" s="179"/>
      <c r="D138" s="184"/>
      <c r="E138" s="186" t="s">
        <v>180</v>
      </c>
      <c r="F138" s="187"/>
    </row>
    <row r="139" spans="1:6" s="90" customFormat="1" ht="13.5" customHeight="1" x14ac:dyDescent="0.25">
      <c r="A139" s="178"/>
      <c r="C139" s="179"/>
      <c r="D139" s="184"/>
      <c r="E139" s="226" t="s">
        <v>175</v>
      </c>
      <c r="F139" s="182"/>
    </row>
    <row r="140" spans="1:6" s="90" customFormat="1" ht="13.5" customHeight="1" x14ac:dyDescent="0.25">
      <c r="A140" s="188"/>
      <c r="B140" s="189"/>
      <c r="C140" s="190"/>
      <c r="D140" s="184"/>
      <c r="E140" s="185" t="s">
        <v>188</v>
      </c>
      <c r="F140" s="240"/>
    </row>
    <row r="141" spans="1:6" ht="25.5" customHeight="1" x14ac:dyDescent="0.25">
      <c r="A141" s="241">
        <v>17</v>
      </c>
      <c r="B141" s="241">
        <v>854</v>
      </c>
      <c r="C141" s="241">
        <v>85406</v>
      </c>
      <c r="D141" s="242">
        <v>2540</v>
      </c>
      <c r="E141" s="243" t="s">
        <v>233</v>
      </c>
      <c r="F141" s="106">
        <f>123905.02</f>
        <v>123905.02</v>
      </c>
    </row>
    <row r="142" spans="1:6" s="90" customFormat="1" ht="13.5" customHeight="1" x14ac:dyDescent="0.25">
      <c r="A142" s="197"/>
      <c r="B142" s="198"/>
      <c r="C142" s="199"/>
      <c r="D142" s="205"/>
      <c r="E142" s="244" t="s">
        <v>234</v>
      </c>
      <c r="F142" s="196"/>
    </row>
    <row r="143" spans="1:6" ht="14.25" customHeight="1" x14ac:dyDescent="0.25">
      <c r="A143" s="155">
        <v>18</v>
      </c>
      <c r="B143" s="155">
        <v>854</v>
      </c>
      <c r="C143" s="155">
        <v>85410</v>
      </c>
      <c r="D143" s="234">
        <v>2590</v>
      </c>
      <c r="E143" s="209" t="s">
        <v>235</v>
      </c>
      <c r="F143" s="158">
        <f>1565082.91+400000+400000</f>
        <v>2365082.91</v>
      </c>
    </row>
    <row r="144" spans="1:6" s="90" customFormat="1" ht="13.5" customHeight="1" x14ac:dyDescent="0.25">
      <c r="A144" s="172"/>
      <c r="B144" s="173"/>
      <c r="C144" s="174"/>
      <c r="D144" s="236"/>
      <c r="E144" s="189" t="s">
        <v>236</v>
      </c>
      <c r="F144" s="245"/>
    </row>
    <row r="145" spans="1:7" ht="14.25" customHeight="1" x14ac:dyDescent="0.25">
      <c r="A145" s="319"/>
      <c r="B145" s="320"/>
      <c r="C145" s="320"/>
      <c r="D145" s="102"/>
      <c r="E145" s="320" t="s">
        <v>166</v>
      </c>
      <c r="F145" s="158">
        <f>SUM(F42:F144)</f>
        <v>65563382.840000004</v>
      </c>
    </row>
    <row r="146" spans="1:7" ht="15.75" customHeight="1" x14ac:dyDescent="0.25">
      <c r="A146" s="246"/>
      <c r="B146" s="247"/>
      <c r="C146" s="247"/>
      <c r="D146" s="102"/>
      <c r="E146" s="247" t="s">
        <v>237</v>
      </c>
      <c r="F146" s="248">
        <f>SUM(F39,F145)</f>
        <v>96722279.460000008</v>
      </c>
    </row>
    <row r="148" spans="1:7" ht="12.6" customHeight="1" x14ac:dyDescent="0.25">
      <c r="A148" s="168"/>
      <c r="F148" s="112"/>
    </row>
    <row r="149" spans="1:7" x14ac:dyDescent="0.25">
      <c r="F149" s="112"/>
      <c r="G149" s="90"/>
    </row>
    <row r="150" spans="1:7" x14ac:dyDescent="0.25">
      <c r="F150" s="112"/>
      <c r="G150" s="90"/>
    </row>
    <row r="151" spans="1:7" x14ac:dyDescent="0.25">
      <c r="F151" s="112"/>
    </row>
    <row r="152" spans="1:7" x14ac:dyDescent="0.25">
      <c r="F152" s="112"/>
    </row>
    <row r="153" spans="1:7" x14ac:dyDescent="0.25">
      <c r="F153" s="112"/>
    </row>
    <row r="154" spans="1:7" x14ac:dyDescent="0.25">
      <c r="F154" s="112"/>
    </row>
    <row r="155" spans="1:7" x14ac:dyDescent="0.25">
      <c r="F155" s="112"/>
    </row>
  </sheetData>
  <pageMargins left="0.51181102362204722" right="0.51181102362204722" top="0.70866141732283472" bottom="0.74803149606299213" header="0.31496062992125984" footer="0.31496062992125984"/>
  <pageSetup paperSize="9" firstPageNumber="66" orientation="portrait" r:id="rId1"/>
  <headerFooter>
    <oddFooter>&amp;C&amp;"Arial Narrow,Normalny"&amp;8&amp;P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D115C-7B3E-4D2E-891D-CAFF8DC994EB}">
  <sheetPr>
    <tabColor rgb="FFCCCC00"/>
  </sheetPr>
  <dimension ref="A1:G41"/>
  <sheetViews>
    <sheetView zoomScale="130" zoomScaleNormal="130" workbookViewId="0"/>
  </sheetViews>
  <sheetFormatPr defaultRowHeight="15" x14ac:dyDescent="0.25"/>
  <cols>
    <col min="1" max="1" width="4.42578125" style="323" customWidth="1"/>
    <col min="2" max="2" width="7.5703125" style="323" customWidth="1"/>
    <col min="3" max="3" width="50.85546875" style="323" customWidth="1"/>
    <col min="4" max="4" width="14.85546875" style="323" customWidth="1"/>
    <col min="5" max="5" width="14" style="323" customWidth="1"/>
    <col min="6" max="6" width="14.140625" style="323" customWidth="1"/>
    <col min="7" max="7" width="14.7109375" style="323" customWidth="1"/>
    <col min="8" max="256" width="9.140625" style="323"/>
    <col min="257" max="257" width="4.42578125" style="323" customWidth="1"/>
    <col min="258" max="258" width="7.5703125" style="323" customWidth="1"/>
    <col min="259" max="259" width="47.42578125" style="323" customWidth="1"/>
    <col min="260" max="260" width="14.85546875" style="323" customWidth="1"/>
    <col min="261" max="261" width="14" style="323" customWidth="1"/>
    <col min="262" max="262" width="14.140625" style="323" customWidth="1"/>
    <col min="263" max="263" width="14.7109375" style="323" customWidth="1"/>
    <col min="264" max="512" width="9.140625" style="323"/>
    <col min="513" max="513" width="4.42578125" style="323" customWidth="1"/>
    <col min="514" max="514" width="7.5703125" style="323" customWidth="1"/>
    <col min="515" max="515" width="47.42578125" style="323" customWidth="1"/>
    <col min="516" max="516" width="14.85546875" style="323" customWidth="1"/>
    <col min="517" max="517" width="14" style="323" customWidth="1"/>
    <col min="518" max="518" width="14.140625" style="323" customWidth="1"/>
    <col min="519" max="519" width="14.7109375" style="323" customWidth="1"/>
    <col min="520" max="768" width="9.140625" style="323"/>
    <col min="769" max="769" width="4.42578125" style="323" customWidth="1"/>
    <col min="770" max="770" width="7.5703125" style="323" customWidth="1"/>
    <col min="771" max="771" width="47.42578125" style="323" customWidth="1"/>
    <col min="772" max="772" width="14.85546875" style="323" customWidth="1"/>
    <col min="773" max="773" width="14" style="323" customWidth="1"/>
    <col min="774" max="774" width="14.140625" style="323" customWidth="1"/>
    <col min="775" max="775" width="14.7109375" style="323" customWidth="1"/>
    <col min="776" max="1024" width="9.140625" style="323"/>
    <col min="1025" max="1025" width="4.42578125" style="323" customWidth="1"/>
    <col min="1026" max="1026" width="7.5703125" style="323" customWidth="1"/>
    <col min="1027" max="1027" width="47.42578125" style="323" customWidth="1"/>
    <col min="1028" max="1028" width="14.85546875" style="323" customWidth="1"/>
    <col min="1029" max="1029" width="14" style="323" customWidth="1"/>
    <col min="1030" max="1030" width="14.140625" style="323" customWidth="1"/>
    <col min="1031" max="1031" width="14.7109375" style="323" customWidth="1"/>
    <col min="1032" max="1280" width="9.140625" style="323"/>
    <col min="1281" max="1281" width="4.42578125" style="323" customWidth="1"/>
    <col min="1282" max="1282" width="7.5703125" style="323" customWidth="1"/>
    <col min="1283" max="1283" width="47.42578125" style="323" customWidth="1"/>
    <col min="1284" max="1284" width="14.85546875" style="323" customWidth="1"/>
    <col min="1285" max="1285" width="14" style="323" customWidth="1"/>
    <col min="1286" max="1286" width="14.140625" style="323" customWidth="1"/>
    <col min="1287" max="1287" width="14.7109375" style="323" customWidth="1"/>
    <col min="1288" max="1536" width="9.140625" style="323"/>
    <col min="1537" max="1537" width="4.42578125" style="323" customWidth="1"/>
    <col min="1538" max="1538" width="7.5703125" style="323" customWidth="1"/>
    <col min="1539" max="1539" width="47.42578125" style="323" customWidth="1"/>
    <col min="1540" max="1540" width="14.85546875" style="323" customWidth="1"/>
    <col min="1541" max="1541" width="14" style="323" customWidth="1"/>
    <col min="1542" max="1542" width="14.140625" style="323" customWidth="1"/>
    <col min="1543" max="1543" width="14.7109375" style="323" customWidth="1"/>
    <col min="1544" max="1792" width="9.140625" style="323"/>
    <col min="1793" max="1793" width="4.42578125" style="323" customWidth="1"/>
    <col min="1794" max="1794" width="7.5703125" style="323" customWidth="1"/>
    <col min="1795" max="1795" width="47.42578125" style="323" customWidth="1"/>
    <col min="1796" max="1796" width="14.85546875" style="323" customWidth="1"/>
    <col min="1797" max="1797" width="14" style="323" customWidth="1"/>
    <col min="1798" max="1798" width="14.140625" style="323" customWidth="1"/>
    <col min="1799" max="1799" width="14.7109375" style="323" customWidth="1"/>
    <col min="1800" max="2048" width="9.140625" style="323"/>
    <col min="2049" max="2049" width="4.42578125" style="323" customWidth="1"/>
    <col min="2050" max="2050" width="7.5703125" style="323" customWidth="1"/>
    <col min="2051" max="2051" width="47.42578125" style="323" customWidth="1"/>
    <col min="2052" max="2052" width="14.85546875" style="323" customWidth="1"/>
    <col min="2053" max="2053" width="14" style="323" customWidth="1"/>
    <col min="2054" max="2054" width="14.140625" style="323" customWidth="1"/>
    <col min="2055" max="2055" width="14.7109375" style="323" customWidth="1"/>
    <col min="2056" max="2304" width="9.140625" style="323"/>
    <col min="2305" max="2305" width="4.42578125" style="323" customWidth="1"/>
    <col min="2306" max="2306" width="7.5703125" style="323" customWidth="1"/>
    <col min="2307" max="2307" width="47.42578125" style="323" customWidth="1"/>
    <col min="2308" max="2308" width="14.85546875" style="323" customWidth="1"/>
    <col min="2309" max="2309" width="14" style="323" customWidth="1"/>
    <col min="2310" max="2310" width="14.140625" style="323" customWidth="1"/>
    <col min="2311" max="2311" width="14.7109375" style="323" customWidth="1"/>
    <col min="2312" max="2560" width="9.140625" style="323"/>
    <col min="2561" max="2561" width="4.42578125" style="323" customWidth="1"/>
    <col min="2562" max="2562" width="7.5703125" style="323" customWidth="1"/>
    <col min="2563" max="2563" width="47.42578125" style="323" customWidth="1"/>
    <col min="2564" max="2564" width="14.85546875" style="323" customWidth="1"/>
    <col min="2565" max="2565" width="14" style="323" customWidth="1"/>
    <col min="2566" max="2566" width="14.140625" style="323" customWidth="1"/>
    <col min="2567" max="2567" width="14.7109375" style="323" customWidth="1"/>
    <col min="2568" max="2816" width="9.140625" style="323"/>
    <col min="2817" max="2817" width="4.42578125" style="323" customWidth="1"/>
    <col min="2818" max="2818" width="7.5703125" style="323" customWidth="1"/>
    <col min="2819" max="2819" width="47.42578125" style="323" customWidth="1"/>
    <col min="2820" max="2820" width="14.85546875" style="323" customWidth="1"/>
    <col min="2821" max="2821" width="14" style="323" customWidth="1"/>
    <col min="2822" max="2822" width="14.140625" style="323" customWidth="1"/>
    <col min="2823" max="2823" width="14.7109375" style="323" customWidth="1"/>
    <col min="2824" max="3072" width="9.140625" style="323"/>
    <col min="3073" max="3073" width="4.42578125" style="323" customWidth="1"/>
    <col min="3074" max="3074" width="7.5703125" style="323" customWidth="1"/>
    <col min="3075" max="3075" width="47.42578125" style="323" customWidth="1"/>
    <col min="3076" max="3076" width="14.85546875" style="323" customWidth="1"/>
    <col min="3077" max="3077" width="14" style="323" customWidth="1"/>
    <col min="3078" max="3078" width="14.140625" style="323" customWidth="1"/>
    <col min="3079" max="3079" width="14.7109375" style="323" customWidth="1"/>
    <col min="3080" max="3328" width="9.140625" style="323"/>
    <col min="3329" max="3329" width="4.42578125" style="323" customWidth="1"/>
    <col min="3330" max="3330" width="7.5703125" style="323" customWidth="1"/>
    <col min="3331" max="3331" width="47.42578125" style="323" customWidth="1"/>
    <col min="3332" max="3332" width="14.85546875" style="323" customWidth="1"/>
    <col min="3333" max="3333" width="14" style="323" customWidth="1"/>
    <col min="3334" max="3334" width="14.140625" style="323" customWidth="1"/>
    <col min="3335" max="3335" width="14.7109375" style="323" customWidth="1"/>
    <col min="3336" max="3584" width="9.140625" style="323"/>
    <col min="3585" max="3585" width="4.42578125" style="323" customWidth="1"/>
    <col min="3586" max="3586" width="7.5703125" style="323" customWidth="1"/>
    <col min="3587" max="3587" width="47.42578125" style="323" customWidth="1"/>
    <col min="3588" max="3588" width="14.85546875" style="323" customWidth="1"/>
    <col min="3589" max="3589" width="14" style="323" customWidth="1"/>
    <col min="3590" max="3590" width="14.140625" style="323" customWidth="1"/>
    <col min="3591" max="3591" width="14.7109375" style="323" customWidth="1"/>
    <col min="3592" max="3840" width="9.140625" style="323"/>
    <col min="3841" max="3841" width="4.42578125" style="323" customWidth="1"/>
    <col min="3842" max="3842" width="7.5703125" style="323" customWidth="1"/>
    <col min="3843" max="3843" width="47.42578125" style="323" customWidth="1"/>
    <col min="3844" max="3844" width="14.85546875" style="323" customWidth="1"/>
    <col min="3845" max="3845" width="14" style="323" customWidth="1"/>
    <col min="3846" max="3846" width="14.140625" style="323" customWidth="1"/>
    <col min="3847" max="3847" width="14.7109375" style="323" customWidth="1"/>
    <col min="3848" max="4096" width="9.140625" style="323"/>
    <col min="4097" max="4097" width="4.42578125" style="323" customWidth="1"/>
    <col min="4098" max="4098" width="7.5703125" style="323" customWidth="1"/>
    <col min="4099" max="4099" width="47.42578125" style="323" customWidth="1"/>
    <col min="4100" max="4100" width="14.85546875" style="323" customWidth="1"/>
    <col min="4101" max="4101" width="14" style="323" customWidth="1"/>
    <col min="4102" max="4102" width="14.140625" style="323" customWidth="1"/>
    <col min="4103" max="4103" width="14.7109375" style="323" customWidth="1"/>
    <col min="4104" max="4352" width="9.140625" style="323"/>
    <col min="4353" max="4353" width="4.42578125" style="323" customWidth="1"/>
    <col min="4354" max="4354" width="7.5703125" style="323" customWidth="1"/>
    <col min="4355" max="4355" width="47.42578125" style="323" customWidth="1"/>
    <col min="4356" max="4356" width="14.85546875" style="323" customWidth="1"/>
    <col min="4357" max="4357" width="14" style="323" customWidth="1"/>
    <col min="4358" max="4358" width="14.140625" style="323" customWidth="1"/>
    <col min="4359" max="4359" width="14.7109375" style="323" customWidth="1"/>
    <col min="4360" max="4608" width="9.140625" style="323"/>
    <col min="4609" max="4609" width="4.42578125" style="323" customWidth="1"/>
    <col min="4610" max="4610" width="7.5703125" style="323" customWidth="1"/>
    <col min="4611" max="4611" width="47.42578125" style="323" customWidth="1"/>
    <col min="4612" max="4612" width="14.85546875" style="323" customWidth="1"/>
    <col min="4613" max="4613" width="14" style="323" customWidth="1"/>
    <col min="4614" max="4614" width="14.140625" style="323" customWidth="1"/>
    <col min="4615" max="4615" width="14.7109375" style="323" customWidth="1"/>
    <col min="4616" max="4864" width="9.140625" style="323"/>
    <col min="4865" max="4865" width="4.42578125" style="323" customWidth="1"/>
    <col min="4866" max="4866" width="7.5703125" style="323" customWidth="1"/>
    <col min="4867" max="4867" width="47.42578125" style="323" customWidth="1"/>
    <col min="4868" max="4868" width="14.85546875" style="323" customWidth="1"/>
    <col min="4869" max="4869" width="14" style="323" customWidth="1"/>
    <col min="4870" max="4870" width="14.140625" style="323" customWidth="1"/>
    <col min="4871" max="4871" width="14.7109375" style="323" customWidth="1"/>
    <col min="4872" max="5120" width="9.140625" style="323"/>
    <col min="5121" max="5121" width="4.42578125" style="323" customWidth="1"/>
    <col min="5122" max="5122" width="7.5703125" style="323" customWidth="1"/>
    <col min="5123" max="5123" width="47.42578125" style="323" customWidth="1"/>
    <col min="5124" max="5124" width="14.85546875" style="323" customWidth="1"/>
    <col min="5125" max="5125" width="14" style="323" customWidth="1"/>
    <col min="5126" max="5126" width="14.140625" style="323" customWidth="1"/>
    <col min="5127" max="5127" width="14.7109375" style="323" customWidth="1"/>
    <col min="5128" max="5376" width="9.140625" style="323"/>
    <col min="5377" max="5377" width="4.42578125" style="323" customWidth="1"/>
    <col min="5378" max="5378" width="7.5703125" style="323" customWidth="1"/>
    <col min="5379" max="5379" width="47.42578125" style="323" customWidth="1"/>
    <col min="5380" max="5380" width="14.85546875" style="323" customWidth="1"/>
    <col min="5381" max="5381" width="14" style="323" customWidth="1"/>
    <col min="5382" max="5382" width="14.140625" style="323" customWidth="1"/>
    <col min="5383" max="5383" width="14.7109375" style="323" customWidth="1"/>
    <col min="5384" max="5632" width="9.140625" style="323"/>
    <col min="5633" max="5633" width="4.42578125" style="323" customWidth="1"/>
    <col min="5634" max="5634" width="7.5703125" style="323" customWidth="1"/>
    <col min="5635" max="5635" width="47.42578125" style="323" customWidth="1"/>
    <col min="5636" max="5636" width="14.85546875" style="323" customWidth="1"/>
    <col min="5637" max="5637" width="14" style="323" customWidth="1"/>
    <col min="5638" max="5638" width="14.140625" style="323" customWidth="1"/>
    <col min="5639" max="5639" width="14.7109375" style="323" customWidth="1"/>
    <col min="5640" max="5888" width="9.140625" style="323"/>
    <col min="5889" max="5889" width="4.42578125" style="323" customWidth="1"/>
    <col min="5890" max="5890" width="7.5703125" style="323" customWidth="1"/>
    <col min="5891" max="5891" width="47.42578125" style="323" customWidth="1"/>
    <col min="5892" max="5892" width="14.85546875" style="323" customWidth="1"/>
    <col min="5893" max="5893" width="14" style="323" customWidth="1"/>
    <col min="5894" max="5894" width="14.140625" style="323" customWidth="1"/>
    <col min="5895" max="5895" width="14.7109375" style="323" customWidth="1"/>
    <col min="5896" max="6144" width="9.140625" style="323"/>
    <col min="6145" max="6145" width="4.42578125" style="323" customWidth="1"/>
    <col min="6146" max="6146" width="7.5703125" style="323" customWidth="1"/>
    <col min="6147" max="6147" width="47.42578125" style="323" customWidth="1"/>
    <col min="6148" max="6148" width="14.85546875" style="323" customWidth="1"/>
    <col min="6149" max="6149" width="14" style="323" customWidth="1"/>
    <col min="6150" max="6150" width="14.140625" style="323" customWidth="1"/>
    <col min="6151" max="6151" width="14.7109375" style="323" customWidth="1"/>
    <col min="6152" max="6400" width="9.140625" style="323"/>
    <col min="6401" max="6401" width="4.42578125" style="323" customWidth="1"/>
    <col min="6402" max="6402" width="7.5703125" style="323" customWidth="1"/>
    <col min="6403" max="6403" width="47.42578125" style="323" customWidth="1"/>
    <col min="6404" max="6404" width="14.85546875" style="323" customWidth="1"/>
    <col min="6405" max="6405" width="14" style="323" customWidth="1"/>
    <col min="6406" max="6406" width="14.140625" style="323" customWidth="1"/>
    <col min="6407" max="6407" width="14.7109375" style="323" customWidth="1"/>
    <col min="6408" max="6656" width="9.140625" style="323"/>
    <col min="6657" max="6657" width="4.42578125" style="323" customWidth="1"/>
    <col min="6658" max="6658" width="7.5703125" style="323" customWidth="1"/>
    <col min="6659" max="6659" width="47.42578125" style="323" customWidth="1"/>
    <col min="6660" max="6660" width="14.85546875" style="323" customWidth="1"/>
    <col min="6661" max="6661" width="14" style="323" customWidth="1"/>
    <col min="6662" max="6662" width="14.140625" style="323" customWidth="1"/>
    <col min="6663" max="6663" width="14.7109375" style="323" customWidth="1"/>
    <col min="6664" max="6912" width="9.140625" style="323"/>
    <col min="6913" max="6913" width="4.42578125" style="323" customWidth="1"/>
    <col min="6914" max="6914" width="7.5703125" style="323" customWidth="1"/>
    <col min="6915" max="6915" width="47.42578125" style="323" customWidth="1"/>
    <col min="6916" max="6916" width="14.85546875" style="323" customWidth="1"/>
    <col min="6917" max="6917" width="14" style="323" customWidth="1"/>
    <col min="6918" max="6918" width="14.140625" style="323" customWidth="1"/>
    <col min="6919" max="6919" width="14.7109375" style="323" customWidth="1"/>
    <col min="6920" max="7168" width="9.140625" style="323"/>
    <col min="7169" max="7169" width="4.42578125" style="323" customWidth="1"/>
    <col min="7170" max="7170" width="7.5703125" style="323" customWidth="1"/>
    <col min="7171" max="7171" width="47.42578125" style="323" customWidth="1"/>
    <col min="7172" max="7172" width="14.85546875" style="323" customWidth="1"/>
    <col min="7173" max="7173" width="14" style="323" customWidth="1"/>
    <col min="7174" max="7174" width="14.140625" style="323" customWidth="1"/>
    <col min="7175" max="7175" width="14.7109375" style="323" customWidth="1"/>
    <col min="7176" max="7424" width="9.140625" style="323"/>
    <col min="7425" max="7425" width="4.42578125" style="323" customWidth="1"/>
    <col min="7426" max="7426" width="7.5703125" style="323" customWidth="1"/>
    <col min="7427" max="7427" width="47.42578125" style="323" customWidth="1"/>
    <col min="7428" max="7428" width="14.85546875" style="323" customWidth="1"/>
    <col min="7429" max="7429" width="14" style="323" customWidth="1"/>
    <col min="7430" max="7430" width="14.140625" style="323" customWidth="1"/>
    <col min="7431" max="7431" width="14.7109375" style="323" customWidth="1"/>
    <col min="7432" max="7680" width="9.140625" style="323"/>
    <col min="7681" max="7681" width="4.42578125" style="323" customWidth="1"/>
    <col min="7682" max="7682" width="7.5703125" style="323" customWidth="1"/>
    <col min="7683" max="7683" width="47.42578125" style="323" customWidth="1"/>
    <col min="7684" max="7684" width="14.85546875" style="323" customWidth="1"/>
    <col min="7685" max="7685" width="14" style="323" customWidth="1"/>
    <col min="7686" max="7686" width="14.140625" style="323" customWidth="1"/>
    <col min="7687" max="7687" width="14.7109375" style="323" customWidth="1"/>
    <col min="7688" max="7936" width="9.140625" style="323"/>
    <col min="7937" max="7937" width="4.42578125" style="323" customWidth="1"/>
    <col min="7938" max="7938" width="7.5703125" style="323" customWidth="1"/>
    <col min="7939" max="7939" width="47.42578125" style="323" customWidth="1"/>
    <col min="7940" max="7940" width="14.85546875" style="323" customWidth="1"/>
    <col min="7941" max="7941" width="14" style="323" customWidth="1"/>
    <col min="7942" max="7942" width="14.140625" style="323" customWidth="1"/>
    <col min="7943" max="7943" width="14.7109375" style="323" customWidth="1"/>
    <col min="7944" max="8192" width="9.140625" style="323"/>
    <col min="8193" max="8193" width="4.42578125" style="323" customWidth="1"/>
    <col min="8194" max="8194" width="7.5703125" style="323" customWidth="1"/>
    <col min="8195" max="8195" width="47.42578125" style="323" customWidth="1"/>
    <col min="8196" max="8196" width="14.85546875" style="323" customWidth="1"/>
    <col min="8197" max="8197" width="14" style="323" customWidth="1"/>
    <col min="8198" max="8198" width="14.140625" style="323" customWidth="1"/>
    <col min="8199" max="8199" width="14.7109375" style="323" customWidth="1"/>
    <col min="8200" max="8448" width="9.140625" style="323"/>
    <col min="8449" max="8449" width="4.42578125" style="323" customWidth="1"/>
    <col min="8450" max="8450" width="7.5703125" style="323" customWidth="1"/>
    <col min="8451" max="8451" width="47.42578125" style="323" customWidth="1"/>
    <col min="8452" max="8452" width="14.85546875" style="323" customWidth="1"/>
    <col min="8453" max="8453" width="14" style="323" customWidth="1"/>
    <col min="8454" max="8454" width="14.140625" style="323" customWidth="1"/>
    <col min="8455" max="8455" width="14.7109375" style="323" customWidth="1"/>
    <col min="8456" max="8704" width="9.140625" style="323"/>
    <col min="8705" max="8705" width="4.42578125" style="323" customWidth="1"/>
    <col min="8706" max="8706" width="7.5703125" style="323" customWidth="1"/>
    <col min="8707" max="8707" width="47.42578125" style="323" customWidth="1"/>
    <col min="8708" max="8708" width="14.85546875" style="323" customWidth="1"/>
    <col min="8709" max="8709" width="14" style="323" customWidth="1"/>
    <col min="8710" max="8710" width="14.140625" style="323" customWidth="1"/>
    <col min="8711" max="8711" width="14.7109375" style="323" customWidth="1"/>
    <col min="8712" max="8960" width="9.140625" style="323"/>
    <col min="8961" max="8961" width="4.42578125" style="323" customWidth="1"/>
    <col min="8962" max="8962" width="7.5703125" style="323" customWidth="1"/>
    <col min="8963" max="8963" width="47.42578125" style="323" customWidth="1"/>
    <col min="8964" max="8964" width="14.85546875" style="323" customWidth="1"/>
    <col min="8965" max="8965" width="14" style="323" customWidth="1"/>
    <col min="8966" max="8966" width="14.140625" style="323" customWidth="1"/>
    <col min="8967" max="8967" width="14.7109375" style="323" customWidth="1"/>
    <col min="8968" max="9216" width="9.140625" style="323"/>
    <col min="9217" max="9217" width="4.42578125" style="323" customWidth="1"/>
    <col min="9218" max="9218" width="7.5703125" style="323" customWidth="1"/>
    <col min="9219" max="9219" width="47.42578125" style="323" customWidth="1"/>
    <col min="9220" max="9220" width="14.85546875" style="323" customWidth="1"/>
    <col min="9221" max="9221" width="14" style="323" customWidth="1"/>
    <col min="9222" max="9222" width="14.140625" style="323" customWidth="1"/>
    <col min="9223" max="9223" width="14.7109375" style="323" customWidth="1"/>
    <col min="9224" max="9472" width="9.140625" style="323"/>
    <col min="9473" max="9473" width="4.42578125" style="323" customWidth="1"/>
    <col min="9474" max="9474" width="7.5703125" style="323" customWidth="1"/>
    <col min="9475" max="9475" width="47.42578125" style="323" customWidth="1"/>
    <col min="9476" max="9476" width="14.85546875" style="323" customWidth="1"/>
    <col min="9477" max="9477" width="14" style="323" customWidth="1"/>
    <col min="9478" max="9478" width="14.140625" style="323" customWidth="1"/>
    <col min="9479" max="9479" width="14.7109375" style="323" customWidth="1"/>
    <col min="9480" max="9728" width="9.140625" style="323"/>
    <col min="9729" max="9729" width="4.42578125" style="323" customWidth="1"/>
    <col min="9730" max="9730" width="7.5703125" style="323" customWidth="1"/>
    <col min="9731" max="9731" width="47.42578125" style="323" customWidth="1"/>
    <col min="9732" max="9732" width="14.85546875" style="323" customWidth="1"/>
    <col min="9733" max="9733" width="14" style="323" customWidth="1"/>
    <col min="9734" max="9734" width="14.140625" style="323" customWidth="1"/>
    <col min="9735" max="9735" width="14.7109375" style="323" customWidth="1"/>
    <col min="9736" max="9984" width="9.140625" style="323"/>
    <col min="9985" max="9985" width="4.42578125" style="323" customWidth="1"/>
    <col min="9986" max="9986" width="7.5703125" style="323" customWidth="1"/>
    <col min="9987" max="9987" width="47.42578125" style="323" customWidth="1"/>
    <col min="9988" max="9988" width="14.85546875" style="323" customWidth="1"/>
    <col min="9989" max="9989" width="14" style="323" customWidth="1"/>
    <col min="9990" max="9990" width="14.140625" style="323" customWidth="1"/>
    <col min="9991" max="9991" width="14.7109375" style="323" customWidth="1"/>
    <col min="9992" max="10240" width="9.140625" style="323"/>
    <col min="10241" max="10241" width="4.42578125" style="323" customWidth="1"/>
    <col min="10242" max="10242" width="7.5703125" style="323" customWidth="1"/>
    <col min="10243" max="10243" width="47.42578125" style="323" customWidth="1"/>
    <col min="10244" max="10244" width="14.85546875" style="323" customWidth="1"/>
    <col min="10245" max="10245" width="14" style="323" customWidth="1"/>
    <col min="10246" max="10246" width="14.140625" style="323" customWidth="1"/>
    <col min="10247" max="10247" width="14.7109375" style="323" customWidth="1"/>
    <col min="10248" max="10496" width="9.140625" style="323"/>
    <col min="10497" max="10497" width="4.42578125" style="323" customWidth="1"/>
    <col min="10498" max="10498" width="7.5703125" style="323" customWidth="1"/>
    <col min="10499" max="10499" width="47.42578125" style="323" customWidth="1"/>
    <col min="10500" max="10500" width="14.85546875" style="323" customWidth="1"/>
    <col min="10501" max="10501" width="14" style="323" customWidth="1"/>
    <col min="10502" max="10502" width="14.140625" style="323" customWidth="1"/>
    <col min="10503" max="10503" width="14.7109375" style="323" customWidth="1"/>
    <col min="10504" max="10752" width="9.140625" style="323"/>
    <col min="10753" max="10753" width="4.42578125" style="323" customWidth="1"/>
    <col min="10754" max="10754" width="7.5703125" style="323" customWidth="1"/>
    <col min="10755" max="10755" width="47.42578125" style="323" customWidth="1"/>
    <col min="10756" max="10756" width="14.85546875" style="323" customWidth="1"/>
    <col min="10757" max="10757" width="14" style="323" customWidth="1"/>
    <col min="10758" max="10758" width="14.140625" style="323" customWidth="1"/>
    <col min="10759" max="10759" width="14.7109375" style="323" customWidth="1"/>
    <col min="10760" max="11008" width="9.140625" style="323"/>
    <col min="11009" max="11009" width="4.42578125" style="323" customWidth="1"/>
    <col min="11010" max="11010" width="7.5703125" style="323" customWidth="1"/>
    <col min="11011" max="11011" width="47.42578125" style="323" customWidth="1"/>
    <col min="11012" max="11012" width="14.85546875" style="323" customWidth="1"/>
    <col min="11013" max="11013" width="14" style="323" customWidth="1"/>
    <col min="11014" max="11014" width="14.140625" style="323" customWidth="1"/>
    <col min="11015" max="11015" width="14.7109375" style="323" customWidth="1"/>
    <col min="11016" max="11264" width="9.140625" style="323"/>
    <col min="11265" max="11265" width="4.42578125" style="323" customWidth="1"/>
    <col min="11266" max="11266" width="7.5703125" style="323" customWidth="1"/>
    <col min="11267" max="11267" width="47.42578125" style="323" customWidth="1"/>
    <col min="11268" max="11268" width="14.85546875" style="323" customWidth="1"/>
    <col min="11269" max="11269" width="14" style="323" customWidth="1"/>
    <col min="11270" max="11270" width="14.140625" style="323" customWidth="1"/>
    <col min="11271" max="11271" width="14.7109375" style="323" customWidth="1"/>
    <col min="11272" max="11520" width="9.140625" style="323"/>
    <col min="11521" max="11521" width="4.42578125" style="323" customWidth="1"/>
    <col min="11522" max="11522" width="7.5703125" style="323" customWidth="1"/>
    <col min="11523" max="11523" width="47.42578125" style="323" customWidth="1"/>
    <col min="11524" max="11524" width="14.85546875" style="323" customWidth="1"/>
    <col min="11525" max="11525" width="14" style="323" customWidth="1"/>
    <col min="11526" max="11526" width="14.140625" style="323" customWidth="1"/>
    <col min="11527" max="11527" width="14.7109375" style="323" customWidth="1"/>
    <col min="11528" max="11776" width="9.140625" style="323"/>
    <col min="11777" max="11777" width="4.42578125" style="323" customWidth="1"/>
    <col min="11778" max="11778" width="7.5703125" style="323" customWidth="1"/>
    <col min="11779" max="11779" width="47.42578125" style="323" customWidth="1"/>
    <col min="11780" max="11780" width="14.85546875" style="323" customWidth="1"/>
    <col min="11781" max="11781" width="14" style="323" customWidth="1"/>
    <col min="11782" max="11782" width="14.140625" style="323" customWidth="1"/>
    <col min="11783" max="11783" width="14.7109375" style="323" customWidth="1"/>
    <col min="11784" max="12032" width="9.140625" style="323"/>
    <col min="12033" max="12033" width="4.42578125" style="323" customWidth="1"/>
    <col min="12034" max="12034" width="7.5703125" style="323" customWidth="1"/>
    <col min="12035" max="12035" width="47.42578125" style="323" customWidth="1"/>
    <col min="12036" max="12036" width="14.85546875" style="323" customWidth="1"/>
    <col min="12037" max="12037" width="14" style="323" customWidth="1"/>
    <col min="12038" max="12038" width="14.140625" style="323" customWidth="1"/>
    <col min="12039" max="12039" width="14.7109375" style="323" customWidth="1"/>
    <col min="12040" max="12288" width="9.140625" style="323"/>
    <col min="12289" max="12289" width="4.42578125" style="323" customWidth="1"/>
    <col min="12290" max="12290" width="7.5703125" style="323" customWidth="1"/>
    <col min="12291" max="12291" width="47.42578125" style="323" customWidth="1"/>
    <col min="12292" max="12292" width="14.85546875" style="323" customWidth="1"/>
    <col min="12293" max="12293" width="14" style="323" customWidth="1"/>
    <col min="12294" max="12294" width="14.140625" style="323" customWidth="1"/>
    <col min="12295" max="12295" width="14.7109375" style="323" customWidth="1"/>
    <col min="12296" max="12544" width="9.140625" style="323"/>
    <col min="12545" max="12545" width="4.42578125" style="323" customWidth="1"/>
    <col min="12546" max="12546" width="7.5703125" style="323" customWidth="1"/>
    <col min="12547" max="12547" width="47.42578125" style="323" customWidth="1"/>
    <col min="12548" max="12548" width="14.85546875" style="323" customWidth="1"/>
    <col min="12549" max="12549" width="14" style="323" customWidth="1"/>
    <col min="12550" max="12550" width="14.140625" style="323" customWidth="1"/>
    <col min="12551" max="12551" width="14.7109375" style="323" customWidth="1"/>
    <col min="12552" max="12800" width="9.140625" style="323"/>
    <col min="12801" max="12801" width="4.42578125" style="323" customWidth="1"/>
    <col min="12802" max="12802" width="7.5703125" style="323" customWidth="1"/>
    <col min="12803" max="12803" width="47.42578125" style="323" customWidth="1"/>
    <col min="12804" max="12804" width="14.85546875" style="323" customWidth="1"/>
    <col min="12805" max="12805" width="14" style="323" customWidth="1"/>
    <col min="12806" max="12806" width="14.140625" style="323" customWidth="1"/>
    <col min="12807" max="12807" width="14.7109375" style="323" customWidth="1"/>
    <col min="12808" max="13056" width="9.140625" style="323"/>
    <col min="13057" max="13057" width="4.42578125" style="323" customWidth="1"/>
    <col min="13058" max="13058" width="7.5703125" style="323" customWidth="1"/>
    <col min="13059" max="13059" width="47.42578125" style="323" customWidth="1"/>
    <col min="13060" max="13060" width="14.85546875" style="323" customWidth="1"/>
    <col min="13061" max="13061" width="14" style="323" customWidth="1"/>
    <col min="13062" max="13062" width="14.140625" style="323" customWidth="1"/>
    <col min="13063" max="13063" width="14.7109375" style="323" customWidth="1"/>
    <col min="13064" max="13312" width="9.140625" style="323"/>
    <col min="13313" max="13313" width="4.42578125" style="323" customWidth="1"/>
    <col min="13314" max="13314" width="7.5703125" style="323" customWidth="1"/>
    <col min="13315" max="13315" width="47.42578125" style="323" customWidth="1"/>
    <col min="13316" max="13316" width="14.85546875" style="323" customWidth="1"/>
    <col min="13317" max="13317" width="14" style="323" customWidth="1"/>
    <col min="13318" max="13318" width="14.140625" style="323" customWidth="1"/>
    <col min="13319" max="13319" width="14.7109375" style="323" customWidth="1"/>
    <col min="13320" max="13568" width="9.140625" style="323"/>
    <col min="13569" max="13569" width="4.42578125" style="323" customWidth="1"/>
    <col min="13570" max="13570" width="7.5703125" style="323" customWidth="1"/>
    <col min="13571" max="13571" width="47.42578125" style="323" customWidth="1"/>
    <col min="13572" max="13572" width="14.85546875" style="323" customWidth="1"/>
    <col min="13573" max="13573" width="14" style="323" customWidth="1"/>
    <col min="13574" max="13574" width="14.140625" style="323" customWidth="1"/>
    <col min="13575" max="13575" width="14.7109375" style="323" customWidth="1"/>
    <col min="13576" max="13824" width="9.140625" style="323"/>
    <col min="13825" max="13825" width="4.42578125" style="323" customWidth="1"/>
    <col min="13826" max="13826" width="7.5703125" style="323" customWidth="1"/>
    <col min="13827" max="13827" width="47.42578125" style="323" customWidth="1"/>
    <col min="13828" max="13828" width="14.85546875" style="323" customWidth="1"/>
    <col min="13829" max="13829" width="14" style="323" customWidth="1"/>
    <col min="13830" max="13830" width="14.140625" style="323" customWidth="1"/>
    <col min="13831" max="13831" width="14.7109375" style="323" customWidth="1"/>
    <col min="13832" max="14080" width="9.140625" style="323"/>
    <col min="14081" max="14081" width="4.42578125" style="323" customWidth="1"/>
    <col min="14082" max="14082" width="7.5703125" style="323" customWidth="1"/>
    <col min="14083" max="14083" width="47.42578125" style="323" customWidth="1"/>
    <col min="14084" max="14084" width="14.85546875" style="323" customWidth="1"/>
    <col min="14085" max="14085" width="14" style="323" customWidth="1"/>
    <col min="14086" max="14086" width="14.140625" style="323" customWidth="1"/>
    <col min="14087" max="14087" width="14.7109375" style="323" customWidth="1"/>
    <col min="14088" max="14336" width="9.140625" style="323"/>
    <col min="14337" max="14337" width="4.42578125" style="323" customWidth="1"/>
    <col min="14338" max="14338" width="7.5703125" style="323" customWidth="1"/>
    <col min="14339" max="14339" width="47.42578125" style="323" customWidth="1"/>
    <col min="14340" max="14340" width="14.85546875" style="323" customWidth="1"/>
    <col min="14341" max="14341" width="14" style="323" customWidth="1"/>
    <col min="14342" max="14342" width="14.140625" style="323" customWidth="1"/>
    <col min="14343" max="14343" width="14.7109375" style="323" customWidth="1"/>
    <col min="14344" max="14592" width="9.140625" style="323"/>
    <col min="14593" max="14593" width="4.42578125" style="323" customWidth="1"/>
    <col min="14594" max="14594" width="7.5703125" style="323" customWidth="1"/>
    <col min="14595" max="14595" width="47.42578125" style="323" customWidth="1"/>
    <col min="14596" max="14596" width="14.85546875" style="323" customWidth="1"/>
    <col min="14597" max="14597" width="14" style="323" customWidth="1"/>
    <col min="14598" max="14598" width="14.140625" style="323" customWidth="1"/>
    <col min="14599" max="14599" width="14.7109375" style="323" customWidth="1"/>
    <col min="14600" max="14848" width="9.140625" style="323"/>
    <col min="14849" max="14849" width="4.42578125" style="323" customWidth="1"/>
    <col min="14850" max="14850" width="7.5703125" style="323" customWidth="1"/>
    <col min="14851" max="14851" width="47.42578125" style="323" customWidth="1"/>
    <col min="14852" max="14852" width="14.85546875" style="323" customWidth="1"/>
    <col min="14853" max="14853" width="14" style="323" customWidth="1"/>
    <col min="14854" max="14854" width="14.140625" style="323" customWidth="1"/>
    <col min="14855" max="14855" width="14.7109375" style="323" customWidth="1"/>
    <col min="14856" max="15104" width="9.140625" style="323"/>
    <col min="15105" max="15105" width="4.42578125" style="323" customWidth="1"/>
    <col min="15106" max="15106" width="7.5703125" style="323" customWidth="1"/>
    <col min="15107" max="15107" width="47.42578125" style="323" customWidth="1"/>
    <col min="15108" max="15108" width="14.85546875" style="323" customWidth="1"/>
    <col min="15109" max="15109" width="14" style="323" customWidth="1"/>
    <col min="15110" max="15110" width="14.140625" style="323" customWidth="1"/>
    <col min="15111" max="15111" width="14.7109375" style="323" customWidth="1"/>
    <col min="15112" max="15360" width="9.140625" style="323"/>
    <col min="15361" max="15361" width="4.42578125" style="323" customWidth="1"/>
    <col min="15362" max="15362" width="7.5703125" style="323" customWidth="1"/>
    <col min="15363" max="15363" width="47.42578125" style="323" customWidth="1"/>
    <col min="15364" max="15364" width="14.85546875" style="323" customWidth="1"/>
    <col min="15365" max="15365" width="14" style="323" customWidth="1"/>
    <col min="15366" max="15366" width="14.140625" style="323" customWidth="1"/>
    <col min="15367" max="15367" width="14.7109375" style="323" customWidth="1"/>
    <col min="15368" max="15616" width="9.140625" style="323"/>
    <col min="15617" max="15617" width="4.42578125" style="323" customWidth="1"/>
    <col min="15618" max="15618" width="7.5703125" style="323" customWidth="1"/>
    <col min="15619" max="15619" width="47.42578125" style="323" customWidth="1"/>
    <col min="15620" max="15620" width="14.85546875" style="323" customWidth="1"/>
    <col min="15621" max="15621" width="14" style="323" customWidth="1"/>
    <col min="15622" max="15622" width="14.140625" style="323" customWidth="1"/>
    <col min="15623" max="15623" width="14.7109375" style="323" customWidth="1"/>
    <col min="15624" max="15872" width="9.140625" style="323"/>
    <col min="15873" max="15873" width="4.42578125" style="323" customWidth="1"/>
    <col min="15874" max="15874" width="7.5703125" style="323" customWidth="1"/>
    <col min="15875" max="15875" width="47.42578125" style="323" customWidth="1"/>
    <col min="15876" max="15876" width="14.85546875" style="323" customWidth="1"/>
    <col min="15877" max="15877" width="14" style="323" customWidth="1"/>
    <col min="15878" max="15878" width="14.140625" style="323" customWidth="1"/>
    <col min="15879" max="15879" width="14.7109375" style="323" customWidth="1"/>
    <col min="15880" max="16128" width="9.140625" style="323"/>
    <col min="16129" max="16129" width="4.42578125" style="323" customWidth="1"/>
    <col min="16130" max="16130" width="7.5703125" style="323" customWidth="1"/>
    <col min="16131" max="16131" width="47.42578125" style="323" customWidth="1"/>
    <col min="16132" max="16132" width="14.85546875" style="323" customWidth="1"/>
    <col min="16133" max="16133" width="14" style="323" customWidth="1"/>
    <col min="16134" max="16134" width="14.140625" style="323" customWidth="1"/>
    <col min="16135" max="16135" width="14.7109375" style="323" customWidth="1"/>
    <col min="16136" max="16384" width="9.140625" style="323"/>
  </cols>
  <sheetData>
    <row r="1" spans="1:7" s="21" customFormat="1" ht="12.75" x14ac:dyDescent="0.25">
      <c r="F1" s="7" t="s">
        <v>238</v>
      </c>
    </row>
    <row r="2" spans="1:7" s="21" customFormat="1" ht="12.75" x14ac:dyDescent="0.25">
      <c r="F2" s="5" t="s">
        <v>121</v>
      </c>
    </row>
    <row r="3" spans="1:7" s="21" customFormat="1" ht="12.75" x14ac:dyDescent="0.25">
      <c r="F3" s="5" t="s">
        <v>0</v>
      </c>
    </row>
    <row r="4" spans="1:7" s="21" customFormat="1" ht="12.75" x14ac:dyDescent="0.25">
      <c r="F4" s="5" t="s">
        <v>122</v>
      </c>
    </row>
    <row r="5" spans="1:7" s="249" customFormat="1" ht="25.5" customHeight="1" x14ac:dyDescent="0.2">
      <c r="A5" s="331" t="s">
        <v>239</v>
      </c>
      <c r="B5" s="331"/>
      <c r="C5" s="331"/>
      <c r="D5" s="331"/>
      <c r="E5" s="331"/>
      <c r="F5" s="331"/>
      <c r="G5" s="331"/>
    </row>
    <row r="6" spans="1:7" s="249" customFormat="1" ht="12" x14ac:dyDescent="0.2">
      <c r="A6" s="250" t="s">
        <v>240</v>
      </c>
      <c r="B6" s="250"/>
      <c r="C6" s="250"/>
      <c r="D6" s="250"/>
      <c r="E6" s="250"/>
      <c r="F6" s="250"/>
      <c r="G6" s="250"/>
    </row>
    <row r="7" spans="1:7" s="251" customFormat="1" ht="12" x14ac:dyDescent="0.2">
      <c r="A7" s="332" t="s">
        <v>241</v>
      </c>
      <c r="B7" s="332"/>
      <c r="C7" s="332"/>
      <c r="D7" s="332"/>
      <c r="E7" s="332"/>
      <c r="F7" s="332"/>
      <c r="G7" s="332"/>
    </row>
    <row r="8" spans="1:7" x14ac:dyDescent="0.25">
      <c r="A8" s="321"/>
      <c r="B8" s="321"/>
      <c r="C8" s="322"/>
      <c r="D8" s="321"/>
      <c r="E8" s="321"/>
      <c r="F8" s="321"/>
      <c r="G8" s="252"/>
    </row>
    <row r="9" spans="1:7" x14ac:dyDescent="0.25">
      <c r="A9" s="333" t="s">
        <v>126</v>
      </c>
      <c r="B9" s="253"/>
      <c r="C9" s="333" t="s">
        <v>242</v>
      </c>
      <c r="D9" s="336" t="s">
        <v>243</v>
      </c>
      <c r="E9" s="254"/>
      <c r="F9" s="255"/>
      <c r="G9" s="336" t="s">
        <v>244</v>
      </c>
    </row>
    <row r="10" spans="1:7" ht="9.75" customHeight="1" x14ac:dyDescent="0.25">
      <c r="A10" s="334"/>
      <c r="B10" s="256" t="s">
        <v>3</v>
      </c>
      <c r="C10" s="334"/>
      <c r="D10" s="337"/>
      <c r="E10" s="337" t="s">
        <v>245</v>
      </c>
      <c r="F10" s="337" t="s">
        <v>246</v>
      </c>
      <c r="G10" s="337"/>
    </row>
    <row r="11" spans="1:7" ht="3.75" customHeight="1" x14ac:dyDescent="0.25">
      <c r="A11" s="334"/>
      <c r="B11" s="257"/>
      <c r="C11" s="334"/>
      <c r="D11" s="337"/>
      <c r="E11" s="337"/>
      <c r="F11" s="337"/>
      <c r="G11" s="337"/>
    </row>
    <row r="12" spans="1:7" ht="13.5" customHeight="1" x14ac:dyDescent="0.25">
      <c r="A12" s="335"/>
      <c r="B12" s="257" t="s">
        <v>4</v>
      </c>
      <c r="C12" s="335"/>
      <c r="D12" s="338"/>
      <c r="E12" s="338"/>
      <c r="F12" s="338"/>
      <c r="G12" s="338"/>
    </row>
    <row r="13" spans="1:7" x14ac:dyDescent="0.25">
      <c r="A13" s="258">
        <v>1</v>
      </c>
      <c r="B13" s="258">
        <v>2</v>
      </c>
      <c r="C13" s="258">
        <v>3</v>
      </c>
      <c r="D13" s="258">
        <v>4</v>
      </c>
      <c r="E13" s="258">
        <v>5</v>
      </c>
      <c r="F13" s="258">
        <v>6</v>
      </c>
      <c r="G13" s="258">
        <v>7</v>
      </c>
    </row>
    <row r="14" spans="1:7" s="321" customFormat="1" ht="12" customHeight="1" x14ac:dyDescent="0.25">
      <c r="A14" s="259"/>
      <c r="B14" s="260">
        <v>801</v>
      </c>
      <c r="C14" s="324"/>
      <c r="D14" s="261"/>
      <c r="E14" s="261"/>
      <c r="F14" s="261"/>
      <c r="G14" s="261"/>
    </row>
    <row r="15" spans="1:7" ht="12" customHeight="1" x14ac:dyDescent="0.25">
      <c r="A15" s="262" t="s">
        <v>247</v>
      </c>
      <c r="B15" s="263">
        <v>80101</v>
      </c>
      <c r="C15" s="264" t="s">
        <v>35</v>
      </c>
      <c r="D15" s="265">
        <v>333</v>
      </c>
      <c r="E15" s="265">
        <f>835422.84+30030+317578.47</f>
        <v>1183031.31</v>
      </c>
      <c r="F15" s="265">
        <f>835755.84+30030+317578.47</f>
        <v>1183364.31</v>
      </c>
      <c r="G15" s="265">
        <v>0</v>
      </c>
    </row>
    <row r="16" spans="1:7" ht="12" customHeight="1" x14ac:dyDescent="0.25">
      <c r="A16" s="262" t="s">
        <v>248</v>
      </c>
      <c r="B16" s="263">
        <v>80104</v>
      </c>
      <c r="C16" s="266" t="s">
        <v>38</v>
      </c>
      <c r="D16" s="267">
        <v>2644.19</v>
      </c>
      <c r="E16" s="267">
        <f>5578632+905177.27</f>
        <v>6483809.2699999996</v>
      </c>
      <c r="F16" s="267">
        <f>5581276.19+905177.27</f>
        <v>6486453.4600000009</v>
      </c>
      <c r="G16" s="267">
        <v>0</v>
      </c>
    </row>
    <row r="17" spans="1:7" ht="12" customHeight="1" x14ac:dyDescent="0.25">
      <c r="A17" s="268" t="s">
        <v>249</v>
      </c>
      <c r="B17" s="269">
        <v>80148</v>
      </c>
      <c r="C17" s="270" t="s">
        <v>92</v>
      </c>
      <c r="D17" s="271">
        <v>215.62</v>
      </c>
      <c r="E17" s="271">
        <f>3299009+100000+1154596.29</f>
        <v>4553605.29</v>
      </c>
      <c r="F17" s="271">
        <f>3299224.62+100000+1154596.29</f>
        <v>4553820.91</v>
      </c>
      <c r="G17" s="271">
        <v>0</v>
      </c>
    </row>
    <row r="18" spans="1:7" ht="12" customHeight="1" x14ac:dyDescent="0.25">
      <c r="A18" s="272"/>
      <c r="B18" s="273">
        <v>854</v>
      </c>
      <c r="C18" s="274"/>
      <c r="D18" s="275"/>
      <c r="E18" s="275"/>
      <c r="F18" s="275"/>
      <c r="G18" s="271"/>
    </row>
    <row r="19" spans="1:7" ht="23.25" customHeight="1" x14ac:dyDescent="0.25">
      <c r="A19" s="276" t="s">
        <v>247</v>
      </c>
      <c r="B19" s="277">
        <v>85412</v>
      </c>
      <c r="C19" s="278" t="s">
        <v>250</v>
      </c>
      <c r="D19" s="279">
        <v>0</v>
      </c>
      <c r="E19" s="279">
        <v>15000</v>
      </c>
      <c r="F19" s="279">
        <v>15000</v>
      </c>
      <c r="G19" s="280">
        <v>0</v>
      </c>
    </row>
    <row r="20" spans="1:7" x14ac:dyDescent="0.25">
      <c r="A20" s="281"/>
      <c r="B20" s="282"/>
      <c r="C20" s="325" t="s">
        <v>251</v>
      </c>
      <c r="D20" s="326">
        <f>SUM(D15:D17)+D19</f>
        <v>3192.81</v>
      </c>
      <c r="E20" s="326">
        <f t="shared" ref="E20:G20" si="0">SUM(E15:E17)+E19</f>
        <v>12235445.870000001</v>
      </c>
      <c r="F20" s="326">
        <f t="shared" si="0"/>
        <v>12238638.680000002</v>
      </c>
      <c r="G20" s="327">
        <f t="shared" si="0"/>
        <v>0</v>
      </c>
    </row>
    <row r="21" spans="1:7" ht="9" customHeight="1" x14ac:dyDescent="0.25">
      <c r="A21" s="283"/>
      <c r="B21" s="284"/>
      <c r="C21" s="285"/>
      <c r="D21" s="286"/>
      <c r="E21" s="286"/>
      <c r="F21" s="286"/>
      <c r="G21" s="286"/>
    </row>
    <row r="22" spans="1:7" x14ac:dyDescent="0.25">
      <c r="A22" s="273"/>
      <c r="B22" s="273">
        <v>801</v>
      </c>
      <c r="C22" s="328"/>
      <c r="D22" s="287"/>
      <c r="E22" s="287"/>
      <c r="F22" s="287"/>
      <c r="G22" s="287"/>
    </row>
    <row r="23" spans="1:7" ht="12" customHeight="1" x14ac:dyDescent="0.25">
      <c r="A23" s="288" t="s">
        <v>247</v>
      </c>
      <c r="B23" s="289">
        <v>80102</v>
      </c>
      <c r="C23" s="264" t="s">
        <v>29</v>
      </c>
      <c r="D23" s="265">
        <v>5.54</v>
      </c>
      <c r="E23" s="265">
        <f>14400+44048</f>
        <v>58448</v>
      </c>
      <c r="F23" s="265">
        <f>14405.54+44048</f>
        <v>58453.54</v>
      </c>
      <c r="G23" s="265">
        <v>0</v>
      </c>
    </row>
    <row r="24" spans="1:7" ht="12" customHeight="1" x14ac:dyDescent="0.25">
      <c r="A24" s="262" t="s">
        <v>248</v>
      </c>
      <c r="B24" s="263">
        <v>80115</v>
      </c>
      <c r="C24" s="266" t="s">
        <v>191</v>
      </c>
      <c r="D24" s="267">
        <v>373.99</v>
      </c>
      <c r="E24" s="267">
        <v>1134651</v>
      </c>
      <c r="F24" s="267">
        <v>1135024.99</v>
      </c>
      <c r="G24" s="267">
        <v>0</v>
      </c>
    </row>
    <row r="25" spans="1:7" ht="12" customHeight="1" x14ac:dyDescent="0.25">
      <c r="A25" s="262" t="s">
        <v>249</v>
      </c>
      <c r="B25" s="263">
        <v>80120</v>
      </c>
      <c r="C25" s="266" t="s">
        <v>207</v>
      </c>
      <c r="D25" s="290">
        <v>305.43</v>
      </c>
      <c r="E25" s="267">
        <v>278650</v>
      </c>
      <c r="F25" s="267">
        <v>278955.43</v>
      </c>
      <c r="G25" s="267">
        <v>0</v>
      </c>
    </row>
    <row r="26" spans="1:7" ht="12" customHeight="1" x14ac:dyDescent="0.25">
      <c r="A26" s="262" t="s">
        <v>252</v>
      </c>
      <c r="B26" s="263">
        <v>80132</v>
      </c>
      <c r="C26" s="266" t="s">
        <v>253</v>
      </c>
      <c r="D26" s="267">
        <v>0</v>
      </c>
      <c r="E26" s="267">
        <v>97791</v>
      </c>
      <c r="F26" s="267">
        <v>97791</v>
      </c>
      <c r="G26" s="291">
        <v>0</v>
      </c>
    </row>
    <row r="27" spans="1:7" ht="12" customHeight="1" x14ac:dyDescent="0.25">
      <c r="A27" s="292" t="s">
        <v>254</v>
      </c>
      <c r="B27" s="277">
        <v>80140</v>
      </c>
      <c r="C27" s="293" t="s">
        <v>255</v>
      </c>
      <c r="D27" s="294">
        <v>0</v>
      </c>
      <c r="E27" s="294">
        <v>150000</v>
      </c>
      <c r="F27" s="294">
        <v>150000</v>
      </c>
      <c r="G27" s="294">
        <v>0</v>
      </c>
    </row>
    <row r="28" spans="1:7" ht="12" customHeight="1" x14ac:dyDescent="0.25">
      <c r="A28" s="262" t="s">
        <v>256</v>
      </c>
      <c r="B28" s="277">
        <v>80142</v>
      </c>
      <c r="C28" s="293" t="s">
        <v>257</v>
      </c>
      <c r="D28" s="267">
        <v>0</v>
      </c>
      <c r="E28" s="267">
        <v>200000</v>
      </c>
      <c r="F28" s="267">
        <v>200000</v>
      </c>
      <c r="G28" s="267">
        <v>0</v>
      </c>
    </row>
    <row r="29" spans="1:7" ht="12" customHeight="1" x14ac:dyDescent="0.25">
      <c r="A29" s="262" t="s">
        <v>258</v>
      </c>
      <c r="B29" s="277">
        <v>80144</v>
      </c>
      <c r="C29" s="293" t="s">
        <v>259</v>
      </c>
      <c r="D29" s="267">
        <v>0</v>
      </c>
      <c r="E29" s="267">
        <v>100000</v>
      </c>
      <c r="F29" s="267">
        <v>100000</v>
      </c>
      <c r="G29" s="267">
        <v>0</v>
      </c>
    </row>
    <row r="30" spans="1:7" ht="12" customHeight="1" x14ac:dyDescent="0.25">
      <c r="A30" s="268" t="s">
        <v>260</v>
      </c>
      <c r="B30" s="269">
        <v>80148</v>
      </c>
      <c r="C30" s="270" t="s">
        <v>92</v>
      </c>
      <c r="D30" s="271">
        <v>0</v>
      </c>
      <c r="E30" s="271">
        <v>220315</v>
      </c>
      <c r="F30" s="271">
        <v>220315</v>
      </c>
      <c r="G30" s="271">
        <v>0</v>
      </c>
    </row>
    <row r="31" spans="1:7" ht="14.25" customHeight="1" x14ac:dyDescent="0.25">
      <c r="A31" s="295"/>
      <c r="B31" s="273">
        <v>854</v>
      </c>
      <c r="C31" s="296"/>
      <c r="D31" s="297"/>
      <c r="E31" s="297"/>
      <c r="F31" s="297"/>
      <c r="G31" s="297"/>
    </row>
    <row r="32" spans="1:7" ht="14.25" customHeight="1" x14ac:dyDescent="0.25">
      <c r="A32" s="277" t="s">
        <v>247</v>
      </c>
      <c r="B32" s="292">
        <v>85406</v>
      </c>
      <c r="C32" s="278" t="s">
        <v>261</v>
      </c>
      <c r="D32" s="294">
        <v>0</v>
      </c>
      <c r="E32" s="294">
        <v>4960</v>
      </c>
      <c r="F32" s="294">
        <v>4960</v>
      </c>
      <c r="G32" s="294">
        <v>0</v>
      </c>
    </row>
    <row r="33" spans="1:7" ht="12" customHeight="1" x14ac:dyDescent="0.25">
      <c r="A33" s="277" t="s">
        <v>248</v>
      </c>
      <c r="B33" s="263">
        <v>85410</v>
      </c>
      <c r="C33" s="266" t="s">
        <v>235</v>
      </c>
      <c r="D33" s="267">
        <v>318.79000000000002</v>
      </c>
      <c r="E33" s="267">
        <v>662650</v>
      </c>
      <c r="F33" s="267">
        <v>662968.79</v>
      </c>
      <c r="G33" s="267">
        <v>0</v>
      </c>
    </row>
    <row r="34" spans="1:7" ht="22.5" customHeight="1" x14ac:dyDescent="0.25">
      <c r="A34" s="277" t="s">
        <v>249</v>
      </c>
      <c r="B34" s="277">
        <v>85412</v>
      </c>
      <c r="C34" s="278" t="s">
        <v>250</v>
      </c>
      <c r="D34" s="294">
        <v>0</v>
      </c>
      <c r="E34" s="294">
        <v>2600</v>
      </c>
      <c r="F34" s="294">
        <v>2600</v>
      </c>
      <c r="G34" s="294">
        <v>0</v>
      </c>
    </row>
    <row r="35" spans="1:7" ht="12" customHeight="1" x14ac:dyDescent="0.25">
      <c r="A35" s="277" t="s">
        <v>252</v>
      </c>
      <c r="B35" s="263">
        <v>85417</v>
      </c>
      <c r="C35" s="278" t="s">
        <v>262</v>
      </c>
      <c r="D35" s="267">
        <v>0</v>
      </c>
      <c r="E35" s="267">
        <v>153400</v>
      </c>
      <c r="F35" s="267">
        <v>153400</v>
      </c>
      <c r="G35" s="267">
        <v>0</v>
      </c>
    </row>
    <row r="36" spans="1:7" ht="12" customHeight="1" x14ac:dyDescent="0.25">
      <c r="A36" s="269" t="s">
        <v>254</v>
      </c>
      <c r="B36" s="298">
        <v>85420</v>
      </c>
      <c r="C36" s="270" t="s">
        <v>263</v>
      </c>
      <c r="D36" s="299">
        <v>0</v>
      </c>
      <c r="E36" s="299">
        <v>37310.01</v>
      </c>
      <c r="F36" s="299">
        <v>37310.01</v>
      </c>
      <c r="G36" s="300">
        <v>0</v>
      </c>
    </row>
    <row r="37" spans="1:7" ht="12" customHeight="1" x14ac:dyDescent="0.25">
      <c r="A37" s="301"/>
      <c r="B37" s="298"/>
      <c r="C37" s="325" t="s">
        <v>264</v>
      </c>
      <c r="D37" s="329">
        <f>SUM(D23:D36)</f>
        <v>1003.75</v>
      </c>
      <c r="E37" s="329">
        <f t="shared" ref="E37:G37" si="1">SUM(E23:E36)</f>
        <v>3100775.01</v>
      </c>
      <c r="F37" s="329">
        <f t="shared" si="1"/>
        <v>3101778.76</v>
      </c>
      <c r="G37" s="329">
        <f t="shared" si="1"/>
        <v>0</v>
      </c>
    </row>
    <row r="38" spans="1:7" ht="12" customHeight="1" x14ac:dyDescent="0.25">
      <c r="A38" s="302"/>
      <c r="B38" s="303"/>
      <c r="C38" s="325" t="s">
        <v>265</v>
      </c>
      <c r="D38" s="327">
        <f>D20+D37</f>
        <v>4196.5599999999995</v>
      </c>
      <c r="E38" s="327">
        <f>E20+E37</f>
        <v>15336220.880000001</v>
      </c>
      <c r="F38" s="327">
        <f t="shared" ref="F38:G38" si="2">F20+F37</f>
        <v>15340417.440000001</v>
      </c>
      <c r="G38" s="327">
        <f t="shared" si="2"/>
        <v>0</v>
      </c>
    </row>
    <row r="39" spans="1:7" x14ac:dyDescent="0.25">
      <c r="A39" s="330"/>
      <c r="B39" s="330"/>
      <c r="C39" s="304"/>
    </row>
    <row r="40" spans="1:7" x14ac:dyDescent="0.25">
      <c r="A40" s="330"/>
      <c r="B40" s="330"/>
      <c r="C40" s="304"/>
    </row>
    <row r="41" spans="1:7" x14ac:dyDescent="0.25">
      <c r="A41" s="330"/>
      <c r="B41" s="330"/>
      <c r="C41" s="304"/>
    </row>
  </sheetData>
  <mergeCells count="8">
    <mergeCell ref="A5:G5"/>
    <mergeCell ref="A7:G7"/>
    <mergeCell ref="A9:A12"/>
    <mergeCell ref="C9:C12"/>
    <mergeCell ref="D9:D12"/>
    <mergeCell ref="G9:G12"/>
    <mergeCell ref="E10:E12"/>
    <mergeCell ref="F10:F12"/>
  </mergeCells>
  <pageMargins left="0.70866141732283472" right="0.70866141732283472" top="0.55118110236220474" bottom="0.55118110236220474" header="0.31496062992125984" footer="0.31496062992125984"/>
  <pageSetup paperSize="9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Zał.Nr1</vt:lpstr>
      <vt:lpstr>Zał.Nr2</vt:lpstr>
      <vt:lpstr>Zał.Nr3</vt:lpstr>
      <vt:lpstr>Arkusz1</vt:lpstr>
      <vt:lpstr>Zał.Nr1!Obszar_wydruku</vt:lpstr>
      <vt:lpstr>Zał.Nr1!Tytuły_wydruku</vt:lpstr>
      <vt:lpstr>Zał.Nr2!Tytuły_wydruku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Szubska</dc:creator>
  <cp:lastModifiedBy>Renata Ciechurska</cp:lastModifiedBy>
  <cp:lastPrinted>2026-09-03T10:21:11Z</cp:lastPrinted>
  <dcterms:created xsi:type="dcterms:W3CDTF">2015-06-05T18:19:34Z</dcterms:created>
  <dcterms:modified xsi:type="dcterms:W3CDTF">2026-09-07T09:00:00Z</dcterms:modified>
</cp:coreProperties>
</file>