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ciechurska\Desktop\"/>
    </mc:Choice>
  </mc:AlternateContent>
  <xr:revisionPtr revIDLastSave="0" documentId="8_{4DECD3B2-917E-44C4-A4F0-2AA0C3FB71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Zał.Nr1" sheetId="13" r:id="rId1"/>
    <sheet name="Zał.Nr2" sheetId="17" r:id="rId2"/>
    <sheet name="Zał.Nr3" sheetId="14" r:id="rId3"/>
    <sheet name="Zał.Nr4" sheetId="16" r:id="rId4"/>
    <sheet name="Zał.Nr5" sheetId="18" r:id="rId5"/>
  </sheets>
  <definedNames>
    <definedName name="_xlnm._FilterDatabase" localSheetId="0" hidden="1">Zał.Nr1!$A$56:$M$183</definedName>
    <definedName name="_xlnm._FilterDatabase" localSheetId="1" hidden="1">Zał.Nr2!$L$1:$L$22</definedName>
    <definedName name="_xlnm.Print_Area" localSheetId="0">Zał.Nr1!$A$1:$H$503</definedName>
    <definedName name="_xlnm.Print_Area" localSheetId="1">Zał.Nr2!$A$1:$L$22</definedName>
    <definedName name="_xlnm.Print_Titles" localSheetId="0">Zał.Nr1!$7:$9</definedName>
    <definedName name="_xlnm.Print_Titles" localSheetId="1">Zał.Nr2!$11:$18</definedName>
    <definedName name="_xlnm.Print_Titles" localSheetId="2">Zał.Nr3!$10:$11</definedName>
    <definedName name="_xlnm.Print_Titles" localSheetId="3">Zał.Nr4!$41:$41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18" l="1"/>
  <c r="D37" i="18"/>
  <c r="D38" i="18" s="1"/>
  <c r="F33" i="18"/>
  <c r="E27" i="18"/>
  <c r="F25" i="18"/>
  <c r="E25" i="18"/>
  <c r="F24" i="18"/>
  <c r="F23" i="18"/>
  <c r="F37" i="18" s="1"/>
  <c r="E23" i="18"/>
  <c r="E37" i="18" s="1"/>
  <c r="G20" i="18"/>
  <c r="G38" i="18" s="1"/>
  <c r="D20" i="18"/>
  <c r="F17" i="18"/>
  <c r="E17" i="18"/>
  <c r="F16" i="18"/>
  <c r="E16" i="18"/>
  <c r="F15" i="18"/>
  <c r="F20" i="18" s="1"/>
  <c r="F38" i="18" s="1"/>
  <c r="E15" i="18"/>
  <c r="E20" i="18" s="1"/>
  <c r="E38" i="18" s="1"/>
  <c r="F144" i="16" l="1"/>
  <c r="F142" i="16"/>
  <c r="F132" i="16"/>
  <c r="F130" i="16"/>
  <c r="F128" i="16"/>
  <c r="F120" i="16"/>
  <c r="F117" i="16"/>
  <c r="F111" i="16"/>
  <c r="F96" i="16"/>
  <c r="F89" i="16"/>
  <c r="F84" i="16"/>
  <c r="F81" i="16"/>
  <c r="F69" i="16"/>
  <c r="F67" i="16"/>
  <c r="F65" i="16"/>
  <c r="F50" i="16"/>
  <c r="F48" i="16"/>
  <c r="F42" i="16"/>
  <c r="F146" i="16" s="1"/>
  <c r="F38" i="16"/>
  <c r="F36" i="16"/>
  <c r="F35" i="16"/>
  <c r="F32" i="16"/>
  <c r="F31" i="16"/>
  <c r="F30" i="16"/>
  <c r="F29" i="16"/>
  <c r="F28" i="16"/>
  <c r="F27" i="16" s="1"/>
  <c r="F26" i="16"/>
  <c r="F25" i="16"/>
  <c r="F24" i="16"/>
  <c r="F23" i="16"/>
  <c r="F22" i="16"/>
  <c r="F21" i="16"/>
  <c r="F20" i="16"/>
  <c r="F19" i="16"/>
  <c r="F15" i="16"/>
  <c r="F14" i="16"/>
  <c r="F13" i="16"/>
  <c r="F12" i="16"/>
  <c r="F11" i="16"/>
  <c r="F39" i="16" s="1"/>
  <c r="F147" i="16" s="1"/>
  <c r="F48" i="14"/>
  <c r="F47" i="14"/>
  <c r="F46" i="14"/>
  <c r="F45" i="14" s="1"/>
  <c r="F44" i="14"/>
  <c r="F43" i="14"/>
  <c r="F42" i="14"/>
  <c r="F41" i="14" s="1"/>
  <c r="F40" i="14"/>
  <c r="F39" i="14"/>
  <c r="F49" i="14" s="1"/>
  <c r="F35" i="14"/>
  <c r="F33" i="14"/>
  <c r="F31" i="14"/>
  <c r="F29" i="14"/>
  <c r="F28" i="14"/>
  <c r="F27" i="14"/>
  <c r="F26" i="14"/>
  <c r="F25" i="14" s="1"/>
  <c r="F23" i="14"/>
  <c r="F21" i="14"/>
  <c r="F19" i="14"/>
  <c r="F17" i="14"/>
  <c r="F16" i="14"/>
  <c r="F37" i="14" s="1"/>
  <c r="F50" i="14" s="1"/>
  <c r="H502" i="13"/>
  <c r="H501" i="13"/>
  <c r="H500" i="13"/>
  <c r="H499" i="13"/>
  <c r="H498" i="13"/>
  <c r="F497" i="13"/>
  <c r="H497" i="13" s="1"/>
  <c r="H496" i="13"/>
  <c r="H495" i="13"/>
  <c r="H494" i="13"/>
  <c r="H493" i="13"/>
  <c r="G492" i="13"/>
  <c r="G491" i="13" s="1"/>
  <c r="G490" i="13" s="1"/>
  <c r="G489" i="13" s="1"/>
  <c r="F492" i="13"/>
  <c r="H492" i="13" s="1"/>
  <c r="H488" i="13"/>
  <c r="H487" i="13"/>
  <c r="H486" i="13"/>
  <c r="G485" i="13"/>
  <c r="F485" i="13"/>
  <c r="F484" i="13"/>
  <c r="H483" i="13"/>
  <c r="G482" i="13"/>
  <c r="G481" i="13" s="1"/>
  <c r="F482" i="13"/>
  <c r="F479" i="13"/>
  <c r="F478" i="13" s="1"/>
  <c r="G478" i="13"/>
  <c r="G477" i="13"/>
  <c r="H476" i="13"/>
  <c r="H475" i="13"/>
  <c r="G474" i="13"/>
  <c r="G473" i="13" s="1"/>
  <c r="G472" i="13" s="1"/>
  <c r="F474" i="13"/>
  <c r="H470" i="13"/>
  <c r="G469" i="13"/>
  <c r="F469" i="13"/>
  <c r="H468" i="13"/>
  <c r="G467" i="13"/>
  <c r="G466" i="13" s="1"/>
  <c r="G465" i="13" s="1"/>
  <c r="F467" i="13"/>
  <c r="H464" i="13"/>
  <c r="H463" i="13"/>
  <c r="H462" i="13"/>
  <c r="H461" i="13"/>
  <c r="G460" i="13"/>
  <c r="F460" i="13"/>
  <c r="H459" i="13"/>
  <c r="H458" i="13"/>
  <c r="G457" i="13"/>
  <c r="H457" i="13" s="1"/>
  <c r="F457" i="13"/>
  <c r="H456" i="13"/>
  <c r="H455" i="13"/>
  <c r="H454" i="13"/>
  <c r="H453" i="13"/>
  <c r="H452" i="13"/>
  <c r="H451" i="13"/>
  <c r="H450" i="13"/>
  <c r="H449" i="13"/>
  <c r="G448" i="13"/>
  <c r="F448" i="13"/>
  <c r="H447" i="13"/>
  <c r="H446" i="13"/>
  <c r="H445" i="13"/>
  <c r="H444" i="13"/>
  <c r="H443" i="13"/>
  <c r="G442" i="13"/>
  <c r="F442" i="13"/>
  <c r="G440" i="13"/>
  <c r="G436" i="13" s="1"/>
  <c r="G435" i="13" s="1"/>
  <c r="H439" i="13"/>
  <c r="H438" i="13"/>
  <c r="H437" i="13"/>
  <c r="F436" i="13"/>
  <c r="H433" i="13"/>
  <c r="H432" i="13"/>
  <c r="G431" i="13"/>
  <c r="G430" i="13" s="1"/>
  <c r="F431" i="13"/>
  <c r="H429" i="13"/>
  <c r="H428" i="13"/>
  <c r="H427" i="13"/>
  <c r="H426" i="13"/>
  <c r="H425" i="13"/>
  <c r="H424" i="13"/>
  <c r="G423" i="13"/>
  <c r="G422" i="13" s="1"/>
  <c r="F423" i="13"/>
  <c r="H421" i="13"/>
  <c r="H420" i="13"/>
  <c r="H419" i="13"/>
  <c r="H418" i="13"/>
  <c r="G417" i="13"/>
  <c r="G416" i="13" s="1"/>
  <c r="F417" i="13"/>
  <c r="F416" i="13"/>
  <c r="H414" i="13"/>
  <c r="H413" i="13"/>
  <c r="G412" i="13"/>
  <c r="F412" i="13"/>
  <c r="H411" i="13"/>
  <c r="H410" i="13"/>
  <c r="H409" i="13"/>
  <c r="H408" i="13"/>
  <c r="H407" i="13"/>
  <c r="H406" i="13"/>
  <c r="H405" i="13"/>
  <c r="H404" i="13"/>
  <c r="H403" i="13"/>
  <c r="H402" i="13"/>
  <c r="H401" i="13"/>
  <c r="H400" i="13"/>
  <c r="H399" i="13"/>
  <c r="H398" i="13"/>
  <c r="G397" i="13"/>
  <c r="F397" i="13"/>
  <c r="H397" i="13" s="1"/>
  <c r="H396" i="13"/>
  <c r="G395" i="13"/>
  <c r="F395" i="13"/>
  <c r="H393" i="13"/>
  <c r="H392" i="13"/>
  <c r="H391" i="13"/>
  <c r="H390" i="13"/>
  <c r="H389" i="13"/>
  <c r="H388" i="13"/>
  <c r="G387" i="13"/>
  <c r="G386" i="13" s="1"/>
  <c r="F387" i="13"/>
  <c r="H378" i="13"/>
  <c r="H377" i="13"/>
  <c r="G376" i="13"/>
  <c r="G375" i="13" s="1"/>
  <c r="F376" i="13"/>
  <c r="H374" i="13"/>
  <c r="H373" i="13"/>
  <c r="G372" i="13"/>
  <c r="F372" i="13"/>
  <c r="G371" i="13"/>
  <c r="H370" i="13"/>
  <c r="H369" i="13"/>
  <c r="H368" i="13"/>
  <c r="H367" i="13"/>
  <c r="H366" i="13"/>
  <c r="G365" i="13"/>
  <c r="F365" i="13"/>
  <c r="G364" i="13"/>
  <c r="H363" i="13"/>
  <c r="G362" i="13"/>
  <c r="G361" i="13" s="1"/>
  <c r="F362" i="13"/>
  <c r="F361" i="13" s="1"/>
  <c r="H360" i="13"/>
  <c r="H359" i="13"/>
  <c r="H358" i="13"/>
  <c r="H357" i="13"/>
  <c r="H356" i="13"/>
  <c r="H355" i="13"/>
  <c r="H354" i="13"/>
  <c r="H353" i="13"/>
  <c r="H352" i="13"/>
  <c r="G351" i="13"/>
  <c r="F351" i="13"/>
  <c r="H350" i="13"/>
  <c r="H349" i="13"/>
  <c r="G348" i="13"/>
  <c r="F348" i="13"/>
  <c r="H346" i="13"/>
  <c r="H345" i="13"/>
  <c r="G344" i="13"/>
  <c r="G343" i="13" s="1"/>
  <c r="F344" i="13"/>
  <c r="F343" i="13" s="1"/>
  <c r="H342" i="13"/>
  <c r="H341" i="13"/>
  <c r="G340" i="13"/>
  <c r="F340" i="13"/>
  <c r="H339" i="13"/>
  <c r="G338" i="13"/>
  <c r="F338" i="13"/>
  <c r="F337" i="13" s="1"/>
  <c r="H336" i="13"/>
  <c r="G335" i="13"/>
  <c r="G334" i="13" s="1"/>
  <c r="F335" i="13"/>
  <c r="F334" i="13" s="1"/>
  <c r="H333" i="13"/>
  <c r="H332" i="13"/>
  <c r="H331" i="13"/>
  <c r="H330" i="13"/>
  <c r="H329" i="13"/>
  <c r="H328" i="13"/>
  <c r="H327" i="13"/>
  <c r="H326" i="13"/>
  <c r="H325" i="13"/>
  <c r="H324" i="13"/>
  <c r="H323" i="13"/>
  <c r="H322" i="13"/>
  <c r="H321" i="13"/>
  <c r="H320" i="13"/>
  <c r="G319" i="13"/>
  <c r="G318" i="13" s="1"/>
  <c r="F319" i="13"/>
  <c r="F318" i="13"/>
  <c r="H318" i="13" s="1"/>
  <c r="H316" i="13"/>
  <c r="G315" i="13"/>
  <c r="F315" i="13"/>
  <c r="H315" i="13" s="1"/>
  <c r="G314" i="13"/>
  <c r="G313" i="13" s="1"/>
  <c r="H312" i="13"/>
  <c r="H311" i="13"/>
  <c r="G310" i="13"/>
  <c r="G309" i="13" s="1"/>
  <c r="G308" i="13" s="1"/>
  <c r="F310" i="13"/>
  <c r="H307" i="13"/>
  <c r="G306" i="13"/>
  <c r="G304" i="13" s="1"/>
  <c r="G303" i="13" s="1"/>
  <c r="G302" i="13" s="1"/>
  <c r="H305" i="13"/>
  <c r="F304" i="13"/>
  <c r="H300" i="13"/>
  <c r="H299" i="13"/>
  <c r="H298" i="13"/>
  <c r="G297" i="13"/>
  <c r="G296" i="13" s="1"/>
  <c r="G295" i="13" s="1"/>
  <c r="F297" i="13"/>
  <c r="F296" i="13"/>
  <c r="H294" i="13"/>
  <c r="G293" i="13"/>
  <c r="G292" i="13" s="1"/>
  <c r="F293" i="13"/>
  <c r="H291" i="13"/>
  <c r="G290" i="13"/>
  <c r="G289" i="13" s="1"/>
  <c r="F290" i="13"/>
  <c r="H287" i="13"/>
  <c r="H286" i="13"/>
  <c r="G285" i="13"/>
  <c r="G284" i="13" s="1"/>
  <c r="G283" i="13" s="1"/>
  <c r="F285" i="13"/>
  <c r="F284" i="13" s="1"/>
  <c r="F283" i="13" s="1"/>
  <c r="H282" i="13"/>
  <c r="H281" i="13"/>
  <c r="H280" i="13"/>
  <c r="H279" i="13"/>
  <c r="H278" i="13"/>
  <c r="H277" i="13"/>
  <c r="H276" i="13"/>
  <c r="G275" i="13"/>
  <c r="H275" i="13" s="1"/>
  <c r="F275" i="13"/>
  <c r="F274" i="13"/>
  <c r="H273" i="13"/>
  <c r="H272" i="13"/>
  <c r="H271" i="13"/>
  <c r="G270" i="13"/>
  <c r="G268" i="13" s="1"/>
  <c r="H269" i="13"/>
  <c r="F268" i="13"/>
  <c r="H267" i="13"/>
  <c r="H266" i="13"/>
  <c r="H265" i="13"/>
  <c r="G264" i="13"/>
  <c r="F264" i="13"/>
  <c r="H262" i="13"/>
  <c r="G261" i="13"/>
  <c r="G260" i="13" s="1"/>
  <c r="F261" i="13"/>
  <c r="H256" i="13"/>
  <c r="G255" i="13"/>
  <c r="H255" i="13" s="1"/>
  <c r="F255" i="13"/>
  <c r="H254" i="13"/>
  <c r="F253" i="13"/>
  <c r="F252" i="13" s="1"/>
  <c r="F251" i="13" s="1"/>
  <c r="H250" i="13"/>
  <c r="H249" i="13"/>
  <c r="H248" i="13"/>
  <c r="H247" i="13"/>
  <c r="H246" i="13"/>
  <c r="H245" i="13"/>
  <c r="H244" i="13"/>
  <c r="G243" i="13"/>
  <c r="F243" i="13"/>
  <c r="F239" i="13" s="1"/>
  <c r="F238" i="13" s="1"/>
  <c r="H242" i="13"/>
  <c r="H241" i="13"/>
  <c r="G240" i="13"/>
  <c r="G239" i="13" s="1"/>
  <c r="G238" i="13" s="1"/>
  <c r="F240" i="13"/>
  <c r="H237" i="13"/>
  <c r="H236" i="13"/>
  <c r="H235" i="13"/>
  <c r="H234" i="13"/>
  <c r="G233" i="13"/>
  <c r="F233" i="13"/>
  <c r="H233" i="13" s="1"/>
  <c r="H232" i="13"/>
  <c r="H231" i="13"/>
  <c r="H230" i="13"/>
  <c r="G229" i="13"/>
  <c r="F229" i="13"/>
  <c r="H229" i="13" s="1"/>
  <c r="H226" i="13"/>
  <c r="H225" i="13"/>
  <c r="G224" i="13"/>
  <c r="H224" i="13" s="1"/>
  <c r="H223" i="13"/>
  <c r="H222" i="13"/>
  <c r="H221" i="13"/>
  <c r="G220" i="13"/>
  <c r="G219" i="13" s="1"/>
  <c r="F220" i="13"/>
  <c r="F218" i="13"/>
  <c r="H218" i="13" s="1"/>
  <c r="H217" i="13"/>
  <c r="G216" i="13"/>
  <c r="G215" i="13" s="1"/>
  <c r="H214" i="13"/>
  <c r="H213" i="13"/>
  <c r="H212" i="13"/>
  <c r="H211" i="13"/>
  <c r="H210" i="13"/>
  <c r="H209" i="13"/>
  <c r="G208" i="13"/>
  <c r="G206" i="13" s="1"/>
  <c r="F208" i="13"/>
  <c r="H208" i="13" s="1"/>
  <c r="H204" i="13"/>
  <c r="H203" i="13"/>
  <c r="H202" i="13"/>
  <c r="H201" i="13"/>
  <c r="H200" i="13"/>
  <c r="H199" i="13"/>
  <c r="H198" i="13"/>
  <c r="H197" i="13"/>
  <c r="G196" i="13"/>
  <c r="G195" i="13" s="1"/>
  <c r="F196" i="13"/>
  <c r="F195" i="13" s="1"/>
  <c r="H194" i="13"/>
  <c r="H193" i="13"/>
  <c r="G192" i="13"/>
  <c r="G191" i="13" s="1"/>
  <c r="H191" i="13" s="1"/>
  <c r="F192" i="13"/>
  <c r="F191" i="13" s="1"/>
  <c r="H190" i="13"/>
  <c r="G189" i="13"/>
  <c r="G188" i="13" s="1"/>
  <c r="F189" i="13"/>
  <c r="F188" i="13"/>
  <c r="H187" i="13"/>
  <c r="H186" i="13"/>
  <c r="G185" i="13"/>
  <c r="G184" i="13" s="1"/>
  <c r="F185" i="13"/>
  <c r="F184" i="13"/>
  <c r="H182" i="13"/>
  <c r="H181" i="13"/>
  <c r="H180" i="13"/>
  <c r="H179" i="13"/>
  <c r="H178" i="13"/>
  <c r="G177" i="13"/>
  <c r="F177" i="13"/>
  <c r="H176" i="13"/>
  <c r="H175" i="13"/>
  <c r="G174" i="13"/>
  <c r="F174" i="13"/>
  <c r="H174" i="13" s="1"/>
  <c r="H173" i="13"/>
  <c r="G172" i="13"/>
  <c r="F172" i="13"/>
  <c r="H172" i="13" s="1"/>
  <c r="F171" i="13"/>
  <c r="H169" i="13"/>
  <c r="H168" i="13"/>
  <c r="H167" i="13"/>
  <c r="H166" i="13"/>
  <c r="H165" i="13"/>
  <c r="H164" i="13"/>
  <c r="G163" i="13"/>
  <c r="F163" i="13"/>
  <c r="H162" i="13"/>
  <c r="G161" i="13"/>
  <c r="F161" i="13"/>
  <c r="H161" i="13" s="1"/>
  <c r="H159" i="13"/>
  <c r="H158" i="13"/>
  <c r="G157" i="13"/>
  <c r="F157" i="13"/>
  <c r="H156" i="13"/>
  <c r="G155" i="13"/>
  <c r="F155" i="13"/>
  <c r="H151" i="13"/>
  <c r="H150" i="13"/>
  <c r="H149" i="13"/>
  <c r="G148" i="13"/>
  <c r="F148" i="13"/>
  <c r="F147" i="13" s="1"/>
  <c r="G147" i="13"/>
  <c r="H143" i="13"/>
  <c r="H142" i="13"/>
  <c r="H141" i="13"/>
  <c r="G140" i="13"/>
  <c r="G139" i="13" s="1"/>
  <c r="F140" i="13"/>
  <c r="H140" i="13" s="1"/>
  <c r="H138" i="13"/>
  <c r="H137" i="13"/>
  <c r="G136" i="13"/>
  <c r="F136" i="13"/>
  <c r="F135" i="13" s="1"/>
  <c r="H135" i="13" s="1"/>
  <c r="G135" i="13"/>
  <c r="G134" i="13"/>
  <c r="H134" i="13" s="1"/>
  <c r="H133" i="13"/>
  <c r="H132" i="13"/>
  <c r="H131" i="13"/>
  <c r="H130" i="13"/>
  <c r="H129" i="13"/>
  <c r="H128" i="13"/>
  <c r="H127" i="13"/>
  <c r="G126" i="13"/>
  <c r="G124" i="13" s="1"/>
  <c r="G123" i="13" s="1"/>
  <c r="H125" i="13"/>
  <c r="F124" i="13"/>
  <c r="F123" i="13" s="1"/>
  <c r="H122" i="13"/>
  <c r="H121" i="13"/>
  <c r="H120" i="13"/>
  <c r="H119" i="13"/>
  <c r="H118" i="13"/>
  <c r="H117" i="13"/>
  <c r="H116" i="13"/>
  <c r="H115" i="13"/>
  <c r="H114" i="13"/>
  <c r="H113" i="13"/>
  <c r="H112" i="13"/>
  <c r="H111" i="13"/>
  <c r="H110" i="13"/>
  <c r="G109" i="13"/>
  <c r="F109" i="13"/>
  <c r="H109" i="13" s="1"/>
  <c r="H108" i="13"/>
  <c r="G107" i="13"/>
  <c r="F107" i="13"/>
  <c r="H104" i="13"/>
  <c r="H103" i="13"/>
  <c r="G102" i="13"/>
  <c r="G101" i="13" s="1"/>
  <c r="F102" i="13"/>
  <c r="G100" i="13"/>
  <c r="H99" i="13"/>
  <c r="H98" i="13"/>
  <c r="G97" i="13"/>
  <c r="F97" i="13"/>
  <c r="F96" i="13" s="1"/>
  <c r="F95" i="13" s="1"/>
  <c r="H94" i="13"/>
  <c r="H93" i="13"/>
  <c r="G92" i="13"/>
  <c r="G91" i="13" s="1"/>
  <c r="F92" i="13"/>
  <c r="F91" i="13" s="1"/>
  <c r="H90" i="13"/>
  <c r="H89" i="13"/>
  <c r="H88" i="13"/>
  <c r="H87" i="13"/>
  <c r="H86" i="13"/>
  <c r="G85" i="13"/>
  <c r="G84" i="13" s="1"/>
  <c r="F85" i="13"/>
  <c r="H85" i="13" s="1"/>
  <c r="H82" i="13"/>
  <c r="H81" i="13"/>
  <c r="H80" i="13"/>
  <c r="H79" i="13"/>
  <c r="G78" i="13"/>
  <c r="F78" i="13"/>
  <c r="F77" i="13" s="1"/>
  <c r="F76" i="13" s="1"/>
  <c r="G77" i="13"/>
  <c r="G76" i="13" s="1"/>
  <c r="H75" i="13"/>
  <c r="H74" i="13"/>
  <c r="G73" i="13"/>
  <c r="F73" i="13"/>
  <c r="G72" i="13"/>
  <c r="G71" i="13" s="1"/>
  <c r="H70" i="13"/>
  <c r="H69" i="13"/>
  <c r="G68" i="13"/>
  <c r="G67" i="13" s="1"/>
  <c r="F68" i="13"/>
  <c r="H66" i="13"/>
  <c r="H65" i="13"/>
  <c r="G64" i="13"/>
  <c r="G63" i="13" s="1"/>
  <c r="F64" i="13"/>
  <c r="H62" i="13"/>
  <c r="H61" i="13"/>
  <c r="G60" i="13"/>
  <c r="G59" i="13" s="1"/>
  <c r="F60" i="13"/>
  <c r="H55" i="13"/>
  <c r="G54" i="13"/>
  <c r="F54" i="13"/>
  <c r="F53" i="13" s="1"/>
  <c r="H50" i="13"/>
  <c r="G49" i="13"/>
  <c r="G48" i="13" s="1"/>
  <c r="F49" i="13"/>
  <c r="F48" i="13" s="1"/>
  <c r="H47" i="13"/>
  <c r="G46" i="13"/>
  <c r="F46" i="13"/>
  <c r="F45" i="13"/>
  <c r="F43" i="13"/>
  <c r="F42" i="13" s="1"/>
  <c r="H42" i="13" s="1"/>
  <c r="G42" i="13"/>
  <c r="G41" i="13" s="1"/>
  <c r="H40" i="13"/>
  <c r="G39" i="13"/>
  <c r="G38" i="13" s="1"/>
  <c r="F39" i="13"/>
  <c r="H35" i="13"/>
  <c r="H34" i="13"/>
  <c r="G33" i="13"/>
  <c r="G32" i="13" s="1"/>
  <c r="F33" i="13"/>
  <c r="F32" i="13" s="1"/>
  <c r="H30" i="13"/>
  <c r="H29" i="13"/>
  <c r="G28" i="13"/>
  <c r="G27" i="13" s="1"/>
  <c r="F28" i="13"/>
  <c r="H25" i="13"/>
  <c r="G24" i="13"/>
  <c r="G23" i="13" s="1"/>
  <c r="G22" i="13" s="1"/>
  <c r="F24" i="13"/>
  <c r="H20" i="13"/>
  <c r="H19" i="13"/>
  <c r="G18" i="13"/>
  <c r="G17" i="13" s="1"/>
  <c r="G16" i="13" s="1"/>
  <c r="F18" i="13"/>
  <c r="F17" i="13" s="1"/>
  <c r="H15" i="13"/>
  <c r="G14" i="13"/>
  <c r="G13" i="13" s="1"/>
  <c r="G12" i="13" s="1"/>
  <c r="F14" i="13"/>
  <c r="G288" i="13" l="1"/>
  <c r="H43" i="13"/>
  <c r="H49" i="13"/>
  <c r="H54" i="13"/>
  <c r="H97" i="13"/>
  <c r="H192" i="13"/>
  <c r="H195" i="13"/>
  <c r="H319" i="13"/>
  <c r="H365" i="13"/>
  <c r="H395" i="13"/>
  <c r="F441" i="13"/>
  <c r="H479" i="13"/>
  <c r="F347" i="13"/>
  <c r="H14" i="13"/>
  <c r="H24" i="13"/>
  <c r="G26" i="13"/>
  <c r="G21" i="13" s="1"/>
  <c r="H39" i="13"/>
  <c r="H64" i="13"/>
  <c r="H68" i="13"/>
  <c r="H290" i="13"/>
  <c r="G337" i="13"/>
  <c r="H348" i="13"/>
  <c r="H467" i="13"/>
  <c r="H268" i="13"/>
  <c r="G415" i="13"/>
  <c r="G183" i="13"/>
  <c r="G11" i="13"/>
  <c r="G263" i="13"/>
  <c r="H32" i="13"/>
  <c r="H185" i="13"/>
  <c r="H240" i="13"/>
  <c r="H270" i="13"/>
  <c r="H297" i="13"/>
  <c r="H417" i="13"/>
  <c r="H440" i="13"/>
  <c r="H48" i="13"/>
  <c r="H78" i="13"/>
  <c r="G96" i="13"/>
  <c r="G95" i="13" s="1"/>
  <c r="H95" i="13" s="1"/>
  <c r="G106" i="13"/>
  <c r="F139" i="13"/>
  <c r="H139" i="13" s="1"/>
  <c r="H148" i="13"/>
  <c r="H155" i="13"/>
  <c r="H196" i="13"/>
  <c r="F263" i="13"/>
  <c r="H263" i="13" s="1"/>
  <c r="G274" i="13"/>
  <c r="H274" i="13" s="1"/>
  <c r="H340" i="13"/>
  <c r="G394" i="13"/>
  <c r="G441" i="13"/>
  <c r="H441" i="13" s="1"/>
  <c r="H184" i="13"/>
  <c r="H243" i="13"/>
  <c r="G253" i="13"/>
  <c r="H296" i="13"/>
  <c r="G347" i="13"/>
  <c r="H347" i="13" s="1"/>
  <c r="F394" i="13"/>
  <c r="H448" i="13"/>
  <c r="F466" i="13"/>
  <c r="F491" i="13"/>
  <c r="F13" i="13"/>
  <c r="F12" i="13" s="1"/>
  <c r="H12" i="13" s="1"/>
  <c r="H28" i="13"/>
  <c r="H33" i="13"/>
  <c r="H46" i="13"/>
  <c r="H60" i="13"/>
  <c r="F84" i="13"/>
  <c r="H84" i="13" s="1"/>
  <c r="H136" i="13"/>
  <c r="G171" i="13"/>
  <c r="G170" i="13" s="1"/>
  <c r="H189" i="13"/>
  <c r="F206" i="13"/>
  <c r="H206" i="13" s="1"/>
  <c r="H264" i="13"/>
  <c r="F289" i="13"/>
  <c r="F364" i="13"/>
  <c r="H364" i="13" s="1"/>
  <c r="H442" i="13"/>
  <c r="H469" i="13"/>
  <c r="G37" i="13"/>
  <c r="H17" i="13"/>
  <c r="F16" i="13"/>
  <c r="H16" i="13" s="1"/>
  <c r="G58" i="13"/>
  <c r="H283" i="13"/>
  <c r="F41" i="13"/>
  <c r="H41" i="13" s="1"/>
  <c r="F44" i="13"/>
  <c r="G45" i="13"/>
  <c r="G44" i="13" s="1"/>
  <c r="F52" i="13"/>
  <c r="G53" i="13"/>
  <c r="G52" i="13" s="1"/>
  <c r="G51" i="13" s="1"/>
  <c r="F59" i="13"/>
  <c r="F63" i="13"/>
  <c r="H63" i="13" s="1"/>
  <c r="F83" i="13"/>
  <c r="H92" i="13"/>
  <c r="H123" i="13"/>
  <c r="G154" i="13"/>
  <c r="G160" i="13"/>
  <c r="F219" i="13"/>
  <c r="H219" i="13" s="1"/>
  <c r="H220" i="13"/>
  <c r="G257" i="13"/>
  <c r="F260" i="13"/>
  <c r="H261" i="13"/>
  <c r="H289" i="13"/>
  <c r="H304" i="13"/>
  <c r="H306" i="13"/>
  <c r="F314" i="13"/>
  <c r="H343" i="13"/>
  <c r="H344" i="13"/>
  <c r="F371" i="13"/>
  <c r="H371" i="13" s="1"/>
  <c r="H372" i="13"/>
  <c r="F386" i="13"/>
  <c r="H386" i="13" s="1"/>
  <c r="H387" i="13"/>
  <c r="H394" i="13"/>
  <c r="H460" i="13"/>
  <c r="F481" i="13"/>
  <c r="H482" i="13"/>
  <c r="H171" i="13"/>
  <c r="F27" i="13"/>
  <c r="H91" i="13"/>
  <c r="H13" i="13"/>
  <c r="F23" i="13"/>
  <c r="H76" i="13"/>
  <c r="H124" i="13"/>
  <c r="H126" i="13"/>
  <c r="H238" i="13"/>
  <c r="H239" i="13"/>
  <c r="H284" i="13"/>
  <c r="H285" i="13"/>
  <c r="H334" i="13"/>
  <c r="H337" i="13"/>
  <c r="H338" i="13"/>
  <c r="H361" i="13"/>
  <c r="H362" i="13"/>
  <c r="H412" i="13"/>
  <c r="F422" i="13"/>
  <c r="H422" i="13" s="1"/>
  <c r="H423" i="13"/>
  <c r="F473" i="13"/>
  <c r="H474" i="13"/>
  <c r="H485" i="13"/>
  <c r="G484" i="13"/>
  <c r="G480" i="13" s="1"/>
  <c r="G471" i="13" s="1"/>
  <c r="H73" i="13"/>
  <c r="F72" i="13"/>
  <c r="F101" i="13"/>
  <c r="H102" i="13"/>
  <c r="F292" i="13"/>
  <c r="H293" i="13"/>
  <c r="F430" i="13"/>
  <c r="H431" i="13"/>
  <c r="H18" i="13"/>
  <c r="F38" i="13"/>
  <c r="F67" i="13"/>
  <c r="H67" i="13" s="1"/>
  <c r="H77" i="13"/>
  <c r="G83" i="13"/>
  <c r="F106" i="13"/>
  <c r="H107" i="13"/>
  <c r="H147" i="13"/>
  <c r="F154" i="13"/>
  <c r="H157" i="13"/>
  <c r="F160" i="13"/>
  <c r="H163" i="13"/>
  <c r="F170" i="13"/>
  <c r="H170" i="13" s="1"/>
  <c r="H177" i="13"/>
  <c r="H188" i="13"/>
  <c r="F216" i="13"/>
  <c r="F295" i="13"/>
  <c r="H295" i="13" s="1"/>
  <c r="F303" i="13"/>
  <c r="F309" i="13"/>
  <c r="H310" i="13"/>
  <c r="H335" i="13"/>
  <c r="H351" i="13"/>
  <c r="F375" i="13"/>
  <c r="H375" i="13" s="1"/>
  <c r="H376" i="13"/>
  <c r="H416" i="13"/>
  <c r="F435" i="13"/>
  <c r="H436" i="13"/>
  <c r="F477" i="13"/>
  <c r="H477" i="13" s="1"/>
  <c r="H478" i="13"/>
  <c r="G105" i="13" l="1"/>
  <c r="H154" i="13"/>
  <c r="H96" i="13"/>
  <c r="H466" i="13"/>
  <c r="F465" i="13"/>
  <c r="H465" i="13" s="1"/>
  <c r="H160" i="13"/>
  <c r="H253" i="13"/>
  <c r="G252" i="13"/>
  <c r="H53" i="13"/>
  <c r="F490" i="13"/>
  <c r="H491" i="13"/>
  <c r="G434" i="13"/>
  <c r="G317" i="13"/>
  <c r="G301" i="13" s="1"/>
  <c r="G36" i="13"/>
  <c r="G10" i="13" s="1"/>
  <c r="H303" i="13"/>
  <c r="F302" i="13"/>
  <c r="F313" i="13"/>
  <c r="H313" i="13" s="1"/>
  <c r="H314" i="13"/>
  <c r="H59" i="13"/>
  <c r="F58" i="13"/>
  <c r="H44" i="13"/>
  <c r="F308" i="13"/>
  <c r="H308" i="13" s="1"/>
  <c r="H309" i="13"/>
  <c r="H216" i="13"/>
  <c r="F215" i="13"/>
  <c r="H430" i="13"/>
  <c r="F415" i="13"/>
  <c r="F37" i="13"/>
  <c r="H38" i="13"/>
  <c r="F71" i="13"/>
  <c r="H71" i="13" s="1"/>
  <c r="H72" i="13"/>
  <c r="F317" i="13"/>
  <c r="F105" i="13"/>
  <c r="H106" i="13"/>
  <c r="H484" i="13"/>
  <c r="H292" i="13"/>
  <c r="F288" i="13"/>
  <c r="H288" i="13" s="1"/>
  <c r="F472" i="13"/>
  <c r="H473" i="13"/>
  <c r="H27" i="13"/>
  <c r="F26" i="13"/>
  <c r="H26" i="13" s="1"/>
  <c r="F480" i="13"/>
  <c r="H481" i="13"/>
  <c r="F257" i="13"/>
  <c r="H257" i="13" s="1"/>
  <c r="H260" i="13"/>
  <c r="H45" i="13"/>
  <c r="F11" i="13"/>
  <c r="F100" i="13"/>
  <c r="H100" i="13" s="1"/>
  <c r="H101" i="13"/>
  <c r="F434" i="13"/>
  <c r="H435" i="13"/>
  <c r="F22" i="13"/>
  <c r="H23" i="13"/>
  <c r="H83" i="13"/>
  <c r="H52" i="13"/>
  <c r="F51" i="13"/>
  <c r="H51" i="13" s="1"/>
  <c r="F489" i="13" l="1"/>
  <c r="H490" i="13"/>
  <c r="G251" i="13"/>
  <c r="H252" i="13"/>
  <c r="H11" i="13"/>
  <c r="H58" i="13"/>
  <c r="H22" i="13"/>
  <c r="F21" i="13"/>
  <c r="H21" i="13" s="1"/>
  <c r="F471" i="13"/>
  <c r="H472" i="13"/>
  <c r="H105" i="13"/>
  <c r="H302" i="13"/>
  <c r="F301" i="13"/>
  <c r="H434" i="13"/>
  <c r="H480" i="13"/>
  <c r="H215" i="13"/>
  <c r="F183" i="13"/>
  <c r="H317" i="13"/>
  <c r="F36" i="13"/>
  <c r="H37" i="13"/>
  <c r="H415" i="13"/>
  <c r="H251" i="13" l="1"/>
  <c r="G57" i="13"/>
  <c r="G56" i="13" s="1"/>
  <c r="H489" i="13"/>
  <c r="H36" i="13"/>
  <c r="H471" i="13"/>
  <c r="H301" i="13"/>
  <c r="H183" i="13"/>
  <c r="F57" i="13"/>
  <c r="F10" i="13"/>
  <c r="H10" i="13" l="1"/>
  <c r="F56" i="13"/>
  <c r="H57" i="13"/>
  <c r="H56" i="13" l="1"/>
</calcChain>
</file>

<file path=xl/sharedStrings.xml><?xml version="1.0" encoding="utf-8"?>
<sst xmlns="http://schemas.openxmlformats.org/spreadsheetml/2006/main" count="889" uniqueCount="416">
  <si>
    <t>PREZYDENTA MIASTA WŁOCŁAWEK</t>
  </si>
  <si>
    <t>w złotych</t>
  </si>
  <si>
    <t>Plan</t>
  </si>
  <si>
    <t>Dz.</t>
  </si>
  <si>
    <t>Rozdz.</t>
  </si>
  <si>
    <t>§</t>
  </si>
  <si>
    <t>T r e ś ć</t>
  </si>
  <si>
    <t>przed zmianą</t>
  </si>
  <si>
    <t>zwiększyć</t>
  </si>
  <si>
    <t>zmniejszyć</t>
  </si>
  <si>
    <t>po zmianach</t>
  </si>
  <si>
    <t>WYDATKI OGÓŁEM:</t>
  </si>
  <si>
    <t xml:space="preserve">składki na Fundusz Pracy oraz Fundusz Solidarnościowy </t>
  </si>
  <si>
    <t>Zmiany w budżecie miasta Włocławek na 2026 rok</t>
  </si>
  <si>
    <t>Wydatki na zadania własne gminy:</t>
  </si>
  <si>
    <t>zakup usług remontowych</t>
  </si>
  <si>
    <t>Oświata i wychowanie</t>
  </si>
  <si>
    <t>DOCHODY OGÓŁEM:</t>
  </si>
  <si>
    <t>Dochody na zadania zlecone gminie:</t>
  </si>
  <si>
    <t>Organ</t>
  </si>
  <si>
    <t>2010</t>
  </si>
  <si>
    <t xml:space="preserve">dotacje celowe otrzymane z budżetu państwa na realizację zadań bieżących z zakresu administracji rządowej oraz innych zadań zleconych gminie (związkom gmin, związkom powiatowo-gminnym) ustawami </t>
  </si>
  <si>
    <t>Świetlice szkolne</t>
  </si>
  <si>
    <t>Jednostki oświatowe zbiorczo</t>
  </si>
  <si>
    <t xml:space="preserve">składki na ubezpieczenia społeczne </t>
  </si>
  <si>
    <t>wynagrodzenie osobowe nauczycieli</t>
  </si>
  <si>
    <t xml:space="preserve">Realizacja zadań wymagających stosowania specjalnej </t>
  </si>
  <si>
    <t>organizacji nauki i metod pracy dla dzieci i młodzieży</t>
  </si>
  <si>
    <t>w szkołach podstawowych</t>
  </si>
  <si>
    <t>Szkoły podstawowe specjalne</t>
  </si>
  <si>
    <t>Wydatki na zadania zlecone gminie:</t>
  </si>
  <si>
    <t>4210</t>
  </si>
  <si>
    <t>zakup materiałów i wyposażenia</t>
  </si>
  <si>
    <t>Załącznik Nr 1</t>
  </si>
  <si>
    <t>Dochody na zadania własne gminy:</t>
  </si>
  <si>
    <t>Szkoły podstawowe</t>
  </si>
  <si>
    <t>2030</t>
  </si>
  <si>
    <t>dotacja celowa otrzymana z budżetu państwa na realizację własnych zadań bieżących gmin (związków gmin, związków powiatowo-gminnych)</t>
  </si>
  <si>
    <t>Przedszkola</t>
  </si>
  <si>
    <t>Rodzina</t>
  </si>
  <si>
    <t>Dochody na zadania rządowe powiatu:</t>
  </si>
  <si>
    <t>dotacje celowe otrzymane z budżetu państwa na zadania bieżące z zakresu administracji rządowej oraz inne zadania zlecone ustawami realizowane przez powiat</t>
  </si>
  <si>
    <t>wydatki osobowe niezaliczone do wynagrodzeń</t>
  </si>
  <si>
    <t>wynagrodzenia osobowe pracowników</t>
  </si>
  <si>
    <t>dodatkowe wynagrodzenie roczne</t>
  </si>
  <si>
    <t>wpłaty na Państwowy Fundusz Rehabilitacji Osób Niepełnosprawnych</t>
  </si>
  <si>
    <t>wynagrodzenia bezosobowe</t>
  </si>
  <si>
    <t>zakup środków dydaktycznych i książek</t>
  </si>
  <si>
    <t>zakup energii</t>
  </si>
  <si>
    <t>zakup usług zdrowotnych</t>
  </si>
  <si>
    <t>zakup usług pozostałych</t>
  </si>
  <si>
    <t>opłaty z tytułu zakupu usług telekomunikacyjnych</t>
  </si>
  <si>
    <t xml:space="preserve">zakup usług obejmujących wykonanie ekspertyz, analiz i opinii </t>
  </si>
  <si>
    <t>podróże służbowe krajowe</t>
  </si>
  <si>
    <t xml:space="preserve">różne opłaty i składki </t>
  </si>
  <si>
    <t>odpisy na zakładowy fundusz świadczeń socjalnych</t>
  </si>
  <si>
    <t>podatek od towarów i usług (VAT)</t>
  </si>
  <si>
    <t>koszty postępowania sądowego i prokuratorskiego</t>
  </si>
  <si>
    <t xml:space="preserve">szkolenia pracowników niebędących członkami korpusu służby cywilnej </t>
  </si>
  <si>
    <t>wpłaty na PPK finansowane przez podmiot zatrudniający</t>
  </si>
  <si>
    <t>dodatkowe wynagrodzenie roczne nauczycieli</t>
  </si>
  <si>
    <t>Oddziały przedszkolne w szkołach podstawowych</t>
  </si>
  <si>
    <t>4110</t>
  </si>
  <si>
    <t>4120</t>
  </si>
  <si>
    <t>4240</t>
  </si>
  <si>
    <t>4040</t>
  </si>
  <si>
    <t>zakup środków żywności</t>
  </si>
  <si>
    <t>4790</t>
  </si>
  <si>
    <t>Dokształcanie i doskonalenie nauczycieli</t>
  </si>
  <si>
    <t>Stołówki szkolne i przedszkolne</t>
  </si>
  <si>
    <t xml:space="preserve">organizacji nauki i metod pracy dla dzieci w przedszkolach, </t>
  </si>
  <si>
    <t>oddziałach przedszkolnych, w szkołach podstawowych</t>
  </si>
  <si>
    <t xml:space="preserve"> i innych formach wychowania przedszkolnego</t>
  </si>
  <si>
    <t>Pozostała działalność</t>
  </si>
  <si>
    <t>składki na ubezpieczenia społeczne</t>
  </si>
  <si>
    <t>Jednostki oświatowe zbiorczo - projekt w ramach grantów Lokalnej Grupy Działania Miasta Włocławek</t>
  </si>
  <si>
    <t>składki na Fundusz Pracy oraz Fundusz Solidarnościowy</t>
  </si>
  <si>
    <t xml:space="preserve">zakup materiałów i wyposażenia </t>
  </si>
  <si>
    <t xml:space="preserve">zakup usług pozostałych </t>
  </si>
  <si>
    <t>Edukacyjna opieka wychowawcza</t>
  </si>
  <si>
    <t>Wydział Edukacji, Zdrowia i Polityki Społecznej</t>
  </si>
  <si>
    <t>Miejski Ośrodek Pomocy Rodzinie</t>
  </si>
  <si>
    <t>Wydatki na zadania rządowe powiatu:</t>
  </si>
  <si>
    <t>Załącznik Nr 2</t>
  </si>
  <si>
    <t xml:space="preserve">Dotacje udzielane z budżetu jednostki samorządu terytorialnego </t>
  </si>
  <si>
    <t>dla jednostek spoza sektora finansów publicznych na 2026 rok</t>
  </si>
  <si>
    <t>Lp.</t>
  </si>
  <si>
    <t>Dział</t>
  </si>
  <si>
    <t>Rozdział</t>
  </si>
  <si>
    <t xml:space="preserve">§ </t>
  </si>
  <si>
    <t>Nazwa zadania</t>
  </si>
  <si>
    <t>Kwota dotacji</t>
  </si>
  <si>
    <t>dotacje celowe</t>
  </si>
  <si>
    <t>Zadania w zakresie upowszechniania turystyki</t>
  </si>
  <si>
    <t>Dotacje do prac budowlanych w ramach rewitalizacji (dotacja na inwestycje)</t>
  </si>
  <si>
    <t>Pozostała działalność (prowadzenie Kawiarni Obywatelskiej "Śródmieście Cafe")</t>
  </si>
  <si>
    <t>Nieodpłatna pomoc prawna - zadanie rządowe</t>
  </si>
  <si>
    <t xml:space="preserve">Zapewnienie uczniom prawa do bezpłatnego dostępu do podręczników, materiałów edukacyjnych lub materiałów ćwiczeniowych </t>
  </si>
  <si>
    <t>Montessori - Schule</t>
  </si>
  <si>
    <t>Zespół Szkół Katolickich im. Ks. J. Długosza</t>
  </si>
  <si>
    <t xml:space="preserve">Zespół Szkół Akademickich im. Obrońców Wisły 1920 roku </t>
  </si>
  <si>
    <t>2837    2839</t>
  </si>
  <si>
    <t>Realizacja projektu unijnego "Dostosowanie kształcenia ogólnego do potrzeb rynku pracy I ETAP" (licea)</t>
  </si>
  <si>
    <t>Realizacja projektu unijnego "Dostosowanie kształcenia ogólnego do potrzeb rynku pracy II ETAP" (szkoły podstawowe)</t>
  </si>
  <si>
    <t>Realizacja projektu unijnego "Dostosowanie kształcenia zawodowego do potrzeb rynku pracy"</t>
  </si>
  <si>
    <t>Zwalczanie narkomanii</t>
  </si>
  <si>
    <t>Dofinansowanie programów dotyczących uzależnień, pozalekcyjnych zajęć sportowych (przeciwdzialanie alkoholizmowi)</t>
  </si>
  <si>
    <t>Pozostała działalność (promocja i ochrona zdrowia oraz działania na rzecz osób niepełnosprawnych)</t>
  </si>
  <si>
    <t>Pozostała działalność (ćwiczenia gimnastyczne poprawiające kondycję seniora - Budżet Obywatelski)</t>
  </si>
  <si>
    <t>Zapewnienie schronienia osobom bezdomnym (wypłata dodatku motywacyjnego dla pracowników schroniska dla osób bezdomnych w ramach programu rządowego)</t>
  </si>
  <si>
    <t>Usługi opiekuńcze i specjalistyczne usługi opiekuńcze - ogółem, z tego:</t>
  </si>
  <si>
    <t>14.1</t>
  </si>
  <si>
    <t xml:space="preserve"> - zadania własne</t>
  </si>
  <si>
    <t>14.2</t>
  </si>
  <si>
    <t xml:space="preserve"> - zadania zlecone</t>
  </si>
  <si>
    <t>Zapewnienie schronienia osobom bezdomnym (pozostała działalność)</t>
  </si>
  <si>
    <t>Pozostała działalność (aktywizacja społeczna seniorów, podnoszenie poziomu bezpieczeństwa i poprawa warunków funkcjonowania seniorów)</t>
  </si>
  <si>
    <t>2360                  2830</t>
  </si>
  <si>
    <t>Działalność placówek opiekuńczo - wychowawczych</t>
  </si>
  <si>
    <t>Dofinansowanie  przyłączy kanalizacyjnych do nieruchomości (dotacja na inwestycje)</t>
  </si>
  <si>
    <t>Ochrona powietrza atmosferycznego i klimatu (zadania w zakresie ekologii i ochrony zwierząt oraz ochrony dziedzictwa przyrodniczego)</t>
  </si>
  <si>
    <t>2366   2367</t>
  </si>
  <si>
    <t>Realizacja projektu unijnego  "Włocławek miastem bioróżnorodnym"</t>
  </si>
  <si>
    <t>Ochrona zabytków i opieka nad zabytkami</t>
  </si>
  <si>
    <t>Upowszechnianie kultury, sztuki, ochrony dóbr kultury i tradycji przez organizacje prowadzące działalność pożytku publicznego (pozostała działalność)</t>
  </si>
  <si>
    <t>Zadania w zakresie kultury fizycznej</t>
  </si>
  <si>
    <t>Razem</t>
  </si>
  <si>
    <t>dotacje podmiotowe</t>
  </si>
  <si>
    <t>Nazwa placówki/nazwa podmiotu</t>
  </si>
  <si>
    <t>2540        2590</t>
  </si>
  <si>
    <t>Publiczna Szkoła Podstawowa im. Ks. J. Długosza</t>
  </si>
  <si>
    <t xml:space="preserve">Szkoła Podstawowa Nr 24 w Zespole Szkół WSO "Cogito" </t>
  </si>
  <si>
    <t>Akademicka Szkoła Podstawowa Nr 1 im. Obrońców Wisły 1920 roku we Włocławku</t>
  </si>
  <si>
    <t>Akademicka Szkoła Podstawowa Mistrzostwa Sportowego Nr 1          im. Obrońców Wisły 1920 roku we Włocławku</t>
  </si>
  <si>
    <t>Szkoła Podstawowa z oddziałami dwujęzycznymi Monttessori-     Schule</t>
  </si>
  <si>
    <t>Niepubliczne Przedszkole "Skakanka"</t>
  </si>
  <si>
    <t>Przedszkole Niepubliczne "Chatka Puchatka"</t>
  </si>
  <si>
    <t>Niepubliczne Przedszkole "Smerfna Chata"</t>
  </si>
  <si>
    <t>Przedszkole Niepubliczne "Tęczowa Kraina"</t>
  </si>
  <si>
    <t>Niepubliczne Przedszkole "Na Wspólnej"</t>
  </si>
  <si>
    <t>Centrum Malucha - "Piotruś Pan"- Przedszkole Niepubliczne</t>
  </si>
  <si>
    <t>Niepubliczne Przedszkole "Domowe Przedszkole"</t>
  </si>
  <si>
    <t>Niepubliczne Przedszkole "Bajeczka" Kinga Mizak Aneta Kryczka s.c.</t>
  </si>
  <si>
    <t>Przedszkole Niepubliczne "Happy Kids"</t>
  </si>
  <si>
    <t>Przedszkole Niepubliczne "Kujawiaczek"</t>
  </si>
  <si>
    <t>Niepubliczne Przedszkole "Sensosmyki"</t>
  </si>
  <si>
    <t>Niepubliczne Przedszkole Leśne "Gniazdko Wilgi"</t>
  </si>
  <si>
    <t xml:space="preserve">Przedszkole Publiczne Nr 1 </t>
  </si>
  <si>
    <t>Katolickie Publiczne Przedszkole "Pod Aniołem Stróżem"</t>
  </si>
  <si>
    <t>Inne formy wychowania przedszkolnego - punkty przedszkolne</t>
  </si>
  <si>
    <t>Niepubliczny Punkt Przedszkolny "Kraina Bajek"</t>
  </si>
  <si>
    <t>Technika</t>
  </si>
  <si>
    <t>Akademickie Technikum Wojskowe im. Obrońców Wisły 1920 roku we Włocławku</t>
  </si>
  <si>
    <t>Szkoły policealne</t>
  </si>
  <si>
    <t>Publiczna Szkoła Policealna  "Cosinus Plus" we Włocławku</t>
  </si>
  <si>
    <t>Policealna Szkoła Techników Ochrony Fizycznej Osób i Mienia Elitarne Studium Służb Ochrony "Delta"</t>
  </si>
  <si>
    <t>Zaoczna Policealna Szkoła Zawodowa "Pascal" we Włocławku</t>
  </si>
  <si>
    <t>Stacjonarna Policealna Szkoła Medyczna "Pascal" we Włocławku</t>
  </si>
  <si>
    <t>Policealna Szkoła Medyczna "Pascal"</t>
  </si>
  <si>
    <t>Policealna Szkoła Centrum Nauki i Biznesu "Żak"</t>
  </si>
  <si>
    <t xml:space="preserve">Szkoła Policealna "Spectrum" </t>
  </si>
  <si>
    <t>Policealna Szkoła Futuro</t>
  </si>
  <si>
    <t>Szkoła Policealna Opieki Medycznej "Żak"</t>
  </si>
  <si>
    <t>Akademicka Szkoła Policealna przy Kujawskiej Szkole Wyższej we Włocławku</t>
  </si>
  <si>
    <t>Branżowe szkoły I stopnia</t>
  </si>
  <si>
    <t>Branżowa Szkoła I Stopnia IMPULS</t>
  </si>
  <si>
    <t xml:space="preserve">Branżowa Szkoła I Stopnia nr 9 w Zespole Szkół Włocławskiego Stowarzyszenia Oświatowego "Cogito" </t>
  </si>
  <si>
    <t>Licea ogólnokształcące</t>
  </si>
  <si>
    <t>Akademickie Liceum Ogólnokształcące nr 1 im. Obrońców Wisły 1920 roku we Włocławku</t>
  </si>
  <si>
    <t>Akademickie Liceum Ogólnokształcące Mistrzostwa Sportowego nr 1 im. Obrońców Wisły 1920 roku we Włocławku</t>
  </si>
  <si>
    <t>Liceum Ogólnokształcące Montessorii</t>
  </si>
  <si>
    <t>Publiczne Liceum Ogólnokształcące im. Ks. J. Długosza</t>
  </si>
  <si>
    <t>Licea ogólnokształcące dla dorosłych</t>
  </si>
  <si>
    <t>Liceum Ogólnokształcące dla Dorosłych Futuro</t>
  </si>
  <si>
    <t>Prywatne Liceum Ogólnokształcące dla Dorosłych (Katarzyna Balcer)</t>
  </si>
  <si>
    <t>Liceum Ogólnokształcące dla Dorosłych "Pascal' we Włocławku</t>
  </si>
  <si>
    <t xml:space="preserve">Liceum Ogólnokształcące "Spectrum" we Włocławku </t>
  </si>
  <si>
    <t>Liceum Ogólnokształcące dla Dorosłych "Żak"</t>
  </si>
  <si>
    <t>Publiczne Liceum Ogólnokształcące dla Dorosłych "Cosinus Plus"</t>
  </si>
  <si>
    <t>Realizacja zadań wymagających stosowania specjalnej organizacji nauki i metod pracy dla dzieci w przedszkolach, oddziałach przedszkolnych w szkołach podstawowych i innych formach wychowania przedszkolnego</t>
  </si>
  <si>
    <t>Terapeutyczny Punkt Przedszkolny Neuromind</t>
  </si>
  <si>
    <t>Terapeutyczny Punkt Przedszkolny "Synapsik"</t>
  </si>
  <si>
    <t>Terapeutyczny Punkt Przedszkolny "Zielony Słonik"</t>
  </si>
  <si>
    <t>Realizacja zadań wymagających stosowania specjalnej organizacji nauki i metod pracy dla dzieci i młodzieży w szkołach podstawowych</t>
  </si>
  <si>
    <t>Szkoła Podstawowa z oddziałami dwujęzycznymi Monttessori-      Schule</t>
  </si>
  <si>
    <t>Kwalifikacyjne kursy zawodowe</t>
  </si>
  <si>
    <t>Szkoła Policealna "Cosinus Plus" we Włocławku</t>
  </si>
  <si>
    <t>Realizacja zadań wymagających stosowania specjalnej organizacji nauki i metod pracy dla dzieci i młodzieży w gimnazjach, klasach dotychczasowego gimnazjum prowadzonych w szkołach innego typu, liceach ogólnokształcących, technikach, szkołach policealnych, branżowych szkołach I i II  stopnia i klasach dotychczasowej zasadniczej szkoły zawodowej prowadzonych w branżowych szkołach I stopnia oraz szkołach artystycznych</t>
  </si>
  <si>
    <t>Rehabilitacja zawodowa i społeczna osób niepełnosprawnych</t>
  </si>
  <si>
    <t>Warsztaty Terapii Zajęciowej</t>
  </si>
  <si>
    <t>Specjalne ośrodki wychowawcze</t>
  </si>
  <si>
    <t>Specjalny Ośrodek Wychowawczy Zgromadzenia Sióstr Orionistek</t>
  </si>
  <si>
    <t>Wczesne wspomaganie rozwoju dziecka</t>
  </si>
  <si>
    <t>Poradnie psychologiczno - pedagogiczne, w tym poradnie specjalistyczne</t>
  </si>
  <si>
    <t>Poradnia Psychologiczno - Pedagogiczna "Vitamed"</t>
  </si>
  <si>
    <t>Internaty i bursy szkolne</t>
  </si>
  <si>
    <t>Internat Zespołu Szkół Katolickich im. Ks. J. Długosza</t>
  </si>
  <si>
    <t>Ogółem:</t>
  </si>
  <si>
    <t>Załącznik Nr 3</t>
  </si>
  <si>
    <t xml:space="preserve">Plan </t>
  </si>
  <si>
    <t xml:space="preserve"> dochodów i wydatków wydzielonych rachunków dochodów oświatowych jednostek budżetowych na 2026 rok</t>
  </si>
  <si>
    <t>(zbiorczo)</t>
  </si>
  <si>
    <t>Wyszczególnienie</t>
  </si>
  <si>
    <t>Stan środków pieniężnych na początek roku</t>
  </si>
  <si>
    <t>Stan środków pieniężnych na koniec roku</t>
  </si>
  <si>
    <t>Dochody</t>
  </si>
  <si>
    <t>Wydatki</t>
  </si>
  <si>
    <t>1.</t>
  </si>
  <si>
    <t>2.</t>
  </si>
  <si>
    <t>3.</t>
  </si>
  <si>
    <t xml:space="preserve">Kolonie i obozy oraz inne formy wypoczynku dzieci i młodzieży szkolnej, a także szkolenia młodzieży </t>
  </si>
  <si>
    <t>Ogółem dochody i wydatki na zadania gminy</t>
  </si>
  <si>
    <t>4.</t>
  </si>
  <si>
    <t xml:space="preserve">Szkoły artystyczne </t>
  </si>
  <si>
    <t>5.</t>
  </si>
  <si>
    <t>Placówki kształcenia ustawicznego i centra kształcenia zawodowego</t>
  </si>
  <si>
    <t>6.</t>
  </si>
  <si>
    <t>Ośrodki szkolenia, dokształcania i doskonalenia kadr</t>
  </si>
  <si>
    <t>7.</t>
  </si>
  <si>
    <t>Inne formy kształcenia osobno niewymienione</t>
  </si>
  <si>
    <t>8.</t>
  </si>
  <si>
    <t xml:space="preserve">Poradnie psychologiczno-pedagogiczne, w tym poradnie specjalistyczne </t>
  </si>
  <si>
    <t>Szkolne schroniska młodzieżowe</t>
  </si>
  <si>
    <t>Młodzieżowe ośrodki wychowawcze</t>
  </si>
  <si>
    <t>Ogółem dochody i wydatki na zadania powiatu</t>
  </si>
  <si>
    <t xml:space="preserve">Ogółem dochody i wydatki </t>
  </si>
  <si>
    <t>852</t>
  </si>
  <si>
    <t>Pomoc społeczna</t>
  </si>
  <si>
    <t>Pomoc w zakresie dożywiania</t>
  </si>
  <si>
    <t>Pomoc materialna dla uczniów o charakterze socjalnym</t>
  </si>
  <si>
    <t>2040</t>
  </si>
  <si>
    <t>dotacja celowa otrzymana z budżetu państwa na realizację zadań bieżących gmin z zakresu edukacyjnej opieki wychowawczej finansowanych w całości przez budżet państwa w ramach programów rządowych</t>
  </si>
  <si>
    <t>Dochody na zadania własne powiatu:</t>
  </si>
  <si>
    <t>Bezpieczeństwo publiczne i ochrona przeciwpożarowa</t>
  </si>
  <si>
    <t xml:space="preserve">Komendy powiatowe Państwowej Straży Pożarnej </t>
  </si>
  <si>
    <t xml:space="preserve">Organ </t>
  </si>
  <si>
    <t xml:space="preserve">  majątkowe</t>
  </si>
  <si>
    <t>6260</t>
  </si>
  <si>
    <t>dotacje otrzymane z państwowych funduszy celowych na finansowanie lub dofinansowanie kosztów realizacji inwestycji i zakupów inwestycyjnych jednostek sektora finansów publicznych</t>
  </si>
  <si>
    <t>2130</t>
  </si>
  <si>
    <t>dotacja celowa otrzymana z budżetu państwa na realizację bieżących zadań własnych powiatu</t>
  </si>
  <si>
    <t>Placówki kształcenia ustawicznego i centra kształcenia</t>
  </si>
  <si>
    <t>zawodowego</t>
  </si>
  <si>
    <t>Ośrodki pomocy społecznej</t>
  </si>
  <si>
    <t>Usługi opiekuńcze i specjalistyczne usługi opiekuńcze</t>
  </si>
  <si>
    <t>Świadczenia rodzinne, świadczenie z funduszu alimentacyjnego oraz składki na ubezpieczenia emerytalne i rentowe z ubezpieczenia społecznego</t>
  </si>
  <si>
    <t>2060</t>
  </si>
  <si>
    <t>dotacje celowe otrzymane z budżetu państwa na zadania bieżące z zakresu administracji rządowej zlecone gminom (związkom gmin, związkom powiatowo - gminnym), związane z realizacją świadczenia wychowawczego stanowiącego pomoc państwa w wychowywaniu dzieci</t>
  </si>
  <si>
    <t>Karta Dużej Rodziny</t>
  </si>
  <si>
    <t>Komendy powiatowe Państwowej Straży Pożarnej</t>
  </si>
  <si>
    <t>Transport i łączność</t>
  </si>
  <si>
    <t>Drogi publiczne gminne</t>
  </si>
  <si>
    <t xml:space="preserve">Miejski Zarząd Dróg i Zieleni </t>
  </si>
  <si>
    <t>Drogi wewnętrzne</t>
  </si>
  <si>
    <t>Turystyka</t>
  </si>
  <si>
    <t>Ośrodek Sportu i Rekreacji</t>
  </si>
  <si>
    <t>Gospodarka mieszkaniowa</t>
  </si>
  <si>
    <t>Gospodarowanie mieszkaniowym zasobem gminy</t>
  </si>
  <si>
    <t>Administracja Zasobów Komunalnych</t>
  </si>
  <si>
    <t>Administracja publiczna</t>
  </si>
  <si>
    <t>Urzędy gmin (miast i miast na prawach powiatu)</t>
  </si>
  <si>
    <t>Wydział Organizacyjno - Prawny i Kadr</t>
  </si>
  <si>
    <t>75421</t>
  </si>
  <si>
    <t>Zarządzanie kryzysowe</t>
  </si>
  <si>
    <t>Wydział Zarządzania Kryzysowego i Bezpieczeństwa</t>
  </si>
  <si>
    <t>Różne rozliczenia</t>
  </si>
  <si>
    <t>Rezerwy ogólne i celowe</t>
  </si>
  <si>
    <t>4810</t>
  </si>
  <si>
    <t xml:space="preserve">rezerwy </t>
  </si>
  <si>
    <t xml:space="preserve"> - rezerwa ogólna</t>
  </si>
  <si>
    <t xml:space="preserve"> - rezerwa celowa</t>
  </si>
  <si>
    <t>dotacja podmiotowa z budżetu dla publicznej jednostki systemu oświaty prowadzonej przez osobę prawną inną niż jednostka samorządu terytorialnego lub przez osobę fizyczną</t>
  </si>
  <si>
    <t xml:space="preserve">Wydział Edukacji, Zdrowia i Polityki Społecznej  </t>
  </si>
  <si>
    <t>851</t>
  </si>
  <si>
    <t>Ochrona zdrowia</t>
  </si>
  <si>
    <t>Przeciwdziałanie alkoholizmowi</t>
  </si>
  <si>
    <t>Ośrodki wsparcia</t>
  </si>
  <si>
    <t>Środowiskowy Dom Samopomocy</t>
  </si>
  <si>
    <t>Zadania w zakresie przeciwdziałania przemocy domowej</t>
  </si>
  <si>
    <t>Dodatki mieszkaniowe</t>
  </si>
  <si>
    <t>Jednostki specjalistycznego poradnictwa, mieszkania</t>
  </si>
  <si>
    <t>chronione i ośrodki interwencji kryzysowej</t>
  </si>
  <si>
    <t>MOPR - Sekcja Interwencji Kryzysowej i Poradnictwa</t>
  </si>
  <si>
    <t>Specjalistycznego</t>
  </si>
  <si>
    <t xml:space="preserve">Miejski Ośrodek Pomocy Rodzinie </t>
  </si>
  <si>
    <t>świadczenia społeczne</t>
  </si>
  <si>
    <t>4330</t>
  </si>
  <si>
    <t xml:space="preserve">zakup usług przez jednostki samorządu terytorialnego od innych jednostek samorządu terytorialnego </t>
  </si>
  <si>
    <t xml:space="preserve">Miejski Ośrodek Pomocy Rodzinie - projekt pn. "Usługi </t>
  </si>
  <si>
    <t>indywidualnego transportu door-to-door - dla mieszkańców</t>
  </si>
  <si>
    <t xml:space="preserve">Miasta Włocławka" </t>
  </si>
  <si>
    <t>Miejski Ośrodek Pomocy Rodzinie - projekt pn. "Klub "Zakręt w Dobrym Kierunku""</t>
  </si>
  <si>
    <t>Pozostałe zadania w zakresie polityki społecznej</t>
  </si>
  <si>
    <t>Miejska Jadłodajnia "U Świętego Antoniego"</t>
  </si>
  <si>
    <t>Włocławskie Centrum Organizacji Pozarządowych i Wolontariatu</t>
  </si>
  <si>
    <t>inne formy pomocy dla uczniów</t>
  </si>
  <si>
    <t>stypendia dla uczniów</t>
  </si>
  <si>
    <t>Świadczenia rodzinne, świadczenia z funduszu</t>
  </si>
  <si>
    <t>alimentacyjnego oraz składki na ubezpieczenia emerytalne</t>
  </si>
  <si>
    <t>i rentowe z ubezpieczenia społecznego</t>
  </si>
  <si>
    <t>Wspieranie rodziny</t>
  </si>
  <si>
    <t>Miejski Ośrodek Pomocy Rodzinie - placówki wsparcia dziennego</t>
  </si>
  <si>
    <t>Miejski Ośrodek Pomocy Rodzinie - asystent rodziny</t>
  </si>
  <si>
    <t>System opieki nad dziećmi w wieku do lat 3</t>
  </si>
  <si>
    <t>Miejski Zespół Żłobków</t>
  </si>
  <si>
    <t>opłaty za administrowanie i czynsze za budynki, lokale i pomieszczenia garażowe</t>
  </si>
  <si>
    <t>Gospodarka komunalna i ochrona środowiska</t>
  </si>
  <si>
    <t>Oczyszczanie miast i wsi</t>
  </si>
  <si>
    <t xml:space="preserve">Kultura i ochrona dziedzictwa narodowego </t>
  </si>
  <si>
    <t>Pozostałe instytucje kultury</t>
  </si>
  <si>
    <t>Wydział Kultury, Turystyki i Promocji</t>
  </si>
  <si>
    <t>dotacja celowa z budżetu dla pozostałych jednostek zaliczanych do sektora finansów publicznych</t>
  </si>
  <si>
    <t>Kultura fizyczna</t>
  </si>
  <si>
    <t>Instytucje kultury fizycznej</t>
  </si>
  <si>
    <t>Wydatki na zadania własne powiatu:</t>
  </si>
  <si>
    <t>Drogi publiczne w miastach na prawach powiatu</t>
  </si>
  <si>
    <t>Działalność usługowa</t>
  </si>
  <si>
    <t>Miejski Ośrodek Dokumentacji Geodezyjnej i Kartograficznej</t>
  </si>
  <si>
    <t>Komenda Miejska Państwowej Straży Pożarnej</t>
  </si>
  <si>
    <t>wydatki na zakupy inwestycyjne jednostek budżetowych</t>
  </si>
  <si>
    <t>Branżowe szkoły II stopnia</t>
  </si>
  <si>
    <t xml:space="preserve">Wydział Edukacji, Zdrowia i Polityki Społecznej </t>
  </si>
  <si>
    <t>dotacja podmiotowa z budżetu dla niepublicznej jednostki systemu oświaty</t>
  </si>
  <si>
    <t>Szkoły artystyczne</t>
  </si>
  <si>
    <t>w gimnazjach, klasach dotychczasowego gimnazjum</t>
  </si>
  <si>
    <t>prowadzonych w szkołach innego typu, liceach</t>
  </si>
  <si>
    <t xml:space="preserve">ogólnokształcących, technikach, szkołach policealnych, </t>
  </si>
  <si>
    <t>branżowych szkołach I i II stopnia i klasach dotychczasowej</t>
  </si>
  <si>
    <t>zasadniczej szkoły zawodowej prowadzonych w branżowych</t>
  </si>
  <si>
    <t>szkołach I stopnia oraz szkołach artystycznych</t>
  </si>
  <si>
    <t>Zespół Szkół Nr 3 - projekt pn. "Budowa skoordynowanego systemu pomocy specjalistycznej opartego na Specjalistycznych Centrach Wspierających Edukację Włączającą - I edycja"</t>
  </si>
  <si>
    <t>Jednostki oświatowe zbiorczo - projekty w ramach grantów Lokalnej Grupy Działania Miasta Włocławek</t>
  </si>
  <si>
    <t>Poradnie psychologiczno-pedagogiczne</t>
  </si>
  <si>
    <t>Rodziny zastępcze</t>
  </si>
  <si>
    <t>Miejski Ośrodek Pomocy Rodzinie - Zespół ds. pieczy zastępczej</t>
  </si>
  <si>
    <t>Centrum Opieki nad Dzieckiem</t>
  </si>
  <si>
    <t>składki na ubezpieczenie społeczne</t>
  </si>
  <si>
    <t xml:space="preserve">Placówka Opiekuńczo - Wychowawcza Nr 1 "Maluch" </t>
  </si>
  <si>
    <t>różne opłaty i składki</t>
  </si>
  <si>
    <t xml:space="preserve">Placówka Opiekuńczo - Wychowawcza Nr 2 "Calineczka" </t>
  </si>
  <si>
    <t>Placówka Opiekuńczo - Wychowawcza nr 6 "Nibylandia"</t>
  </si>
  <si>
    <t>Gospodarka ściekowa i ochrona wód</t>
  </si>
  <si>
    <t>Wydział Dróg, Transportu Zbiorowego i Energii</t>
  </si>
  <si>
    <r>
      <t>Usługi opiekuńcze i specjalistyczne usługi opiekuńcze</t>
    </r>
    <r>
      <rPr>
        <i/>
        <sz val="8"/>
        <rFont val="Arial Narrow"/>
        <family val="2"/>
        <charset val="238"/>
      </rPr>
      <t xml:space="preserve"> </t>
    </r>
  </si>
  <si>
    <t>2360</t>
  </si>
  <si>
    <t>dotacja celowa z budżetu jednostki samorządu terytorialnego, udzielona w trybie art. 221 ustawy, na finansowanie lub dofinansowanie zadań zleconych do realizacji organizacjom prowadzącym działalność pożytku publicznego</t>
  </si>
  <si>
    <t>Miejski Ośrodek Pomocy Rodzinie - świadczenie wychowawcze</t>
  </si>
  <si>
    <t>wydatki osobowe niezaliczone do uposażeń wypłacane żołnierzom i funkcjonariuszom</t>
  </si>
  <si>
    <t>uposażenia żołnierzy zawodowych oraz funkcjonariuszy</t>
  </si>
  <si>
    <t>inne należności żołnierzy zawodowych oraz funkcjonariuszy zaliczane do wynagrodzeń</t>
  </si>
  <si>
    <t>dodatkowe uposażenie roczne dla żołnierzy zawodowych oraz nagrody roczne dla funkcjonariuszy</t>
  </si>
  <si>
    <t>równoważniki pieniężne i ekwiwalenty dla żołnierzy i funkcjonariuszy oraz pozostałe należności</t>
  </si>
  <si>
    <t>podatek od nieruchomości</t>
  </si>
  <si>
    <t>do Zarządzenia NR 437/2026</t>
  </si>
  <si>
    <t>z dnia 30 września 2026 r.</t>
  </si>
  <si>
    <t>dla jednostek sektora finansów publicznych na 2026 rok</t>
  </si>
  <si>
    <t xml:space="preserve">Programy polityki zdrowotnej </t>
  </si>
  <si>
    <t>Przeciwdziałanie alkoholizmowi (dofinansowanie "Niebieskiej linii")</t>
  </si>
  <si>
    <t>Przeciwdziałanie alkoholizmowi (realizacja zadań z zakresu profilaktyki uzależnień)</t>
  </si>
  <si>
    <t>6306      6307</t>
  </si>
  <si>
    <t>Realizacja projektu pn. "Włocławek – Miasto dobrego klimatu dla gospodarki, środowiska i wygodnego życia" (dotacja na zakupy inwestycyjne)</t>
  </si>
  <si>
    <t xml:space="preserve">Powiatowe urzędy pracy </t>
  </si>
  <si>
    <t>Pozostała działalność - SENIORALIA 2026 – Obchody Święta Seniora (Budżet Obywatelski)</t>
  </si>
  <si>
    <t>Galerie i biura wystaw artystycznych (dotacja na inwestycje)</t>
  </si>
  <si>
    <t xml:space="preserve"> - Galeria Sztuki Współczesnej</t>
  </si>
  <si>
    <t xml:space="preserve">Galerie i biura wystaw artystycznych </t>
  </si>
  <si>
    <t>Centra kultury i sztuki</t>
  </si>
  <si>
    <t xml:space="preserve"> - Centrum Kultury Browar B </t>
  </si>
  <si>
    <t>Centra kultury i sztuki (dotacja na inwestycje)</t>
  </si>
  <si>
    <t xml:space="preserve">Pozostałe instytucje kultury </t>
  </si>
  <si>
    <t xml:space="preserve"> - Teatr Impresaryjny</t>
  </si>
  <si>
    <t>Pozostałe instytucje kultury (dotacja na inwestycje)</t>
  </si>
  <si>
    <t>Biblioteki</t>
  </si>
  <si>
    <t xml:space="preserve"> - Miejska Biblioteka Publiczna</t>
  </si>
  <si>
    <t>Biblioteki (dotacja na inwestycje)</t>
  </si>
  <si>
    <t>Razem:</t>
  </si>
  <si>
    <t xml:space="preserve"> - Zakład Aktywności Zawodowej</t>
  </si>
  <si>
    <t>Galerie i biura wystaw artystycznych</t>
  </si>
  <si>
    <t xml:space="preserve"> - Centrum Kultury Browar B</t>
  </si>
  <si>
    <t>Załącznik Nr 4</t>
  </si>
  <si>
    <t>Zmiana planu wydatków majątkowych na 2026 rok</t>
  </si>
  <si>
    <t>Planowane wydatki</t>
  </si>
  <si>
    <t xml:space="preserve">Pozostałe </t>
  </si>
  <si>
    <t>Jednostka</t>
  </si>
  <si>
    <t xml:space="preserve">Łączne </t>
  </si>
  <si>
    <t>rok</t>
  </si>
  <si>
    <t>Źródła finansowania</t>
  </si>
  <si>
    <t xml:space="preserve">środki  </t>
  </si>
  <si>
    <t>organizacyjna</t>
  </si>
  <si>
    <t>Nazwa zadania inwestycyjnego</t>
  </si>
  <si>
    <t>koszty</t>
  </si>
  <si>
    <t>budżetowy</t>
  </si>
  <si>
    <t>środki</t>
  </si>
  <si>
    <t>wydzielone</t>
  </si>
  <si>
    <t>realizująca</t>
  </si>
  <si>
    <t>finansowe</t>
  </si>
  <si>
    <t xml:space="preserve">pochodzące </t>
  </si>
  <si>
    <t>wymienione</t>
  </si>
  <si>
    <t>rachunki</t>
  </si>
  <si>
    <t>program lub</t>
  </si>
  <si>
    <t>(6+7+8)</t>
  </si>
  <si>
    <t xml:space="preserve">własne </t>
  </si>
  <si>
    <t>z innych</t>
  </si>
  <si>
    <t>w art.5 ust.1</t>
  </si>
  <si>
    <t>jednostek</t>
  </si>
  <si>
    <t>koordynująca</t>
  </si>
  <si>
    <t>źródeł</t>
  </si>
  <si>
    <t>pkt 2 i 3 u.f.p.</t>
  </si>
  <si>
    <t>oświatowych</t>
  </si>
  <si>
    <t>wykonanie</t>
  </si>
  <si>
    <t>programu</t>
  </si>
  <si>
    <t>OGÓŁEM:</t>
  </si>
  <si>
    <t>x</t>
  </si>
  <si>
    <t>BEZPIECZEŃSTWO PUBLICZNE I OCHRONA PRZECIWPOŻAROWA</t>
  </si>
  <si>
    <t>Zakupy inwestycyjne na potrzeby Komendy Miejskiej Państwowej Straży Pożarnej we Włocławku</t>
  </si>
  <si>
    <t>Załącznik Nr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</si>
</sst>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38"/>
    </font>
    <font>
      <sz val="8"/>
      <name val="Arial Narrow"/>
      <family val="2"/>
      <charset val="238"/>
    </font>
    <font>
      <sz val="7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11"/>
      <color rgb="FF9C0006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6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sz val="8"/>
      <color rgb="FFFF0000"/>
      <name val="Arial Narrow"/>
      <family val="2"/>
      <charset val="238"/>
    </font>
    <font>
      <b/>
      <sz val="9"/>
      <name val="Arial CE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9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name val="Arial CE"/>
      <charset val="238"/>
    </font>
    <font>
      <sz val="6"/>
      <color theme="1"/>
      <name val="Arial Narrow"/>
      <family val="2"/>
      <charset val="238"/>
    </font>
    <font>
      <i/>
      <sz val="8"/>
      <name val="Arial Narrow"/>
      <family val="2"/>
      <charset val="238"/>
    </font>
    <font>
      <b/>
      <sz val="8"/>
      <name val="Arial CE"/>
      <family val="2"/>
      <charset val="238"/>
    </font>
    <font>
      <i/>
      <sz val="9"/>
      <name val="Arial Narrow"/>
      <family val="2"/>
      <charset val="238"/>
    </font>
    <font>
      <b/>
      <i/>
      <sz val="9"/>
      <name val="Arial Narrow"/>
      <family val="2"/>
      <charset val="238"/>
    </font>
    <font>
      <b/>
      <sz val="8"/>
      <name val="Arial CE"/>
      <charset val="238"/>
    </font>
    <font>
      <sz val="9"/>
      <name val="Arial CE"/>
      <charset val="238"/>
    </font>
    <font>
      <sz val="7"/>
      <name val="Arial CE"/>
      <charset val="238"/>
    </font>
    <font>
      <b/>
      <i/>
      <sz val="8"/>
      <name val="Arial CE"/>
      <charset val="238"/>
    </font>
    <font>
      <b/>
      <i/>
      <sz val="8"/>
      <color theme="1"/>
      <name val="Arial CE"/>
      <charset val="238"/>
    </font>
    <font>
      <b/>
      <i/>
      <sz val="7"/>
      <color theme="1"/>
      <name val="Arial CE"/>
      <charset val="238"/>
    </font>
    <font>
      <b/>
      <i/>
      <sz val="8"/>
      <name val="Arial Narrow"/>
      <family val="2"/>
      <charset val="238"/>
    </font>
    <font>
      <b/>
      <sz val="8"/>
      <color theme="1"/>
      <name val="Arial CE"/>
      <charset val="238"/>
    </font>
    <font>
      <i/>
      <sz val="7"/>
      <color theme="1"/>
      <name val="Arial CE"/>
      <charset val="238"/>
    </font>
    <font>
      <sz val="7"/>
      <color theme="1"/>
      <name val="Arial CE"/>
      <charset val="238"/>
    </font>
    <font>
      <sz val="8"/>
      <color theme="1"/>
      <name val="Arial CE"/>
      <charset val="238"/>
    </font>
    <font>
      <b/>
      <i/>
      <sz val="10"/>
      <color theme="1"/>
      <name val="Arial"/>
      <family val="2"/>
      <charset val="238"/>
    </font>
    <font>
      <b/>
      <i/>
      <sz val="8"/>
      <color theme="1"/>
      <name val="Arial Narrow"/>
      <family val="2"/>
      <charset val="238"/>
    </font>
    <font>
      <i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EC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8"/>
      </right>
      <top/>
      <bottom/>
      <diagonal/>
    </border>
  </borders>
  <cellStyleXfs count="24">
    <xf numFmtId="0" fontId="0" fillId="0" borderId="0"/>
    <xf numFmtId="0" fontId="7" fillId="0" borderId="0"/>
    <xf numFmtId="0" fontId="8" fillId="0" borderId="0"/>
    <xf numFmtId="43" fontId="8" fillId="0" borderId="0" applyFont="0" applyFill="0" applyBorder="0" applyAlignment="0" applyProtection="0"/>
    <xf numFmtId="0" fontId="9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3" fillId="0" borderId="0"/>
    <xf numFmtId="0" fontId="17" fillId="2" borderId="0" applyNumberFormat="0" applyBorder="0" applyAlignment="0" applyProtection="0"/>
    <xf numFmtId="0" fontId="2" fillId="0" borderId="0"/>
    <xf numFmtId="0" fontId="8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10" fillId="0" borderId="0"/>
  </cellStyleXfs>
  <cellXfs count="566">
    <xf numFmtId="0" fontId="0" fillId="0" borderId="0" xfId="0"/>
    <xf numFmtId="0" fontId="15" fillId="0" borderId="3" xfId="2" applyFont="1" applyBorder="1" applyAlignment="1">
      <alignment horizontal="right"/>
    </xf>
    <xf numFmtId="4" fontId="15" fillId="0" borderId="10" xfId="2" applyNumberFormat="1" applyFont="1" applyBorder="1"/>
    <xf numFmtId="0" fontId="11" fillId="0" borderId="3" xfId="2" applyFont="1" applyBorder="1" applyAlignment="1">
      <alignment horizontal="right"/>
    </xf>
    <xf numFmtId="4" fontId="11" fillId="0" borderId="3" xfId="2" applyNumberFormat="1" applyFont="1" applyBorder="1" applyAlignment="1">
      <alignment horizontal="right"/>
    </xf>
    <xf numFmtId="4" fontId="11" fillId="0" borderId="5" xfId="2" applyNumberFormat="1" applyFont="1" applyBorder="1" applyAlignment="1">
      <alignment horizontal="right"/>
    </xf>
    <xf numFmtId="0" fontId="11" fillId="0" borderId="5" xfId="2" applyFont="1" applyBorder="1"/>
    <xf numFmtId="0" fontId="11" fillId="0" borderId="4" xfId="2" applyFont="1" applyBorder="1"/>
    <xf numFmtId="0" fontId="11" fillId="0" borderId="3" xfId="2" applyFont="1" applyBorder="1"/>
    <xf numFmtId="0" fontId="18" fillId="0" borderId="0" xfId="11" applyFont="1"/>
    <xf numFmtId="0" fontId="11" fillId="0" borderId="0" xfId="11" applyFont="1"/>
    <xf numFmtId="0" fontId="11" fillId="0" borderId="0" xfId="11" applyFont="1" applyAlignment="1">
      <alignment horizontal="left"/>
    </xf>
    <xf numFmtId="0" fontId="12" fillId="0" borderId="0" xfId="11" applyFont="1" applyAlignment="1">
      <alignment horizontal="right"/>
    </xf>
    <xf numFmtId="0" fontId="18" fillId="3" borderId="16" xfId="13" applyFont="1" applyFill="1" applyBorder="1" applyAlignment="1">
      <alignment horizontal="center" vertical="center"/>
    </xf>
    <xf numFmtId="0" fontId="18" fillId="0" borderId="17" xfId="13" applyFont="1" applyFill="1" applyBorder="1" applyAlignment="1">
      <alignment horizontal="center" vertical="top"/>
    </xf>
    <xf numFmtId="0" fontId="18" fillId="0" borderId="15" xfId="11" applyFont="1" applyBorder="1" applyAlignment="1">
      <alignment vertical="center"/>
    </xf>
    <xf numFmtId="0" fontId="18" fillId="0" borderId="15" xfId="11" applyFont="1" applyBorder="1" applyAlignment="1">
      <alignment horizontal="right" vertical="center"/>
    </xf>
    <xf numFmtId="0" fontId="18" fillId="0" borderId="15" xfId="11" applyFont="1" applyBorder="1" applyAlignment="1">
      <alignment vertical="center" wrapText="1"/>
    </xf>
    <xf numFmtId="4" fontId="18" fillId="0" borderId="15" xfId="11" applyNumberFormat="1" applyFont="1" applyBorder="1" applyAlignment="1">
      <alignment vertical="center"/>
    </xf>
    <xf numFmtId="0" fontId="21" fillId="0" borderId="0" xfId="11" applyFont="1"/>
    <xf numFmtId="4" fontId="18" fillId="0" borderId="0" xfId="11" applyNumberFormat="1" applyFont="1"/>
    <xf numFmtId="0" fontId="18" fillId="0" borderId="16" xfId="13" applyFont="1" applyFill="1" applyBorder="1" applyAlignment="1">
      <alignment horizontal="center" vertical="center"/>
    </xf>
    <xf numFmtId="0" fontId="18" fillId="0" borderId="16" xfId="16" applyFont="1" applyBorder="1" applyAlignment="1">
      <alignment vertical="top" wrapText="1"/>
    </xf>
    <xf numFmtId="4" fontId="18" fillId="0" borderId="15" xfId="16" applyNumberFormat="1" applyFont="1" applyBorder="1" applyAlignment="1">
      <alignment vertical="center"/>
    </xf>
    <xf numFmtId="0" fontId="18" fillId="0" borderId="2" xfId="16" applyFont="1" applyBorder="1" applyAlignment="1">
      <alignment vertical="top"/>
    </xf>
    <xf numFmtId="0" fontId="18" fillId="0" borderId="19" xfId="16" applyFont="1" applyBorder="1" applyAlignment="1">
      <alignment vertical="top"/>
    </xf>
    <xf numFmtId="0" fontId="18" fillId="0" borderId="1" xfId="13" applyFont="1" applyFill="1" applyBorder="1" applyAlignment="1">
      <alignment horizontal="center" vertical="top"/>
    </xf>
    <xf numFmtId="0" fontId="11" fillId="0" borderId="20" xfId="16" applyFont="1" applyBorder="1" applyAlignment="1">
      <alignment vertical="center" wrapText="1"/>
    </xf>
    <xf numFmtId="3" fontId="11" fillId="0" borderId="13" xfId="16" applyNumberFormat="1" applyFont="1" applyBorder="1"/>
    <xf numFmtId="0" fontId="18" fillId="0" borderId="4" xfId="16" applyFont="1" applyBorder="1" applyAlignment="1">
      <alignment vertical="top"/>
    </xf>
    <xf numFmtId="0" fontId="18" fillId="0" borderId="0" xfId="16" applyFont="1" applyAlignment="1">
      <alignment vertical="top"/>
    </xf>
    <xf numFmtId="0" fontId="18" fillId="0" borderId="3" xfId="13" applyFont="1" applyFill="1" applyBorder="1" applyAlignment="1">
      <alignment horizontal="center" vertical="top"/>
    </xf>
    <xf numFmtId="0" fontId="11" fillId="0" borderId="4" xfId="16" applyFont="1" applyBorder="1" applyAlignment="1">
      <alignment vertical="center" wrapText="1"/>
    </xf>
    <xf numFmtId="3" fontId="11" fillId="0" borderId="3" xfId="16" applyNumberFormat="1" applyFont="1" applyBorder="1"/>
    <xf numFmtId="0" fontId="18" fillId="0" borderId="6" xfId="16" applyFont="1" applyBorder="1" applyAlignment="1">
      <alignment vertical="top"/>
    </xf>
    <xf numFmtId="0" fontId="18" fillId="0" borderId="21" xfId="16" applyFont="1" applyBorder="1" applyAlignment="1">
      <alignment vertical="top"/>
    </xf>
    <xf numFmtId="0" fontId="18" fillId="0" borderId="5" xfId="13" applyFont="1" applyFill="1" applyBorder="1" applyAlignment="1">
      <alignment horizontal="center" vertical="top"/>
    </xf>
    <xf numFmtId="0" fontId="11" fillId="0" borderId="22" xfId="16" applyFont="1" applyBorder="1" applyAlignment="1">
      <alignment vertical="center" wrapText="1"/>
    </xf>
    <xf numFmtId="3" fontId="11" fillId="0" borderId="23" xfId="16" applyNumberFormat="1" applyFont="1" applyBorder="1"/>
    <xf numFmtId="4" fontId="11" fillId="0" borderId="15" xfId="11" applyNumberFormat="1" applyFont="1" applyBorder="1" applyAlignment="1">
      <alignment vertical="center"/>
    </xf>
    <xf numFmtId="0" fontId="18" fillId="0" borderId="15" xfId="11" applyFont="1" applyBorder="1"/>
    <xf numFmtId="4" fontId="18" fillId="0" borderId="15" xfId="11" applyNumberFormat="1" applyFont="1" applyBorder="1" applyAlignment="1">
      <alignment horizontal="right" vertical="center"/>
    </xf>
    <xf numFmtId="0" fontId="18" fillId="0" borderId="17" xfId="13" applyFont="1" applyFill="1" applyBorder="1" applyAlignment="1">
      <alignment horizontal="center" vertical="center"/>
    </xf>
    <xf numFmtId="0" fontId="18" fillId="0" borderId="0" xfId="11" applyFont="1" applyAlignment="1">
      <alignment vertical="center"/>
    </xf>
    <xf numFmtId="0" fontId="19" fillId="0" borderId="15" xfId="11" applyFont="1" applyBorder="1" applyAlignment="1">
      <alignment horizontal="center" vertical="center"/>
    </xf>
    <xf numFmtId="0" fontId="11" fillId="0" borderId="18" xfId="11" applyFont="1" applyBorder="1"/>
    <xf numFmtId="0" fontId="11" fillId="0" borderId="17" xfId="13" applyFont="1" applyFill="1" applyBorder="1" applyAlignment="1">
      <alignment horizontal="center" vertical="top"/>
    </xf>
    <xf numFmtId="0" fontId="11" fillId="0" borderId="25" xfId="13" applyFont="1" applyFill="1" applyBorder="1" applyAlignment="1">
      <alignment horizontal="center" vertical="top"/>
    </xf>
    <xf numFmtId="0" fontId="11" fillId="0" borderId="0" xfId="13" applyFont="1" applyFill="1" applyBorder="1" applyAlignment="1">
      <alignment horizontal="center" vertical="top"/>
    </xf>
    <xf numFmtId="0" fontId="11" fillId="0" borderId="21" xfId="11" applyFont="1" applyBorder="1"/>
    <xf numFmtId="0" fontId="11" fillId="0" borderId="28" xfId="11" applyFont="1" applyBorder="1"/>
    <xf numFmtId="0" fontId="11" fillId="0" borderId="21" xfId="13" applyFont="1" applyFill="1" applyBorder="1" applyAlignment="1">
      <alignment horizontal="center" vertical="top"/>
    </xf>
    <xf numFmtId="0" fontId="11" fillId="0" borderId="19" xfId="13" applyFont="1" applyFill="1" applyBorder="1" applyAlignment="1">
      <alignment horizontal="center" vertical="top"/>
    </xf>
    <xf numFmtId="0" fontId="11" fillId="0" borderId="1" xfId="13" applyFont="1" applyFill="1" applyBorder="1" applyAlignment="1">
      <alignment horizontal="center" vertical="top"/>
    </xf>
    <xf numFmtId="0" fontId="11" fillId="0" borderId="15" xfId="13" applyFont="1" applyFill="1" applyBorder="1" applyAlignment="1">
      <alignment horizontal="center" vertical="top"/>
    </xf>
    <xf numFmtId="0" fontId="11" fillId="0" borderId="0" xfId="13" quotePrefix="1" applyFont="1" applyFill="1" applyBorder="1" applyAlignment="1">
      <alignment horizontal="center" vertical="top"/>
    </xf>
    <xf numFmtId="0" fontId="11" fillId="0" borderId="25" xfId="13" quotePrefix="1" applyFont="1" applyFill="1" applyBorder="1" applyAlignment="1">
      <alignment horizontal="center" vertical="top"/>
    </xf>
    <xf numFmtId="0" fontId="18" fillId="0" borderId="16" xfId="13" applyFont="1" applyFill="1" applyBorder="1" applyAlignment="1">
      <alignment horizontal="center" vertical="center" wrapText="1"/>
    </xf>
    <xf numFmtId="0" fontId="18" fillId="0" borderId="15" xfId="13" applyFont="1" applyFill="1" applyBorder="1" applyAlignment="1">
      <alignment horizontal="center" vertical="top"/>
    </xf>
    <xf numFmtId="0" fontId="11" fillId="0" borderId="19" xfId="13" quotePrefix="1" applyFont="1" applyFill="1" applyBorder="1" applyAlignment="1">
      <alignment horizontal="center" vertical="top"/>
    </xf>
    <xf numFmtId="0" fontId="11" fillId="0" borderId="21" xfId="13" quotePrefix="1" applyFont="1" applyFill="1" applyBorder="1" applyAlignment="1">
      <alignment horizontal="center" vertical="top"/>
    </xf>
    <xf numFmtId="0" fontId="18" fillId="0" borderId="15" xfId="13" applyFont="1" applyFill="1" applyBorder="1" applyAlignment="1">
      <alignment horizontal="center"/>
    </xf>
    <xf numFmtId="0" fontId="11" fillId="0" borderId="5" xfId="13" applyFont="1" applyFill="1" applyBorder="1" applyAlignment="1">
      <alignment horizontal="center" vertical="top"/>
    </xf>
    <xf numFmtId="0" fontId="18" fillId="0" borderId="15" xfId="13" applyFont="1" applyFill="1" applyBorder="1" applyAlignment="1">
      <alignment horizontal="center" vertical="center" wrapText="1"/>
    </xf>
    <xf numFmtId="0" fontId="18" fillId="0" borderId="15" xfId="13" applyFont="1" applyFill="1" applyBorder="1" applyAlignment="1">
      <alignment horizontal="center" vertical="center"/>
    </xf>
    <xf numFmtId="0" fontId="19" fillId="0" borderId="16" xfId="11" applyFont="1" applyBorder="1" applyAlignment="1">
      <alignment horizontal="left" vertical="center"/>
    </xf>
    <xf numFmtId="0" fontId="19" fillId="0" borderId="17" xfId="11" applyFont="1" applyBorder="1" applyAlignment="1">
      <alignment horizontal="left" vertical="center"/>
    </xf>
    <xf numFmtId="0" fontId="19" fillId="0" borderId="18" xfId="11" applyFont="1" applyBorder="1" applyAlignment="1">
      <alignment horizontal="left" vertical="center"/>
    </xf>
    <xf numFmtId="0" fontId="11" fillId="0" borderId="0" xfId="17" applyFont="1"/>
    <xf numFmtId="49" fontId="11" fillId="0" borderId="0" xfId="17" applyNumberFormat="1" applyFont="1"/>
    <xf numFmtId="0" fontId="11" fillId="0" borderId="0" xfId="17" applyFont="1" applyAlignment="1">
      <alignment horizontal="left"/>
    </xf>
    <xf numFmtId="0" fontId="13" fillId="0" borderId="0" xfId="17" applyFont="1"/>
    <xf numFmtId="0" fontId="14" fillId="0" borderId="0" xfId="17" applyFont="1" applyAlignment="1">
      <alignment horizontal="centerContinuous"/>
    </xf>
    <xf numFmtId="0" fontId="13" fillId="0" borderId="0" xfId="17" applyFont="1" applyAlignment="1">
      <alignment horizontal="centerContinuous"/>
    </xf>
    <xf numFmtId="49" fontId="14" fillId="0" borderId="0" xfId="17" applyNumberFormat="1" applyFont="1" applyAlignment="1">
      <alignment horizontal="centerContinuous"/>
    </xf>
    <xf numFmtId="0" fontId="15" fillId="0" borderId="0" xfId="17" applyFont="1"/>
    <xf numFmtId="0" fontId="11" fillId="0" borderId="0" xfId="17" applyFont="1" applyAlignment="1">
      <alignment horizontal="center"/>
    </xf>
    <xf numFmtId="0" fontId="12" fillId="0" borderId="0" xfId="17" applyFont="1" applyAlignment="1">
      <alignment horizontal="center"/>
    </xf>
    <xf numFmtId="0" fontId="11" fillId="0" borderId="1" xfId="17" applyFont="1" applyBorder="1"/>
    <xf numFmtId="49" fontId="11" fillId="0" borderId="1" xfId="17" applyNumberFormat="1" applyFont="1" applyBorder="1"/>
    <xf numFmtId="0" fontId="15" fillId="0" borderId="2" xfId="17" applyFont="1" applyBorder="1"/>
    <xf numFmtId="0" fontId="15" fillId="0" borderId="1" xfId="17" applyFont="1" applyBorder="1" applyAlignment="1">
      <alignment horizontal="center"/>
    </xf>
    <xf numFmtId="3" fontId="11" fillId="0" borderId="1" xfId="17" applyNumberFormat="1" applyFont="1" applyBorder="1"/>
    <xf numFmtId="0" fontId="11" fillId="0" borderId="1" xfId="17" applyFont="1" applyBorder="1" applyAlignment="1">
      <alignment horizontal="center"/>
    </xf>
    <xf numFmtId="0" fontId="16" fillId="0" borderId="0" xfId="17" applyFont="1"/>
    <xf numFmtId="0" fontId="15" fillId="0" borderId="3" xfId="17" applyFont="1" applyBorder="1" applyAlignment="1">
      <alignment horizontal="center"/>
    </xf>
    <xf numFmtId="49" fontId="15" fillId="0" borderId="3" xfId="17" applyNumberFormat="1" applyFont="1" applyBorder="1" applyAlignment="1">
      <alignment horizontal="center"/>
    </xf>
    <xf numFmtId="0" fontId="15" fillId="0" borderId="4" xfId="17" applyFont="1" applyBorder="1" applyAlignment="1">
      <alignment horizontal="center"/>
    </xf>
    <xf numFmtId="3" fontId="15" fillId="0" borderId="3" xfId="17" applyNumberFormat="1" applyFont="1" applyBorder="1" applyAlignment="1">
      <alignment horizontal="center"/>
    </xf>
    <xf numFmtId="0" fontId="15" fillId="0" borderId="5" xfId="17" applyFont="1" applyBorder="1" applyAlignment="1">
      <alignment horizontal="center"/>
    </xf>
    <xf numFmtId="49" fontId="15" fillId="0" borderId="5" xfId="17" applyNumberFormat="1" applyFont="1" applyBorder="1" applyAlignment="1">
      <alignment horizontal="center"/>
    </xf>
    <xf numFmtId="0" fontId="15" fillId="0" borderId="6" xfId="17" applyFont="1" applyBorder="1" applyAlignment="1">
      <alignment horizontal="center"/>
    </xf>
    <xf numFmtId="3" fontId="15" fillId="0" borderId="5" xfId="17" applyNumberFormat="1" applyFont="1" applyBorder="1" applyAlignment="1">
      <alignment horizontal="center"/>
    </xf>
    <xf numFmtId="3" fontId="11" fillId="0" borderId="3" xfId="17" applyNumberFormat="1" applyFont="1" applyBorder="1"/>
    <xf numFmtId="49" fontId="11" fillId="0" borderId="3" xfId="17" applyNumberFormat="1" applyFont="1" applyBorder="1" applyAlignment="1">
      <alignment horizontal="right"/>
    </xf>
    <xf numFmtId="0" fontId="15" fillId="0" borderId="7" xfId="17" applyFont="1" applyBorder="1"/>
    <xf numFmtId="4" fontId="15" fillId="0" borderId="8" xfId="17" applyNumberFormat="1" applyFont="1" applyBorder="1"/>
    <xf numFmtId="0" fontId="15" fillId="0" borderId="9" xfId="17" applyFont="1" applyBorder="1"/>
    <xf numFmtId="4" fontId="15" fillId="0" borderId="10" xfId="17" applyNumberFormat="1" applyFont="1" applyBorder="1"/>
    <xf numFmtId="49" fontId="15" fillId="0" borderId="3" xfId="17" applyNumberFormat="1" applyFont="1" applyBorder="1" applyAlignment="1">
      <alignment horizontal="right"/>
    </xf>
    <xf numFmtId="3" fontId="15" fillId="0" borderId="3" xfId="17" applyNumberFormat="1" applyFont="1" applyBorder="1"/>
    <xf numFmtId="3" fontId="15" fillId="0" borderId="4" xfId="17" applyNumberFormat="1" applyFont="1" applyBorder="1"/>
    <xf numFmtId="4" fontId="15" fillId="0" borderId="10" xfId="17" applyNumberFormat="1" applyFont="1" applyBorder="1" applyAlignment="1">
      <alignment horizontal="right"/>
    </xf>
    <xf numFmtId="0" fontId="11" fillId="0" borderId="3" xfId="17" applyFont="1" applyBorder="1"/>
    <xf numFmtId="0" fontId="11" fillId="0" borderId="6" xfId="17" applyFont="1" applyBorder="1"/>
    <xf numFmtId="4" fontId="11" fillId="0" borderId="5" xfId="17" applyNumberFormat="1" applyFont="1" applyBorder="1"/>
    <xf numFmtId="4" fontId="11" fillId="0" borderId="5" xfId="17" applyNumberFormat="1" applyFont="1" applyBorder="1" applyAlignment="1">
      <alignment horizontal="right"/>
    </xf>
    <xf numFmtId="49" fontId="18" fillId="0" borderId="3" xfId="17" applyNumberFormat="1" applyFont="1" applyBorder="1" applyAlignment="1">
      <alignment horizontal="right"/>
    </xf>
    <xf numFmtId="0" fontId="30" fillId="0" borderId="11" xfId="17" applyFont="1" applyBorder="1" applyAlignment="1">
      <alignment vertical="center" wrapText="1"/>
    </xf>
    <xf numFmtId="4" fontId="30" fillId="0" borderId="11" xfId="17" applyNumberFormat="1" applyFont="1" applyBorder="1"/>
    <xf numFmtId="4" fontId="30" fillId="0" borderId="11" xfId="17" applyNumberFormat="1" applyFont="1" applyBorder="1" applyAlignment="1">
      <alignment horizontal="right"/>
    </xf>
    <xf numFmtId="49" fontId="11" fillId="0" borderId="3" xfId="17" applyNumberFormat="1" applyFont="1" applyBorder="1" applyAlignment="1">
      <alignment horizontal="right" vertical="top"/>
    </xf>
    <xf numFmtId="0" fontId="11" fillId="0" borderId="4" xfId="17" applyFont="1" applyBorder="1" applyAlignment="1">
      <alignment vertical="center" wrapText="1"/>
    </xf>
    <xf numFmtId="4" fontId="11" fillId="0" borderId="3" xfId="17" applyNumberFormat="1" applyFont="1" applyBorder="1"/>
    <xf numFmtId="4" fontId="11" fillId="0" borderId="3" xfId="17" applyNumberFormat="1" applyFont="1" applyBorder="1" applyAlignment="1">
      <alignment horizontal="right"/>
    </xf>
    <xf numFmtId="3" fontId="15" fillId="0" borderId="3" xfId="17" applyNumberFormat="1" applyFont="1" applyBorder="1" applyAlignment="1">
      <alignment horizontal="right"/>
    </xf>
    <xf numFmtId="3" fontId="11" fillId="0" borderId="3" xfId="17" applyNumberFormat="1" applyFont="1" applyBorder="1" applyAlignment="1">
      <alignment horizontal="right"/>
    </xf>
    <xf numFmtId="0" fontId="30" fillId="0" borderId="12" xfId="17" applyFont="1" applyBorder="1" applyAlignment="1">
      <alignment vertical="center"/>
    </xf>
    <xf numFmtId="0" fontId="11" fillId="0" borderId="4" xfId="17" applyFont="1" applyBorder="1" applyAlignment="1">
      <alignment vertical="top" wrapText="1"/>
    </xf>
    <xf numFmtId="0" fontId="11" fillId="0" borderId="3" xfId="17" applyFont="1" applyBorder="1" applyAlignment="1">
      <alignment horizontal="right"/>
    </xf>
    <xf numFmtId="0" fontId="30" fillId="0" borderId="3" xfId="17" applyFont="1" applyBorder="1" applyAlignment="1">
      <alignment horizontal="right"/>
    </xf>
    <xf numFmtId="0" fontId="30" fillId="0" borderId="12" xfId="17" applyFont="1" applyBorder="1"/>
    <xf numFmtId="0" fontId="29" fillId="5" borderId="0" xfId="17" applyFont="1" applyFill="1"/>
    <xf numFmtId="49" fontId="11" fillId="0" borderId="3" xfId="17" applyNumberFormat="1" applyFont="1" applyBorder="1" applyAlignment="1">
      <alignment horizontal="center"/>
    </xf>
    <xf numFmtId="0" fontId="11" fillId="0" borderId="3" xfId="17" applyFont="1" applyBorder="1" applyAlignment="1">
      <alignment wrapText="1"/>
    </xf>
    <xf numFmtId="3" fontId="11" fillId="0" borderId="4" xfId="17" applyNumberFormat="1" applyFont="1" applyBorder="1"/>
    <xf numFmtId="0" fontId="11" fillId="0" borderId="3" xfId="17" applyFont="1" applyBorder="1" applyAlignment="1">
      <alignment vertical="top" wrapText="1"/>
    </xf>
    <xf numFmtId="3" fontId="11" fillId="0" borderId="6" xfId="17" applyNumberFormat="1" applyFont="1" applyBorder="1"/>
    <xf numFmtId="3" fontId="15" fillId="0" borderId="5" xfId="17" applyNumberFormat="1" applyFont="1" applyBorder="1"/>
    <xf numFmtId="49" fontId="11" fillId="0" borderId="5" xfId="17" applyNumberFormat="1" applyFont="1" applyBorder="1" applyAlignment="1">
      <alignment horizontal="right" vertical="top"/>
    </xf>
    <xf numFmtId="0" fontId="11" fillId="0" borderId="5" xfId="17" applyFont="1" applyBorder="1" applyAlignment="1">
      <alignment vertical="top" wrapText="1"/>
    </xf>
    <xf numFmtId="0" fontId="11" fillId="0" borderId="3" xfId="17" applyFont="1" applyBorder="1" applyAlignment="1">
      <alignment horizontal="right" vertical="top"/>
    </xf>
    <xf numFmtId="0" fontId="11" fillId="0" borderId="6" xfId="17" applyFont="1" applyBorder="1" applyAlignment="1">
      <alignment wrapText="1"/>
    </xf>
    <xf numFmtId="0" fontId="11" fillId="0" borderId="3" xfId="17" applyFont="1" applyBorder="1" applyAlignment="1">
      <alignment vertical="center" wrapText="1"/>
    </xf>
    <xf numFmtId="3" fontId="31" fillId="0" borderId="3" xfId="17" applyNumberFormat="1" applyFont="1" applyBorder="1"/>
    <xf numFmtId="49" fontId="31" fillId="0" borderId="3" xfId="17" applyNumberFormat="1" applyFont="1" applyBorder="1" applyAlignment="1">
      <alignment horizontal="right"/>
    </xf>
    <xf numFmtId="0" fontId="11" fillId="0" borderId="4" xfId="17" applyFont="1" applyBorder="1" applyAlignment="1">
      <alignment wrapText="1"/>
    </xf>
    <xf numFmtId="0" fontId="30" fillId="0" borderId="11" xfId="2" applyFont="1" applyBorder="1" applyAlignment="1">
      <alignment horizontal="left"/>
    </xf>
    <xf numFmtId="49" fontId="11" fillId="0" borderId="3" xfId="17" applyNumberFormat="1" applyFont="1" applyBorder="1" applyAlignment="1">
      <alignment horizontal="right" vertical="center"/>
    </xf>
    <xf numFmtId="0" fontId="11" fillId="0" borderId="4" xfId="17" applyFont="1" applyBorder="1" applyAlignment="1">
      <alignment vertical="center"/>
    </xf>
    <xf numFmtId="0" fontId="11" fillId="0" borderId="3" xfId="17" applyFont="1" applyBorder="1" applyAlignment="1">
      <alignment horizontal="right" vertical="center"/>
    </xf>
    <xf numFmtId="0" fontId="11" fillId="0" borderId="4" xfId="17" applyFont="1" applyBorder="1"/>
    <xf numFmtId="0" fontId="11" fillId="0" borderId="4" xfId="17" applyFont="1" applyBorder="1" applyAlignment="1">
      <alignment horizontal="right"/>
    </xf>
    <xf numFmtId="4" fontId="11" fillId="0" borderId="11" xfId="17" applyNumberFormat="1" applyFont="1" applyBorder="1"/>
    <xf numFmtId="0" fontId="15" fillId="0" borderId="3" xfId="17" applyFont="1" applyBorder="1" applyAlignment="1">
      <alignment horizontal="center" vertical="center"/>
    </xf>
    <xf numFmtId="0" fontId="15" fillId="0" borderId="3" xfId="17" applyFont="1" applyBorder="1" applyAlignment="1">
      <alignment horizontal="right" vertical="center"/>
    </xf>
    <xf numFmtId="0" fontId="15" fillId="0" borderId="3" xfId="17" applyFont="1" applyBorder="1" applyAlignment="1">
      <alignment vertical="center"/>
    </xf>
    <xf numFmtId="4" fontId="15" fillId="0" borderId="10" xfId="17" applyNumberFormat="1" applyFont="1" applyBorder="1" applyAlignment="1">
      <alignment vertical="center"/>
    </xf>
    <xf numFmtId="0" fontId="11" fillId="0" borderId="3" xfId="17" applyFont="1" applyBorder="1" applyAlignment="1">
      <alignment horizontal="center"/>
    </xf>
    <xf numFmtId="0" fontId="11" fillId="0" borderId="5" xfId="17" applyFont="1" applyBorder="1"/>
    <xf numFmtId="0" fontId="30" fillId="0" borderId="11" xfId="17" applyFont="1" applyBorder="1"/>
    <xf numFmtId="3" fontId="15" fillId="0" borderId="3" xfId="17" applyNumberFormat="1" applyFont="1" applyBorder="1" applyAlignment="1">
      <alignment horizontal="right" vertical="center"/>
    </xf>
    <xf numFmtId="49" fontId="15" fillId="0" borderId="3" xfId="17" applyNumberFormat="1" applyFont="1" applyBorder="1" applyAlignment="1">
      <alignment horizontal="right" vertical="center"/>
    </xf>
    <xf numFmtId="3" fontId="15" fillId="0" borderId="4" xfId="17" applyNumberFormat="1" applyFont="1" applyBorder="1" applyAlignment="1">
      <alignment vertical="center"/>
    </xf>
    <xf numFmtId="4" fontId="15" fillId="0" borderId="10" xfId="17" applyNumberFormat="1" applyFont="1" applyBorder="1" applyAlignment="1">
      <alignment horizontal="right" vertical="center"/>
    </xf>
    <xf numFmtId="0" fontId="30" fillId="0" borderId="3" xfId="2" applyFont="1" applyBorder="1" applyAlignment="1">
      <alignment horizontal="right"/>
    </xf>
    <xf numFmtId="0" fontId="11" fillId="0" borderId="3" xfId="17" applyFont="1" applyBorder="1" applyAlignment="1">
      <alignment vertical="center"/>
    </xf>
    <xf numFmtId="0" fontId="11" fillId="0" borderId="3" xfId="2" applyFont="1" applyBorder="1" applyAlignment="1">
      <alignment horizontal="right" vertical="center"/>
    </xf>
    <xf numFmtId="4" fontId="11" fillId="0" borderId="5" xfId="2" applyNumberFormat="1" applyFont="1" applyBorder="1" applyAlignment="1">
      <alignment vertical="center"/>
    </xf>
    <xf numFmtId="4" fontId="11" fillId="0" borderId="5" xfId="17" applyNumberFormat="1" applyFont="1" applyBorder="1" applyAlignment="1">
      <alignment vertical="center"/>
    </xf>
    <xf numFmtId="0" fontId="30" fillId="0" borderId="11" xfId="2" applyFont="1" applyBorder="1" applyAlignment="1">
      <alignment vertical="center"/>
    </xf>
    <xf numFmtId="4" fontId="30" fillId="0" borderId="11" xfId="2" applyNumberFormat="1" applyFont="1" applyBorder="1" applyAlignment="1">
      <alignment vertical="center"/>
    </xf>
    <xf numFmtId="4" fontId="30" fillId="0" borderId="11" xfId="17" applyNumberFormat="1" applyFont="1" applyBorder="1" applyAlignment="1">
      <alignment vertical="center"/>
    </xf>
    <xf numFmtId="4" fontId="11" fillId="0" borderId="3" xfId="2" applyNumberFormat="1" applyFont="1" applyBorder="1" applyAlignment="1">
      <alignment vertical="center"/>
    </xf>
    <xf numFmtId="4" fontId="11" fillId="0" borderId="3" xfId="17" applyNumberFormat="1" applyFont="1" applyBorder="1" applyAlignment="1">
      <alignment horizontal="right" vertical="center"/>
    </xf>
    <xf numFmtId="3" fontId="15" fillId="0" borderId="5" xfId="17" applyNumberFormat="1" applyFont="1" applyBorder="1" applyAlignment="1">
      <alignment horizontal="right" vertical="center"/>
    </xf>
    <xf numFmtId="0" fontId="11" fillId="0" borderId="5" xfId="2" applyFont="1" applyBorder="1" applyAlignment="1">
      <alignment horizontal="right" vertical="center"/>
    </xf>
    <xf numFmtId="0" fontId="11" fillId="0" borderId="5" xfId="17" applyFont="1" applyBorder="1" applyAlignment="1">
      <alignment horizontal="right" vertical="center"/>
    </xf>
    <xf numFmtId="0" fontId="11" fillId="0" borderId="5" xfId="17" applyFont="1" applyBorder="1" applyAlignment="1">
      <alignment vertical="center"/>
    </xf>
    <xf numFmtId="4" fontId="11" fillId="0" borderId="5" xfId="17" applyNumberFormat="1" applyFont="1" applyBorder="1" applyAlignment="1">
      <alignment horizontal="right" vertical="center"/>
    </xf>
    <xf numFmtId="0" fontId="15" fillId="0" borderId="3" xfId="17" applyFont="1" applyBorder="1" applyAlignment="1">
      <alignment horizontal="right"/>
    </xf>
    <xf numFmtId="0" fontId="15" fillId="0" borderId="4" xfId="17" applyFont="1" applyBorder="1"/>
    <xf numFmtId="49" fontId="30" fillId="0" borderId="3" xfId="17" applyNumberFormat="1" applyFont="1" applyBorder="1" applyAlignment="1">
      <alignment horizontal="right"/>
    </xf>
    <xf numFmtId="4" fontId="11" fillId="0" borderId="1" xfId="17" applyNumberFormat="1" applyFont="1" applyBorder="1"/>
    <xf numFmtId="4" fontId="11" fillId="0" borderId="1" xfId="17" applyNumberFormat="1" applyFont="1" applyBorder="1" applyAlignment="1">
      <alignment vertical="center"/>
    </xf>
    <xf numFmtId="4" fontId="11" fillId="0" borderId="3" xfId="2" applyNumberFormat="1" applyFont="1" applyBorder="1"/>
    <xf numFmtId="4" fontId="11" fillId="0" borderId="14" xfId="17" applyNumberFormat="1" applyFont="1" applyBorder="1" applyAlignment="1">
      <alignment horizontal="right"/>
    </xf>
    <xf numFmtId="0" fontId="16" fillId="0" borderId="3" xfId="17" applyFont="1" applyBorder="1"/>
    <xf numFmtId="0" fontId="11" fillId="0" borderId="0" xfId="17" applyFont="1" applyAlignment="1">
      <alignment vertical="center" wrapText="1"/>
    </xf>
    <xf numFmtId="0" fontId="16" fillId="0" borderId="0" xfId="17" applyFont="1" applyAlignment="1">
      <alignment vertical="center"/>
    </xf>
    <xf numFmtId="0" fontId="11" fillId="0" borderId="6" xfId="17" applyFont="1" applyBorder="1" applyAlignment="1">
      <alignment vertical="center"/>
    </xf>
    <xf numFmtId="0" fontId="30" fillId="0" borderId="12" xfId="17" applyFont="1" applyBorder="1" applyAlignment="1">
      <alignment vertical="center" wrapText="1"/>
    </xf>
    <xf numFmtId="0" fontId="30" fillId="0" borderId="12" xfId="17" applyFont="1" applyBorder="1" applyAlignment="1">
      <alignment wrapText="1"/>
    </xf>
    <xf numFmtId="0" fontId="11" fillId="0" borderId="3" xfId="2" applyFont="1" applyBorder="1" applyAlignment="1">
      <alignment vertical="center"/>
    </xf>
    <xf numFmtId="4" fontId="11" fillId="0" borderId="14" xfId="17" applyNumberFormat="1" applyFont="1" applyBorder="1"/>
    <xf numFmtId="0" fontId="16" fillId="0" borderId="0" xfId="2" applyFont="1" applyAlignment="1">
      <alignment vertical="center"/>
    </xf>
    <xf numFmtId="0" fontId="11" fillId="0" borderId="3" xfId="18" applyFont="1" applyBorder="1" applyAlignment="1">
      <alignment horizontal="right"/>
    </xf>
    <xf numFmtId="0" fontId="11" fillId="0" borderId="4" xfId="18" applyFont="1" applyBorder="1"/>
    <xf numFmtId="49" fontId="15" fillId="0" borderId="5" xfId="17" applyNumberFormat="1" applyFont="1" applyBorder="1" applyAlignment="1">
      <alignment horizontal="right"/>
    </xf>
    <xf numFmtId="0" fontId="11" fillId="0" borderId="5" xfId="17" applyFont="1" applyBorder="1" applyAlignment="1">
      <alignment horizontal="right"/>
    </xf>
    <xf numFmtId="0" fontId="30" fillId="0" borderId="3" xfId="17" applyFont="1" applyBorder="1"/>
    <xf numFmtId="3" fontId="11" fillId="0" borderId="4" xfId="17" applyNumberFormat="1" applyFont="1" applyBorder="1" applyAlignment="1">
      <alignment vertical="center" wrapText="1"/>
    </xf>
    <xf numFmtId="0" fontId="30" fillId="0" borderId="4" xfId="2" applyFont="1" applyBorder="1"/>
    <xf numFmtId="0" fontId="30" fillId="0" borderId="12" xfId="2" applyFont="1" applyBorder="1"/>
    <xf numFmtId="3" fontId="30" fillId="0" borderId="12" xfId="17" applyNumberFormat="1" applyFont="1" applyBorder="1" applyAlignment="1">
      <alignment wrapText="1"/>
    </xf>
    <xf numFmtId="4" fontId="15" fillId="0" borderId="3" xfId="2" applyNumberFormat="1" applyFont="1" applyBorder="1"/>
    <xf numFmtId="4" fontId="15" fillId="0" borderId="3" xfId="17" applyNumberFormat="1" applyFont="1" applyBorder="1" applyAlignment="1">
      <alignment horizontal="right"/>
    </xf>
    <xf numFmtId="4" fontId="15" fillId="0" borderId="3" xfId="17" applyNumberFormat="1" applyFont="1" applyBorder="1"/>
    <xf numFmtId="0" fontId="11" fillId="0" borderId="5" xfId="17" applyFont="1" applyBorder="1" applyAlignment="1">
      <alignment horizontal="left"/>
    </xf>
    <xf numFmtId="0" fontId="30" fillId="0" borderId="11" xfId="2" applyFont="1" applyBorder="1"/>
    <xf numFmtId="49" fontId="11" fillId="0" borderId="3" xfId="18" applyNumberFormat="1" applyFont="1" applyBorder="1" applyAlignment="1">
      <alignment horizontal="center"/>
    </xf>
    <xf numFmtId="0" fontId="11" fillId="0" borderId="5" xfId="19" applyNumberFormat="1" applyFont="1" applyBorder="1" applyAlignment="1">
      <alignment horizontal="left"/>
    </xf>
    <xf numFmtId="4" fontId="11" fillId="0" borderId="5" xfId="18" applyNumberFormat="1" applyFont="1" applyBorder="1"/>
    <xf numFmtId="4" fontId="11" fillId="0" borderId="5" xfId="18" applyNumberFormat="1" applyFont="1" applyBorder="1" applyAlignment="1">
      <alignment horizontal="right"/>
    </xf>
    <xf numFmtId="0" fontId="11" fillId="0" borderId="3" xfId="18" applyFont="1" applyBorder="1" applyAlignment="1">
      <alignment horizontal="center"/>
    </xf>
    <xf numFmtId="0" fontId="30" fillId="0" borderId="11" xfId="18" applyFont="1" applyBorder="1"/>
    <xf numFmtId="4" fontId="30" fillId="0" borderId="11" xfId="18" applyNumberFormat="1" applyFont="1" applyBorder="1"/>
    <xf numFmtId="4" fontId="30" fillId="0" borderId="11" xfId="18" applyNumberFormat="1" applyFont="1" applyBorder="1" applyAlignment="1">
      <alignment horizontal="right"/>
    </xf>
    <xf numFmtId="0" fontId="11" fillId="0" borderId="3" xfId="18" applyFont="1" applyBorder="1"/>
    <xf numFmtId="4" fontId="11" fillId="0" borderId="3" xfId="18" applyNumberFormat="1" applyFont="1" applyBorder="1" applyAlignment="1">
      <alignment horizontal="right"/>
    </xf>
    <xf numFmtId="4" fontId="11" fillId="0" borderId="3" xfId="18" applyNumberFormat="1" applyFont="1" applyBorder="1"/>
    <xf numFmtId="4" fontId="30" fillId="0" borderId="11" xfId="2" applyNumberFormat="1" applyFont="1" applyBorder="1" applyAlignment="1">
      <alignment horizontal="right"/>
    </xf>
    <xf numFmtId="0" fontId="11" fillId="0" borderId="5" xfId="2" applyFont="1" applyBorder="1" applyAlignment="1">
      <alignment vertical="center"/>
    </xf>
    <xf numFmtId="0" fontId="15" fillId="0" borderId="3" xfId="2" applyFont="1" applyBorder="1" applyAlignment="1">
      <alignment horizontal="center"/>
    </xf>
    <xf numFmtId="0" fontId="11" fillId="0" borderId="3" xfId="2" applyFont="1" applyBorder="1" applyAlignment="1">
      <alignment horizontal="center"/>
    </xf>
    <xf numFmtId="0" fontId="15" fillId="0" borderId="10" xfId="2" applyFont="1" applyBorder="1"/>
    <xf numFmtId="0" fontId="11" fillId="0" borderId="3" xfId="2" applyFont="1" applyBorder="1" applyAlignment="1">
      <alignment horizontal="centerContinuous"/>
    </xf>
    <xf numFmtId="0" fontId="30" fillId="0" borderId="11" xfId="2" applyFont="1" applyBorder="1" applyAlignment="1">
      <alignment horizontal="left" vertical="center" wrapText="1"/>
    </xf>
    <xf numFmtId="0" fontId="30" fillId="0" borderId="13" xfId="17" applyFont="1" applyBorder="1" applyAlignment="1">
      <alignment horizontal="left"/>
    </xf>
    <xf numFmtId="3" fontId="15" fillId="0" borderId="5" xfId="17" applyNumberFormat="1" applyFont="1" applyBorder="1" applyAlignment="1">
      <alignment horizontal="right"/>
    </xf>
    <xf numFmtId="49" fontId="11" fillId="0" borderId="5" xfId="17" applyNumberFormat="1" applyFont="1" applyBorder="1" applyAlignment="1">
      <alignment horizontal="right"/>
    </xf>
    <xf numFmtId="0" fontId="11" fillId="0" borderId="5" xfId="17" applyFont="1" applyBorder="1" applyAlignment="1">
      <alignment horizontal="right" vertical="top"/>
    </xf>
    <xf numFmtId="0" fontId="11" fillId="0" borderId="6" xfId="17" applyFont="1" applyBorder="1" applyAlignment="1">
      <alignment vertical="top"/>
    </xf>
    <xf numFmtId="0" fontId="11" fillId="0" borderId="6" xfId="17" applyFont="1" applyBorder="1" applyAlignment="1">
      <alignment vertical="center" wrapText="1"/>
    </xf>
    <xf numFmtId="4" fontId="11" fillId="0" borderId="23" xfId="17" applyNumberFormat="1" applyFont="1" applyBorder="1"/>
    <xf numFmtId="0" fontId="30" fillId="0" borderId="12" xfId="20" applyFont="1" applyBorder="1" applyAlignment="1">
      <alignment vertical="center" wrapText="1"/>
    </xf>
    <xf numFmtId="0" fontId="11" fillId="0" borderId="4" xfId="17" applyFont="1" applyBorder="1" applyAlignment="1">
      <alignment vertical="top"/>
    </xf>
    <xf numFmtId="0" fontId="11" fillId="0" borderId="5" xfId="2" applyFont="1" applyBorder="1" applyAlignment="1">
      <alignment horizontal="right"/>
    </xf>
    <xf numFmtId="0" fontId="16" fillId="0" borderId="6" xfId="17" applyFont="1" applyBorder="1"/>
    <xf numFmtId="0" fontId="11" fillId="0" borderId="20" xfId="17" applyFont="1" applyBorder="1"/>
    <xf numFmtId="4" fontId="11" fillId="0" borderId="13" xfId="17" applyNumberFormat="1" applyFont="1" applyBorder="1"/>
    <xf numFmtId="0" fontId="30" fillId="0" borderId="11" xfId="2" applyFont="1" applyBorder="1" applyAlignment="1">
      <alignment vertical="center" wrapText="1"/>
    </xf>
    <xf numFmtId="0" fontId="11" fillId="0" borderId="5" xfId="3" applyNumberFormat="1" applyFont="1" applyFill="1" applyBorder="1" applyAlignment="1">
      <alignment horizontal="left"/>
    </xf>
    <xf numFmtId="49" fontId="11" fillId="0" borderId="3" xfId="2" applyNumberFormat="1" applyFont="1" applyBorder="1" applyAlignment="1">
      <alignment horizontal="right"/>
    </xf>
    <xf numFmtId="4" fontId="11" fillId="0" borderId="4" xfId="17" applyNumberFormat="1" applyFont="1" applyBorder="1"/>
    <xf numFmtId="3" fontId="30" fillId="0" borderId="11" xfId="17" applyNumberFormat="1" applyFont="1" applyBorder="1"/>
    <xf numFmtId="4" fontId="11" fillId="0" borderId="6" xfId="17" applyNumberFormat="1" applyFont="1" applyBorder="1"/>
    <xf numFmtId="0" fontId="15" fillId="0" borderId="3" xfId="2" applyFont="1" applyBorder="1"/>
    <xf numFmtId="4" fontId="30" fillId="0" borderId="13" xfId="17" applyNumberFormat="1" applyFont="1" applyBorder="1"/>
    <xf numFmtId="0" fontId="30" fillId="0" borderId="11" xfId="2" applyFont="1" applyBorder="1" applyAlignment="1">
      <alignment wrapText="1"/>
    </xf>
    <xf numFmtId="0" fontId="11" fillId="0" borderId="3" xfId="2" applyFont="1" applyBorder="1" applyAlignment="1">
      <alignment horizontal="right" vertical="top"/>
    </xf>
    <xf numFmtId="4" fontId="30" fillId="0" borderId="13" xfId="17" applyNumberFormat="1" applyFont="1" applyBorder="1" applyAlignment="1">
      <alignment horizontal="right"/>
    </xf>
    <xf numFmtId="49" fontId="15" fillId="0" borderId="3" xfId="17" applyNumberFormat="1" applyFont="1" applyBorder="1"/>
    <xf numFmtId="0" fontId="11" fillId="0" borderId="6" xfId="17" applyFont="1" applyBorder="1" applyAlignment="1">
      <alignment horizontal="left"/>
    </xf>
    <xf numFmtId="0" fontId="30" fillId="0" borderId="11" xfId="17" applyFont="1" applyBorder="1" applyAlignment="1">
      <alignment vertical="center"/>
    </xf>
    <xf numFmtId="0" fontId="11" fillId="0" borderId="3" xfId="17" applyFont="1" applyBorder="1" applyAlignment="1">
      <alignment horizontal="left" vertical="center"/>
    </xf>
    <xf numFmtId="0" fontId="11" fillId="0" borderId="4" xfId="17" applyFont="1" applyBorder="1" applyAlignment="1">
      <alignment horizontal="left" vertical="center" wrapText="1"/>
    </xf>
    <xf numFmtId="0" fontId="11" fillId="0" borderId="3" xfId="17" applyFont="1" applyBorder="1" applyAlignment="1">
      <alignment horizontal="left" vertical="center" wrapText="1"/>
    </xf>
    <xf numFmtId="0" fontId="16" fillId="0" borderId="5" xfId="17" applyFont="1" applyBorder="1"/>
    <xf numFmtId="49" fontId="16" fillId="0" borderId="5" xfId="17" applyNumberFormat="1" applyFont="1" applyBorder="1" applyAlignment="1">
      <alignment horizontal="right"/>
    </xf>
    <xf numFmtId="0" fontId="15" fillId="0" borderId="0" xfId="17" applyFont="1" applyAlignment="1">
      <alignment horizontal="center"/>
    </xf>
    <xf numFmtId="4" fontId="15" fillId="0" borderId="0" xfId="17" applyNumberFormat="1" applyFont="1"/>
    <xf numFmtId="4" fontId="11" fillId="0" borderId="0" xfId="17" applyNumberFormat="1" applyFont="1"/>
    <xf numFmtId="4" fontId="30" fillId="0" borderId="0" xfId="17" applyNumberFormat="1" applyFont="1"/>
    <xf numFmtId="4" fontId="15" fillId="0" borderId="0" xfId="17" applyNumberFormat="1" applyFont="1" applyAlignment="1">
      <alignment horizontal="right"/>
    </xf>
    <xf numFmtId="4" fontId="11" fillId="0" borderId="0" xfId="17" applyNumberFormat="1" applyFont="1" applyAlignment="1">
      <alignment horizontal="right"/>
    </xf>
    <xf numFmtId="4" fontId="15" fillId="0" borderId="0" xfId="17" applyNumberFormat="1" applyFont="1" applyAlignment="1">
      <alignment vertical="center"/>
    </xf>
    <xf numFmtId="4" fontId="11" fillId="0" borderId="0" xfId="17" applyNumberFormat="1" applyFont="1" applyAlignment="1">
      <alignment vertical="center"/>
    </xf>
    <xf numFmtId="4" fontId="30" fillId="0" borderId="0" xfId="17" applyNumberFormat="1" applyFont="1" applyAlignment="1">
      <alignment vertical="center"/>
    </xf>
    <xf numFmtId="4" fontId="11" fillId="0" borderId="0" xfId="17" applyNumberFormat="1" applyFont="1" applyAlignment="1">
      <alignment horizontal="right" vertical="center"/>
    </xf>
    <xf numFmtId="4" fontId="11" fillId="0" borderId="0" xfId="18" applyNumberFormat="1" applyFont="1"/>
    <xf numFmtId="4" fontId="30" fillId="0" borderId="0" xfId="18" applyNumberFormat="1" applyFont="1"/>
    <xf numFmtId="4" fontId="11" fillId="0" borderId="0" xfId="18" applyNumberFormat="1" applyFont="1" applyAlignment="1">
      <alignment horizontal="right"/>
    </xf>
    <xf numFmtId="0" fontId="18" fillId="0" borderId="0" xfId="11" applyFont="1" applyAlignment="1">
      <alignment horizontal="center" vertical="top"/>
    </xf>
    <xf numFmtId="0" fontId="18" fillId="0" borderId="0" xfId="11" applyFont="1" applyAlignment="1">
      <alignment horizontal="left"/>
    </xf>
    <xf numFmtId="0" fontId="19" fillId="0" borderId="0" xfId="11" applyFont="1" applyAlignment="1">
      <alignment horizontal="center" vertical="center"/>
    </xf>
    <xf numFmtId="0" fontId="19" fillId="4" borderId="15" xfId="11" applyFont="1" applyFill="1" applyBorder="1" applyAlignment="1">
      <alignment horizontal="center" vertical="center"/>
    </xf>
    <xf numFmtId="0" fontId="12" fillId="0" borderId="15" xfId="11" applyFont="1" applyBorder="1" applyAlignment="1">
      <alignment horizontal="center" vertical="center"/>
    </xf>
    <xf numFmtId="0" fontId="12" fillId="0" borderId="15" xfId="11" applyFont="1" applyBorder="1" applyAlignment="1">
      <alignment horizontal="center" vertical="top"/>
    </xf>
    <xf numFmtId="0" fontId="12" fillId="0" borderId="0" xfId="11" applyFont="1"/>
    <xf numFmtId="0" fontId="19" fillId="0" borderId="17" xfId="11" applyFont="1" applyBorder="1" applyAlignment="1">
      <alignment horizontal="center" vertical="top"/>
    </xf>
    <xf numFmtId="0" fontId="18" fillId="0" borderId="15" xfId="11" applyFont="1" applyBorder="1" applyAlignment="1">
      <alignment horizontal="center" vertical="center"/>
    </xf>
    <xf numFmtId="0" fontId="18" fillId="0" borderId="1" xfId="11" applyFont="1" applyBorder="1" applyAlignment="1">
      <alignment horizontal="center" vertical="center"/>
    </xf>
    <xf numFmtId="0" fontId="18" fillId="0" borderId="1" xfId="11" applyFont="1" applyBorder="1" applyAlignment="1">
      <alignment horizontal="center" vertical="center" wrapText="1"/>
    </xf>
    <xf numFmtId="0" fontId="18" fillId="0" borderId="1" xfId="21" applyFont="1" applyBorder="1" applyAlignment="1">
      <alignment horizontal="center" vertical="center"/>
    </xf>
    <xf numFmtId="0" fontId="18" fillId="3" borderId="15" xfId="22" applyFont="1" applyFill="1" applyBorder="1" applyAlignment="1">
      <alignment horizontal="center" vertical="center"/>
    </xf>
    <xf numFmtId="0" fontId="18" fillId="0" borderId="16" xfId="22" applyFont="1" applyBorder="1" applyAlignment="1">
      <alignment vertical="center" wrapText="1"/>
    </xf>
    <xf numFmtId="0" fontId="11" fillId="0" borderId="16" xfId="11" applyFont="1" applyBorder="1" applyAlignment="1">
      <alignment horizontal="center" vertical="center"/>
    </xf>
    <xf numFmtId="0" fontId="11" fillId="3" borderId="17" xfId="11" applyFont="1" applyFill="1" applyBorder="1" applyAlignment="1">
      <alignment vertical="center"/>
    </xf>
    <xf numFmtId="0" fontId="11" fillId="3" borderId="17" xfId="11" applyFont="1" applyFill="1" applyBorder="1" applyAlignment="1">
      <alignment horizontal="center" vertical="center"/>
    </xf>
    <xf numFmtId="0" fontId="11" fillId="3" borderId="17" xfId="13" applyFont="1" applyFill="1" applyBorder="1" applyAlignment="1">
      <alignment horizontal="center" vertical="center"/>
    </xf>
    <xf numFmtId="0" fontId="11" fillId="0" borderId="28" xfId="11" applyFont="1" applyBorder="1" applyAlignment="1">
      <alignment vertical="center"/>
    </xf>
    <xf numFmtId="0" fontId="18" fillId="0" borderId="15" xfId="11" applyFont="1" applyBorder="1" applyAlignment="1">
      <alignment horizontal="left" vertical="center"/>
    </xf>
    <xf numFmtId="0" fontId="11" fillId="0" borderId="6" xfId="11" applyFont="1" applyBorder="1" applyAlignment="1">
      <alignment horizontal="center"/>
    </xf>
    <xf numFmtId="0" fontId="11" fillId="0" borderId="21" xfId="11" applyFont="1" applyBorder="1" applyAlignment="1">
      <alignment horizontal="center"/>
    </xf>
    <xf numFmtId="0" fontId="11" fillId="0" borderId="17" xfId="11" applyFont="1" applyBorder="1" applyAlignment="1">
      <alignment horizontal="center"/>
    </xf>
    <xf numFmtId="0" fontId="11" fillId="0" borderId="18" xfId="11" applyFont="1" applyBorder="1" applyAlignment="1">
      <alignment horizontal="center" vertical="top"/>
    </xf>
    <xf numFmtId="0" fontId="11" fillId="0" borderId="15" xfId="11" applyFont="1" applyBorder="1" applyAlignment="1">
      <alignment wrapText="1"/>
    </xf>
    <xf numFmtId="4" fontId="11" fillId="0" borderId="28" xfId="11" applyNumberFormat="1" applyFont="1" applyBorder="1" applyAlignment="1">
      <alignment horizontal="right" vertical="center"/>
    </xf>
    <xf numFmtId="0" fontId="11" fillId="0" borderId="21" xfId="11" applyFont="1" applyBorder="1" applyAlignment="1">
      <alignment horizontal="center" vertical="top"/>
    </xf>
    <xf numFmtId="0" fontId="11" fillId="0" borderId="15" xfId="11" applyFont="1" applyBorder="1"/>
    <xf numFmtId="4" fontId="11" fillId="0" borderId="28" xfId="11" applyNumberFormat="1" applyFont="1" applyBorder="1" applyAlignment="1">
      <alignment vertical="center"/>
    </xf>
    <xf numFmtId="0" fontId="11" fillId="0" borderId="15" xfId="11" applyFont="1" applyBorder="1" applyAlignment="1">
      <alignment vertical="center"/>
    </xf>
    <xf numFmtId="0" fontId="32" fillId="0" borderId="16" xfId="11" applyFont="1" applyBorder="1" applyAlignment="1">
      <alignment horizontal="left"/>
    </xf>
    <xf numFmtId="0" fontId="32" fillId="0" borderId="17" xfId="11" applyFont="1" applyBorder="1" applyAlignment="1">
      <alignment horizontal="centerContinuous"/>
    </xf>
    <xf numFmtId="0" fontId="32" fillId="0" borderId="17" xfId="11" applyFont="1" applyBorder="1" applyAlignment="1">
      <alignment horizontal="center" vertical="top"/>
    </xf>
    <xf numFmtId="0" fontId="32" fillId="0" borderId="17" xfId="11" applyFont="1" applyBorder="1" applyAlignment="1">
      <alignment horizontal="center"/>
    </xf>
    <xf numFmtId="4" fontId="32" fillId="0" borderId="15" xfId="11" applyNumberFormat="1" applyFont="1" applyBorder="1"/>
    <xf numFmtId="0" fontId="32" fillId="0" borderId="0" xfId="11" applyFont="1"/>
    <xf numFmtId="4" fontId="11" fillId="0" borderId="28" xfId="11" applyNumberFormat="1" applyFont="1" applyBorder="1"/>
    <xf numFmtId="4" fontId="18" fillId="0" borderId="18" xfId="11" applyNumberFormat="1" applyFont="1" applyBorder="1" applyAlignment="1">
      <alignment vertical="center"/>
    </xf>
    <xf numFmtId="0" fontId="11" fillId="0" borderId="18" xfId="11" applyFont="1" applyBorder="1" applyAlignment="1">
      <alignment horizontal="center"/>
    </xf>
    <xf numFmtId="0" fontId="11" fillId="0" borderId="16" xfId="11" applyFont="1" applyBorder="1" applyAlignment="1">
      <alignment horizontal="center"/>
    </xf>
    <xf numFmtId="4" fontId="11" fillId="0" borderId="18" xfId="11" applyNumberFormat="1" applyFont="1" applyBorder="1"/>
    <xf numFmtId="0" fontId="33" fillId="0" borderId="16" xfId="11" applyFont="1" applyBorder="1" applyAlignment="1">
      <alignment horizontal="left" vertical="center"/>
    </xf>
    <xf numFmtId="0" fontId="33" fillId="0" borderId="17" xfId="11" applyFont="1" applyBorder="1" applyAlignment="1">
      <alignment horizontal="centerContinuous" vertical="center"/>
    </xf>
    <xf numFmtId="0" fontId="33" fillId="0" borderId="17" xfId="11" applyFont="1" applyBorder="1" applyAlignment="1">
      <alignment horizontal="center" vertical="top"/>
    </xf>
    <xf numFmtId="0" fontId="33" fillId="0" borderId="17" xfId="11" applyFont="1" applyBorder="1" applyAlignment="1">
      <alignment horizontal="center" vertical="center"/>
    </xf>
    <xf numFmtId="4" fontId="33" fillId="0" borderId="15" xfId="11" applyNumberFormat="1" applyFont="1" applyBorder="1" applyAlignment="1">
      <alignment vertical="center"/>
    </xf>
    <xf numFmtId="0" fontId="32" fillId="0" borderId="0" xfId="11" applyFont="1" applyAlignment="1">
      <alignment vertical="center"/>
    </xf>
    <xf numFmtId="0" fontId="20" fillId="0" borderId="16" xfId="13" applyFont="1" applyFill="1" applyBorder="1" applyAlignment="1">
      <alignment horizontal="center" vertical="top"/>
    </xf>
    <xf numFmtId="0" fontId="18" fillId="0" borderId="15" xfId="16" applyFont="1" applyBorder="1" applyAlignment="1">
      <alignment vertical="center"/>
    </xf>
    <xf numFmtId="0" fontId="18" fillId="0" borderId="16" xfId="16" applyFont="1" applyBorder="1" applyAlignment="1">
      <alignment vertical="center"/>
    </xf>
    <xf numFmtId="0" fontId="18" fillId="0" borderId="6" xfId="13" applyFont="1" applyFill="1" applyBorder="1" applyAlignment="1">
      <alignment horizontal="center" vertical="center" wrapText="1"/>
    </xf>
    <xf numFmtId="0" fontId="18" fillId="0" borderId="6" xfId="13" applyFont="1" applyFill="1" applyBorder="1" applyAlignment="1">
      <alignment horizontal="center" vertical="center"/>
    </xf>
    <xf numFmtId="0" fontId="18" fillId="0" borderId="19" xfId="13" applyFont="1" applyFill="1" applyBorder="1" applyAlignment="1">
      <alignment horizontal="center" vertical="center"/>
    </xf>
    <xf numFmtId="0" fontId="18" fillId="0" borderId="16" xfId="13" applyFont="1" applyFill="1" applyBorder="1" applyAlignment="1">
      <alignment horizontal="center"/>
    </xf>
    <xf numFmtId="0" fontId="18" fillId="0" borderId="16" xfId="13" applyFont="1" applyFill="1" applyBorder="1" applyAlignment="1">
      <alignment horizontal="center" vertical="top" wrapText="1"/>
    </xf>
    <xf numFmtId="0" fontId="18" fillId="0" borderId="16" xfId="13" applyFont="1" applyFill="1" applyBorder="1" applyAlignment="1">
      <alignment horizontal="center" vertical="top"/>
    </xf>
    <xf numFmtId="0" fontId="18" fillId="0" borderId="17" xfId="11" applyFont="1" applyBorder="1"/>
    <xf numFmtId="0" fontId="11" fillId="0" borderId="12" xfId="23" applyFont="1" applyBorder="1"/>
    <xf numFmtId="0" fontId="18" fillId="0" borderId="0" xfId="23" applyFont="1"/>
    <xf numFmtId="0" fontId="18" fillId="0" borderId="0" xfId="23" applyFont="1" applyAlignment="1">
      <alignment horizontal="center"/>
    </xf>
    <xf numFmtId="0" fontId="11" fillId="0" borderId="0" xfId="23" applyFont="1"/>
    <xf numFmtId="0" fontId="11" fillId="0" borderId="0" xfId="23" applyFont="1" applyAlignment="1">
      <alignment horizontal="left"/>
    </xf>
    <xf numFmtId="0" fontId="19" fillId="0" borderId="0" xfId="23" applyFont="1" applyAlignment="1">
      <alignment horizontal="centerContinuous" vertical="center" wrapText="1"/>
    </xf>
    <xf numFmtId="0" fontId="19" fillId="0" borderId="0" xfId="23" applyFont="1" applyAlignment="1">
      <alignment horizontal="centerContinuous" wrapText="1"/>
    </xf>
    <xf numFmtId="0" fontId="12" fillId="0" borderId="0" xfId="23" applyFont="1" applyAlignment="1">
      <alignment horizontal="right"/>
    </xf>
    <xf numFmtId="0" fontId="19" fillId="0" borderId="15" xfId="23" applyFont="1" applyBorder="1" applyAlignment="1">
      <alignment horizontal="center" vertical="center"/>
    </xf>
    <xf numFmtId="0" fontId="19" fillId="0" borderId="16" xfId="23" applyFont="1" applyBorder="1" applyAlignment="1">
      <alignment horizontal="centerContinuous" vertical="center"/>
    </xf>
    <xf numFmtId="0" fontId="20" fillId="0" borderId="15" xfId="23" applyFont="1" applyBorder="1" applyAlignment="1">
      <alignment horizontal="center" vertical="center"/>
    </xf>
    <xf numFmtId="0" fontId="20" fillId="0" borderId="16" xfId="23" applyFont="1" applyBorder="1" applyAlignment="1">
      <alignment horizontal="centerContinuous" vertical="center"/>
    </xf>
    <xf numFmtId="0" fontId="20" fillId="0" borderId="0" xfId="23" applyFont="1"/>
    <xf numFmtId="0" fontId="33" fillId="0" borderId="16" xfId="23" applyFont="1" applyBorder="1" applyAlignment="1">
      <alignment horizontal="left" vertical="center"/>
    </xf>
    <xf numFmtId="0" fontId="33" fillId="0" borderId="17" xfId="23" applyFont="1" applyBorder="1" applyAlignment="1">
      <alignment horizontal="left" vertical="center"/>
    </xf>
    <xf numFmtId="0" fontId="33" fillId="0" borderId="18" xfId="23" applyFont="1" applyBorder="1" applyAlignment="1">
      <alignment horizontal="left" vertical="center"/>
    </xf>
    <xf numFmtId="0" fontId="18" fillId="0" borderId="15" xfId="23" applyFont="1" applyBorder="1" applyAlignment="1">
      <alignment vertical="center"/>
    </xf>
    <xf numFmtId="0" fontId="18" fillId="0" borderId="15" xfId="23" applyFont="1" applyBorder="1" applyAlignment="1">
      <alignment horizontal="left" vertical="center" wrapText="1"/>
    </xf>
    <xf numFmtId="4" fontId="18" fillId="0" borderId="15" xfId="23" applyNumberFormat="1" applyFont="1" applyBorder="1" applyAlignment="1">
      <alignment vertical="center"/>
    </xf>
    <xf numFmtId="0" fontId="21" fillId="0" borderId="0" xfId="23" applyFont="1"/>
    <xf numFmtId="0" fontId="18" fillId="0" borderId="16" xfId="23" applyFont="1" applyBorder="1" applyAlignment="1">
      <alignment vertical="top" wrapText="1"/>
    </xf>
    <xf numFmtId="4" fontId="18" fillId="0" borderId="0" xfId="23" applyNumberFormat="1" applyFont="1"/>
    <xf numFmtId="0" fontId="18" fillId="0" borderId="16" xfId="23" applyFont="1" applyBorder="1" applyAlignment="1">
      <alignment vertical="center" wrapText="1"/>
    </xf>
    <xf numFmtId="4" fontId="18" fillId="0" borderId="5" xfId="23" applyNumberFormat="1" applyFont="1" applyBorder="1"/>
    <xf numFmtId="0" fontId="18" fillId="0" borderId="6" xfId="23" applyFont="1" applyBorder="1" applyAlignment="1">
      <alignment vertical="center" wrapText="1"/>
    </xf>
    <xf numFmtId="4" fontId="18" fillId="0" borderId="5" xfId="23" applyNumberFormat="1" applyFont="1" applyBorder="1" applyAlignment="1">
      <alignment vertical="center"/>
    </xf>
    <xf numFmtId="0" fontId="18" fillId="0" borderId="6" xfId="23" applyFont="1" applyBorder="1" applyAlignment="1">
      <alignment vertical="center"/>
    </xf>
    <xf numFmtId="0" fontId="18" fillId="0" borderId="1" xfId="23" applyFont="1" applyBorder="1" applyAlignment="1">
      <alignment vertical="center"/>
    </xf>
    <xf numFmtId="0" fontId="18" fillId="0" borderId="24" xfId="23" applyFont="1" applyBorder="1" applyAlignment="1">
      <alignment vertical="center"/>
    </xf>
    <xf numFmtId="0" fontId="18" fillId="0" borderId="1" xfId="23" applyFont="1" applyBorder="1" applyAlignment="1">
      <alignment horizontal="right" vertical="center"/>
    </xf>
    <xf numFmtId="0" fontId="18" fillId="0" borderId="24" xfId="23" applyFont="1" applyBorder="1" applyAlignment="1">
      <alignment horizontal="right" vertical="center"/>
    </xf>
    <xf numFmtId="0" fontId="18" fillId="0" borderId="16" xfId="23" applyFont="1" applyBorder="1" applyAlignment="1">
      <alignment wrapText="1"/>
    </xf>
    <xf numFmtId="49" fontId="11" fillId="0" borderId="1" xfId="23" applyNumberFormat="1" applyFont="1" applyBorder="1" applyAlignment="1">
      <alignment horizontal="right"/>
    </xf>
    <xf numFmtId="0" fontId="11" fillId="0" borderId="1" xfId="23" applyFont="1" applyBorder="1" applyAlignment="1">
      <alignment horizontal="right" vertical="top"/>
    </xf>
    <xf numFmtId="0" fontId="11" fillId="0" borderId="24" xfId="23" applyFont="1" applyBorder="1" applyAlignment="1">
      <alignment horizontal="right" vertical="top"/>
    </xf>
    <xf numFmtId="0" fontId="11" fillId="0" borderId="16" xfId="23" applyFont="1" applyBorder="1" applyAlignment="1">
      <alignment wrapText="1"/>
    </xf>
    <xf numFmtId="4" fontId="11" fillId="0" borderId="15" xfId="23" applyNumberFormat="1" applyFont="1" applyBorder="1" applyAlignment="1">
      <alignment vertical="center"/>
    </xf>
    <xf numFmtId="0" fontId="18" fillId="0" borderId="15" xfId="23" applyFont="1" applyBorder="1"/>
    <xf numFmtId="4" fontId="18" fillId="0" borderId="15" xfId="23" applyNumberFormat="1" applyFont="1" applyBorder="1"/>
    <xf numFmtId="0" fontId="18" fillId="0" borderId="15" xfId="23" quotePrefix="1" applyFont="1" applyBorder="1" applyAlignment="1">
      <alignment horizontal="right" vertical="center"/>
    </xf>
    <xf numFmtId="0" fontId="18" fillId="0" borderId="16" xfId="23" quotePrefix="1" applyFont="1" applyBorder="1" applyAlignment="1">
      <alignment vertical="top" wrapText="1"/>
    </xf>
    <xf numFmtId="4" fontId="18" fillId="0" borderId="15" xfId="23" applyNumberFormat="1" applyFont="1" applyBorder="1" applyAlignment="1">
      <alignment horizontal="right" vertical="center"/>
    </xf>
    <xf numFmtId="0" fontId="22" fillId="0" borderId="0" xfId="23" applyFont="1" applyAlignment="1">
      <alignment horizontal="center" vertical="center"/>
    </xf>
    <xf numFmtId="0" fontId="18" fillId="0" borderId="16" xfId="23" applyFont="1" applyBorder="1" applyAlignment="1">
      <alignment vertical="center"/>
    </xf>
    <xf numFmtId="0" fontId="32" fillId="0" borderId="16" xfId="23" applyFont="1" applyBorder="1" applyAlignment="1">
      <alignment horizontal="center" vertical="center"/>
    </xf>
    <xf numFmtId="0" fontId="32" fillId="0" borderId="17" xfId="23" applyFont="1" applyBorder="1" applyAlignment="1">
      <alignment horizontal="center" vertical="center"/>
    </xf>
    <xf numFmtId="4" fontId="32" fillId="0" borderId="15" xfId="23" applyNumberFormat="1" applyFont="1" applyBorder="1" applyAlignment="1">
      <alignment vertical="center"/>
    </xf>
    <xf numFmtId="0" fontId="18" fillId="0" borderId="0" xfId="23" applyFont="1" applyAlignment="1">
      <alignment vertical="center"/>
    </xf>
    <xf numFmtId="4" fontId="18" fillId="0" borderId="0" xfId="23" applyNumberFormat="1" applyFont="1" applyAlignment="1">
      <alignment vertical="center"/>
    </xf>
    <xf numFmtId="0" fontId="11" fillId="0" borderId="16" xfId="23" applyFont="1" applyBorder="1"/>
    <xf numFmtId="0" fontId="11" fillId="0" borderId="17" xfId="23" applyFont="1" applyBorder="1"/>
    <xf numFmtId="0" fontId="11" fillId="0" borderId="18" xfId="23" applyFont="1" applyBorder="1"/>
    <xf numFmtId="0" fontId="11" fillId="0" borderId="16" xfId="23" applyFont="1" applyBorder="1" applyAlignment="1">
      <alignment vertical="center" wrapText="1"/>
    </xf>
    <xf numFmtId="4" fontId="11" fillId="0" borderId="15" xfId="23" applyNumberFormat="1" applyFont="1" applyBorder="1"/>
    <xf numFmtId="0" fontId="11" fillId="0" borderId="4" xfId="23" applyFont="1" applyBorder="1"/>
    <xf numFmtId="0" fontId="11" fillId="0" borderId="25" xfId="23" applyFont="1" applyBorder="1"/>
    <xf numFmtId="0" fontId="11" fillId="0" borderId="12" xfId="23" applyFont="1" applyBorder="1" applyAlignment="1">
      <alignment horizontal="left" wrapText="1"/>
    </xf>
    <xf numFmtId="4" fontId="11" fillId="0" borderId="11" xfId="23" applyNumberFormat="1" applyFont="1" applyBorder="1"/>
    <xf numFmtId="0" fontId="22" fillId="0" borderId="0" xfId="23" applyFont="1"/>
    <xf numFmtId="0" fontId="11" fillId="0" borderId="12" xfId="23" applyFont="1" applyBorder="1" applyAlignment="1">
      <alignment horizontal="left" vertical="center" wrapText="1"/>
    </xf>
    <xf numFmtId="0" fontId="11" fillId="0" borderId="26" xfId="23" applyFont="1" applyBorder="1" applyAlignment="1">
      <alignment horizontal="left" vertical="center" wrapText="1"/>
    </xf>
    <xf numFmtId="4" fontId="11" fillId="0" borderId="27" xfId="23" applyNumberFormat="1" applyFont="1" applyBorder="1"/>
    <xf numFmtId="0" fontId="11" fillId="0" borderId="6" xfId="23" applyFont="1" applyBorder="1"/>
    <xf numFmtId="0" fontId="11" fillId="0" borderId="21" xfId="23" applyFont="1" applyBorder="1"/>
    <xf numFmtId="0" fontId="11" fillId="0" borderId="28" xfId="23" applyFont="1" applyBorder="1"/>
    <xf numFmtId="0" fontId="11" fillId="0" borderId="6" xfId="23" applyFont="1" applyBorder="1" applyAlignment="1">
      <alignment horizontal="left" wrapText="1"/>
    </xf>
    <xf numFmtId="4" fontId="11" fillId="0" borderId="5" xfId="23" applyNumberFormat="1" applyFont="1" applyBorder="1"/>
    <xf numFmtId="0" fontId="18" fillId="0" borderId="16" xfId="23" applyFont="1" applyBorder="1"/>
    <xf numFmtId="0" fontId="11" fillId="0" borderId="20" xfId="23" applyFont="1" applyBorder="1" applyAlignment="1">
      <alignment horizontal="left" vertical="center" wrapText="1"/>
    </xf>
    <xf numFmtId="4" fontId="11" fillId="0" borderId="13" xfId="23" applyNumberFormat="1" applyFont="1" applyBorder="1"/>
    <xf numFmtId="0" fontId="11" fillId="0" borderId="2" xfId="23" applyFont="1" applyBorder="1"/>
    <xf numFmtId="0" fontId="11" fillId="0" borderId="19" xfId="23" applyFont="1" applyBorder="1"/>
    <xf numFmtId="0" fontId="11" fillId="0" borderId="24" xfId="23" applyFont="1" applyBorder="1"/>
    <xf numFmtId="0" fontId="11" fillId="0" borderId="20" xfId="23" applyFont="1" applyBorder="1" applyAlignment="1">
      <alignment vertical="center" wrapText="1"/>
    </xf>
    <xf numFmtId="0" fontId="11" fillId="0" borderId="26" xfId="23" applyFont="1" applyBorder="1" applyAlignment="1">
      <alignment vertical="center" wrapText="1"/>
    </xf>
    <xf numFmtId="0" fontId="11" fillId="0" borderId="26" xfId="23" applyFont="1" applyBorder="1"/>
    <xf numFmtId="0" fontId="11" fillId="0" borderId="6" xfId="23" applyFont="1" applyBorder="1" applyAlignment="1">
      <alignment vertical="center" wrapText="1"/>
    </xf>
    <xf numFmtId="0" fontId="11" fillId="0" borderId="29" xfId="23" applyFont="1" applyBorder="1" applyAlignment="1">
      <alignment vertical="center" wrapText="1"/>
    </xf>
    <xf numFmtId="4" fontId="11" fillId="0" borderId="30" xfId="23" applyNumberFormat="1" applyFont="1" applyBorder="1"/>
    <xf numFmtId="0" fontId="18" fillId="0" borderId="17" xfId="23" applyFont="1" applyBorder="1"/>
    <xf numFmtId="0" fontId="11" fillId="0" borderId="17" xfId="23" applyFont="1" applyBorder="1" applyAlignment="1">
      <alignment horizontal="left" vertical="center" wrapText="1"/>
    </xf>
    <xf numFmtId="0" fontId="18" fillId="0" borderId="17" xfId="23" applyFont="1" applyBorder="1" applyAlignment="1">
      <alignment vertical="center"/>
    </xf>
    <xf numFmtId="0" fontId="11" fillId="0" borderId="20" xfId="23" applyFont="1" applyBorder="1"/>
    <xf numFmtId="0" fontId="11" fillId="0" borderId="26" xfId="23" applyFont="1" applyBorder="1" applyAlignment="1">
      <alignment horizontal="left" wrapText="1"/>
    </xf>
    <xf numFmtId="0" fontId="11" fillId="0" borderId="16" xfId="23" applyFont="1" applyBorder="1" applyAlignment="1">
      <alignment horizontal="left" wrapText="1"/>
    </xf>
    <xf numFmtId="0" fontId="11" fillId="0" borderId="22" xfId="23" applyFont="1" applyBorder="1" applyAlignment="1">
      <alignment horizontal="left" vertical="center" wrapText="1"/>
    </xf>
    <xf numFmtId="4" fontId="11" fillId="0" borderId="23" xfId="23" applyNumberFormat="1" applyFont="1" applyBorder="1"/>
    <xf numFmtId="0" fontId="11" fillId="0" borderId="20" xfId="23" applyFont="1" applyBorder="1" applyAlignment="1">
      <alignment horizontal="left" wrapText="1"/>
    </xf>
    <xf numFmtId="0" fontId="11" fillId="0" borderId="12" xfId="23" applyFont="1" applyBorder="1" applyAlignment="1">
      <alignment wrapText="1"/>
    </xf>
    <xf numFmtId="0" fontId="11" fillId="0" borderId="0" xfId="23" applyFont="1" applyAlignment="1">
      <alignment vertical="center"/>
    </xf>
    <xf numFmtId="0" fontId="11" fillId="0" borderId="12" xfId="23" applyFont="1" applyBorder="1" applyAlignment="1">
      <alignment vertical="center" wrapText="1"/>
    </xf>
    <xf numFmtId="0" fontId="11" fillId="0" borderId="6" xfId="23" applyFont="1" applyBorder="1" applyAlignment="1">
      <alignment horizontal="left" vertical="center" wrapText="1"/>
    </xf>
    <xf numFmtId="0" fontId="11" fillId="0" borderId="22" xfId="23" applyFont="1" applyBorder="1" applyAlignment="1">
      <alignment vertical="center" wrapText="1"/>
    </xf>
    <xf numFmtId="0" fontId="11" fillId="0" borderId="11" xfId="23" applyFont="1" applyBorder="1" applyAlignment="1">
      <alignment horizontal="left" vertical="center" wrapText="1"/>
    </xf>
    <xf numFmtId="0" fontId="18" fillId="0" borderId="5" xfId="23" applyFont="1" applyBorder="1"/>
    <xf numFmtId="0" fontId="18" fillId="0" borderId="21" xfId="23" applyFont="1" applyBorder="1"/>
    <xf numFmtId="0" fontId="11" fillId="0" borderId="17" xfId="23" applyFont="1" applyBorder="1" applyAlignment="1">
      <alignment vertical="top" wrapText="1"/>
    </xf>
    <xf numFmtId="0" fontId="11" fillId="0" borderId="27" xfId="23" applyFont="1" applyBorder="1" applyAlignment="1">
      <alignment vertical="center" wrapText="1"/>
    </xf>
    <xf numFmtId="4" fontId="11" fillId="0" borderId="3" xfId="23" applyNumberFormat="1" applyFont="1" applyBorder="1"/>
    <xf numFmtId="0" fontId="18" fillId="0" borderId="5" xfId="23" applyFont="1" applyBorder="1" applyAlignment="1">
      <alignment vertical="center"/>
    </xf>
    <xf numFmtId="0" fontId="18" fillId="0" borderId="16" xfId="23" applyFont="1" applyBorder="1" applyAlignment="1">
      <alignment horizontal="left" vertical="top" wrapText="1"/>
    </xf>
    <xf numFmtId="0" fontId="11" fillId="0" borderId="31" xfId="23" applyFont="1" applyBorder="1" applyAlignment="1">
      <alignment vertical="top" wrapText="1"/>
    </xf>
    <xf numFmtId="0" fontId="32" fillId="0" borderId="16" xfId="23" applyFont="1" applyBorder="1" applyAlignment="1">
      <alignment horizontal="center"/>
    </xf>
    <xf numFmtId="0" fontId="32" fillId="0" borderId="17" xfId="23" applyFont="1" applyBorder="1" applyAlignment="1">
      <alignment horizontal="center"/>
    </xf>
    <xf numFmtId="4" fontId="32" fillId="0" borderId="15" xfId="23" applyNumberFormat="1" applyFont="1" applyBorder="1"/>
    <xf numFmtId="0" fontId="19" fillId="0" borderId="16" xfId="23" applyFont="1" applyBorder="1" applyAlignment="1">
      <alignment horizontal="center" vertical="center"/>
    </xf>
    <xf numFmtId="0" fontId="19" fillId="0" borderId="17" xfId="23" applyFont="1" applyBorder="1" applyAlignment="1">
      <alignment horizontal="center" vertical="center"/>
    </xf>
    <xf numFmtId="4" fontId="19" fillId="0" borderId="15" xfId="23" applyNumberFormat="1" applyFont="1" applyBorder="1" applyAlignment="1">
      <alignment vertical="center"/>
    </xf>
    <xf numFmtId="0" fontId="32" fillId="0" borderId="0" xfId="23" applyFont="1" applyAlignment="1">
      <alignment vertical="center"/>
    </xf>
    <xf numFmtId="0" fontId="34" fillId="3" borderId="0" xfId="17" applyFont="1" applyFill="1" applyAlignment="1">
      <alignment horizontal="center" vertical="center"/>
    </xf>
    <xf numFmtId="0" fontId="28" fillId="0" borderId="0" xfId="17" applyFont="1"/>
    <xf numFmtId="0" fontId="28" fillId="0" borderId="0" xfId="17" applyFont="1" applyAlignment="1">
      <alignment horizontal="right" vertical="center"/>
    </xf>
    <xf numFmtId="0" fontId="35" fillId="0" borderId="0" xfId="17" applyFont="1"/>
    <xf numFmtId="0" fontId="11" fillId="0" borderId="0" xfId="17" applyFont="1" applyAlignment="1">
      <alignment horizontal="right" vertical="center"/>
    </xf>
    <xf numFmtId="0" fontId="36" fillId="0" borderId="0" xfId="17" applyFont="1" applyAlignment="1">
      <alignment horizontal="left" vertical="center"/>
    </xf>
    <xf numFmtId="0" fontId="35" fillId="0" borderId="0" xfId="17" applyFont="1" applyAlignment="1">
      <alignment vertical="center"/>
    </xf>
    <xf numFmtId="0" fontId="12" fillId="0" borderId="0" xfId="17" applyFont="1"/>
    <xf numFmtId="4" fontId="28" fillId="0" borderId="0" xfId="17" applyNumberFormat="1" applyFont="1" applyAlignment="1">
      <alignment horizontal="right" vertical="center"/>
    </xf>
    <xf numFmtId="43" fontId="36" fillId="0" borderId="0" xfId="17" applyNumberFormat="1" applyFont="1" applyAlignment="1">
      <alignment horizontal="right" vertical="center"/>
    </xf>
    <xf numFmtId="0" fontId="34" fillId="0" borderId="0" xfId="17" applyFont="1" applyAlignment="1">
      <alignment horizontal="centerContinuous" vertical="center"/>
    </xf>
    <xf numFmtId="0" fontId="34" fillId="0" borderId="0" xfId="17" applyFont="1" applyAlignment="1">
      <alignment horizontal="centerContinuous"/>
    </xf>
    <xf numFmtId="0" fontId="15" fillId="0" borderId="0" xfId="17" applyFont="1" applyAlignment="1">
      <alignment horizontal="left"/>
    </xf>
    <xf numFmtId="0" fontId="34" fillId="0" borderId="0" xfId="17" applyFont="1" applyAlignment="1">
      <alignment horizontal="center" vertical="center"/>
    </xf>
    <xf numFmtId="0" fontId="28" fillId="0" borderId="0" xfId="17" applyFont="1" applyAlignment="1">
      <alignment horizontal="centerContinuous"/>
    </xf>
    <xf numFmtId="0" fontId="34" fillId="0" borderId="0" xfId="17" applyFont="1" applyAlignment="1">
      <alignment horizontal="right" vertical="center"/>
    </xf>
    <xf numFmtId="0" fontId="28" fillId="0" borderId="0" xfId="17" applyFont="1" applyAlignment="1">
      <alignment horizontal="center"/>
    </xf>
    <xf numFmtId="0" fontId="34" fillId="3" borderId="1" xfId="17" applyFont="1" applyFill="1" applyBorder="1" applyAlignment="1">
      <alignment horizontal="center" vertical="center"/>
    </xf>
    <xf numFmtId="0" fontId="34" fillId="0" borderId="1" xfId="17" applyFont="1" applyBorder="1" applyAlignment="1">
      <alignment horizontal="center" vertical="center"/>
    </xf>
    <xf numFmtId="0" fontId="34" fillId="4" borderId="1" xfId="17" applyFont="1" applyFill="1" applyBorder="1" applyAlignment="1">
      <alignment horizontal="center" vertical="center"/>
    </xf>
    <xf numFmtId="0" fontId="34" fillId="4" borderId="16" xfId="17" applyFont="1" applyFill="1" applyBorder="1" applyAlignment="1">
      <alignment horizontal="centerContinuous" vertical="center"/>
    </xf>
    <xf numFmtId="0" fontId="34" fillId="4" borderId="19" xfId="17" applyFont="1" applyFill="1" applyBorder="1" applyAlignment="1">
      <alignment horizontal="centerContinuous" vertical="center"/>
    </xf>
    <xf numFmtId="0" fontId="34" fillId="4" borderId="17" xfId="17" applyFont="1" applyFill="1" applyBorder="1" applyAlignment="1">
      <alignment horizontal="centerContinuous" vertical="center"/>
    </xf>
    <xf numFmtId="0" fontId="34" fillId="4" borderId="24" xfId="17" applyFont="1" applyFill="1" applyBorder="1" applyAlignment="1">
      <alignment horizontal="centerContinuous" vertical="center"/>
    </xf>
    <xf numFmtId="0" fontId="34" fillId="4" borderId="24" xfId="17" applyFont="1" applyFill="1" applyBorder="1" applyAlignment="1">
      <alignment horizontal="center" vertical="center"/>
    </xf>
    <xf numFmtId="0" fontId="11" fillId="0" borderId="0" xfId="17" applyFont="1" applyAlignment="1">
      <alignment horizontal="center" vertical="center"/>
    </xf>
    <xf numFmtId="0" fontId="34" fillId="3" borderId="3" xfId="17" applyFont="1" applyFill="1" applyBorder="1" applyAlignment="1">
      <alignment horizontal="center" vertical="center"/>
    </xf>
    <xf numFmtId="0" fontId="34" fillId="3" borderId="25" xfId="17" applyFont="1" applyFill="1" applyBorder="1" applyAlignment="1">
      <alignment horizontal="center" vertical="center"/>
    </xf>
    <xf numFmtId="0" fontId="34" fillId="0" borderId="25" xfId="17" applyFont="1" applyBorder="1" applyAlignment="1">
      <alignment horizontal="center" vertical="center"/>
    </xf>
    <xf numFmtId="0" fontId="34" fillId="4" borderId="25" xfId="17" applyFont="1" applyFill="1" applyBorder="1" applyAlignment="1">
      <alignment horizontal="center" vertical="center"/>
    </xf>
    <xf numFmtId="0" fontId="34" fillId="4" borderId="0" xfId="17" applyFont="1" applyFill="1" applyAlignment="1">
      <alignment horizontal="center" vertical="center"/>
    </xf>
    <xf numFmtId="0" fontId="34" fillId="3" borderId="16" xfId="17" applyFont="1" applyFill="1" applyBorder="1" applyAlignment="1">
      <alignment horizontal="center" vertical="center"/>
    </xf>
    <xf numFmtId="0" fontId="28" fillId="0" borderId="18" xfId="17" applyFont="1" applyBorder="1" applyAlignment="1">
      <alignment horizontal="center" vertical="center" wrapText="1"/>
    </xf>
    <xf numFmtId="0" fontId="34" fillId="4" borderId="3" xfId="17" applyFont="1" applyFill="1" applyBorder="1" applyAlignment="1">
      <alignment horizontal="center" vertical="center"/>
    </xf>
    <xf numFmtId="0" fontId="34" fillId="0" borderId="32" xfId="4" applyFont="1" applyBorder="1" applyAlignment="1">
      <alignment horizontal="center" vertical="center"/>
    </xf>
    <xf numFmtId="0" fontId="34" fillId="3" borderId="5" xfId="17" applyFont="1" applyFill="1" applyBorder="1" applyAlignment="1">
      <alignment horizontal="center" vertical="center"/>
    </xf>
    <xf numFmtId="0" fontId="34" fillId="3" borderId="28" xfId="17" applyFont="1" applyFill="1" applyBorder="1" applyAlignment="1">
      <alignment horizontal="center" vertical="center"/>
    </xf>
    <xf numFmtId="0" fontId="34" fillId="0" borderId="28" xfId="17" applyFont="1" applyBorder="1" applyAlignment="1">
      <alignment horizontal="center" vertical="center"/>
    </xf>
    <xf numFmtId="0" fontId="34" fillId="4" borderId="28" xfId="17" applyFont="1" applyFill="1" applyBorder="1" applyAlignment="1">
      <alignment horizontal="center" vertical="center"/>
    </xf>
    <xf numFmtId="0" fontId="34" fillId="4" borderId="5" xfId="17" applyFont="1" applyFill="1" applyBorder="1" applyAlignment="1">
      <alignment horizontal="center" vertical="center"/>
    </xf>
    <xf numFmtId="0" fontId="28" fillId="3" borderId="15" xfId="17" applyFont="1" applyFill="1" applyBorder="1" applyAlignment="1">
      <alignment horizontal="center" vertical="center"/>
    </xf>
    <xf numFmtId="0" fontId="28" fillId="0" borderId="15" xfId="17" applyFont="1" applyBorder="1" applyAlignment="1">
      <alignment horizontal="center" vertical="center"/>
    </xf>
    <xf numFmtId="0" fontId="28" fillId="4" borderId="15" xfId="17" applyFont="1" applyFill="1" applyBorder="1" applyAlignment="1">
      <alignment horizontal="center" vertical="center"/>
    </xf>
    <xf numFmtId="0" fontId="28" fillId="0" borderId="16" xfId="17" applyFont="1" applyBorder="1" applyAlignment="1">
      <alignment horizontal="center" vertical="center"/>
    </xf>
    <xf numFmtId="0" fontId="28" fillId="4" borderId="18" xfId="17" applyFont="1" applyFill="1" applyBorder="1" applyAlignment="1">
      <alignment horizontal="center" vertical="center"/>
    </xf>
    <xf numFmtId="0" fontId="37" fillId="3" borderId="15" xfId="17" applyFont="1" applyFill="1" applyBorder="1" applyAlignment="1">
      <alignment horizontal="center" vertical="center" wrapText="1"/>
    </xf>
    <xf numFmtId="0" fontId="38" fillId="0" borderId="15" xfId="17" applyFont="1" applyBorder="1" applyAlignment="1">
      <alignment horizontal="center" vertical="center" wrapText="1"/>
    </xf>
    <xf numFmtId="4" fontId="38" fillId="0" borderId="15" xfId="17" applyNumberFormat="1" applyFont="1" applyBorder="1" applyAlignment="1">
      <alignment horizontal="right" vertical="center" wrapText="1"/>
    </xf>
    <xf numFmtId="3" fontId="39" fillId="0" borderId="15" xfId="17" applyNumberFormat="1" applyFont="1" applyBorder="1" applyAlignment="1">
      <alignment horizontal="center" vertical="center" wrapText="1"/>
    </xf>
    <xf numFmtId="0" fontId="40" fillId="0" borderId="0" xfId="17" applyFont="1"/>
    <xf numFmtId="0" fontId="34" fillId="3" borderId="15" xfId="17" applyFont="1" applyFill="1" applyBorder="1" applyAlignment="1">
      <alignment horizontal="center" vertical="center"/>
    </xf>
    <xf numFmtId="0" fontId="41" fillId="0" borderId="15" xfId="4" applyFont="1" applyBorder="1" applyAlignment="1">
      <alignment horizontal="left" vertical="center" wrapText="1"/>
    </xf>
    <xf numFmtId="4" fontId="41" fillId="0" borderId="15" xfId="4" applyNumberFormat="1" applyFont="1" applyBorder="1" applyAlignment="1">
      <alignment horizontal="right" vertical="center"/>
    </xf>
    <xf numFmtId="3" fontId="42" fillId="0" borderId="15" xfId="17" applyNumberFormat="1" applyFont="1" applyBorder="1" applyAlignment="1">
      <alignment horizontal="center" vertical="center" wrapText="1"/>
    </xf>
    <xf numFmtId="0" fontId="30" fillId="0" borderId="0" xfId="17" applyFont="1" applyAlignment="1">
      <alignment vertical="center"/>
    </xf>
    <xf numFmtId="0" fontId="41" fillId="0" borderId="5" xfId="17" applyFont="1" applyBorder="1" applyAlignment="1">
      <alignment horizontal="center" vertical="center"/>
    </xf>
    <xf numFmtId="0" fontId="43" fillId="3" borderId="5" xfId="17" applyFont="1" applyFill="1" applyBorder="1" applyAlignment="1">
      <alignment horizontal="center" vertical="center"/>
    </xf>
    <xf numFmtId="0" fontId="44" fillId="0" borderId="5" xfId="17" applyFont="1" applyBorder="1" applyAlignment="1">
      <alignment vertical="center" wrapText="1"/>
    </xf>
    <xf numFmtId="4" fontId="44" fillId="0" borderId="5" xfId="4" applyNumberFormat="1" applyFont="1" applyBorder="1" applyAlignment="1">
      <alignment horizontal="right" vertical="center"/>
    </xf>
    <xf numFmtId="3" fontId="42" fillId="0" borderId="5" xfId="17" applyNumberFormat="1" applyFont="1" applyBorder="1" applyAlignment="1">
      <alignment horizontal="center" vertical="center" wrapText="1"/>
    </xf>
    <xf numFmtId="0" fontId="15" fillId="3" borderId="0" xfId="17" applyFont="1" applyFill="1" applyAlignment="1">
      <alignment horizontal="center" vertical="center"/>
    </xf>
    <xf numFmtId="0" fontId="24" fillId="0" borderId="0" xfId="17" applyFont="1"/>
    <xf numFmtId="0" fontId="23" fillId="0" borderId="0" xfId="17" applyFont="1" applyAlignment="1">
      <alignment horizontal="centerContinuous" vertical="center"/>
    </xf>
    <xf numFmtId="0" fontId="26" fillId="0" borderId="0" xfId="17" applyFont="1"/>
    <xf numFmtId="0" fontId="1" fillId="0" borderId="0" xfId="17" applyAlignment="1">
      <alignment vertical="center"/>
    </xf>
    <xf numFmtId="0" fontId="45" fillId="0" borderId="0" xfId="17" applyFont="1" applyAlignment="1">
      <alignment vertical="center"/>
    </xf>
    <xf numFmtId="0" fontId="11" fillId="0" borderId="0" xfId="17" applyFont="1" applyAlignment="1">
      <alignment horizontal="right"/>
    </xf>
    <xf numFmtId="0" fontId="1" fillId="0" borderId="0" xfId="17"/>
    <xf numFmtId="0" fontId="15" fillId="4" borderId="1" xfId="17" applyFont="1" applyFill="1" applyBorder="1" applyAlignment="1">
      <alignment horizontal="center" vertical="center"/>
    </xf>
    <xf numFmtId="0" fontId="15" fillId="4" borderId="2" xfId="17" applyFont="1" applyFill="1" applyBorder="1" applyAlignment="1">
      <alignment horizontal="center" vertical="center"/>
    </xf>
    <xf numFmtId="0" fontId="15" fillId="4" borderId="2" xfId="17" applyFont="1" applyFill="1" applyBorder="1" applyAlignment="1">
      <alignment horizontal="center" vertical="center" wrapText="1"/>
    </xf>
    <xf numFmtId="0" fontId="15" fillId="4" borderId="3" xfId="17" applyFont="1" applyFill="1" applyBorder="1" applyAlignment="1">
      <alignment horizontal="center" vertical="center"/>
    </xf>
    <xf numFmtId="0" fontId="15" fillId="4" borderId="5" xfId="17" applyFont="1" applyFill="1" applyBorder="1" applyAlignment="1">
      <alignment horizontal="center" vertical="center"/>
    </xf>
    <xf numFmtId="0" fontId="11" fillId="4" borderId="15" xfId="17" applyFont="1" applyFill="1" applyBorder="1" applyAlignment="1">
      <alignment horizontal="center" vertical="center"/>
    </xf>
    <xf numFmtId="0" fontId="15" fillId="0" borderId="5" xfId="17" applyFont="1" applyBorder="1" applyAlignment="1">
      <alignment vertical="center"/>
    </xf>
    <xf numFmtId="0" fontId="15" fillId="0" borderId="5" xfId="17" applyFont="1" applyBorder="1" applyAlignment="1">
      <alignment horizontal="center" vertical="center"/>
    </xf>
    <xf numFmtId="0" fontId="40" fillId="0" borderId="30" xfId="17" applyFont="1" applyBorder="1" applyAlignment="1">
      <alignment vertical="center" wrapText="1"/>
    </xf>
    <xf numFmtId="3" fontId="16" fillId="0" borderId="30" xfId="17" applyNumberFormat="1" applyFont="1" applyBorder="1" applyAlignment="1">
      <alignment vertical="center"/>
    </xf>
    <xf numFmtId="0" fontId="11" fillId="0" borderId="3" xfId="17" applyFont="1" applyBorder="1" applyAlignment="1">
      <alignment horizontal="center" vertical="center"/>
    </xf>
    <xf numFmtId="0" fontId="16" fillId="0" borderId="3" xfId="17" applyFont="1" applyBorder="1" applyAlignment="1">
      <alignment horizontal="center" vertical="center"/>
    </xf>
    <xf numFmtId="0" fontId="11" fillId="0" borderId="1" xfId="17" applyFont="1" applyBorder="1" applyAlignment="1">
      <alignment horizontal="left" vertical="center" indent="2"/>
    </xf>
    <xf numFmtId="4" fontId="16" fillId="0" borderId="1" xfId="17" applyNumberFormat="1" applyFont="1" applyBorder="1" applyAlignment="1">
      <alignment vertical="center"/>
    </xf>
    <xf numFmtId="0" fontId="11" fillId="0" borderId="3" xfId="17" applyFont="1" applyBorder="1" applyAlignment="1">
      <alignment horizontal="left" vertical="center" indent="2"/>
    </xf>
    <xf numFmtId="4" fontId="16" fillId="0" borderId="3" xfId="17" applyNumberFormat="1" applyFont="1" applyBorder="1" applyAlignment="1">
      <alignment vertical="center"/>
    </xf>
    <xf numFmtId="0" fontId="11" fillId="0" borderId="5" xfId="17" applyFont="1" applyBorder="1" applyAlignment="1">
      <alignment horizontal="center" vertical="center"/>
    </xf>
    <xf numFmtId="0" fontId="16" fillId="0" borderId="5" xfId="17" applyFont="1" applyBorder="1" applyAlignment="1">
      <alignment horizontal="center" vertical="top"/>
    </xf>
    <xf numFmtId="0" fontId="11" fillId="0" borderId="5" xfId="17" applyFont="1" applyBorder="1" applyAlignment="1">
      <alignment horizontal="left" vertical="center" indent="2"/>
    </xf>
    <xf numFmtId="4" fontId="16" fillId="0" borderId="5" xfId="17" applyNumberFormat="1" applyFont="1" applyBorder="1" applyAlignment="1">
      <alignment vertical="top"/>
    </xf>
    <xf numFmtId="0" fontId="11" fillId="0" borderId="6" xfId="17" applyFont="1" applyBorder="1" applyAlignment="1">
      <alignment horizontal="center" vertical="center"/>
    </xf>
    <xf numFmtId="0" fontId="15" fillId="0" borderId="15" xfId="17" applyFont="1" applyBorder="1" applyAlignment="1">
      <alignment horizontal="center" vertical="center"/>
    </xf>
    <xf numFmtId="0" fontId="11" fillId="0" borderId="6" xfId="17" applyFont="1" applyBorder="1" applyAlignment="1">
      <alignment horizontal="left" vertical="center" indent="2"/>
    </xf>
    <xf numFmtId="4" fontId="16" fillId="0" borderId="6" xfId="17" applyNumberFormat="1" applyFont="1" applyBorder="1" applyAlignment="1">
      <alignment vertical="top"/>
    </xf>
    <xf numFmtId="0" fontId="11" fillId="0" borderId="6" xfId="17" applyFont="1" applyBorder="1" applyAlignment="1">
      <alignment horizontal="center" vertical="top"/>
    </xf>
    <xf numFmtId="0" fontId="16" fillId="0" borderId="3" xfId="17" applyFont="1" applyBorder="1" applyAlignment="1">
      <alignment horizontal="center" vertical="top"/>
    </xf>
    <xf numFmtId="0" fontId="11" fillId="0" borderId="3" xfId="17" applyFont="1" applyBorder="1" applyAlignment="1">
      <alignment horizontal="left" vertical="center" wrapText="1" indent="2"/>
    </xf>
    <xf numFmtId="4" fontId="16" fillId="0" borderId="6" xfId="17" applyNumberFormat="1" applyFont="1" applyBorder="1"/>
    <xf numFmtId="4" fontId="16" fillId="0" borderId="5" xfId="17" applyNumberFormat="1" applyFont="1" applyBorder="1"/>
    <xf numFmtId="0" fontId="11" fillId="0" borderId="16" xfId="17" applyFont="1" applyBorder="1" applyAlignment="1">
      <alignment horizontal="center" vertical="center"/>
    </xf>
    <xf numFmtId="0" fontId="16" fillId="0" borderId="17" xfId="17" applyFont="1" applyBorder="1" applyAlignment="1">
      <alignment horizontal="center" vertical="top"/>
    </xf>
    <xf numFmtId="0" fontId="46" fillId="0" borderId="16" xfId="17" applyFont="1" applyBorder="1" applyAlignment="1">
      <alignment horizontal="center"/>
    </xf>
    <xf numFmtId="4" fontId="46" fillId="0" borderId="16" xfId="17" applyNumberFormat="1" applyFont="1" applyBorder="1"/>
    <xf numFmtId="4" fontId="46" fillId="0" borderId="15" xfId="17" applyNumberFormat="1" applyFont="1" applyBorder="1"/>
    <xf numFmtId="0" fontId="16" fillId="0" borderId="0" xfId="17" applyFont="1" applyAlignment="1">
      <alignment horizontal="center" vertical="center"/>
    </xf>
    <xf numFmtId="0" fontId="11" fillId="0" borderId="0" xfId="17" applyFont="1" applyAlignment="1">
      <alignment horizontal="left" vertical="center" indent="2"/>
    </xf>
    <xf numFmtId="4" fontId="16" fillId="0" borderId="0" xfId="17" applyNumberFormat="1" applyFont="1" applyAlignment="1">
      <alignment vertical="center"/>
    </xf>
    <xf numFmtId="0" fontId="40" fillId="0" borderId="15" xfId="17" applyFont="1" applyBorder="1" applyAlignment="1">
      <alignment vertical="center" wrapText="1"/>
    </xf>
    <xf numFmtId="3" fontId="16" fillId="0" borderId="15" xfId="17" applyNumberFormat="1" applyFont="1" applyBorder="1" applyAlignment="1">
      <alignment vertical="center"/>
    </xf>
    <xf numFmtId="0" fontId="11" fillId="0" borderId="1" xfId="17" applyFont="1" applyBorder="1" applyAlignment="1">
      <alignment horizontal="center" vertical="center"/>
    </xf>
    <xf numFmtId="0" fontId="16" fillId="0" borderId="1" xfId="17" applyFont="1" applyBorder="1" applyAlignment="1">
      <alignment horizontal="center" vertical="center"/>
    </xf>
    <xf numFmtId="4" fontId="16" fillId="0" borderId="3" xfId="17" applyNumberFormat="1" applyFont="1" applyBorder="1" applyAlignment="1">
      <alignment vertical="top"/>
    </xf>
    <xf numFmtId="4" fontId="16" fillId="0" borderId="3" xfId="17" applyNumberFormat="1" applyFont="1" applyBorder="1" applyAlignment="1">
      <alignment horizontal="right" vertical="center"/>
    </xf>
    <xf numFmtId="0" fontId="11" fillId="0" borderId="3" xfId="17" applyFont="1" applyBorder="1" applyAlignment="1">
      <alignment horizontal="center" vertical="top"/>
    </xf>
    <xf numFmtId="0" fontId="11" fillId="0" borderId="3" xfId="17" applyFont="1" applyBorder="1" applyAlignment="1">
      <alignment horizontal="left" vertical="top" wrapText="1" indent="2"/>
    </xf>
    <xf numFmtId="4" fontId="16" fillId="0" borderId="3" xfId="17" applyNumberFormat="1" applyFont="1" applyBorder="1"/>
    <xf numFmtId="0" fontId="16" fillId="0" borderId="15" xfId="17" applyFont="1" applyBorder="1" applyAlignment="1">
      <alignment horizontal="center" vertical="center"/>
    </xf>
    <xf numFmtId="0" fontId="11" fillId="0" borderId="15" xfId="17" applyFont="1" applyBorder="1" applyAlignment="1">
      <alignment horizontal="left" vertical="center" indent="2"/>
    </xf>
    <xf numFmtId="4" fontId="16" fillId="0" borderId="15" xfId="17" applyNumberFormat="1" applyFont="1" applyBorder="1" applyAlignment="1">
      <alignment vertical="center"/>
    </xf>
    <xf numFmtId="0" fontId="16" fillId="0" borderId="5" xfId="17" applyFont="1" applyBorder="1" applyAlignment="1">
      <alignment horizontal="center" vertical="center"/>
    </xf>
    <xf numFmtId="4" fontId="16" fillId="0" borderId="5" xfId="17" applyNumberFormat="1" applyFont="1" applyBorder="1" applyAlignment="1">
      <alignment vertical="center"/>
    </xf>
    <xf numFmtId="4" fontId="16" fillId="0" borderId="5" xfId="17" applyNumberFormat="1" applyFont="1" applyBorder="1" applyAlignment="1">
      <alignment horizontal="right" vertical="center"/>
    </xf>
    <xf numFmtId="0" fontId="16" fillId="0" borderId="6" xfId="17" applyFont="1" applyBorder="1" applyAlignment="1">
      <alignment vertical="top"/>
    </xf>
    <xf numFmtId="4" fontId="46" fillId="0" borderId="5" xfId="17" applyNumberFormat="1" applyFont="1" applyBorder="1" applyAlignment="1">
      <alignment vertical="center"/>
    </xf>
    <xf numFmtId="0" fontId="16" fillId="0" borderId="16" xfId="17" applyFont="1" applyBorder="1"/>
    <xf numFmtId="0" fontId="16" fillId="0" borderId="15" xfId="17" applyFont="1" applyBorder="1"/>
    <xf numFmtId="0" fontId="47" fillId="0" borderId="0" xfId="17" applyFont="1"/>
    <xf numFmtId="0" fontId="27" fillId="0" borderId="0" xfId="17" applyFont="1"/>
    <xf numFmtId="0" fontId="15" fillId="0" borderId="0" xfId="17" applyFont="1" applyAlignment="1">
      <alignment horizontal="center" vertical="center"/>
    </xf>
    <xf numFmtId="0" fontId="13" fillId="0" borderId="0" xfId="17" applyFont="1" applyAlignment="1">
      <alignment horizontal="center"/>
    </xf>
    <xf numFmtId="0" fontId="19" fillId="0" borderId="0" xfId="11" applyFont="1" applyAlignment="1">
      <alignment horizontal="center" vertical="center" wrapText="1"/>
    </xf>
    <xf numFmtId="0" fontId="23" fillId="0" borderId="0" xfId="17" applyFont="1" applyAlignment="1">
      <alignment horizontal="center"/>
    </xf>
    <xf numFmtId="0" fontId="25" fillId="0" borderId="0" xfId="17" applyFont="1" applyAlignment="1">
      <alignment horizontal="center" vertical="center"/>
    </xf>
    <xf numFmtId="0" fontId="15" fillId="4" borderId="1" xfId="17" applyFont="1" applyFill="1" applyBorder="1" applyAlignment="1">
      <alignment horizontal="center" vertical="center"/>
    </xf>
    <xf numFmtId="0" fontId="15" fillId="4" borderId="3" xfId="17" applyFont="1" applyFill="1" applyBorder="1" applyAlignment="1">
      <alignment horizontal="center" vertical="center"/>
    </xf>
    <xf numFmtId="0" fontId="15" fillId="4" borderId="5" xfId="17" applyFont="1" applyFill="1" applyBorder="1" applyAlignment="1">
      <alignment horizontal="center" vertical="center"/>
    </xf>
    <xf numFmtId="0" fontId="15" fillId="4" borderId="1" xfId="17" applyFont="1" applyFill="1" applyBorder="1" applyAlignment="1">
      <alignment horizontal="center" vertical="center" wrapText="1"/>
    </xf>
    <xf numFmtId="0" fontId="15" fillId="4" borderId="3" xfId="17" applyFont="1" applyFill="1" applyBorder="1" applyAlignment="1">
      <alignment horizontal="center" vertical="center" wrapText="1"/>
    </xf>
    <xf numFmtId="0" fontId="15" fillId="4" borderId="5" xfId="17" applyFont="1" applyFill="1" applyBorder="1" applyAlignment="1">
      <alignment horizontal="center" vertical="center" wrapText="1"/>
    </xf>
  </cellXfs>
  <cellStyles count="24">
    <cellStyle name="Dziesiętny 2" xfId="3" xr:uid="{BFCEA198-B5A6-4EF1-8723-5E8521CAD3DC}"/>
    <cellStyle name="Dziesiętny 3" xfId="19" xr:uid="{19DD8937-12E3-437B-A749-B64D08B6D1A5}"/>
    <cellStyle name="Excel Built-in Normal" xfId="4" xr:uid="{0D973522-5471-440E-B74C-241DCBFE695A}"/>
    <cellStyle name="Normalny" xfId="0" builtinId="0"/>
    <cellStyle name="Normalny 10" xfId="14" xr:uid="{C06D3DB3-BD0A-42A2-B93E-C6EB07CD16A5}"/>
    <cellStyle name="Normalny 11" xfId="17" xr:uid="{3B3CE8DB-7B6E-4813-93E3-4F0CBF657696}"/>
    <cellStyle name="Normalny 2" xfId="1" xr:uid="{F4A0727A-16F6-4BB8-93B1-4B9086AD85A6}"/>
    <cellStyle name="Normalny 2 2" xfId="2" xr:uid="{BE1E2D28-7667-4594-A8C7-64F906513484}"/>
    <cellStyle name="Normalny 2 3" xfId="23" xr:uid="{4B127854-20E3-4487-BEDF-EA9B20349A7C}"/>
    <cellStyle name="Normalny 3" xfId="5" xr:uid="{B757048F-EF6F-4793-91AA-B90652AC92F0}"/>
    <cellStyle name="Normalny 3 2" xfId="11" xr:uid="{67CEEE6D-0969-48F5-98DB-D6AC53B035C7}"/>
    <cellStyle name="Normalny 3 2 2" xfId="15" xr:uid="{348A10C9-7A37-432C-85A3-5F194BF93382}"/>
    <cellStyle name="Normalny 3 2 2 2" xfId="21" xr:uid="{59E4102C-5F6D-4AD5-AF6F-06EE8CA25DF5}"/>
    <cellStyle name="Normalny 4" xfId="6" xr:uid="{B2465C60-8C82-4AA7-8F41-043A6B5FBEE2}"/>
    <cellStyle name="Normalny 5" xfId="7" xr:uid="{0D5F1684-5C1D-48A7-ABCD-0A8CAA6DAE29}"/>
    <cellStyle name="Normalny 5 2" xfId="16" xr:uid="{4E0237A9-B7D7-41B1-B8A5-5E628816165C}"/>
    <cellStyle name="Normalny 6" xfId="9" xr:uid="{2B0DED10-4C82-4D87-B036-A231710D7ED8}"/>
    <cellStyle name="Normalny 6 2" xfId="18" xr:uid="{B46DE6A2-B07A-4FF6-BD54-8A31CEA1D913}"/>
    <cellStyle name="Normalny 6 3" xfId="22" xr:uid="{3AA2CC30-B27E-434A-A1A3-72A1FD01C186}"/>
    <cellStyle name="Normalny 7" xfId="8" xr:uid="{62CD0728-EA2B-4DD2-AD34-21575365BC2A}"/>
    <cellStyle name="Normalny 7 2" xfId="20" xr:uid="{BBE182DE-0435-40E9-8945-FB560BCE99C1}"/>
    <cellStyle name="Normalny 8" xfId="10" xr:uid="{FCA48B7E-ED27-4C4B-BAF8-DFA7E6989938}"/>
    <cellStyle name="Normalny 9" xfId="12" xr:uid="{36CF2590-5D99-4991-97ED-69A44BBFA5E7}"/>
    <cellStyle name="Zły" xfId="13" builtinId="27"/>
  </cellStyles>
  <dxfs count="0"/>
  <tableStyles count="0" defaultTableStyle="TableStyleMedium2" defaultPivotStyle="PivotStyleLight16"/>
  <colors>
    <mruColors>
      <color rgb="FFCCCC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C5799-B05D-43BE-9108-957334D3E4E0}">
  <sheetPr>
    <tabColor rgb="FF99FF33"/>
  </sheetPr>
  <dimension ref="A1:N718"/>
  <sheetViews>
    <sheetView tabSelected="1" zoomScale="150" zoomScaleNormal="150" workbookViewId="0">
      <selection activeCell="J12" sqref="J12"/>
    </sheetView>
  </sheetViews>
  <sheetFormatPr defaultColWidth="9.140625" defaultRowHeight="16.5" x14ac:dyDescent="0.3"/>
  <cols>
    <col min="1" max="1" width="3.5703125" style="71" customWidth="1"/>
    <col min="2" max="2" width="6" style="71" customWidth="1"/>
    <col min="3" max="3" width="4.85546875" style="71" customWidth="1"/>
    <col min="4" max="4" width="39.140625" style="71" customWidth="1"/>
    <col min="5" max="5" width="13" style="71" customWidth="1"/>
    <col min="6" max="6" width="10.5703125" style="71" customWidth="1"/>
    <col min="7" max="7" width="10.85546875" style="71" customWidth="1"/>
    <col min="8" max="13" width="12.7109375" style="71" customWidth="1"/>
    <col min="14" max="16384" width="9.140625" style="71"/>
  </cols>
  <sheetData>
    <row r="1" spans="1:13" ht="13.5" customHeight="1" x14ac:dyDescent="0.3">
      <c r="A1" s="68"/>
      <c r="B1" s="68"/>
      <c r="C1" s="69"/>
      <c r="D1" s="70"/>
      <c r="E1" s="70"/>
      <c r="F1" s="70" t="s">
        <v>33</v>
      </c>
      <c r="G1" s="70"/>
      <c r="H1" s="68"/>
      <c r="I1" s="68"/>
      <c r="J1" s="68"/>
      <c r="K1" s="68"/>
      <c r="L1" s="68"/>
      <c r="M1" s="68"/>
    </row>
    <row r="2" spans="1:13" ht="12.75" customHeight="1" x14ac:dyDescent="0.3">
      <c r="A2" s="68"/>
      <c r="B2" s="68"/>
      <c r="C2" s="69"/>
      <c r="D2" s="70"/>
      <c r="E2" s="70"/>
      <c r="F2" s="70" t="s">
        <v>353</v>
      </c>
      <c r="G2" s="70"/>
      <c r="H2" s="68"/>
      <c r="I2" s="68"/>
      <c r="J2" s="68"/>
      <c r="K2" s="68"/>
      <c r="L2" s="68"/>
      <c r="M2" s="68"/>
    </row>
    <row r="3" spans="1:13" ht="12.75" customHeight="1" x14ac:dyDescent="0.3">
      <c r="A3" s="68"/>
      <c r="B3" s="68"/>
      <c r="C3" s="69"/>
      <c r="D3" s="70"/>
      <c r="E3" s="70"/>
      <c r="F3" s="68" t="s">
        <v>0</v>
      </c>
      <c r="G3" s="68"/>
      <c r="H3" s="68"/>
      <c r="I3" s="68"/>
      <c r="J3" s="68"/>
      <c r="K3" s="68"/>
      <c r="L3" s="68"/>
      <c r="M3" s="68"/>
    </row>
    <row r="4" spans="1:13" ht="12.75" customHeight="1" x14ac:dyDescent="0.3">
      <c r="A4" s="68"/>
      <c r="B4" s="68"/>
      <c r="C4" s="69"/>
      <c r="D4" s="70"/>
      <c r="E4" s="70"/>
      <c r="F4" s="70" t="s">
        <v>354</v>
      </c>
      <c r="G4" s="70"/>
      <c r="H4" s="68"/>
      <c r="I4" s="68"/>
      <c r="J4" s="68"/>
      <c r="K4" s="68"/>
      <c r="L4" s="68"/>
      <c r="M4" s="68"/>
    </row>
    <row r="5" spans="1:13" ht="26.25" customHeight="1" x14ac:dyDescent="0.3">
      <c r="A5" s="72" t="s">
        <v>13</v>
      </c>
      <c r="B5" s="73"/>
      <c r="C5" s="74"/>
      <c r="D5" s="74"/>
      <c r="E5" s="73"/>
      <c r="F5" s="73"/>
      <c r="G5" s="72"/>
      <c r="H5" s="73"/>
      <c r="I5" s="556"/>
      <c r="J5" s="556"/>
      <c r="K5" s="556"/>
      <c r="L5" s="556"/>
      <c r="M5" s="556"/>
    </row>
    <row r="6" spans="1:13" ht="16.5" customHeight="1" x14ac:dyDescent="0.3">
      <c r="A6" s="68"/>
      <c r="B6" s="68"/>
      <c r="C6" s="69"/>
      <c r="D6" s="69"/>
      <c r="E6" s="75"/>
      <c r="F6" s="68"/>
      <c r="G6" s="76"/>
      <c r="H6" s="77" t="s">
        <v>1</v>
      </c>
      <c r="I6" s="77"/>
      <c r="J6" s="77"/>
      <c r="K6" s="77"/>
      <c r="L6" s="77"/>
      <c r="M6" s="77"/>
    </row>
    <row r="7" spans="1:13" s="84" customFormat="1" ht="12.75" x14ac:dyDescent="0.25">
      <c r="A7" s="78"/>
      <c r="B7" s="78"/>
      <c r="C7" s="79"/>
      <c r="D7" s="80"/>
      <c r="E7" s="81" t="s">
        <v>2</v>
      </c>
      <c r="F7" s="82"/>
      <c r="G7" s="83"/>
      <c r="H7" s="81" t="s">
        <v>2</v>
      </c>
      <c r="I7" s="250"/>
      <c r="J7" s="250"/>
      <c r="K7" s="250"/>
      <c r="L7" s="250"/>
      <c r="M7" s="250"/>
    </row>
    <row r="8" spans="1:13" s="84" customFormat="1" ht="12.75" x14ac:dyDescent="0.25">
      <c r="A8" s="85" t="s">
        <v>3</v>
      </c>
      <c r="B8" s="85" t="s">
        <v>4</v>
      </c>
      <c r="C8" s="86" t="s">
        <v>5</v>
      </c>
      <c r="D8" s="87" t="s">
        <v>6</v>
      </c>
      <c r="E8" s="85" t="s">
        <v>7</v>
      </c>
      <c r="F8" s="88" t="s">
        <v>8</v>
      </c>
      <c r="G8" s="85" t="s">
        <v>9</v>
      </c>
      <c r="H8" s="85" t="s">
        <v>10</v>
      </c>
      <c r="I8" s="250"/>
      <c r="J8" s="250"/>
      <c r="K8" s="250"/>
      <c r="L8" s="250"/>
      <c r="M8" s="250"/>
    </row>
    <row r="9" spans="1:13" s="84" customFormat="1" ht="2.25" customHeight="1" x14ac:dyDescent="0.25">
      <c r="A9" s="89"/>
      <c r="B9" s="89"/>
      <c r="C9" s="90"/>
      <c r="D9" s="91"/>
      <c r="E9" s="89"/>
      <c r="F9" s="92"/>
      <c r="G9" s="92"/>
      <c r="H9" s="89"/>
      <c r="I9" s="250"/>
      <c r="J9" s="250"/>
      <c r="K9" s="250"/>
      <c r="L9" s="250"/>
      <c r="M9" s="250"/>
    </row>
    <row r="10" spans="1:13" s="84" customFormat="1" ht="17.25" customHeight="1" thickBot="1" x14ac:dyDescent="0.3">
      <c r="A10" s="93"/>
      <c r="B10" s="93"/>
      <c r="C10" s="94"/>
      <c r="D10" s="95" t="s">
        <v>17</v>
      </c>
      <c r="E10" s="96">
        <v>1422893267.01</v>
      </c>
      <c r="F10" s="96">
        <f>SUM(F11,F21,F36,F51)</f>
        <v>4453501.3</v>
      </c>
      <c r="G10" s="96">
        <f>SUM(G11,G21,G36,G51)</f>
        <v>105000</v>
      </c>
      <c r="H10" s="96">
        <f t="shared" ref="H10:H11" si="0">SUM(E10+F10-G10)</f>
        <v>1427241768.3099999</v>
      </c>
      <c r="I10" s="251"/>
      <c r="J10" s="251"/>
      <c r="K10" s="251"/>
      <c r="L10" s="251"/>
      <c r="M10" s="251"/>
    </row>
    <row r="11" spans="1:13" s="84" customFormat="1" ht="15" customHeight="1" thickBot="1" x14ac:dyDescent="0.3">
      <c r="A11" s="93"/>
      <c r="B11" s="93"/>
      <c r="C11" s="94"/>
      <c r="D11" s="97" t="s">
        <v>34</v>
      </c>
      <c r="E11" s="98">
        <v>1236290707.5799999</v>
      </c>
      <c r="F11" s="98">
        <f>SUM(F12,F16,)</f>
        <v>783726.4</v>
      </c>
      <c r="G11" s="98">
        <f>SUM(G12,G16,)</f>
        <v>0</v>
      </c>
      <c r="H11" s="98">
        <f t="shared" si="0"/>
        <v>1237074433.98</v>
      </c>
      <c r="I11" s="251"/>
      <c r="J11" s="251"/>
      <c r="K11" s="251"/>
      <c r="L11" s="251"/>
      <c r="M11" s="251"/>
    </row>
    <row r="12" spans="1:13" s="84" customFormat="1" ht="15" customHeight="1" thickTop="1" thickBot="1" x14ac:dyDescent="0.3">
      <c r="A12" s="99" t="s">
        <v>226</v>
      </c>
      <c r="B12" s="100"/>
      <c r="C12" s="99"/>
      <c r="D12" s="101" t="s">
        <v>227</v>
      </c>
      <c r="E12" s="98">
        <v>29678735.07</v>
      </c>
      <c r="F12" s="102">
        <f>SUM(F13,)</f>
        <v>405000</v>
      </c>
      <c r="G12" s="102">
        <f>SUM(G13,)</f>
        <v>0</v>
      </c>
      <c r="H12" s="98">
        <f t="shared" ref="H12:H15" si="1">SUM(E12+F12-G12)</f>
        <v>30083735.07</v>
      </c>
      <c r="I12" s="251"/>
      <c r="J12" s="251"/>
      <c r="K12" s="251"/>
      <c r="L12" s="251"/>
      <c r="M12" s="251"/>
    </row>
    <row r="13" spans="1:13" s="84" customFormat="1" ht="12" customHeight="1" thickTop="1" x14ac:dyDescent="0.25">
      <c r="A13" s="99"/>
      <c r="B13" s="103">
        <v>85230</v>
      </c>
      <c r="C13" s="94"/>
      <c r="D13" s="104" t="s">
        <v>228</v>
      </c>
      <c r="E13" s="105">
        <v>4057534</v>
      </c>
      <c r="F13" s="106">
        <f>SUM(F14)</f>
        <v>405000</v>
      </c>
      <c r="G13" s="106">
        <f>SUM(G14)</f>
        <v>0</v>
      </c>
      <c r="H13" s="105">
        <f t="shared" si="1"/>
        <v>4462534</v>
      </c>
      <c r="I13" s="252"/>
      <c r="J13" s="252"/>
      <c r="K13" s="252"/>
      <c r="L13" s="252"/>
      <c r="M13" s="252"/>
    </row>
    <row r="14" spans="1:13" s="84" customFormat="1" ht="12" customHeight="1" x14ac:dyDescent="0.25">
      <c r="A14" s="99"/>
      <c r="B14" s="103"/>
      <c r="C14" s="107"/>
      <c r="D14" s="108" t="s">
        <v>19</v>
      </c>
      <c r="E14" s="109">
        <v>4054800</v>
      </c>
      <c r="F14" s="110">
        <f>SUM(F15:F15)</f>
        <v>405000</v>
      </c>
      <c r="G14" s="110">
        <f>SUM(G15:G15)</f>
        <v>0</v>
      </c>
      <c r="H14" s="109">
        <f t="shared" si="1"/>
        <v>4459800</v>
      </c>
      <c r="I14" s="253"/>
      <c r="J14" s="253"/>
      <c r="K14" s="253"/>
      <c r="L14" s="253"/>
      <c r="M14" s="253"/>
    </row>
    <row r="15" spans="1:13" s="84" customFormat="1" ht="23.25" customHeight="1" x14ac:dyDescent="0.25">
      <c r="A15" s="99"/>
      <c r="B15" s="103"/>
      <c r="C15" s="111" t="s">
        <v>36</v>
      </c>
      <c r="D15" s="112" t="s">
        <v>37</v>
      </c>
      <c r="E15" s="113">
        <v>4054800</v>
      </c>
      <c r="F15" s="113">
        <v>405000</v>
      </c>
      <c r="G15" s="114"/>
      <c r="H15" s="113">
        <f t="shared" si="1"/>
        <v>4459800</v>
      </c>
      <c r="I15" s="252"/>
      <c r="J15" s="252"/>
      <c r="K15" s="252"/>
      <c r="L15" s="252"/>
      <c r="M15" s="252"/>
    </row>
    <row r="16" spans="1:13" s="84" customFormat="1" ht="12" customHeight="1" thickBot="1" x14ac:dyDescent="0.3">
      <c r="A16" s="115">
        <v>854</v>
      </c>
      <c r="B16" s="100"/>
      <c r="C16" s="99"/>
      <c r="D16" s="101" t="s">
        <v>79</v>
      </c>
      <c r="E16" s="102">
        <v>125000</v>
      </c>
      <c r="F16" s="102">
        <f t="shared" ref="F16:G17" si="2">SUM(F17)</f>
        <v>378726.40000000002</v>
      </c>
      <c r="G16" s="102">
        <f t="shared" si="2"/>
        <v>0</v>
      </c>
      <c r="H16" s="102">
        <f>SUM(E16+F16-G16)</f>
        <v>503726.4</v>
      </c>
      <c r="I16" s="254"/>
      <c r="J16" s="254"/>
      <c r="K16" s="254"/>
      <c r="L16" s="254"/>
      <c r="M16" s="254"/>
    </row>
    <row r="17" spans="1:14" s="84" customFormat="1" ht="12" customHeight="1" thickTop="1" x14ac:dyDescent="0.25">
      <c r="A17" s="115"/>
      <c r="B17" s="103">
        <v>85415</v>
      </c>
      <c r="C17" s="94"/>
      <c r="D17" s="104" t="s">
        <v>229</v>
      </c>
      <c r="E17" s="105">
        <v>125000</v>
      </c>
      <c r="F17" s="106">
        <f t="shared" si="2"/>
        <v>378726.40000000002</v>
      </c>
      <c r="G17" s="106">
        <f t="shared" si="2"/>
        <v>0</v>
      </c>
      <c r="H17" s="105">
        <f>SUM(E17+F17-G17)</f>
        <v>503726.4</v>
      </c>
      <c r="I17" s="252"/>
      <c r="J17" s="252"/>
      <c r="K17" s="252"/>
      <c r="L17" s="252"/>
      <c r="M17" s="252"/>
    </row>
    <row r="18" spans="1:14" s="84" customFormat="1" ht="12" customHeight="1" x14ac:dyDescent="0.25">
      <c r="A18" s="116"/>
      <c r="B18" s="100"/>
      <c r="C18" s="94"/>
      <c r="D18" s="117" t="s">
        <v>19</v>
      </c>
      <c r="E18" s="109">
        <v>125000</v>
      </c>
      <c r="F18" s="110">
        <f>SUM(F19:F20)</f>
        <v>378726.40000000002</v>
      </c>
      <c r="G18" s="110">
        <f>SUM(G19:G20)</f>
        <v>0</v>
      </c>
      <c r="H18" s="109">
        <f>SUM(E18+F18-G18)</f>
        <v>503726.4</v>
      </c>
      <c r="I18" s="253"/>
      <c r="J18" s="253"/>
      <c r="K18" s="253"/>
      <c r="L18" s="253"/>
      <c r="M18" s="253"/>
    </row>
    <row r="19" spans="1:14" s="84" customFormat="1" ht="23.25" customHeight="1" x14ac:dyDescent="0.25">
      <c r="A19" s="116"/>
      <c r="B19" s="100"/>
      <c r="C19" s="111" t="s">
        <v>36</v>
      </c>
      <c r="D19" s="118" t="s">
        <v>37</v>
      </c>
      <c r="E19" s="113">
        <v>125000</v>
      </c>
      <c r="F19" s="113">
        <v>250000</v>
      </c>
      <c r="G19" s="114"/>
      <c r="H19" s="113">
        <f t="shared" ref="H19:H36" si="3">SUM(E19+F19-G19)</f>
        <v>375000</v>
      </c>
      <c r="I19" s="252"/>
      <c r="J19" s="252"/>
      <c r="K19" s="252"/>
      <c r="L19" s="252"/>
      <c r="M19" s="252"/>
    </row>
    <row r="20" spans="1:14" s="84" customFormat="1" ht="48.75" customHeight="1" x14ac:dyDescent="0.25">
      <c r="A20" s="116"/>
      <c r="B20" s="100"/>
      <c r="C20" s="111" t="s">
        <v>230</v>
      </c>
      <c r="D20" s="118" t="s">
        <v>231</v>
      </c>
      <c r="E20" s="113">
        <v>0</v>
      </c>
      <c r="F20" s="113">
        <v>128726.39999999999</v>
      </c>
      <c r="G20" s="114"/>
      <c r="H20" s="113">
        <f t="shared" si="3"/>
        <v>128726.39999999999</v>
      </c>
      <c r="I20" s="252"/>
      <c r="J20" s="252"/>
      <c r="K20" s="252"/>
      <c r="L20" s="252"/>
      <c r="M20" s="252"/>
    </row>
    <row r="21" spans="1:14" s="84" customFormat="1" ht="19.5" customHeight="1" thickBot="1" x14ac:dyDescent="0.3">
      <c r="A21" s="116"/>
      <c r="B21" s="93"/>
      <c r="C21" s="94"/>
      <c r="D21" s="97" t="s">
        <v>232</v>
      </c>
      <c r="E21" s="98">
        <v>93650708.309999987</v>
      </c>
      <c r="F21" s="98">
        <f>SUM(F22,F26,)</f>
        <v>205000</v>
      </c>
      <c r="G21" s="98">
        <f>SUM(G22,G26,)</f>
        <v>105000</v>
      </c>
      <c r="H21" s="98">
        <f t="shared" si="3"/>
        <v>93750708.309999987</v>
      </c>
      <c r="I21" s="251"/>
      <c r="J21" s="251"/>
      <c r="K21" s="251"/>
      <c r="L21" s="251"/>
      <c r="M21" s="251"/>
    </row>
    <row r="22" spans="1:14" s="84" customFormat="1" ht="19.5" customHeight="1" thickTop="1" thickBot="1" x14ac:dyDescent="0.3">
      <c r="A22" s="115">
        <v>754</v>
      </c>
      <c r="B22" s="100"/>
      <c r="C22" s="99"/>
      <c r="D22" s="100" t="s">
        <v>233</v>
      </c>
      <c r="E22" s="98">
        <v>151100</v>
      </c>
      <c r="F22" s="102">
        <f t="shared" ref="F22:G23" si="4">SUM(F23)</f>
        <v>100000</v>
      </c>
      <c r="G22" s="102">
        <f t="shared" si="4"/>
        <v>0</v>
      </c>
      <c r="H22" s="98">
        <f>SUM(E22+F22-G22)</f>
        <v>251100</v>
      </c>
      <c r="I22" s="251"/>
      <c r="J22" s="251"/>
      <c r="K22" s="251"/>
      <c r="L22" s="251"/>
      <c r="M22" s="251"/>
    </row>
    <row r="23" spans="1:14" s="84" customFormat="1" ht="12" customHeight="1" thickTop="1" x14ac:dyDescent="0.25">
      <c r="A23" s="115"/>
      <c r="B23" s="103">
        <v>75411</v>
      </c>
      <c r="C23" s="119"/>
      <c r="D23" s="104" t="s">
        <v>234</v>
      </c>
      <c r="E23" s="105">
        <v>151100</v>
      </c>
      <c r="F23" s="106">
        <f t="shared" si="4"/>
        <v>100000</v>
      </c>
      <c r="G23" s="106">
        <f t="shared" si="4"/>
        <v>0</v>
      </c>
      <c r="H23" s="105">
        <f>SUM(E23+F23-G23)</f>
        <v>251100</v>
      </c>
      <c r="I23" s="252"/>
      <c r="J23" s="252"/>
      <c r="K23" s="252"/>
      <c r="L23" s="252"/>
      <c r="M23" s="252"/>
    </row>
    <row r="24" spans="1:14" s="84" customFormat="1" ht="12" customHeight="1" x14ac:dyDescent="0.3">
      <c r="A24" s="115"/>
      <c r="B24" s="103"/>
      <c r="C24" s="120"/>
      <c r="D24" s="121" t="s">
        <v>235</v>
      </c>
      <c r="E24" s="109">
        <v>151100</v>
      </c>
      <c r="F24" s="109">
        <f>SUM(F25)</f>
        <v>100000</v>
      </c>
      <c r="G24" s="109">
        <f>SUM(G25)</f>
        <v>0</v>
      </c>
      <c r="H24" s="109">
        <f>SUM(E24+F24-G24)</f>
        <v>251100</v>
      </c>
      <c r="I24" s="253"/>
      <c r="J24" s="253"/>
      <c r="K24" s="253"/>
      <c r="L24" s="253"/>
      <c r="M24" s="253"/>
      <c r="N24" s="122" t="s">
        <v>236</v>
      </c>
    </row>
    <row r="25" spans="1:14" s="84" customFormat="1" ht="36.75" customHeight="1" x14ac:dyDescent="0.25">
      <c r="A25" s="115"/>
      <c r="B25" s="100"/>
      <c r="C25" s="111" t="s">
        <v>237</v>
      </c>
      <c r="D25" s="112" t="s">
        <v>238</v>
      </c>
      <c r="E25" s="114">
        <v>109064.98</v>
      </c>
      <c r="F25" s="114">
        <v>100000</v>
      </c>
      <c r="G25" s="114"/>
      <c r="H25" s="113">
        <f t="shared" ref="H25" si="5">SUM(E25+F25-G25)</f>
        <v>209064.97999999998</v>
      </c>
      <c r="I25" s="252"/>
      <c r="J25" s="252"/>
      <c r="K25" s="252"/>
      <c r="L25" s="252"/>
      <c r="M25" s="252"/>
    </row>
    <row r="26" spans="1:14" s="84" customFormat="1" ht="12" customHeight="1" thickBot="1" x14ac:dyDescent="0.3">
      <c r="A26" s="115">
        <v>801</v>
      </c>
      <c r="B26" s="115"/>
      <c r="C26" s="99"/>
      <c r="D26" s="101" t="s">
        <v>16</v>
      </c>
      <c r="E26" s="98">
        <v>14442738.650000002</v>
      </c>
      <c r="F26" s="102">
        <f>SUM(F27,F32)</f>
        <v>105000</v>
      </c>
      <c r="G26" s="102">
        <f>SUM(G27,G32)</f>
        <v>105000</v>
      </c>
      <c r="H26" s="98">
        <f>SUM(E26+F26-G26)</f>
        <v>14442738.650000002</v>
      </c>
      <c r="I26" s="251"/>
      <c r="J26" s="251"/>
      <c r="K26" s="251"/>
      <c r="L26" s="251"/>
      <c r="M26" s="251"/>
    </row>
    <row r="27" spans="1:14" s="84" customFormat="1" ht="12" customHeight="1" thickTop="1" x14ac:dyDescent="0.25">
      <c r="A27" s="115"/>
      <c r="B27" s="103">
        <v>80117</v>
      </c>
      <c r="C27" s="94"/>
      <c r="D27" s="104" t="s">
        <v>164</v>
      </c>
      <c r="E27" s="105">
        <v>30000</v>
      </c>
      <c r="F27" s="106">
        <f>SUM(F28)</f>
        <v>30000</v>
      </c>
      <c r="G27" s="106">
        <f t="shared" ref="G27" si="6">SUM(G28)</f>
        <v>30000</v>
      </c>
      <c r="H27" s="105">
        <f t="shared" ref="H27:H30" si="7">SUM(E27+F27-G27)</f>
        <v>30000</v>
      </c>
      <c r="I27" s="252"/>
      <c r="J27" s="252"/>
      <c r="K27" s="252"/>
      <c r="L27" s="252"/>
      <c r="M27" s="252"/>
    </row>
    <row r="28" spans="1:14" s="84" customFormat="1" ht="12" customHeight="1" x14ac:dyDescent="0.25">
      <c r="A28" s="115"/>
      <c r="B28" s="123"/>
      <c r="C28" s="107"/>
      <c r="D28" s="108" t="s">
        <v>19</v>
      </c>
      <c r="E28" s="109">
        <v>30000</v>
      </c>
      <c r="F28" s="110">
        <f>SUM(F29:F30)</f>
        <v>30000</v>
      </c>
      <c r="G28" s="110">
        <f>SUM(G29:G30)</f>
        <v>30000</v>
      </c>
      <c r="H28" s="109">
        <f t="shared" si="7"/>
        <v>30000</v>
      </c>
      <c r="I28" s="253"/>
      <c r="J28" s="253"/>
      <c r="K28" s="253"/>
      <c r="L28" s="253"/>
      <c r="M28" s="253"/>
    </row>
    <row r="29" spans="1:14" s="84" customFormat="1" ht="24" customHeight="1" x14ac:dyDescent="0.25">
      <c r="A29" s="115"/>
      <c r="B29" s="123"/>
      <c r="C29" s="111" t="s">
        <v>36</v>
      </c>
      <c r="D29" s="118" t="s">
        <v>37</v>
      </c>
      <c r="E29" s="113">
        <v>30000</v>
      </c>
      <c r="F29" s="113"/>
      <c r="G29" s="114">
        <v>30000</v>
      </c>
      <c r="H29" s="113">
        <f t="shared" si="7"/>
        <v>0</v>
      </c>
      <c r="I29" s="252"/>
      <c r="J29" s="252"/>
      <c r="K29" s="252"/>
      <c r="L29" s="252"/>
      <c r="M29" s="252"/>
    </row>
    <row r="30" spans="1:14" s="84" customFormat="1" ht="24" customHeight="1" x14ac:dyDescent="0.25">
      <c r="A30" s="115"/>
      <c r="B30" s="123"/>
      <c r="C30" s="111" t="s">
        <v>239</v>
      </c>
      <c r="D30" s="124" t="s">
        <v>240</v>
      </c>
      <c r="E30" s="113">
        <v>0</v>
      </c>
      <c r="F30" s="113">
        <v>30000</v>
      </c>
      <c r="G30" s="114"/>
      <c r="H30" s="113">
        <f t="shared" si="7"/>
        <v>30000</v>
      </c>
      <c r="I30" s="252"/>
      <c r="J30" s="252"/>
      <c r="K30" s="252"/>
      <c r="L30" s="252"/>
      <c r="M30" s="252"/>
    </row>
    <row r="31" spans="1:14" s="84" customFormat="1" ht="12" customHeight="1" x14ac:dyDescent="0.25">
      <c r="A31" s="115"/>
      <c r="B31" s="103">
        <v>80140</v>
      </c>
      <c r="C31" s="94"/>
      <c r="D31" s="125" t="s">
        <v>241</v>
      </c>
      <c r="E31" s="113"/>
      <c r="F31" s="113"/>
      <c r="G31" s="114"/>
      <c r="H31" s="113"/>
      <c r="I31" s="252"/>
      <c r="J31" s="252"/>
      <c r="K31" s="252"/>
      <c r="L31" s="252"/>
      <c r="M31" s="252"/>
    </row>
    <row r="32" spans="1:14" s="84" customFormat="1" ht="12" customHeight="1" x14ac:dyDescent="0.25">
      <c r="A32" s="116"/>
      <c r="B32" s="103"/>
      <c r="C32" s="94"/>
      <c r="D32" s="104" t="s">
        <v>242</v>
      </c>
      <c r="E32" s="105">
        <v>419972.85</v>
      </c>
      <c r="F32" s="106">
        <f>SUM(F33)</f>
        <v>75000</v>
      </c>
      <c r="G32" s="106">
        <f t="shared" ref="G32" si="8">SUM(G33)</f>
        <v>75000</v>
      </c>
      <c r="H32" s="105">
        <f t="shared" ref="H32:H35" si="9">SUM(E32+F32-G32)</f>
        <v>419972.85</v>
      </c>
      <c r="I32" s="252"/>
      <c r="J32" s="252"/>
      <c r="K32" s="252"/>
      <c r="L32" s="252"/>
      <c r="M32" s="252"/>
    </row>
    <row r="33" spans="1:13" s="84" customFormat="1" ht="12" customHeight="1" x14ac:dyDescent="0.25">
      <c r="A33" s="116"/>
      <c r="B33" s="123"/>
      <c r="C33" s="107"/>
      <c r="D33" s="108" t="s">
        <v>19</v>
      </c>
      <c r="E33" s="109">
        <v>75000</v>
      </c>
      <c r="F33" s="110">
        <f>SUM(F34:F35)</f>
        <v>75000</v>
      </c>
      <c r="G33" s="110">
        <f>SUM(G34:G35)</f>
        <v>75000</v>
      </c>
      <c r="H33" s="109">
        <f t="shared" si="9"/>
        <v>75000</v>
      </c>
      <c r="I33" s="253"/>
      <c r="J33" s="253"/>
      <c r="K33" s="253"/>
      <c r="L33" s="253"/>
      <c r="M33" s="253"/>
    </row>
    <row r="34" spans="1:13" s="84" customFormat="1" ht="24" customHeight="1" x14ac:dyDescent="0.25">
      <c r="A34" s="116"/>
      <c r="B34" s="123"/>
      <c r="C34" s="111" t="s">
        <v>36</v>
      </c>
      <c r="D34" s="118" t="s">
        <v>37</v>
      </c>
      <c r="E34" s="113">
        <v>75000</v>
      </c>
      <c r="F34" s="113"/>
      <c r="G34" s="114">
        <v>75000</v>
      </c>
      <c r="H34" s="113">
        <f t="shared" si="9"/>
        <v>0</v>
      </c>
      <c r="I34" s="252"/>
      <c r="J34" s="252"/>
      <c r="K34" s="252"/>
      <c r="L34" s="252"/>
      <c r="M34" s="252"/>
    </row>
    <row r="35" spans="1:13" s="84" customFormat="1" ht="24" customHeight="1" x14ac:dyDescent="0.25">
      <c r="A35" s="116"/>
      <c r="B35" s="123"/>
      <c r="C35" s="111" t="s">
        <v>239</v>
      </c>
      <c r="D35" s="124" t="s">
        <v>240</v>
      </c>
      <c r="E35" s="113">
        <v>0</v>
      </c>
      <c r="F35" s="113">
        <v>75000</v>
      </c>
      <c r="G35" s="114"/>
      <c r="H35" s="113">
        <f t="shared" si="9"/>
        <v>75000</v>
      </c>
      <c r="I35" s="252"/>
      <c r="J35" s="252"/>
      <c r="K35" s="252"/>
      <c r="L35" s="252"/>
      <c r="M35" s="252"/>
    </row>
    <row r="36" spans="1:13" s="84" customFormat="1" ht="15.75" customHeight="1" thickBot="1" x14ac:dyDescent="0.3">
      <c r="A36" s="93"/>
      <c r="B36" s="93"/>
      <c r="C36" s="94"/>
      <c r="D36" s="97" t="s">
        <v>18</v>
      </c>
      <c r="E36" s="98">
        <v>65017979.399999991</v>
      </c>
      <c r="F36" s="102">
        <f>SUM(F37,F44,)</f>
        <v>2744151</v>
      </c>
      <c r="G36" s="102">
        <f>SUM(G37,G44,)</f>
        <v>0</v>
      </c>
      <c r="H36" s="98">
        <f t="shared" si="3"/>
        <v>67762130.399999991</v>
      </c>
      <c r="I36" s="251"/>
      <c r="J36" s="251"/>
      <c r="K36" s="251"/>
      <c r="L36" s="251"/>
      <c r="M36" s="251"/>
    </row>
    <row r="37" spans="1:13" s="84" customFormat="1" ht="18" customHeight="1" thickTop="1" thickBot="1" x14ac:dyDescent="0.3">
      <c r="A37" s="100">
        <v>852</v>
      </c>
      <c r="B37" s="100"/>
      <c r="C37" s="99"/>
      <c r="D37" s="101" t="s">
        <v>227</v>
      </c>
      <c r="E37" s="98">
        <v>7577369.6699999999</v>
      </c>
      <c r="F37" s="102">
        <f>SUM(F38,F41,)</f>
        <v>2740349</v>
      </c>
      <c r="G37" s="102">
        <f>SUM(G38,G41,)</f>
        <v>0</v>
      </c>
      <c r="H37" s="102">
        <f>SUM(E37+F37-G37)</f>
        <v>10317718.67</v>
      </c>
      <c r="I37" s="254"/>
      <c r="J37" s="254"/>
      <c r="K37" s="254"/>
      <c r="L37" s="254"/>
      <c r="M37" s="254"/>
    </row>
    <row r="38" spans="1:13" s="84" customFormat="1" ht="12" customHeight="1" thickTop="1" x14ac:dyDescent="0.25">
      <c r="A38" s="100"/>
      <c r="B38" s="103">
        <v>85219</v>
      </c>
      <c r="C38" s="94"/>
      <c r="D38" s="104" t="s">
        <v>243</v>
      </c>
      <c r="E38" s="105">
        <v>242083</v>
      </c>
      <c r="F38" s="106">
        <f t="shared" ref="F38:G39" si="10">SUM(F39)</f>
        <v>31616</v>
      </c>
      <c r="G38" s="106">
        <f t="shared" si="10"/>
        <v>0</v>
      </c>
      <c r="H38" s="105">
        <f>SUM(E38+F38-G38)</f>
        <v>273699</v>
      </c>
      <c r="I38" s="252"/>
      <c r="J38" s="252"/>
      <c r="K38" s="252"/>
      <c r="L38" s="252"/>
      <c r="M38" s="252"/>
    </row>
    <row r="39" spans="1:13" s="84" customFormat="1" ht="12" customHeight="1" x14ac:dyDescent="0.25">
      <c r="A39" s="100"/>
      <c r="B39" s="103"/>
      <c r="C39" s="94"/>
      <c r="D39" s="117" t="s">
        <v>19</v>
      </c>
      <c r="E39" s="109">
        <v>242083</v>
      </c>
      <c r="F39" s="110">
        <f t="shared" si="10"/>
        <v>31616</v>
      </c>
      <c r="G39" s="110">
        <f t="shared" si="10"/>
        <v>0</v>
      </c>
      <c r="H39" s="109">
        <f t="shared" ref="H39:H40" si="11">SUM(E39+F39-G39)</f>
        <v>273699</v>
      </c>
      <c r="I39" s="253"/>
      <c r="J39" s="253"/>
      <c r="K39" s="253"/>
      <c r="L39" s="253"/>
      <c r="M39" s="253"/>
    </row>
    <row r="40" spans="1:13" s="84" customFormat="1" ht="36.75" customHeight="1" x14ac:dyDescent="0.25">
      <c r="A40" s="100"/>
      <c r="B40" s="100"/>
      <c r="C40" s="111" t="s">
        <v>20</v>
      </c>
      <c r="D40" s="126" t="s">
        <v>21</v>
      </c>
      <c r="E40" s="114">
        <v>242083</v>
      </c>
      <c r="F40" s="113">
        <v>31616</v>
      </c>
      <c r="G40" s="113"/>
      <c r="H40" s="114">
        <f t="shared" si="11"/>
        <v>273699</v>
      </c>
      <c r="I40" s="255"/>
      <c r="J40" s="255"/>
      <c r="K40" s="255"/>
      <c r="L40" s="255"/>
      <c r="M40" s="255"/>
    </row>
    <row r="41" spans="1:13" s="84" customFormat="1" ht="12" customHeight="1" x14ac:dyDescent="0.25">
      <c r="A41" s="100"/>
      <c r="B41" s="103">
        <v>85228</v>
      </c>
      <c r="C41" s="94"/>
      <c r="D41" s="127" t="s">
        <v>244</v>
      </c>
      <c r="E41" s="105">
        <v>5382027</v>
      </c>
      <c r="F41" s="106">
        <f t="shared" ref="F41:G42" si="12">SUM(F42)</f>
        <v>2708733</v>
      </c>
      <c r="G41" s="106">
        <f t="shared" si="12"/>
        <v>0</v>
      </c>
      <c r="H41" s="105">
        <f>SUM(E41+F41-G41)</f>
        <v>8090760</v>
      </c>
      <c r="I41" s="252"/>
      <c r="J41" s="252"/>
      <c r="K41" s="252"/>
      <c r="L41" s="252"/>
      <c r="M41" s="252"/>
    </row>
    <row r="42" spans="1:13" s="84" customFormat="1" ht="12" customHeight="1" x14ac:dyDescent="0.25">
      <c r="A42" s="100"/>
      <c r="B42" s="103"/>
      <c r="C42" s="94"/>
      <c r="D42" s="117" t="s">
        <v>19</v>
      </c>
      <c r="E42" s="109">
        <v>5382027</v>
      </c>
      <c r="F42" s="110">
        <f t="shared" si="12"/>
        <v>2708733</v>
      </c>
      <c r="G42" s="110">
        <f t="shared" si="12"/>
        <v>0</v>
      </c>
      <c r="H42" s="109">
        <f t="shared" ref="H42:H49" si="13">SUM(E42+F42-G42)</f>
        <v>8090760</v>
      </c>
      <c r="I42" s="253"/>
      <c r="J42" s="253"/>
      <c r="K42" s="253"/>
      <c r="L42" s="253"/>
      <c r="M42" s="253"/>
    </row>
    <row r="43" spans="1:13" s="84" customFormat="1" ht="36" customHeight="1" x14ac:dyDescent="0.25">
      <c r="A43" s="128"/>
      <c r="B43" s="128"/>
      <c r="C43" s="129" t="s">
        <v>20</v>
      </c>
      <c r="D43" s="130" t="s">
        <v>21</v>
      </c>
      <c r="E43" s="106">
        <v>5382027</v>
      </c>
      <c r="F43" s="105">
        <f>594592+2114141</f>
        <v>2708733</v>
      </c>
      <c r="G43" s="105"/>
      <c r="H43" s="106">
        <f t="shared" si="13"/>
        <v>8090760</v>
      </c>
      <c r="I43" s="255"/>
      <c r="J43" s="255"/>
      <c r="K43" s="255"/>
      <c r="L43" s="255"/>
      <c r="M43" s="255"/>
    </row>
    <row r="44" spans="1:13" s="84" customFormat="1" ht="12" customHeight="1" thickBot="1" x14ac:dyDescent="0.3">
      <c r="A44" s="100">
        <v>855</v>
      </c>
      <c r="B44" s="100"/>
      <c r="C44" s="99"/>
      <c r="D44" s="101" t="s">
        <v>39</v>
      </c>
      <c r="E44" s="102">
        <v>49332136.369999997</v>
      </c>
      <c r="F44" s="102">
        <f>SUM(F45,F48,)</f>
        <v>3802</v>
      </c>
      <c r="G44" s="102">
        <f>SUM(G45,G48,)</f>
        <v>0</v>
      </c>
      <c r="H44" s="102">
        <f t="shared" si="13"/>
        <v>49335938.369999997</v>
      </c>
      <c r="I44" s="254"/>
      <c r="J44" s="254"/>
      <c r="K44" s="254"/>
      <c r="L44" s="254"/>
      <c r="M44" s="254"/>
    </row>
    <row r="45" spans="1:13" s="84" customFormat="1" ht="36.75" customHeight="1" thickTop="1" x14ac:dyDescent="0.25">
      <c r="A45" s="100"/>
      <c r="B45" s="131">
        <v>85502</v>
      </c>
      <c r="C45" s="94"/>
      <c r="D45" s="132" t="s">
        <v>245</v>
      </c>
      <c r="E45" s="105">
        <v>48480576.149999999</v>
      </c>
      <c r="F45" s="106">
        <f t="shared" ref="F45:G45" si="14">SUM(F46)</f>
        <v>2500</v>
      </c>
      <c r="G45" s="106">
        <f t="shared" si="14"/>
        <v>0</v>
      </c>
      <c r="H45" s="105">
        <f t="shared" si="13"/>
        <v>48483076.149999999</v>
      </c>
      <c r="I45" s="252"/>
      <c r="J45" s="252"/>
      <c r="K45" s="252"/>
      <c r="L45" s="252"/>
      <c r="M45" s="252"/>
    </row>
    <row r="46" spans="1:13" s="84" customFormat="1" ht="12" customHeight="1" x14ac:dyDescent="0.25">
      <c r="A46" s="100"/>
      <c r="B46" s="103"/>
      <c r="C46" s="94"/>
      <c r="D46" s="117" t="s">
        <v>19</v>
      </c>
      <c r="E46" s="109">
        <v>48480576.149999999</v>
      </c>
      <c r="F46" s="110">
        <f>SUM(F47:F47)</f>
        <v>2500</v>
      </c>
      <c r="G46" s="110">
        <f>SUM(G47:G47)</f>
        <v>0</v>
      </c>
      <c r="H46" s="109">
        <f t="shared" si="13"/>
        <v>48483076.149999999</v>
      </c>
      <c r="I46" s="253"/>
      <c r="J46" s="253"/>
      <c r="K46" s="253"/>
      <c r="L46" s="253"/>
      <c r="M46" s="253"/>
    </row>
    <row r="47" spans="1:13" s="84" customFormat="1" ht="49.5" customHeight="1" x14ac:dyDescent="0.25">
      <c r="A47" s="100"/>
      <c r="B47" s="103"/>
      <c r="C47" s="111" t="s">
        <v>246</v>
      </c>
      <c r="D47" s="118" t="s">
        <v>247</v>
      </c>
      <c r="E47" s="114">
        <v>24449</v>
      </c>
      <c r="F47" s="114">
        <v>2500</v>
      </c>
      <c r="G47" s="114"/>
      <c r="H47" s="114">
        <f t="shared" si="13"/>
        <v>26949</v>
      </c>
      <c r="I47" s="255"/>
      <c r="J47" s="255"/>
      <c r="K47" s="255"/>
      <c r="L47" s="255"/>
      <c r="M47" s="255"/>
    </row>
    <row r="48" spans="1:13" s="84" customFormat="1" ht="12" customHeight="1" x14ac:dyDescent="0.25">
      <c r="A48" s="100"/>
      <c r="B48" s="119">
        <v>85503</v>
      </c>
      <c r="C48" s="103"/>
      <c r="D48" s="104" t="s">
        <v>248</v>
      </c>
      <c r="E48" s="105">
        <v>2858</v>
      </c>
      <c r="F48" s="106">
        <f t="shared" ref="F48:G49" si="15">SUM(F49)</f>
        <v>1302</v>
      </c>
      <c r="G48" s="106">
        <f t="shared" si="15"/>
        <v>0</v>
      </c>
      <c r="H48" s="105">
        <f t="shared" si="13"/>
        <v>4160</v>
      </c>
      <c r="I48" s="252"/>
      <c r="J48" s="252"/>
      <c r="K48" s="252"/>
      <c r="L48" s="252"/>
      <c r="M48" s="252"/>
    </row>
    <row r="49" spans="1:13" s="84" customFormat="1" ht="12" customHeight="1" x14ac:dyDescent="0.25">
      <c r="A49" s="100"/>
      <c r="B49" s="103"/>
      <c r="C49" s="94"/>
      <c r="D49" s="117" t="s">
        <v>19</v>
      </c>
      <c r="E49" s="109">
        <v>2858</v>
      </c>
      <c r="F49" s="110">
        <f t="shared" si="15"/>
        <v>1302</v>
      </c>
      <c r="G49" s="110">
        <f t="shared" si="15"/>
        <v>0</v>
      </c>
      <c r="H49" s="109">
        <f t="shared" si="13"/>
        <v>4160</v>
      </c>
      <c r="I49" s="253"/>
      <c r="J49" s="253"/>
      <c r="K49" s="253"/>
      <c r="L49" s="253"/>
      <c r="M49" s="253"/>
    </row>
    <row r="50" spans="1:13" s="84" customFormat="1" ht="35.25" customHeight="1" x14ac:dyDescent="0.25">
      <c r="A50" s="100"/>
      <c r="B50" s="100"/>
      <c r="C50" s="111" t="s">
        <v>20</v>
      </c>
      <c r="D50" s="133" t="s">
        <v>21</v>
      </c>
      <c r="E50" s="114">
        <v>2858</v>
      </c>
      <c r="F50" s="113">
        <v>1302</v>
      </c>
      <c r="G50" s="113"/>
      <c r="H50" s="114">
        <f>SUM(E50+F50-G50)</f>
        <v>4160</v>
      </c>
      <c r="I50" s="255"/>
      <c r="J50" s="255"/>
      <c r="K50" s="255"/>
      <c r="L50" s="255"/>
      <c r="M50" s="255"/>
    </row>
    <row r="51" spans="1:13" s="84" customFormat="1" ht="17.25" customHeight="1" thickBot="1" x14ac:dyDescent="0.3">
      <c r="A51" s="93"/>
      <c r="B51" s="93"/>
      <c r="C51" s="94"/>
      <c r="D51" s="97" t="s">
        <v>40</v>
      </c>
      <c r="E51" s="98">
        <v>27933871.720000003</v>
      </c>
      <c r="F51" s="98">
        <f>SUM(F52,)</f>
        <v>720623.9</v>
      </c>
      <c r="G51" s="98">
        <f>SUM(G52,)</f>
        <v>0</v>
      </c>
      <c r="H51" s="98">
        <f t="shared" ref="H51:H55" si="16">SUM(E51+F51-G51)</f>
        <v>28654495.620000001</v>
      </c>
      <c r="I51" s="251"/>
      <c r="J51" s="251"/>
      <c r="K51" s="251"/>
      <c r="L51" s="251"/>
      <c r="M51" s="251"/>
    </row>
    <row r="52" spans="1:13" s="84" customFormat="1" ht="15" customHeight="1" thickTop="1" thickBot="1" x14ac:dyDescent="0.3">
      <c r="A52" s="100">
        <v>754</v>
      </c>
      <c r="B52" s="134"/>
      <c r="C52" s="135"/>
      <c r="D52" s="101" t="s">
        <v>233</v>
      </c>
      <c r="E52" s="98">
        <v>23696558.550000001</v>
      </c>
      <c r="F52" s="98">
        <f>SUM(F53)</f>
        <v>720623.9</v>
      </c>
      <c r="G52" s="98">
        <f>SUM(G53)</f>
        <v>0</v>
      </c>
      <c r="H52" s="98">
        <f>SUM(E52+F52-G52)</f>
        <v>24417182.449999999</v>
      </c>
      <c r="I52" s="251"/>
      <c r="J52" s="251"/>
      <c r="K52" s="251"/>
      <c r="L52" s="251"/>
      <c r="M52" s="251"/>
    </row>
    <row r="53" spans="1:13" s="84" customFormat="1" ht="12" customHeight="1" thickTop="1" x14ac:dyDescent="0.25">
      <c r="A53" s="100"/>
      <c r="B53" s="103">
        <v>75411</v>
      </c>
      <c r="C53" s="94"/>
      <c r="D53" s="127" t="s">
        <v>249</v>
      </c>
      <c r="E53" s="105">
        <v>23696558.550000001</v>
      </c>
      <c r="F53" s="105">
        <f t="shared" ref="F53:G54" si="17">SUM(F54)</f>
        <v>720623.9</v>
      </c>
      <c r="G53" s="105">
        <f t="shared" si="17"/>
        <v>0</v>
      </c>
      <c r="H53" s="105">
        <f>SUM(E53+F53-G53)</f>
        <v>24417182.449999999</v>
      </c>
      <c r="I53" s="252"/>
      <c r="J53" s="252"/>
      <c r="K53" s="252"/>
      <c r="L53" s="252"/>
      <c r="M53" s="252"/>
    </row>
    <row r="54" spans="1:13" s="84" customFormat="1" ht="12" customHeight="1" x14ac:dyDescent="0.25">
      <c r="A54" s="115"/>
      <c r="B54" s="103"/>
      <c r="C54" s="94"/>
      <c r="D54" s="117" t="s">
        <v>19</v>
      </c>
      <c r="E54" s="109">
        <v>23696558.550000001</v>
      </c>
      <c r="F54" s="110">
        <f t="shared" si="17"/>
        <v>720623.9</v>
      </c>
      <c r="G54" s="110">
        <f t="shared" si="17"/>
        <v>0</v>
      </c>
      <c r="H54" s="109">
        <f>SUM(E54+F54-G54)</f>
        <v>24417182.449999999</v>
      </c>
      <c r="I54" s="253"/>
      <c r="J54" s="253"/>
      <c r="K54" s="253"/>
      <c r="L54" s="253"/>
      <c r="M54" s="253"/>
    </row>
    <row r="55" spans="1:13" s="84" customFormat="1" ht="36.75" customHeight="1" x14ac:dyDescent="0.25">
      <c r="A55" s="115"/>
      <c r="B55" s="100"/>
      <c r="C55" s="131">
        <v>2110</v>
      </c>
      <c r="D55" s="136" t="s">
        <v>41</v>
      </c>
      <c r="E55" s="114">
        <v>23576558.550000001</v>
      </c>
      <c r="F55" s="113">
        <v>720623.9</v>
      </c>
      <c r="G55" s="113"/>
      <c r="H55" s="114">
        <f t="shared" si="16"/>
        <v>24297182.449999999</v>
      </c>
      <c r="I55" s="255"/>
      <c r="J55" s="255"/>
      <c r="K55" s="255"/>
      <c r="L55" s="255"/>
      <c r="M55" s="255"/>
    </row>
    <row r="56" spans="1:13" s="84" customFormat="1" ht="18" customHeight="1" thickBot="1" x14ac:dyDescent="0.3">
      <c r="A56" s="103"/>
      <c r="B56" s="103"/>
      <c r="C56" s="94"/>
      <c r="D56" s="95" t="s">
        <v>11</v>
      </c>
      <c r="E56" s="96">
        <v>1584980895.2499993</v>
      </c>
      <c r="F56" s="96">
        <f>SUM(F57,F301,F471,F489)</f>
        <v>14534846.93</v>
      </c>
      <c r="G56" s="96">
        <f>SUM(G57,G301,G471,G489)</f>
        <v>10186345.630000001</v>
      </c>
      <c r="H56" s="96">
        <f t="shared" ref="H56:H57" si="18">SUM(E56+F56-G56)</f>
        <v>1589329396.5499992</v>
      </c>
      <c r="I56" s="251"/>
      <c r="J56" s="251"/>
      <c r="K56" s="251"/>
      <c r="L56" s="251"/>
      <c r="M56" s="251"/>
    </row>
    <row r="57" spans="1:13" s="84" customFormat="1" ht="16.5" customHeight="1" thickBot="1" x14ac:dyDescent="0.3">
      <c r="A57" s="103"/>
      <c r="B57" s="103"/>
      <c r="C57" s="94"/>
      <c r="D57" s="97" t="s">
        <v>14</v>
      </c>
      <c r="E57" s="98">
        <v>1078546046.4000001</v>
      </c>
      <c r="F57" s="98">
        <f>SUM(F58,F71,F76,F83,F95,F100,F105,F170,F183,F238,F251,F257,F283,F288,F295)</f>
        <v>3235323.47</v>
      </c>
      <c r="G57" s="98">
        <f>SUM(G58,G71,G76,G83,G95,G100,G105,G170,G183,G238,G251,G257,G283,G288,G295)</f>
        <v>5295424.0699999994</v>
      </c>
      <c r="H57" s="98">
        <f t="shared" si="18"/>
        <v>1076485945.8000002</v>
      </c>
      <c r="I57" s="251"/>
      <c r="J57" s="251"/>
      <c r="K57" s="251"/>
      <c r="L57" s="251"/>
      <c r="M57" s="251"/>
    </row>
    <row r="58" spans="1:13" s="84" customFormat="1" ht="18" customHeight="1" thickTop="1" thickBot="1" x14ac:dyDescent="0.3">
      <c r="A58" s="115">
        <v>600</v>
      </c>
      <c r="B58" s="100"/>
      <c r="C58" s="99"/>
      <c r="D58" s="101" t="s">
        <v>250</v>
      </c>
      <c r="E58" s="98">
        <v>197594961.46000001</v>
      </c>
      <c r="F58" s="98">
        <f>SUM(F59,F63,F67)</f>
        <v>40000</v>
      </c>
      <c r="G58" s="98">
        <f>SUM(G59,G63,G67)</f>
        <v>60000</v>
      </c>
      <c r="H58" s="98">
        <f>SUM(E58+F58-G58)</f>
        <v>197574961.46000001</v>
      </c>
      <c r="I58" s="251"/>
      <c r="J58" s="251"/>
      <c r="K58" s="251"/>
      <c r="L58" s="251"/>
      <c r="M58" s="251"/>
    </row>
    <row r="59" spans="1:13" s="84" customFormat="1" ht="12" customHeight="1" thickTop="1" x14ac:dyDescent="0.25">
      <c r="A59" s="115"/>
      <c r="B59" s="103">
        <v>60016</v>
      </c>
      <c r="C59" s="94"/>
      <c r="D59" s="104" t="s">
        <v>251</v>
      </c>
      <c r="E59" s="105">
        <v>39957997.310000002</v>
      </c>
      <c r="F59" s="105">
        <f>SUM(F60,)</f>
        <v>15000</v>
      </c>
      <c r="G59" s="105">
        <f>SUM(G60,)</f>
        <v>15000</v>
      </c>
      <c r="H59" s="105">
        <f t="shared" ref="H59:H63" si="19">SUM(E59+F59-G59)</f>
        <v>39957997.310000002</v>
      </c>
      <c r="I59" s="252"/>
      <c r="J59" s="252"/>
      <c r="K59" s="252"/>
      <c r="L59" s="252"/>
      <c r="M59" s="252"/>
    </row>
    <row r="60" spans="1:13" s="84" customFormat="1" ht="12" customHeight="1" x14ac:dyDescent="0.25">
      <c r="A60" s="115"/>
      <c r="B60" s="103"/>
      <c r="C60" s="94"/>
      <c r="D60" s="137" t="s">
        <v>252</v>
      </c>
      <c r="E60" s="109">
        <v>23883997.310000006</v>
      </c>
      <c r="F60" s="110">
        <f>SUM(F61:F62)</f>
        <v>15000</v>
      </c>
      <c r="G60" s="110">
        <f>SUM(G61:G62)</f>
        <v>15000</v>
      </c>
      <c r="H60" s="109">
        <f t="shared" si="19"/>
        <v>23883997.310000006</v>
      </c>
      <c r="I60" s="253"/>
      <c r="J60" s="253"/>
      <c r="K60" s="253"/>
      <c r="L60" s="253"/>
      <c r="M60" s="253"/>
    </row>
    <row r="61" spans="1:13" s="84" customFormat="1" ht="12" customHeight="1" x14ac:dyDescent="0.25">
      <c r="A61" s="115"/>
      <c r="B61" s="103"/>
      <c r="C61" s="138" t="s">
        <v>31</v>
      </c>
      <c r="D61" s="139" t="s">
        <v>32</v>
      </c>
      <c r="E61" s="113">
        <v>34080</v>
      </c>
      <c r="F61" s="114">
        <v>15000</v>
      </c>
      <c r="G61" s="114"/>
      <c r="H61" s="113">
        <f t="shared" si="19"/>
        <v>49080</v>
      </c>
      <c r="I61" s="252"/>
      <c r="J61" s="252"/>
      <c r="K61" s="252"/>
      <c r="L61" s="252"/>
      <c r="M61" s="252"/>
    </row>
    <row r="62" spans="1:13" s="84" customFormat="1" ht="12" customHeight="1" x14ac:dyDescent="0.25">
      <c r="A62" s="115"/>
      <c r="B62" s="103"/>
      <c r="C62" s="140">
        <v>4270</v>
      </c>
      <c r="D62" s="139" t="s">
        <v>15</v>
      </c>
      <c r="E62" s="113">
        <v>940310</v>
      </c>
      <c r="F62" s="114"/>
      <c r="G62" s="114">
        <v>15000</v>
      </c>
      <c r="H62" s="113">
        <f t="shared" si="19"/>
        <v>925310</v>
      </c>
      <c r="I62" s="252"/>
      <c r="J62" s="252"/>
      <c r="K62" s="252"/>
      <c r="L62" s="252"/>
      <c r="M62" s="252"/>
    </row>
    <row r="63" spans="1:13" s="84" customFormat="1" ht="12" customHeight="1" x14ac:dyDescent="0.25">
      <c r="A63" s="115"/>
      <c r="B63" s="3">
        <v>60017</v>
      </c>
      <c r="C63" s="3"/>
      <c r="D63" s="6" t="s">
        <v>253</v>
      </c>
      <c r="E63" s="105">
        <v>844240.5</v>
      </c>
      <c r="F63" s="105">
        <f>SUM(F64,)</f>
        <v>5000</v>
      </c>
      <c r="G63" s="105">
        <f>SUM(G64,)</f>
        <v>5000</v>
      </c>
      <c r="H63" s="105">
        <f t="shared" si="19"/>
        <v>844240.5</v>
      </c>
      <c r="I63" s="252"/>
      <c r="J63" s="252"/>
      <c r="K63" s="252"/>
      <c r="L63" s="252"/>
      <c r="M63" s="252"/>
    </row>
    <row r="64" spans="1:13" s="84" customFormat="1" ht="12" customHeight="1" x14ac:dyDescent="0.25">
      <c r="A64" s="115"/>
      <c r="B64" s="103"/>
      <c r="C64" s="94"/>
      <c r="D64" s="137" t="s">
        <v>252</v>
      </c>
      <c r="E64" s="109">
        <v>844240.5</v>
      </c>
      <c r="F64" s="110">
        <f>SUM(F65:F66)</f>
        <v>5000</v>
      </c>
      <c r="G64" s="110">
        <f>SUM(G65:G66)</f>
        <v>5000</v>
      </c>
      <c r="H64" s="109">
        <f t="shared" ref="H64:H66" si="20">SUM(E64+F64-G64)</f>
        <v>844240.5</v>
      </c>
      <c r="I64" s="253"/>
      <c r="J64" s="253"/>
      <c r="K64" s="253"/>
      <c r="L64" s="253"/>
      <c r="M64" s="253"/>
    </row>
    <row r="65" spans="1:14" s="84" customFormat="1" ht="12" customHeight="1" x14ac:dyDescent="0.25">
      <c r="A65" s="115"/>
      <c r="B65" s="103"/>
      <c r="C65" s="138" t="s">
        <v>31</v>
      </c>
      <c r="D65" s="139" t="s">
        <v>32</v>
      </c>
      <c r="E65" s="113">
        <v>7000</v>
      </c>
      <c r="F65" s="114">
        <v>5000</v>
      </c>
      <c r="G65" s="114"/>
      <c r="H65" s="113">
        <f t="shared" si="20"/>
        <v>12000</v>
      </c>
      <c r="I65" s="252"/>
      <c r="J65" s="252"/>
      <c r="K65" s="252"/>
      <c r="L65" s="252"/>
      <c r="M65" s="252"/>
    </row>
    <row r="66" spans="1:14" s="84" customFormat="1" ht="12" customHeight="1" x14ac:dyDescent="0.25">
      <c r="A66" s="115"/>
      <c r="B66" s="100"/>
      <c r="C66" s="119">
        <v>4300</v>
      </c>
      <c r="D66" s="141" t="s">
        <v>50</v>
      </c>
      <c r="E66" s="113">
        <v>293240.5</v>
      </c>
      <c r="F66" s="114"/>
      <c r="G66" s="114">
        <v>5000</v>
      </c>
      <c r="H66" s="113">
        <f t="shared" si="20"/>
        <v>288240.5</v>
      </c>
      <c r="I66" s="252"/>
      <c r="J66" s="252"/>
      <c r="K66" s="252"/>
      <c r="L66" s="252"/>
      <c r="M66" s="252"/>
    </row>
    <row r="67" spans="1:14" s="84" customFormat="1" ht="12" customHeight="1" x14ac:dyDescent="0.25">
      <c r="A67" s="103"/>
      <c r="B67" s="119">
        <v>60095</v>
      </c>
      <c r="C67" s="94"/>
      <c r="D67" s="104" t="s">
        <v>73</v>
      </c>
      <c r="E67" s="105">
        <v>17693260.720000003</v>
      </c>
      <c r="F67" s="105">
        <f>SUM(F68)</f>
        <v>20000</v>
      </c>
      <c r="G67" s="105">
        <f>SUM(G68)</f>
        <v>40000</v>
      </c>
      <c r="H67" s="105">
        <f>SUM(E67+F67-G67)</f>
        <v>17673260.720000003</v>
      </c>
      <c r="I67" s="252"/>
      <c r="J67" s="252"/>
      <c r="K67" s="252"/>
      <c r="L67" s="252"/>
      <c r="M67" s="252"/>
    </row>
    <row r="68" spans="1:14" s="84" customFormat="1" ht="12" customHeight="1" x14ac:dyDescent="0.3">
      <c r="A68" s="103"/>
      <c r="B68" s="119"/>
      <c r="C68" s="142"/>
      <c r="D68" s="137" t="s">
        <v>252</v>
      </c>
      <c r="E68" s="143">
        <v>17596260.720000003</v>
      </c>
      <c r="F68" s="143">
        <f>SUM(F69:F70)</f>
        <v>20000</v>
      </c>
      <c r="G68" s="143">
        <f>SUM(G69:G70)</f>
        <v>40000</v>
      </c>
      <c r="H68" s="109">
        <f>SUM(E68+F68-G68)</f>
        <v>17576260.720000003</v>
      </c>
      <c r="I68" s="253"/>
      <c r="J68" s="253"/>
      <c r="K68" s="253"/>
      <c r="L68" s="253"/>
      <c r="M68" s="253"/>
      <c r="N68" s="122" t="s">
        <v>236</v>
      </c>
    </row>
    <row r="69" spans="1:14" s="84" customFormat="1" ht="12" customHeight="1" x14ac:dyDescent="0.25">
      <c r="A69" s="103"/>
      <c r="B69" s="100"/>
      <c r="C69" s="138" t="s">
        <v>31</v>
      </c>
      <c r="D69" s="139" t="s">
        <v>32</v>
      </c>
      <c r="E69" s="113">
        <v>179895.1</v>
      </c>
      <c r="F69" s="113"/>
      <c r="G69" s="113">
        <v>40000</v>
      </c>
      <c r="H69" s="113">
        <f t="shared" ref="H69:H70" si="21">SUM(E69+F69-G69)</f>
        <v>139895.1</v>
      </c>
      <c r="I69" s="252"/>
      <c r="J69" s="252"/>
      <c r="K69" s="252"/>
      <c r="L69" s="252"/>
      <c r="M69" s="252"/>
    </row>
    <row r="70" spans="1:14" s="84" customFormat="1" ht="12" customHeight="1" x14ac:dyDescent="0.25">
      <c r="A70" s="103"/>
      <c r="B70" s="100"/>
      <c r="C70" s="119">
        <v>4300</v>
      </c>
      <c r="D70" s="141" t="s">
        <v>50</v>
      </c>
      <c r="E70" s="113">
        <v>340000</v>
      </c>
      <c r="F70" s="113">
        <v>20000</v>
      </c>
      <c r="G70" s="113"/>
      <c r="H70" s="113">
        <f t="shared" si="21"/>
        <v>360000</v>
      </c>
      <c r="I70" s="252"/>
      <c r="J70" s="252"/>
      <c r="K70" s="252"/>
      <c r="L70" s="252"/>
      <c r="M70" s="252"/>
    </row>
    <row r="71" spans="1:14" s="84" customFormat="1" ht="12" customHeight="1" thickBot="1" x14ac:dyDescent="0.3">
      <c r="A71" s="144">
        <v>630</v>
      </c>
      <c r="B71" s="145"/>
      <c r="C71" s="144"/>
      <c r="D71" s="146" t="s">
        <v>254</v>
      </c>
      <c r="E71" s="147">
        <v>3303544.0500000003</v>
      </c>
      <c r="F71" s="147">
        <f>SUM(F72)</f>
        <v>110400.13</v>
      </c>
      <c r="G71" s="147">
        <f t="shared" ref="G71" si="22">SUM(G72)</f>
        <v>0</v>
      </c>
      <c r="H71" s="147">
        <f>SUM(E71+F71-G71)</f>
        <v>3413944.18</v>
      </c>
      <c r="I71" s="256"/>
      <c r="J71" s="256"/>
      <c r="K71" s="256"/>
      <c r="L71" s="256"/>
      <c r="M71" s="256"/>
    </row>
    <row r="72" spans="1:14" s="84" customFormat="1" ht="12" customHeight="1" thickTop="1" x14ac:dyDescent="0.25">
      <c r="A72" s="123"/>
      <c r="B72" s="119">
        <v>63003</v>
      </c>
      <c r="C72" s="148"/>
      <c r="D72" s="149" t="s">
        <v>93</v>
      </c>
      <c r="E72" s="105">
        <v>3204544.0500000003</v>
      </c>
      <c r="F72" s="105">
        <f>SUM(F73)</f>
        <v>110400.13</v>
      </c>
      <c r="G72" s="105">
        <f>SUM(G73)</f>
        <v>0</v>
      </c>
      <c r="H72" s="105">
        <f>SUM(E72+F72-G72)</f>
        <v>3314944.18</v>
      </c>
      <c r="I72" s="252"/>
      <c r="J72" s="252"/>
      <c r="K72" s="252"/>
      <c r="L72" s="252"/>
      <c r="M72" s="252"/>
    </row>
    <row r="73" spans="1:14" s="84" customFormat="1" ht="12" customHeight="1" x14ac:dyDescent="0.25">
      <c r="A73" s="115"/>
      <c r="B73" s="119"/>
      <c r="C73" s="142"/>
      <c r="D73" s="150" t="s">
        <v>255</v>
      </c>
      <c r="E73" s="143">
        <v>3169544.0500000003</v>
      </c>
      <c r="F73" s="143">
        <f>SUM(F74:F75)</f>
        <v>110400.13</v>
      </c>
      <c r="G73" s="143">
        <f>SUM(G74:G75)</f>
        <v>0</v>
      </c>
      <c r="H73" s="109">
        <f>SUM(E73+F73-G73)</f>
        <v>3279944.18</v>
      </c>
      <c r="I73" s="253"/>
      <c r="J73" s="253"/>
      <c r="K73" s="253"/>
      <c r="L73" s="253"/>
      <c r="M73" s="253"/>
    </row>
    <row r="74" spans="1:14" s="84" customFormat="1" ht="12" customHeight="1" x14ac:dyDescent="0.25">
      <c r="A74" s="115"/>
      <c r="B74" s="119"/>
      <c r="C74" s="119">
        <v>4010</v>
      </c>
      <c r="D74" s="141" t="s">
        <v>43</v>
      </c>
      <c r="E74" s="113">
        <v>1834194.54</v>
      </c>
      <c r="F74" s="113">
        <v>52782.7</v>
      </c>
      <c r="G74" s="113"/>
      <c r="H74" s="113">
        <f t="shared" ref="H74:H75" si="23">SUM(E74+F74-G74)</f>
        <v>1886977.24</v>
      </c>
      <c r="I74" s="252"/>
      <c r="J74" s="252"/>
      <c r="K74" s="252"/>
      <c r="L74" s="252"/>
      <c r="M74" s="252"/>
    </row>
    <row r="75" spans="1:14" s="84" customFormat="1" ht="12" customHeight="1" x14ac:dyDescent="0.25">
      <c r="A75" s="115"/>
      <c r="B75" s="119"/>
      <c r="C75" s="119">
        <v>4110</v>
      </c>
      <c r="D75" s="141" t="s">
        <v>24</v>
      </c>
      <c r="E75" s="113">
        <v>234893.97</v>
      </c>
      <c r="F75" s="113">
        <v>57617.43</v>
      </c>
      <c r="G75" s="113"/>
      <c r="H75" s="113">
        <f t="shared" si="23"/>
        <v>292511.40000000002</v>
      </c>
      <c r="I75" s="252"/>
      <c r="J75" s="252"/>
      <c r="K75" s="252"/>
      <c r="L75" s="252"/>
      <c r="M75" s="252"/>
    </row>
    <row r="76" spans="1:14" s="84" customFormat="1" ht="11.25" customHeight="1" thickBot="1" x14ac:dyDescent="0.3">
      <c r="A76" s="151">
        <v>700</v>
      </c>
      <c r="B76" s="151"/>
      <c r="C76" s="152"/>
      <c r="D76" s="153" t="s">
        <v>256</v>
      </c>
      <c r="E76" s="147">
        <v>141522029.80000001</v>
      </c>
      <c r="F76" s="154">
        <f>SUM(F77,)</f>
        <v>220000</v>
      </c>
      <c r="G76" s="154">
        <f>SUM(G77,)</f>
        <v>220000</v>
      </c>
      <c r="H76" s="147">
        <f>SUM(E76+F76-G76)</f>
        <v>141522029.80000001</v>
      </c>
      <c r="I76" s="256"/>
      <c r="J76" s="256"/>
      <c r="K76" s="256"/>
      <c r="L76" s="256"/>
      <c r="M76" s="256"/>
    </row>
    <row r="77" spans="1:14" s="84" customFormat="1" ht="12" customHeight="1" thickTop="1" x14ac:dyDescent="0.25">
      <c r="A77" s="115"/>
      <c r="B77" s="119">
        <v>70007</v>
      </c>
      <c r="C77" s="148"/>
      <c r="D77" s="149" t="s">
        <v>257</v>
      </c>
      <c r="E77" s="105">
        <v>59438334.520000003</v>
      </c>
      <c r="F77" s="106">
        <f>SUM(F78,)</f>
        <v>220000</v>
      </c>
      <c r="G77" s="106">
        <f>SUM(G78,)</f>
        <v>220000</v>
      </c>
      <c r="H77" s="105">
        <f t="shared" ref="H77:H94" si="24">SUM(E77+F77-G77)</f>
        <v>59438334.520000003</v>
      </c>
      <c r="I77" s="252"/>
      <c r="J77" s="252"/>
      <c r="K77" s="252"/>
      <c r="L77" s="252"/>
      <c r="M77" s="252"/>
    </row>
    <row r="78" spans="1:14" s="84" customFormat="1" ht="12" customHeight="1" x14ac:dyDescent="0.25">
      <c r="A78" s="115"/>
      <c r="B78" s="115"/>
      <c r="C78" s="155"/>
      <c r="D78" s="150" t="s">
        <v>258</v>
      </c>
      <c r="E78" s="109">
        <v>56304331.420000002</v>
      </c>
      <c r="F78" s="110">
        <f>SUM(F79:F82)</f>
        <v>220000</v>
      </c>
      <c r="G78" s="110">
        <f>SUM(G79:G82)</f>
        <v>220000</v>
      </c>
      <c r="H78" s="109">
        <f t="shared" si="24"/>
        <v>56304331.420000002</v>
      </c>
      <c r="I78" s="253"/>
      <c r="J78" s="253"/>
      <c r="K78" s="253"/>
      <c r="L78" s="253"/>
      <c r="M78" s="253"/>
    </row>
    <row r="79" spans="1:14" s="84" customFormat="1" ht="12" customHeight="1" x14ac:dyDescent="0.25">
      <c r="A79" s="115"/>
      <c r="B79" s="115"/>
      <c r="C79" s="138" t="s">
        <v>31</v>
      </c>
      <c r="D79" s="139" t="s">
        <v>32</v>
      </c>
      <c r="E79" s="113">
        <v>197000</v>
      </c>
      <c r="F79" s="114"/>
      <c r="G79" s="114">
        <v>20000</v>
      </c>
      <c r="H79" s="113">
        <f t="shared" si="24"/>
        <v>177000</v>
      </c>
      <c r="I79" s="252"/>
      <c r="J79" s="252"/>
      <c r="K79" s="252"/>
      <c r="L79" s="252"/>
      <c r="M79" s="252"/>
    </row>
    <row r="80" spans="1:14" s="84" customFormat="1" ht="12" customHeight="1" x14ac:dyDescent="0.25">
      <c r="A80" s="115"/>
      <c r="B80" s="115"/>
      <c r="C80" s="140">
        <v>4270</v>
      </c>
      <c r="D80" s="139" t="s">
        <v>15</v>
      </c>
      <c r="E80" s="113">
        <v>7458128.6399999997</v>
      </c>
      <c r="F80" s="114"/>
      <c r="G80" s="114">
        <v>200000</v>
      </c>
      <c r="H80" s="113">
        <f t="shared" si="24"/>
        <v>7258128.6399999997</v>
      </c>
      <c r="I80" s="252"/>
      <c r="J80" s="252"/>
      <c r="K80" s="252"/>
      <c r="L80" s="252"/>
      <c r="M80" s="252"/>
    </row>
    <row r="81" spans="1:13" s="84" customFormat="1" ht="12" customHeight="1" x14ac:dyDescent="0.25">
      <c r="A81" s="115"/>
      <c r="B81" s="115"/>
      <c r="C81" s="140">
        <v>4300</v>
      </c>
      <c r="D81" s="139" t="s">
        <v>50</v>
      </c>
      <c r="E81" s="113">
        <v>4550580.2699999996</v>
      </c>
      <c r="F81" s="114">
        <v>200000</v>
      </c>
      <c r="G81" s="114"/>
      <c r="H81" s="113">
        <f t="shared" si="24"/>
        <v>4750580.2699999996</v>
      </c>
      <c r="I81" s="252"/>
      <c r="J81" s="252"/>
      <c r="K81" s="252"/>
      <c r="L81" s="252"/>
      <c r="M81" s="252"/>
    </row>
    <row r="82" spans="1:13" s="84" customFormat="1" ht="12" customHeight="1" x14ac:dyDescent="0.25">
      <c r="A82" s="115"/>
      <c r="B82" s="115"/>
      <c r="C82" s="140">
        <v>4610</v>
      </c>
      <c r="D82" s="156" t="s">
        <v>57</v>
      </c>
      <c r="E82" s="113">
        <v>52060</v>
      </c>
      <c r="F82" s="114">
        <v>20000</v>
      </c>
      <c r="G82" s="114"/>
      <c r="H82" s="113">
        <f t="shared" si="24"/>
        <v>72060</v>
      </c>
      <c r="I82" s="252"/>
      <c r="J82" s="252"/>
      <c r="K82" s="252"/>
      <c r="L82" s="252"/>
      <c r="M82" s="252"/>
    </row>
    <row r="83" spans="1:13" s="84" customFormat="1" ht="12" customHeight="1" thickBot="1" x14ac:dyDescent="0.3">
      <c r="A83" s="151">
        <v>750</v>
      </c>
      <c r="B83" s="100"/>
      <c r="C83" s="99"/>
      <c r="D83" s="153" t="s">
        <v>259</v>
      </c>
      <c r="E83" s="147">
        <v>97955089.310000002</v>
      </c>
      <c r="F83" s="154">
        <f>SUM(F84,F91)</f>
        <v>150000</v>
      </c>
      <c r="G83" s="154">
        <f>SUM(G84,G91)</f>
        <v>150000</v>
      </c>
      <c r="H83" s="147">
        <f t="shared" si="24"/>
        <v>97955089.310000002</v>
      </c>
      <c r="I83" s="256"/>
      <c r="J83" s="256"/>
      <c r="K83" s="256"/>
      <c r="L83" s="256"/>
      <c r="M83" s="256"/>
    </row>
    <row r="84" spans="1:13" s="84" customFormat="1" ht="12" customHeight="1" thickTop="1" x14ac:dyDescent="0.25">
      <c r="A84" s="151"/>
      <c r="B84" s="157">
        <v>75023</v>
      </c>
      <c r="C84" s="157"/>
      <c r="D84" s="6" t="s">
        <v>260</v>
      </c>
      <c r="E84" s="158">
        <v>46842457.430000007</v>
      </c>
      <c r="F84" s="158">
        <f>SUM(F85,)</f>
        <v>143000</v>
      </c>
      <c r="G84" s="158">
        <f>SUM(G85,)</f>
        <v>120000</v>
      </c>
      <c r="H84" s="159">
        <f t="shared" si="24"/>
        <v>46865457.430000007</v>
      </c>
      <c r="I84" s="257"/>
      <c r="J84" s="257"/>
      <c r="K84" s="257"/>
      <c r="L84" s="257"/>
      <c r="M84" s="257"/>
    </row>
    <row r="85" spans="1:13" s="84" customFormat="1" ht="12" customHeight="1" x14ac:dyDescent="0.25">
      <c r="A85" s="151"/>
      <c r="B85" s="157"/>
      <c r="C85" s="157"/>
      <c r="D85" s="160" t="s">
        <v>261</v>
      </c>
      <c r="E85" s="161">
        <v>40726457.510000005</v>
      </c>
      <c r="F85" s="161">
        <f>SUM(F86:F90)</f>
        <v>143000</v>
      </c>
      <c r="G85" s="161">
        <f>SUM(G86:G90)</f>
        <v>120000</v>
      </c>
      <c r="H85" s="162">
        <f t="shared" si="24"/>
        <v>40749457.510000005</v>
      </c>
      <c r="I85" s="258"/>
      <c r="J85" s="258"/>
      <c r="K85" s="258"/>
      <c r="L85" s="258"/>
      <c r="M85" s="258"/>
    </row>
    <row r="86" spans="1:13" s="84" customFormat="1" ht="12" customHeight="1" x14ac:dyDescent="0.25">
      <c r="A86" s="151"/>
      <c r="B86" s="157"/>
      <c r="C86" s="140">
        <v>4260</v>
      </c>
      <c r="D86" s="139" t="s">
        <v>48</v>
      </c>
      <c r="E86" s="163">
        <v>1463500</v>
      </c>
      <c r="F86" s="163"/>
      <c r="G86" s="163">
        <v>100000</v>
      </c>
      <c r="H86" s="164">
        <f t="shared" si="24"/>
        <v>1363500</v>
      </c>
      <c r="I86" s="259"/>
      <c r="J86" s="259"/>
      <c r="K86" s="259"/>
      <c r="L86" s="259"/>
      <c r="M86" s="259"/>
    </row>
    <row r="87" spans="1:13" s="84" customFormat="1" ht="12" customHeight="1" x14ac:dyDescent="0.25">
      <c r="A87" s="151"/>
      <c r="B87" s="157"/>
      <c r="C87" s="140">
        <v>4270</v>
      </c>
      <c r="D87" s="139" t="s">
        <v>15</v>
      </c>
      <c r="E87" s="163">
        <v>210000</v>
      </c>
      <c r="F87" s="163">
        <v>35000</v>
      </c>
      <c r="G87" s="163"/>
      <c r="H87" s="164">
        <f t="shared" si="24"/>
        <v>245000</v>
      </c>
      <c r="I87" s="259"/>
      <c r="J87" s="259"/>
      <c r="K87" s="259"/>
      <c r="L87" s="259"/>
      <c r="M87" s="259"/>
    </row>
    <row r="88" spans="1:13" s="84" customFormat="1" ht="12" customHeight="1" x14ac:dyDescent="0.25">
      <c r="A88" s="151"/>
      <c r="B88" s="157"/>
      <c r="C88" s="140">
        <v>4280</v>
      </c>
      <c r="D88" s="139" t="s">
        <v>49</v>
      </c>
      <c r="E88" s="163">
        <v>30000</v>
      </c>
      <c r="F88" s="163">
        <v>8000</v>
      </c>
      <c r="G88" s="163"/>
      <c r="H88" s="164">
        <f t="shared" si="24"/>
        <v>38000</v>
      </c>
      <c r="I88" s="259"/>
      <c r="J88" s="259"/>
      <c r="K88" s="259"/>
      <c r="L88" s="259"/>
      <c r="M88" s="259"/>
    </row>
    <row r="89" spans="1:13" s="84" customFormat="1" ht="12" customHeight="1" x14ac:dyDescent="0.25">
      <c r="A89" s="151"/>
      <c r="B89" s="157"/>
      <c r="C89" s="119">
        <v>4300</v>
      </c>
      <c r="D89" s="141" t="s">
        <v>50</v>
      </c>
      <c r="E89" s="163">
        <v>1497866.4</v>
      </c>
      <c r="F89" s="163">
        <v>100000</v>
      </c>
      <c r="G89" s="163"/>
      <c r="H89" s="164">
        <f t="shared" si="24"/>
        <v>1597866.4</v>
      </c>
      <c r="I89" s="259"/>
      <c r="J89" s="259"/>
      <c r="K89" s="259"/>
      <c r="L89" s="259"/>
      <c r="M89" s="259"/>
    </row>
    <row r="90" spans="1:13" s="84" customFormat="1" ht="12" customHeight="1" x14ac:dyDescent="0.25">
      <c r="A90" s="165"/>
      <c r="B90" s="166"/>
      <c r="C90" s="167">
        <v>4610</v>
      </c>
      <c r="D90" s="168" t="s">
        <v>57</v>
      </c>
      <c r="E90" s="158">
        <v>57000</v>
      </c>
      <c r="F90" s="158"/>
      <c r="G90" s="158">
        <v>20000</v>
      </c>
      <c r="H90" s="169">
        <f t="shared" si="24"/>
        <v>37000</v>
      </c>
      <c r="I90" s="259"/>
      <c r="J90" s="259"/>
      <c r="K90" s="259"/>
      <c r="L90" s="259"/>
      <c r="M90" s="259"/>
    </row>
    <row r="91" spans="1:13" s="84" customFormat="1" ht="12" customHeight="1" x14ac:dyDescent="0.25">
      <c r="A91" s="88"/>
      <c r="B91" s="119">
        <v>75095</v>
      </c>
      <c r="C91" s="119"/>
      <c r="D91" s="104" t="s">
        <v>73</v>
      </c>
      <c r="E91" s="105">
        <v>43271606.009999998</v>
      </c>
      <c r="F91" s="106">
        <f>SUM(F92,)</f>
        <v>7000</v>
      </c>
      <c r="G91" s="106">
        <f>SUM(G92,)</f>
        <v>30000</v>
      </c>
      <c r="H91" s="105">
        <f t="shared" si="24"/>
        <v>43248606.009999998</v>
      </c>
      <c r="I91" s="252"/>
      <c r="J91" s="252"/>
      <c r="K91" s="252"/>
      <c r="L91" s="252"/>
      <c r="M91" s="252"/>
    </row>
    <row r="92" spans="1:13" s="84" customFormat="1" ht="12" customHeight="1" x14ac:dyDescent="0.25">
      <c r="A92" s="88"/>
      <c r="B92" s="119"/>
      <c r="C92" s="94"/>
      <c r="D92" s="160" t="s">
        <v>261</v>
      </c>
      <c r="E92" s="109">
        <v>79100</v>
      </c>
      <c r="F92" s="110">
        <f>SUM(F93:F94)</f>
        <v>7000</v>
      </c>
      <c r="G92" s="110">
        <f>SUM(G93:G94)</f>
        <v>30000</v>
      </c>
      <c r="H92" s="109">
        <f t="shared" si="24"/>
        <v>56100</v>
      </c>
      <c r="I92" s="253"/>
      <c r="J92" s="253"/>
      <c r="K92" s="253"/>
      <c r="L92" s="253"/>
      <c r="M92" s="253"/>
    </row>
    <row r="93" spans="1:13" s="84" customFormat="1" ht="12" customHeight="1" x14ac:dyDescent="0.25">
      <c r="A93" s="88"/>
      <c r="B93" s="119"/>
      <c r="C93" s="138" t="s">
        <v>31</v>
      </c>
      <c r="D93" s="139" t="s">
        <v>32</v>
      </c>
      <c r="E93" s="4">
        <v>9100</v>
      </c>
      <c r="F93" s="114">
        <v>7000</v>
      </c>
      <c r="G93" s="114"/>
      <c r="H93" s="113">
        <f t="shared" si="24"/>
        <v>16100</v>
      </c>
      <c r="I93" s="252"/>
      <c r="J93" s="252"/>
      <c r="K93" s="252"/>
      <c r="L93" s="252"/>
      <c r="M93" s="252"/>
    </row>
    <row r="94" spans="1:13" s="84" customFormat="1" ht="12" customHeight="1" x14ac:dyDescent="0.25">
      <c r="A94" s="88"/>
      <c r="B94" s="119"/>
      <c r="C94" s="140">
        <v>4300</v>
      </c>
      <c r="D94" s="139" t="s">
        <v>50</v>
      </c>
      <c r="E94" s="113">
        <v>70000</v>
      </c>
      <c r="F94" s="113"/>
      <c r="G94" s="113">
        <v>30000</v>
      </c>
      <c r="H94" s="113">
        <f t="shared" si="24"/>
        <v>40000</v>
      </c>
      <c r="I94" s="252"/>
      <c r="J94" s="252"/>
      <c r="K94" s="252"/>
      <c r="L94" s="252"/>
      <c r="M94" s="252"/>
    </row>
    <row r="95" spans="1:13" s="84" customFormat="1" ht="12" customHeight="1" thickBot="1" x14ac:dyDescent="0.3">
      <c r="A95" s="115">
        <v>754</v>
      </c>
      <c r="B95" s="170"/>
      <c r="C95" s="170"/>
      <c r="D95" s="171" t="s">
        <v>233</v>
      </c>
      <c r="E95" s="98">
        <v>8603721.4500000011</v>
      </c>
      <c r="F95" s="102">
        <f>SUM(F96,)</f>
        <v>3000</v>
      </c>
      <c r="G95" s="102">
        <f>SUM(G96,)</f>
        <v>3000</v>
      </c>
      <c r="H95" s="98">
        <f>SUM(E95+F95-G95)</f>
        <v>8603721.4500000011</v>
      </c>
      <c r="I95" s="251"/>
      <c r="J95" s="251"/>
      <c r="K95" s="251"/>
      <c r="L95" s="251"/>
      <c r="M95" s="251"/>
    </row>
    <row r="96" spans="1:13" s="84" customFormat="1" ht="12" customHeight="1" thickTop="1" x14ac:dyDescent="0.25">
      <c r="A96" s="115"/>
      <c r="B96" s="94" t="s">
        <v>262</v>
      </c>
      <c r="C96" s="119"/>
      <c r="D96" s="104" t="s">
        <v>263</v>
      </c>
      <c r="E96" s="105">
        <v>14200</v>
      </c>
      <c r="F96" s="106">
        <f>SUM(F97)</f>
        <v>3000</v>
      </c>
      <c r="G96" s="106">
        <f>SUM(G97)</f>
        <v>3000</v>
      </c>
      <c r="H96" s="105">
        <f>SUM(E96+F96-G96)</f>
        <v>14200</v>
      </c>
      <c r="I96" s="252"/>
      <c r="J96" s="252"/>
      <c r="K96" s="252"/>
      <c r="L96" s="252"/>
      <c r="M96" s="252"/>
    </row>
    <row r="97" spans="1:13" s="84" customFormat="1" ht="12" customHeight="1" x14ac:dyDescent="0.25">
      <c r="A97" s="115"/>
      <c r="B97" s="94"/>
      <c r="C97" s="172"/>
      <c r="D97" s="121" t="s">
        <v>264</v>
      </c>
      <c r="E97" s="109">
        <v>14200</v>
      </c>
      <c r="F97" s="109">
        <f>SUM(F98:F99)</f>
        <v>3000</v>
      </c>
      <c r="G97" s="109">
        <f>SUM(G98:G99)</f>
        <v>3000</v>
      </c>
      <c r="H97" s="109">
        <f>SUM(E97+F97-G97)</f>
        <v>14200</v>
      </c>
      <c r="I97" s="253"/>
      <c r="J97" s="253"/>
      <c r="K97" s="253"/>
      <c r="L97" s="253"/>
      <c r="M97" s="253"/>
    </row>
    <row r="98" spans="1:13" s="84" customFormat="1" ht="12" customHeight="1" x14ac:dyDescent="0.25">
      <c r="A98" s="115"/>
      <c r="B98" s="94"/>
      <c r="C98" s="119">
        <v>4210</v>
      </c>
      <c r="D98" s="141" t="s">
        <v>32</v>
      </c>
      <c r="E98" s="113">
        <v>4200</v>
      </c>
      <c r="F98" s="113"/>
      <c r="G98" s="113">
        <v>3000</v>
      </c>
      <c r="H98" s="113">
        <f t="shared" ref="H98:H99" si="25">SUM(E98+F98-G98)</f>
        <v>1200</v>
      </c>
      <c r="I98" s="252"/>
      <c r="J98" s="252"/>
      <c r="K98" s="252"/>
      <c r="L98" s="252"/>
      <c r="M98" s="252"/>
    </row>
    <row r="99" spans="1:13" s="84" customFormat="1" ht="12" customHeight="1" x14ac:dyDescent="0.25">
      <c r="A99" s="115"/>
      <c r="B99" s="94"/>
      <c r="C99" s="119">
        <v>4300</v>
      </c>
      <c r="D99" s="141" t="s">
        <v>50</v>
      </c>
      <c r="E99" s="113">
        <v>10000</v>
      </c>
      <c r="F99" s="113">
        <v>3000</v>
      </c>
      <c r="G99" s="113"/>
      <c r="H99" s="113">
        <f t="shared" si="25"/>
        <v>13000</v>
      </c>
      <c r="I99" s="252"/>
      <c r="J99" s="252"/>
      <c r="K99" s="252"/>
      <c r="L99" s="252"/>
      <c r="M99" s="252"/>
    </row>
    <row r="100" spans="1:13" s="84" customFormat="1" ht="12" customHeight="1" thickBot="1" x14ac:dyDescent="0.3">
      <c r="A100" s="100">
        <v>758</v>
      </c>
      <c r="B100" s="100"/>
      <c r="C100" s="99"/>
      <c r="D100" s="101" t="s">
        <v>265</v>
      </c>
      <c r="E100" s="98">
        <v>23467786.449999999</v>
      </c>
      <c r="F100" s="154">
        <f>SUM(F101)</f>
        <v>0</v>
      </c>
      <c r="G100" s="154">
        <f>SUM(G101)</f>
        <v>3631021.5</v>
      </c>
      <c r="H100" s="98">
        <f>SUM(E100+F100-G100)</f>
        <v>19836764.949999999</v>
      </c>
      <c r="I100" s="251"/>
      <c r="J100" s="251"/>
      <c r="K100" s="251"/>
      <c r="L100" s="251"/>
      <c r="M100" s="251"/>
    </row>
    <row r="101" spans="1:13" s="84" customFormat="1" ht="12" customHeight="1" thickTop="1" x14ac:dyDescent="0.25">
      <c r="A101" s="93"/>
      <c r="B101" s="103">
        <v>75818</v>
      </c>
      <c r="C101" s="94"/>
      <c r="D101" s="127" t="s">
        <v>266</v>
      </c>
      <c r="E101" s="105">
        <v>23467786.449999999</v>
      </c>
      <c r="F101" s="169">
        <f>SUM(F102,)</f>
        <v>0</v>
      </c>
      <c r="G101" s="169">
        <f>SUM(G102,)</f>
        <v>3631021.5</v>
      </c>
      <c r="H101" s="105">
        <f>SUM(E101+F101-G101)</f>
        <v>19836764.949999999</v>
      </c>
      <c r="I101" s="252"/>
      <c r="J101" s="252"/>
      <c r="K101" s="252"/>
      <c r="L101" s="252"/>
      <c r="M101" s="252"/>
    </row>
    <row r="102" spans="1:13" s="84" customFormat="1" ht="12" customHeight="1" x14ac:dyDescent="0.25">
      <c r="A102" s="93"/>
      <c r="B102" s="103"/>
      <c r="C102" s="94" t="s">
        <v>267</v>
      </c>
      <c r="D102" s="125" t="s">
        <v>268</v>
      </c>
      <c r="E102" s="173">
        <v>23467786.449999999</v>
      </c>
      <c r="F102" s="174">
        <f>SUM(F103:F104)</f>
        <v>0</v>
      </c>
      <c r="G102" s="174">
        <f>SUM(G103:G104)</f>
        <v>3631021.5</v>
      </c>
      <c r="H102" s="173">
        <f>SUM(E102+F102-G102)</f>
        <v>19836764.949999999</v>
      </c>
      <c r="I102" s="252"/>
      <c r="J102" s="252"/>
      <c r="K102" s="252"/>
      <c r="L102" s="252"/>
      <c r="M102" s="252"/>
    </row>
    <row r="103" spans="1:13" s="84" customFormat="1" ht="12" customHeight="1" x14ac:dyDescent="0.25">
      <c r="A103" s="93"/>
      <c r="B103" s="103"/>
      <c r="C103" s="94"/>
      <c r="D103" s="141" t="s">
        <v>269</v>
      </c>
      <c r="E103" s="113">
        <v>3718027</v>
      </c>
      <c r="F103" s="113"/>
      <c r="G103" s="113">
        <v>1698333</v>
      </c>
      <c r="H103" s="113">
        <f t="shared" ref="H103:H104" si="26">SUM(E103+F103-G103)</f>
        <v>2019694</v>
      </c>
      <c r="I103" s="252"/>
      <c r="J103" s="252"/>
      <c r="K103" s="252"/>
      <c r="L103" s="252"/>
      <c r="M103" s="252"/>
    </row>
    <row r="104" spans="1:13" s="84" customFormat="1" ht="12" customHeight="1" x14ac:dyDescent="0.25">
      <c r="A104" s="93"/>
      <c r="B104" s="103"/>
      <c r="C104" s="94"/>
      <c r="D104" s="103" t="s">
        <v>270</v>
      </c>
      <c r="E104" s="113">
        <v>19749759.449999999</v>
      </c>
      <c r="F104" s="113"/>
      <c r="G104" s="113">
        <v>1932688.5</v>
      </c>
      <c r="H104" s="113">
        <f t="shared" si="26"/>
        <v>17817070.949999999</v>
      </c>
      <c r="I104" s="252"/>
      <c r="J104" s="252"/>
      <c r="K104" s="252"/>
      <c r="L104" s="252"/>
      <c r="M104" s="252"/>
    </row>
    <row r="105" spans="1:13" s="84" customFormat="1" ht="12" customHeight="1" thickBot="1" x14ac:dyDescent="0.3">
      <c r="A105" s="100">
        <v>801</v>
      </c>
      <c r="B105" s="100"/>
      <c r="C105" s="99"/>
      <c r="D105" s="101" t="s">
        <v>16</v>
      </c>
      <c r="E105" s="2">
        <v>260601118.21999997</v>
      </c>
      <c r="F105" s="102">
        <f>SUM(F106,F123,,F135,F139,F147,F154,F160)</f>
        <v>163530.22</v>
      </c>
      <c r="G105" s="102">
        <f>SUM(G106,G123,,G135,G139,G147,G154,G160)</f>
        <v>795255.22</v>
      </c>
      <c r="H105" s="98">
        <f>SUM(E105+F105-G105)</f>
        <v>259969393.21999997</v>
      </c>
      <c r="I105" s="251"/>
      <c r="J105" s="251"/>
      <c r="K105" s="251"/>
      <c r="L105" s="251"/>
      <c r="M105" s="251"/>
    </row>
    <row r="106" spans="1:13" s="84" customFormat="1" ht="12" customHeight="1" thickTop="1" x14ac:dyDescent="0.25">
      <c r="A106" s="100"/>
      <c r="B106" s="103">
        <v>80101</v>
      </c>
      <c r="C106" s="94"/>
      <c r="D106" s="104" t="s">
        <v>35</v>
      </c>
      <c r="E106" s="105">
        <v>128515475.81</v>
      </c>
      <c r="F106" s="106">
        <f>SUM(F107,F109)</f>
        <v>40385</v>
      </c>
      <c r="G106" s="106">
        <f>SUM(G107,G109)</f>
        <v>617566</v>
      </c>
      <c r="H106" s="105">
        <f t="shared" ref="H106:H122" si="27">SUM(E106+F106-G106)</f>
        <v>127938294.81</v>
      </c>
      <c r="I106" s="252"/>
      <c r="J106" s="252"/>
      <c r="K106" s="252"/>
      <c r="L106" s="252"/>
      <c r="M106" s="252"/>
    </row>
    <row r="107" spans="1:13" s="84" customFormat="1" ht="12" customHeight="1" x14ac:dyDescent="0.25">
      <c r="A107" s="100"/>
      <c r="B107" s="103"/>
      <c r="C107" s="94"/>
      <c r="D107" s="121" t="s">
        <v>80</v>
      </c>
      <c r="E107" s="109">
        <v>11282584.359999999</v>
      </c>
      <c r="F107" s="109">
        <f>SUM(F108:F108)</f>
        <v>0</v>
      </c>
      <c r="G107" s="109">
        <f>SUM(G108:G108)</f>
        <v>500000</v>
      </c>
      <c r="H107" s="109">
        <f t="shared" si="27"/>
        <v>10782584.359999999</v>
      </c>
      <c r="I107" s="253"/>
      <c r="J107" s="253"/>
      <c r="K107" s="253"/>
      <c r="L107" s="253"/>
      <c r="M107" s="253"/>
    </row>
    <row r="108" spans="1:13" s="84" customFormat="1" ht="33.75" customHeight="1" x14ac:dyDescent="0.25">
      <c r="A108" s="100"/>
      <c r="B108" s="103"/>
      <c r="C108" s="131">
        <v>2590</v>
      </c>
      <c r="D108" s="112" t="s">
        <v>271</v>
      </c>
      <c r="E108" s="175">
        <v>7670952.1600000001</v>
      </c>
      <c r="F108" s="176"/>
      <c r="G108" s="176">
        <v>500000</v>
      </c>
      <c r="H108" s="113">
        <f t="shared" si="27"/>
        <v>7170952.1600000001</v>
      </c>
      <c r="I108" s="252"/>
      <c r="J108" s="252"/>
      <c r="K108" s="252"/>
      <c r="L108" s="252"/>
      <c r="M108" s="252"/>
    </row>
    <row r="109" spans="1:13" s="84" customFormat="1" ht="12" customHeight="1" x14ac:dyDescent="0.25">
      <c r="A109" s="100"/>
      <c r="B109" s="103"/>
      <c r="C109" s="94"/>
      <c r="D109" s="121" t="s">
        <v>23</v>
      </c>
      <c r="E109" s="109">
        <v>111695891.45</v>
      </c>
      <c r="F109" s="109">
        <f>SUM(F110:F122)</f>
        <v>40385</v>
      </c>
      <c r="G109" s="109">
        <f>SUM(G110:G122)</f>
        <v>117566</v>
      </c>
      <c r="H109" s="109">
        <f t="shared" si="27"/>
        <v>111618710.45</v>
      </c>
      <c r="I109" s="253"/>
      <c r="J109" s="253"/>
      <c r="K109" s="253"/>
      <c r="L109" s="253"/>
      <c r="M109" s="253"/>
    </row>
    <row r="110" spans="1:13" s="84" customFormat="1" ht="12" customHeight="1" x14ac:dyDescent="0.25">
      <c r="A110" s="100"/>
      <c r="B110" s="103"/>
      <c r="C110" s="177">
        <v>3020</v>
      </c>
      <c r="D110" s="139" t="s">
        <v>42</v>
      </c>
      <c r="E110" s="4">
        <v>443179</v>
      </c>
      <c r="F110" s="113">
        <v>10000</v>
      </c>
      <c r="G110" s="113"/>
      <c r="H110" s="113">
        <f t="shared" si="27"/>
        <v>453179</v>
      </c>
      <c r="I110" s="252"/>
      <c r="J110" s="252"/>
      <c r="K110" s="252"/>
      <c r="L110" s="252"/>
      <c r="M110" s="252"/>
    </row>
    <row r="111" spans="1:13" s="84" customFormat="1" ht="12" customHeight="1" x14ac:dyDescent="0.25">
      <c r="A111" s="100"/>
      <c r="B111" s="103"/>
      <c r="C111" s="140">
        <v>4110</v>
      </c>
      <c r="D111" s="139" t="s">
        <v>24</v>
      </c>
      <c r="E111" s="4">
        <v>14331761</v>
      </c>
      <c r="F111" s="113">
        <v>1453</v>
      </c>
      <c r="G111" s="113"/>
      <c r="H111" s="113">
        <f t="shared" si="27"/>
        <v>14333214</v>
      </c>
      <c r="I111" s="252"/>
      <c r="J111" s="252"/>
      <c r="K111" s="252"/>
      <c r="L111" s="252"/>
      <c r="M111" s="252"/>
    </row>
    <row r="112" spans="1:13" s="84" customFormat="1" ht="12" customHeight="1" x14ac:dyDescent="0.25">
      <c r="A112" s="100"/>
      <c r="B112" s="103"/>
      <c r="C112" s="140">
        <v>4120</v>
      </c>
      <c r="D112" s="139" t="s">
        <v>12</v>
      </c>
      <c r="E112" s="4">
        <v>1958935</v>
      </c>
      <c r="F112" s="113">
        <v>135</v>
      </c>
      <c r="G112" s="113"/>
      <c r="H112" s="113">
        <f t="shared" si="27"/>
        <v>1959070</v>
      </c>
      <c r="I112" s="252"/>
      <c r="J112" s="252"/>
      <c r="K112" s="252"/>
      <c r="L112" s="252"/>
      <c r="M112" s="252"/>
    </row>
    <row r="113" spans="1:13" s="84" customFormat="1" ht="12" customHeight="1" x14ac:dyDescent="0.25">
      <c r="A113" s="100"/>
      <c r="B113" s="103"/>
      <c r="C113" s="140">
        <v>4140</v>
      </c>
      <c r="D113" s="112" t="s">
        <v>45</v>
      </c>
      <c r="E113" s="4">
        <v>103902</v>
      </c>
      <c r="F113" s="113"/>
      <c r="G113" s="113">
        <v>20000</v>
      </c>
      <c r="H113" s="113">
        <f t="shared" si="27"/>
        <v>83902</v>
      </c>
      <c r="I113" s="252"/>
      <c r="J113" s="252"/>
      <c r="K113" s="252"/>
      <c r="L113" s="252"/>
      <c r="M113" s="252"/>
    </row>
    <row r="114" spans="1:13" s="84" customFormat="1" ht="12" customHeight="1" x14ac:dyDescent="0.25">
      <c r="A114" s="100"/>
      <c r="B114" s="103"/>
      <c r="C114" s="140">
        <v>4170</v>
      </c>
      <c r="D114" s="139" t="s">
        <v>46</v>
      </c>
      <c r="E114" s="4">
        <v>75191</v>
      </c>
      <c r="F114" s="113"/>
      <c r="G114" s="113">
        <v>3566</v>
      </c>
      <c r="H114" s="113">
        <f t="shared" si="27"/>
        <v>71625</v>
      </c>
      <c r="I114" s="252"/>
      <c r="J114" s="252"/>
      <c r="K114" s="252"/>
      <c r="L114" s="252"/>
      <c r="M114" s="252"/>
    </row>
    <row r="115" spans="1:13" s="84" customFormat="1" ht="12" customHeight="1" x14ac:dyDescent="0.25">
      <c r="A115" s="100"/>
      <c r="B115" s="103"/>
      <c r="C115" s="119">
        <v>4210</v>
      </c>
      <c r="D115" s="139" t="s">
        <v>32</v>
      </c>
      <c r="E115" s="113">
        <v>776723.96</v>
      </c>
      <c r="F115" s="113">
        <v>12000</v>
      </c>
      <c r="G115" s="113"/>
      <c r="H115" s="113">
        <f t="shared" si="27"/>
        <v>788723.96</v>
      </c>
      <c r="I115" s="252"/>
      <c r="J115" s="252"/>
      <c r="K115" s="252"/>
      <c r="L115" s="252"/>
      <c r="M115" s="252"/>
    </row>
    <row r="116" spans="1:13" s="84" customFormat="1" ht="12" customHeight="1" x14ac:dyDescent="0.25">
      <c r="A116" s="100"/>
      <c r="B116" s="103"/>
      <c r="C116" s="119">
        <v>4260</v>
      </c>
      <c r="D116" s="139" t="s">
        <v>48</v>
      </c>
      <c r="E116" s="113">
        <v>7148944</v>
      </c>
      <c r="F116" s="113"/>
      <c r="G116" s="113">
        <v>80000</v>
      </c>
      <c r="H116" s="113">
        <f t="shared" si="27"/>
        <v>7068944</v>
      </c>
      <c r="I116" s="252"/>
      <c r="J116" s="252"/>
      <c r="K116" s="252"/>
      <c r="L116" s="252"/>
      <c r="M116" s="252"/>
    </row>
    <row r="117" spans="1:13" s="84" customFormat="1" ht="12" customHeight="1" x14ac:dyDescent="0.25">
      <c r="A117" s="100"/>
      <c r="B117" s="103"/>
      <c r="C117" s="140">
        <v>4280</v>
      </c>
      <c r="D117" s="139" t="s">
        <v>49</v>
      </c>
      <c r="E117" s="113">
        <v>115820</v>
      </c>
      <c r="F117" s="113">
        <v>2331</v>
      </c>
      <c r="G117" s="113"/>
      <c r="H117" s="113">
        <f t="shared" si="27"/>
        <v>118151</v>
      </c>
      <c r="I117" s="252"/>
      <c r="J117" s="252"/>
      <c r="K117" s="252"/>
      <c r="L117" s="252"/>
      <c r="M117" s="252"/>
    </row>
    <row r="118" spans="1:13" s="84" customFormat="1" ht="12" customHeight="1" x14ac:dyDescent="0.25">
      <c r="A118" s="100"/>
      <c r="B118" s="103"/>
      <c r="C118" s="119">
        <v>4300</v>
      </c>
      <c r="D118" s="139" t="s">
        <v>50</v>
      </c>
      <c r="E118" s="113">
        <v>1266953.2</v>
      </c>
      <c r="F118" s="113">
        <v>3000</v>
      </c>
      <c r="G118" s="113"/>
      <c r="H118" s="113">
        <f t="shared" si="27"/>
        <v>1269953.2</v>
      </c>
      <c r="I118" s="252"/>
      <c r="J118" s="252"/>
      <c r="K118" s="252"/>
      <c r="L118" s="252"/>
      <c r="M118" s="252"/>
    </row>
    <row r="119" spans="1:13" s="84" customFormat="1" ht="12" customHeight="1" x14ac:dyDescent="0.25">
      <c r="A119" s="100"/>
      <c r="B119" s="103"/>
      <c r="C119" s="140">
        <v>4440</v>
      </c>
      <c r="D119" s="139" t="s">
        <v>55</v>
      </c>
      <c r="E119" s="113">
        <v>4091937</v>
      </c>
      <c r="F119" s="113">
        <v>2176</v>
      </c>
      <c r="G119" s="113"/>
      <c r="H119" s="113">
        <f t="shared" si="27"/>
        <v>4094113</v>
      </c>
      <c r="I119" s="252"/>
      <c r="J119" s="252"/>
      <c r="K119" s="252"/>
      <c r="L119" s="252"/>
      <c r="M119" s="252"/>
    </row>
    <row r="120" spans="1:13" s="84" customFormat="1" ht="12" customHeight="1" x14ac:dyDescent="0.25">
      <c r="A120" s="100"/>
      <c r="B120" s="103"/>
      <c r="C120" s="140">
        <v>4710</v>
      </c>
      <c r="D120" s="178" t="s">
        <v>59</v>
      </c>
      <c r="E120" s="113">
        <v>339305</v>
      </c>
      <c r="F120" s="113">
        <v>389</v>
      </c>
      <c r="G120" s="113"/>
      <c r="H120" s="113">
        <f t="shared" si="27"/>
        <v>339694</v>
      </c>
      <c r="I120" s="252"/>
      <c r="J120" s="252"/>
      <c r="K120" s="252"/>
      <c r="L120" s="252"/>
      <c r="M120" s="252"/>
    </row>
    <row r="121" spans="1:13" s="84" customFormat="1" ht="12" customHeight="1" x14ac:dyDescent="0.25">
      <c r="A121" s="100"/>
      <c r="B121" s="103"/>
      <c r="C121" s="119">
        <v>4790</v>
      </c>
      <c r="D121" s="179" t="s">
        <v>25</v>
      </c>
      <c r="E121" s="113">
        <v>59416557.640000001</v>
      </c>
      <c r="F121" s="113">
        <v>8901</v>
      </c>
      <c r="G121" s="113"/>
      <c r="H121" s="113">
        <f t="shared" si="27"/>
        <v>59425458.640000001</v>
      </c>
      <c r="I121" s="252"/>
      <c r="J121" s="252"/>
      <c r="K121" s="252"/>
      <c r="L121" s="252"/>
      <c r="M121" s="252"/>
    </row>
    <row r="122" spans="1:13" s="84" customFormat="1" ht="12" customHeight="1" x14ac:dyDescent="0.25">
      <c r="A122" s="100"/>
      <c r="B122" s="103"/>
      <c r="C122" s="177">
        <v>4800</v>
      </c>
      <c r="D122" s="179" t="s">
        <v>60</v>
      </c>
      <c r="E122" s="114">
        <v>4609881.09</v>
      </c>
      <c r="F122" s="114"/>
      <c r="G122" s="114">
        <v>14000</v>
      </c>
      <c r="H122" s="113">
        <f t="shared" si="27"/>
        <v>4595881.09</v>
      </c>
      <c r="I122" s="252"/>
      <c r="J122" s="252"/>
      <c r="K122" s="252"/>
      <c r="L122" s="252"/>
      <c r="M122" s="252"/>
    </row>
    <row r="123" spans="1:13" s="84" customFormat="1" ht="12" customHeight="1" x14ac:dyDescent="0.25">
      <c r="A123" s="100"/>
      <c r="B123" s="103">
        <v>80104</v>
      </c>
      <c r="C123" s="94"/>
      <c r="D123" s="104" t="s">
        <v>38</v>
      </c>
      <c r="E123" s="106">
        <v>64334412.730000004</v>
      </c>
      <c r="F123" s="106">
        <f>SUM(F124)</f>
        <v>87542</v>
      </c>
      <c r="G123" s="106">
        <f>SUM(G124)</f>
        <v>16772</v>
      </c>
      <c r="H123" s="105">
        <f>SUM(E123+F123-G123)</f>
        <v>64405182.730000004</v>
      </c>
      <c r="I123" s="252"/>
      <c r="J123" s="252"/>
      <c r="K123" s="252"/>
      <c r="L123" s="252"/>
      <c r="M123" s="252"/>
    </row>
    <row r="124" spans="1:13" s="84" customFormat="1" ht="12" customHeight="1" x14ac:dyDescent="0.25">
      <c r="A124" s="100"/>
      <c r="B124" s="103"/>
      <c r="C124" s="94"/>
      <c r="D124" s="121" t="s">
        <v>23</v>
      </c>
      <c r="E124" s="109">
        <v>51327139.730000004</v>
      </c>
      <c r="F124" s="109">
        <f>SUM(F125:F134)</f>
        <v>87542</v>
      </c>
      <c r="G124" s="109">
        <f>SUM(G125:G134)</f>
        <v>16772</v>
      </c>
      <c r="H124" s="109">
        <f>SUM(E124+F124-G124)</f>
        <v>51397909.730000004</v>
      </c>
      <c r="I124" s="253"/>
      <c r="J124" s="253"/>
      <c r="K124" s="253"/>
      <c r="L124" s="253"/>
      <c r="M124" s="253"/>
    </row>
    <row r="125" spans="1:13" s="84" customFormat="1" ht="12" customHeight="1" x14ac:dyDescent="0.25">
      <c r="A125" s="100"/>
      <c r="B125" s="103"/>
      <c r="C125" s="177">
        <v>3020</v>
      </c>
      <c r="D125" s="139" t="s">
        <v>42</v>
      </c>
      <c r="E125" s="113">
        <v>382802</v>
      </c>
      <c r="F125" s="113">
        <v>2000</v>
      </c>
      <c r="G125" s="113">
        <v>500</v>
      </c>
      <c r="H125" s="113">
        <f t="shared" ref="H125" si="28">SUM(E125+F125-G125)</f>
        <v>384302</v>
      </c>
      <c r="I125" s="252"/>
      <c r="J125" s="252"/>
      <c r="K125" s="252"/>
      <c r="L125" s="252"/>
      <c r="M125" s="252"/>
    </row>
    <row r="126" spans="1:13" s="84" customFormat="1" ht="12" customHeight="1" x14ac:dyDescent="0.25">
      <c r="A126" s="100"/>
      <c r="B126" s="103"/>
      <c r="C126" s="94" t="s">
        <v>65</v>
      </c>
      <c r="D126" s="139" t="s">
        <v>44</v>
      </c>
      <c r="E126" s="113">
        <v>1069786</v>
      </c>
      <c r="F126" s="113"/>
      <c r="G126" s="113">
        <f>1537+3435</f>
        <v>4972</v>
      </c>
      <c r="H126" s="113">
        <f>SUM(E126+F126-G126)</f>
        <v>1064814</v>
      </c>
      <c r="I126" s="252"/>
      <c r="J126" s="252"/>
      <c r="K126" s="252"/>
      <c r="L126" s="252"/>
      <c r="M126" s="252"/>
    </row>
    <row r="127" spans="1:13" s="84" customFormat="1" ht="12" customHeight="1" x14ac:dyDescent="0.25">
      <c r="A127" s="100"/>
      <c r="B127" s="103"/>
      <c r="C127" s="94" t="s">
        <v>31</v>
      </c>
      <c r="D127" s="139" t="s">
        <v>32</v>
      </c>
      <c r="E127" s="113">
        <v>610598.65</v>
      </c>
      <c r="F127" s="113">
        <v>28522</v>
      </c>
      <c r="G127" s="113"/>
      <c r="H127" s="113">
        <f>SUM(E127+F127-G127)</f>
        <v>639120.65</v>
      </c>
      <c r="I127" s="252"/>
      <c r="J127" s="252"/>
      <c r="K127" s="252"/>
      <c r="L127" s="252"/>
      <c r="M127" s="252"/>
    </row>
    <row r="128" spans="1:13" s="84" customFormat="1" ht="12" customHeight="1" x14ac:dyDescent="0.25">
      <c r="A128" s="100"/>
      <c r="B128" s="103"/>
      <c r="C128" s="94" t="s">
        <v>64</v>
      </c>
      <c r="D128" s="139" t="s">
        <v>47</v>
      </c>
      <c r="E128" s="113">
        <v>137756.5</v>
      </c>
      <c r="F128" s="113">
        <v>2000</v>
      </c>
      <c r="G128" s="113"/>
      <c r="H128" s="113">
        <f>SUM(E128+F128-G128)</f>
        <v>139756.5</v>
      </c>
      <c r="I128" s="252"/>
      <c r="J128" s="252"/>
      <c r="K128" s="252"/>
      <c r="L128" s="252"/>
      <c r="M128" s="252"/>
    </row>
    <row r="129" spans="1:13" s="84" customFormat="1" ht="12" customHeight="1" x14ac:dyDescent="0.25">
      <c r="A129" s="100"/>
      <c r="B129" s="103"/>
      <c r="C129" s="119">
        <v>4260</v>
      </c>
      <c r="D129" s="139" t="s">
        <v>48</v>
      </c>
      <c r="E129" s="113">
        <v>2335721</v>
      </c>
      <c r="F129" s="113">
        <v>50000</v>
      </c>
      <c r="G129" s="113">
        <v>50</v>
      </c>
      <c r="H129" s="113">
        <f t="shared" ref="H129" si="29">SUM(E129+F129-G129)</f>
        <v>2385671</v>
      </c>
      <c r="I129" s="252"/>
      <c r="J129" s="252"/>
      <c r="K129" s="252"/>
      <c r="L129" s="252"/>
      <c r="M129" s="252"/>
    </row>
    <row r="130" spans="1:13" s="84" customFormat="1" ht="12" customHeight="1" x14ac:dyDescent="0.25">
      <c r="A130" s="100"/>
      <c r="B130" s="103"/>
      <c r="C130" s="119">
        <v>4280</v>
      </c>
      <c r="D130" s="139" t="s">
        <v>49</v>
      </c>
      <c r="E130" s="113">
        <v>41922</v>
      </c>
      <c r="F130" s="113">
        <v>1970</v>
      </c>
      <c r="G130" s="113"/>
      <c r="H130" s="113">
        <f>SUM(E130+F130-G130)</f>
        <v>43892</v>
      </c>
      <c r="I130" s="252"/>
      <c r="J130" s="252"/>
      <c r="K130" s="252"/>
      <c r="L130" s="252"/>
      <c r="M130" s="252"/>
    </row>
    <row r="131" spans="1:13" s="84" customFormat="1" ht="12" customHeight="1" x14ac:dyDescent="0.25">
      <c r="A131" s="100"/>
      <c r="B131" s="103"/>
      <c r="C131" s="119">
        <v>4360</v>
      </c>
      <c r="D131" s="139" t="s">
        <v>51</v>
      </c>
      <c r="E131" s="113">
        <v>26197</v>
      </c>
      <c r="F131" s="113">
        <v>50</v>
      </c>
      <c r="G131" s="113"/>
      <c r="H131" s="113">
        <f t="shared" ref="H131:H142" si="30">SUM(E131+F131-G131)</f>
        <v>26247</v>
      </c>
      <c r="I131" s="252"/>
      <c r="J131" s="252"/>
      <c r="K131" s="252"/>
      <c r="L131" s="252"/>
      <c r="M131" s="252"/>
    </row>
    <row r="132" spans="1:13" s="84" customFormat="1" ht="12" customHeight="1" x14ac:dyDescent="0.25">
      <c r="A132" s="100"/>
      <c r="B132" s="103"/>
      <c r="C132" s="119">
        <v>4390</v>
      </c>
      <c r="D132" s="139" t="s">
        <v>52</v>
      </c>
      <c r="E132" s="113">
        <v>20191</v>
      </c>
      <c r="F132" s="113"/>
      <c r="G132" s="113">
        <v>700</v>
      </c>
      <c r="H132" s="113">
        <f t="shared" si="30"/>
        <v>19491</v>
      </c>
      <c r="I132" s="252"/>
      <c r="J132" s="252"/>
      <c r="K132" s="252"/>
      <c r="L132" s="252"/>
      <c r="M132" s="252"/>
    </row>
    <row r="133" spans="1:13" s="84" customFormat="1" ht="12" customHeight="1" x14ac:dyDescent="0.25">
      <c r="A133" s="100"/>
      <c r="B133" s="103"/>
      <c r="C133" s="131">
        <v>4700</v>
      </c>
      <c r="D133" s="112" t="s">
        <v>58</v>
      </c>
      <c r="E133" s="114">
        <v>81710</v>
      </c>
      <c r="F133" s="114">
        <v>3000</v>
      </c>
      <c r="G133" s="114"/>
      <c r="H133" s="113">
        <f t="shared" si="30"/>
        <v>84710</v>
      </c>
      <c r="I133" s="252"/>
      <c r="J133" s="252"/>
      <c r="K133" s="252"/>
      <c r="L133" s="252"/>
      <c r="M133" s="252"/>
    </row>
    <row r="134" spans="1:13" s="84" customFormat="1" ht="12" customHeight="1" x14ac:dyDescent="0.25">
      <c r="A134" s="100"/>
      <c r="B134" s="103"/>
      <c r="C134" s="119">
        <v>4800</v>
      </c>
      <c r="D134" s="179" t="s">
        <v>60</v>
      </c>
      <c r="E134" s="114">
        <v>1394178</v>
      </c>
      <c r="F134" s="114"/>
      <c r="G134" s="114">
        <f>6985+3565</f>
        <v>10550</v>
      </c>
      <c r="H134" s="113">
        <f t="shared" si="30"/>
        <v>1383628</v>
      </c>
      <c r="I134" s="252"/>
      <c r="J134" s="252"/>
      <c r="K134" s="252"/>
      <c r="L134" s="252"/>
      <c r="M134" s="252"/>
    </row>
    <row r="135" spans="1:13" s="84" customFormat="1" ht="12" customHeight="1" x14ac:dyDescent="0.25">
      <c r="A135" s="100"/>
      <c r="B135" s="103">
        <v>80107</v>
      </c>
      <c r="C135" s="94"/>
      <c r="D135" s="104" t="s">
        <v>22</v>
      </c>
      <c r="E135" s="106">
        <v>8847224.0600000005</v>
      </c>
      <c r="F135" s="106">
        <f>SUM(F136)</f>
        <v>1000</v>
      </c>
      <c r="G135" s="106">
        <f>SUM(G136)</f>
        <v>1000</v>
      </c>
      <c r="H135" s="105">
        <f t="shared" si="30"/>
        <v>8847224.0600000005</v>
      </c>
      <c r="I135" s="252"/>
      <c r="J135" s="252"/>
      <c r="K135" s="252"/>
      <c r="L135" s="252"/>
      <c r="M135" s="252"/>
    </row>
    <row r="136" spans="1:13" s="84" customFormat="1" ht="12" customHeight="1" x14ac:dyDescent="0.25">
      <c r="A136" s="100"/>
      <c r="B136" s="103"/>
      <c r="C136" s="94"/>
      <c r="D136" s="121" t="s">
        <v>23</v>
      </c>
      <c r="E136" s="109">
        <v>8847224.0600000005</v>
      </c>
      <c r="F136" s="109">
        <f>SUM(F137:F138)</f>
        <v>1000</v>
      </c>
      <c r="G136" s="109">
        <f>SUM(G137:G138)</f>
        <v>1000</v>
      </c>
      <c r="H136" s="109">
        <f t="shared" si="30"/>
        <v>8847224.0600000005</v>
      </c>
      <c r="I136" s="253"/>
      <c r="J136" s="253"/>
      <c r="K136" s="253"/>
      <c r="L136" s="253"/>
      <c r="M136" s="253"/>
    </row>
    <row r="137" spans="1:13" s="84" customFormat="1" ht="12" customHeight="1" x14ac:dyDescent="0.25">
      <c r="A137" s="100"/>
      <c r="B137" s="103"/>
      <c r="C137" s="177">
        <v>3020</v>
      </c>
      <c r="D137" s="139" t="s">
        <v>42</v>
      </c>
      <c r="E137" s="113">
        <v>45625</v>
      </c>
      <c r="F137" s="113">
        <v>1000</v>
      </c>
      <c r="G137" s="113"/>
      <c r="H137" s="113">
        <f t="shared" si="30"/>
        <v>46625</v>
      </c>
      <c r="I137" s="252"/>
      <c r="J137" s="252"/>
      <c r="K137" s="252"/>
      <c r="L137" s="252"/>
      <c r="M137" s="252"/>
    </row>
    <row r="138" spans="1:13" s="84" customFormat="1" ht="12" customHeight="1" x14ac:dyDescent="0.25">
      <c r="A138" s="100"/>
      <c r="B138" s="103"/>
      <c r="C138" s="119">
        <v>4800</v>
      </c>
      <c r="D138" s="179" t="s">
        <v>60</v>
      </c>
      <c r="E138" s="113">
        <v>423941.06</v>
      </c>
      <c r="F138" s="113"/>
      <c r="G138" s="113">
        <v>1000</v>
      </c>
      <c r="H138" s="113">
        <f t="shared" si="30"/>
        <v>422941.06</v>
      </c>
      <c r="I138" s="252"/>
      <c r="J138" s="252"/>
      <c r="K138" s="252"/>
      <c r="L138" s="252"/>
      <c r="M138" s="252"/>
    </row>
    <row r="139" spans="1:13" s="84" customFormat="1" ht="12" customHeight="1" x14ac:dyDescent="0.25">
      <c r="A139" s="85"/>
      <c r="B139" s="103">
        <v>80148</v>
      </c>
      <c r="C139" s="94"/>
      <c r="D139" s="104" t="s">
        <v>69</v>
      </c>
      <c r="E139" s="105">
        <v>6017630.6600000001</v>
      </c>
      <c r="F139" s="106">
        <f>SUM(F140)</f>
        <v>5465</v>
      </c>
      <c r="G139" s="106">
        <f>SUM(G140)</f>
        <v>11000</v>
      </c>
      <c r="H139" s="105">
        <f t="shared" si="30"/>
        <v>6012095.6600000001</v>
      </c>
      <c r="I139" s="252"/>
      <c r="J139" s="252"/>
      <c r="K139" s="252"/>
      <c r="L139" s="252"/>
      <c r="M139" s="252"/>
    </row>
    <row r="140" spans="1:13" s="84" customFormat="1" ht="12" customHeight="1" x14ac:dyDescent="0.25">
      <c r="A140" s="85"/>
      <c r="B140" s="103"/>
      <c r="C140" s="94"/>
      <c r="D140" s="121" t="s">
        <v>23</v>
      </c>
      <c r="E140" s="109">
        <v>6017630.6600000001</v>
      </c>
      <c r="F140" s="110">
        <f>SUM(F141:F143)</f>
        <v>5465</v>
      </c>
      <c r="G140" s="110">
        <f>SUM(G141:G143)</f>
        <v>11000</v>
      </c>
      <c r="H140" s="109">
        <f t="shared" si="30"/>
        <v>6012095.6600000001</v>
      </c>
      <c r="I140" s="253"/>
      <c r="J140" s="253"/>
      <c r="K140" s="253"/>
      <c r="L140" s="253"/>
      <c r="M140" s="253"/>
    </row>
    <row r="141" spans="1:13" s="84" customFormat="1" ht="12" customHeight="1" x14ac:dyDescent="0.25">
      <c r="A141" s="85"/>
      <c r="B141" s="103"/>
      <c r="C141" s="94" t="s">
        <v>65</v>
      </c>
      <c r="D141" s="139" t="s">
        <v>44</v>
      </c>
      <c r="E141" s="113">
        <v>327503.65999999997</v>
      </c>
      <c r="F141" s="114"/>
      <c r="G141" s="114">
        <v>11000</v>
      </c>
      <c r="H141" s="114">
        <f t="shared" si="30"/>
        <v>316503.65999999997</v>
      </c>
      <c r="I141" s="255"/>
      <c r="J141" s="255"/>
      <c r="K141" s="255"/>
      <c r="L141" s="255"/>
      <c r="M141" s="255"/>
    </row>
    <row r="142" spans="1:13" s="84" customFormat="1" ht="12" customHeight="1" x14ac:dyDescent="0.25">
      <c r="A142" s="85"/>
      <c r="B142" s="103"/>
      <c r="C142" s="140">
        <v>4270</v>
      </c>
      <c r="D142" s="139" t="s">
        <v>15</v>
      </c>
      <c r="E142" s="113">
        <v>75174</v>
      </c>
      <c r="F142" s="114">
        <v>5000</v>
      </c>
      <c r="G142" s="114"/>
      <c r="H142" s="114">
        <f t="shared" si="30"/>
        <v>80174</v>
      </c>
      <c r="I142" s="255"/>
      <c r="J142" s="255"/>
      <c r="K142" s="255"/>
      <c r="L142" s="255"/>
      <c r="M142" s="255"/>
    </row>
    <row r="143" spans="1:13" s="84" customFormat="1" ht="12" customHeight="1" x14ac:dyDescent="0.25">
      <c r="A143" s="85"/>
      <c r="B143" s="103"/>
      <c r="C143" s="140">
        <v>4280</v>
      </c>
      <c r="D143" s="139" t="s">
        <v>49</v>
      </c>
      <c r="E143" s="113">
        <v>4842</v>
      </c>
      <c r="F143" s="114">
        <v>465</v>
      </c>
      <c r="G143" s="114"/>
      <c r="H143" s="114">
        <f>SUM(E143+F143-G143)</f>
        <v>5307</v>
      </c>
      <c r="I143" s="255"/>
      <c r="J143" s="255"/>
      <c r="K143" s="255"/>
      <c r="L143" s="255"/>
      <c r="M143" s="255"/>
    </row>
    <row r="144" spans="1:13" s="84" customFormat="1" ht="12" customHeight="1" x14ac:dyDescent="0.25">
      <c r="A144" s="85"/>
      <c r="B144" s="103">
        <v>80149</v>
      </c>
      <c r="C144" s="119"/>
      <c r="D144" s="141" t="s">
        <v>26</v>
      </c>
      <c r="E144" s="113"/>
      <c r="F144" s="114"/>
      <c r="G144" s="114"/>
      <c r="H144" s="114"/>
      <c r="I144" s="255"/>
      <c r="J144" s="255"/>
      <c r="K144" s="255"/>
      <c r="L144" s="255"/>
      <c r="M144" s="255"/>
    </row>
    <row r="145" spans="1:13" s="84" customFormat="1" ht="12" customHeight="1" x14ac:dyDescent="0.25">
      <c r="A145" s="85"/>
      <c r="B145" s="103"/>
      <c r="C145" s="119"/>
      <c r="D145" s="141" t="s">
        <v>70</v>
      </c>
      <c r="E145" s="113"/>
      <c r="F145" s="114"/>
      <c r="G145" s="114"/>
      <c r="H145" s="114"/>
      <c r="I145" s="255"/>
      <c r="J145" s="255"/>
      <c r="K145" s="255"/>
      <c r="L145" s="255"/>
      <c r="M145" s="255"/>
    </row>
    <row r="146" spans="1:13" s="84" customFormat="1" ht="12" customHeight="1" x14ac:dyDescent="0.25">
      <c r="A146" s="85"/>
      <c r="B146" s="103"/>
      <c r="C146" s="119"/>
      <c r="D146" s="141" t="s">
        <v>71</v>
      </c>
      <c r="E146" s="113"/>
      <c r="F146" s="114"/>
      <c r="G146" s="114"/>
      <c r="H146" s="114"/>
      <c r="I146" s="255"/>
      <c r="J146" s="255"/>
      <c r="K146" s="255"/>
      <c r="L146" s="255"/>
      <c r="M146" s="255"/>
    </row>
    <row r="147" spans="1:13" s="84" customFormat="1" ht="12" customHeight="1" x14ac:dyDescent="0.25">
      <c r="A147" s="85"/>
      <c r="B147" s="103"/>
      <c r="C147" s="94"/>
      <c r="D147" s="104" t="s">
        <v>72</v>
      </c>
      <c r="E147" s="105">
        <v>12300617.98</v>
      </c>
      <c r="F147" s="106">
        <f>SUM(F148)</f>
        <v>20500</v>
      </c>
      <c r="G147" s="106">
        <f>SUM(G148)</f>
        <v>0</v>
      </c>
      <c r="H147" s="105">
        <f>SUM(E147+F147-G147)</f>
        <v>12321117.98</v>
      </c>
      <c r="I147" s="252"/>
      <c r="J147" s="252"/>
      <c r="K147" s="252"/>
      <c r="L147" s="252"/>
      <c r="M147" s="252"/>
    </row>
    <row r="148" spans="1:13" s="84" customFormat="1" ht="12" customHeight="1" x14ac:dyDescent="0.25">
      <c r="A148" s="85"/>
      <c r="B148" s="103"/>
      <c r="C148" s="94"/>
      <c r="D148" s="121" t="s">
        <v>23</v>
      </c>
      <c r="E148" s="109">
        <v>6776332.4600000009</v>
      </c>
      <c r="F148" s="110">
        <f>SUM(F149:F151)</f>
        <v>20500</v>
      </c>
      <c r="G148" s="110">
        <f>SUM(G149:G151)</f>
        <v>0</v>
      </c>
      <c r="H148" s="109">
        <f t="shared" ref="H148:H151" si="31">SUM(E148+F148-G148)</f>
        <v>6796832.4600000009</v>
      </c>
      <c r="I148" s="253"/>
      <c r="J148" s="253"/>
      <c r="K148" s="253"/>
      <c r="L148" s="253"/>
      <c r="M148" s="253"/>
    </row>
    <row r="149" spans="1:13" s="84" customFormat="1" ht="12" customHeight="1" x14ac:dyDescent="0.25">
      <c r="A149" s="89"/>
      <c r="B149" s="149"/>
      <c r="C149" s="167">
        <v>4110</v>
      </c>
      <c r="D149" s="180" t="s">
        <v>24</v>
      </c>
      <c r="E149" s="105">
        <v>963809</v>
      </c>
      <c r="F149" s="105">
        <v>3000</v>
      </c>
      <c r="G149" s="106"/>
      <c r="H149" s="106">
        <f t="shared" si="31"/>
        <v>966809</v>
      </c>
      <c r="I149" s="255"/>
      <c r="J149" s="255"/>
      <c r="K149" s="255"/>
      <c r="L149" s="255"/>
      <c r="M149" s="255"/>
    </row>
    <row r="150" spans="1:13" s="84" customFormat="1" ht="12" customHeight="1" x14ac:dyDescent="0.25">
      <c r="A150" s="85"/>
      <c r="B150" s="103"/>
      <c r="C150" s="140">
        <v>4120</v>
      </c>
      <c r="D150" s="139" t="s">
        <v>12</v>
      </c>
      <c r="E150" s="113">
        <v>135499</v>
      </c>
      <c r="F150" s="113">
        <v>500</v>
      </c>
      <c r="G150" s="114"/>
      <c r="H150" s="114">
        <f t="shared" si="31"/>
        <v>135999</v>
      </c>
      <c r="I150" s="255"/>
      <c r="J150" s="255"/>
      <c r="K150" s="255"/>
      <c r="L150" s="255"/>
      <c r="M150" s="255"/>
    </row>
    <row r="151" spans="1:13" s="84" customFormat="1" ht="12" customHeight="1" x14ac:dyDescent="0.25">
      <c r="A151" s="85"/>
      <c r="B151" s="103"/>
      <c r="C151" s="119">
        <v>4790</v>
      </c>
      <c r="D151" s="84" t="s">
        <v>25</v>
      </c>
      <c r="E151" s="113">
        <v>4951085.74</v>
      </c>
      <c r="F151" s="113">
        <v>17000</v>
      </c>
      <c r="G151" s="114"/>
      <c r="H151" s="114">
        <f t="shared" si="31"/>
        <v>4968085.74</v>
      </c>
      <c r="I151" s="255"/>
      <c r="J151" s="255"/>
      <c r="K151" s="255"/>
      <c r="L151" s="255"/>
      <c r="M151" s="255"/>
    </row>
    <row r="152" spans="1:13" s="84" customFormat="1" ht="12" customHeight="1" x14ac:dyDescent="0.25">
      <c r="A152" s="85"/>
      <c r="B152" s="103">
        <v>80150</v>
      </c>
      <c r="C152" s="94"/>
      <c r="D152" s="141" t="s">
        <v>26</v>
      </c>
      <c r="E152" s="114"/>
      <c r="F152" s="114"/>
      <c r="G152" s="114"/>
      <c r="H152" s="114"/>
      <c r="I152" s="255"/>
      <c r="J152" s="255"/>
      <c r="K152" s="255"/>
      <c r="L152" s="255"/>
      <c r="M152" s="255"/>
    </row>
    <row r="153" spans="1:13" s="84" customFormat="1" ht="12" customHeight="1" x14ac:dyDescent="0.25">
      <c r="A153" s="85"/>
      <c r="B153" s="103"/>
      <c r="C153" s="94"/>
      <c r="D153" s="141" t="s">
        <v>27</v>
      </c>
      <c r="E153" s="114"/>
      <c r="F153" s="114"/>
      <c r="G153" s="114"/>
      <c r="H153" s="114"/>
      <c r="I153" s="255"/>
      <c r="J153" s="255"/>
      <c r="K153" s="255"/>
      <c r="L153" s="255"/>
      <c r="M153" s="255"/>
    </row>
    <row r="154" spans="1:13" s="84" customFormat="1" ht="12" customHeight="1" x14ac:dyDescent="0.25">
      <c r="A154" s="85"/>
      <c r="B154" s="103"/>
      <c r="C154" s="94"/>
      <c r="D154" s="104" t="s">
        <v>28</v>
      </c>
      <c r="E154" s="105">
        <v>25271671.369999997</v>
      </c>
      <c r="F154" s="106">
        <f>SUM(F155,F157)</f>
        <v>1000</v>
      </c>
      <c r="G154" s="106">
        <f>SUM(G155,G157)</f>
        <v>139554</v>
      </c>
      <c r="H154" s="105">
        <f>SUM(E154+F154-G154)</f>
        <v>25133117.369999997</v>
      </c>
      <c r="I154" s="252"/>
      <c r="J154" s="252"/>
      <c r="K154" s="252"/>
      <c r="L154" s="252"/>
      <c r="M154" s="252"/>
    </row>
    <row r="155" spans="1:13" s="84" customFormat="1" ht="12" customHeight="1" x14ac:dyDescent="0.25">
      <c r="A155" s="85"/>
      <c r="B155" s="103"/>
      <c r="C155" s="94"/>
      <c r="D155" s="121" t="s">
        <v>80</v>
      </c>
      <c r="E155" s="109">
        <v>1453068.01</v>
      </c>
      <c r="F155" s="109">
        <f>SUM(F156:F156)</f>
        <v>0</v>
      </c>
      <c r="G155" s="109">
        <f>SUM(G156:G156)</f>
        <v>130000</v>
      </c>
      <c r="H155" s="109">
        <f t="shared" ref="H155:H159" si="32">SUM(E155+F155-G155)</f>
        <v>1323068.01</v>
      </c>
      <c r="I155" s="253"/>
      <c r="J155" s="253"/>
      <c r="K155" s="253"/>
      <c r="L155" s="253"/>
      <c r="M155" s="253"/>
    </row>
    <row r="156" spans="1:13" s="84" customFormat="1" ht="33.75" customHeight="1" x14ac:dyDescent="0.25">
      <c r="A156" s="85"/>
      <c r="B156" s="103"/>
      <c r="C156" s="131">
        <v>2590</v>
      </c>
      <c r="D156" s="112" t="s">
        <v>271</v>
      </c>
      <c r="E156" s="175">
        <v>1018526.98</v>
      </c>
      <c r="F156" s="176"/>
      <c r="G156" s="176">
        <v>130000</v>
      </c>
      <c r="H156" s="113">
        <f t="shared" si="32"/>
        <v>888526.98</v>
      </c>
      <c r="I156" s="252"/>
      <c r="J156" s="252"/>
      <c r="K156" s="252"/>
      <c r="L156" s="252"/>
      <c r="M156" s="252"/>
    </row>
    <row r="157" spans="1:13" s="84" customFormat="1" ht="12" customHeight="1" x14ac:dyDescent="0.25">
      <c r="A157" s="85"/>
      <c r="B157" s="103"/>
      <c r="C157" s="94"/>
      <c r="D157" s="121" t="s">
        <v>23</v>
      </c>
      <c r="E157" s="109">
        <v>23818603.359999996</v>
      </c>
      <c r="F157" s="109">
        <f>SUM(F158:F159)</f>
        <v>1000</v>
      </c>
      <c r="G157" s="109">
        <f>SUM(G158:G159)</f>
        <v>9554</v>
      </c>
      <c r="H157" s="109">
        <f t="shared" si="32"/>
        <v>23810049.359999996</v>
      </c>
      <c r="I157" s="253"/>
      <c r="J157" s="253"/>
      <c r="K157" s="253"/>
      <c r="L157" s="253"/>
      <c r="M157" s="253"/>
    </row>
    <row r="158" spans="1:13" s="84" customFormat="1" ht="12" customHeight="1" x14ac:dyDescent="0.25">
      <c r="A158" s="85"/>
      <c r="B158" s="103"/>
      <c r="C158" s="177">
        <v>3020</v>
      </c>
      <c r="D158" s="139" t="s">
        <v>42</v>
      </c>
      <c r="E158" s="113">
        <v>9300</v>
      </c>
      <c r="F158" s="113">
        <v>1000</v>
      </c>
      <c r="G158" s="113"/>
      <c r="H158" s="114">
        <f t="shared" si="32"/>
        <v>10300</v>
      </c>
      <c r="I158" s="255"/>
      <c r="J158" s="255"/>
      <c r="K158" s="255"/>
      <c r="L158" s="255"/>
      <c r="M158" s="255"/>
    </row>
    <row r="159" spans="1:13" s="84" customFormat="1" ht="12" customHeight="1" x14ac:dyDescent="0.25">
      <c r="A159" s="85"/>
      <c r="B159" s="103"/>
      <c r="C159" s="177">
        <v>4800</v>
      </c>
      <c r="D159" s="179" t="s">
        <v>60</v>
      </c>
      <c r="E159" s="113">
        <v>1141628.7</v>
      </c>
      <c r="F159" s="113"/>
      <c r="G159" s="113">
        <v>9554</v>
      </c>
      <c r="H159" s="114">
        <f t="shared" si="32"/>
        <v>1132074.7</v>
      </c>
      <c r="I159" s="255"/>
      <c r="J159" s="255"/>
      <c r="K159" s="255"/>
      <c r="L159" s="255"/>
      <c r="M159" s="255"/>
    </row>
    <row r="160" spans="1:13" s="84" customFormat="1" ht="12" customHeight="1" x14ac:dyDescent="0.25">
      <c r="A160" s="85"/>
      <c r="B160" s="103">
        <v>80195</v>
      </c>
      <c r="C160" s="94"/>
      <c r="D160" s="6" t="s">
        <v>73</v>
      </c>
      <c r="E160" s="106">
        <v>10535549.790000001</v>
      </c>
      <c r="F160" s="106">
        <f>SUM(F161,F163,)</f>
        <v>7638.22</v>
      </c>
      <c r="G160" s="106">
        <f>SUM(G161,G163,)</f>
        <v>9363.2200000000012</v>
      </c>
      <c r="H160" s="105">
        <f>SUM(E160+F160-G160)</f>
        <v>10533824.790000001</v>
      </c>
      <c r="I160" s="252"/>
      <c r="J160" s="252"/>
      <c r="K160" s="252"/>
      <c r="L160" s="252"/>
      <c r="M160" s="252"/>
    </row>
    <row r="161" spans="1:13" s="84" customFormat="1" ht="12" customHeight="1" x14ac:dyDescent="0.25">
      <c r="A161" s="85"/>
      <c r="B161" s="103"/>
      <c r="C161" s="94"/>
      <c r="D161" s="181" t="s">
        <v>272</v>
      </c>
      <c r="E161" s="109">
        <v>1635117.3499999999</v>
      </c>
      <c r="F161" s="109">
        <f>SUM(F162:F162)</f>
        <v>0</v>
      </c>
      <c r="G161" s="109">
        <f>SUM(G162:G162)</f>
        <v>1725</v>
      </c>
      <c r="H161" s="109">
        <f>SUM(E161+F161-G161)</f>
        <v>1633392.3499999999</v>
      </c>
      <c r="I161" s="253"/>
      <c r="J161" s="253"/>
      <c r="K161" s="253"/>
      <c r="L161" s="253"/>
      <c r="M161" s="253"/>
    </row>
    <row r="162" spans="1:13" s="84" customFormat="1" ht="12" customHeight="1" x14ac:dyDescent="0.25">
      <c r="A162" s="85"/>
      <c r="B162" s="103"/>
      <c r="C162" s="94" t="s">
        <v>31</v>
      </c>
      <c r="D162" s="141" t="s">
        <v>32</v>
      </c>
      <c r="E162" s="113">
        <v>126500</v>
      </c>
      <c r="F162" s="113"/>
      <c r="G162" s="113">
        <v>1725</v>
      </c>
      <c r="H162" s="113">
        <f t="shared" ref="H162" si="33">SUM(E162+F162-G162)</f>
        <v>124775</v>
      </c>
      <c r="I162" s="252"/>
      <c r="J162" s="252"/>
      <c r="K162" s="252"/>
      <c r="L162" s="252"/>
      <c r="M162" s="252"/>
    </row>
    <row r="163" spans="1:13" s="84" customFormat="1" ht="24" customHeight="1" x14ac:dyDescent="0.25">
      <c r="A163" s="85"/>
      <c r="B163" s="103"/>
      <c r="C163" s="94"/>
      <c r="D163" s="182" t="s">
        <v>75</v>
      </c>
      <c r="E163" s="109">
        <v>411568.06</v>
      </c>
      <c r="F163" s="109">
        <f>SUM(F164:F169)</f>
        <v>7638.22</v>
      </c>
      <c r="G163" s="109">
        <f>SUM(G164:G169)</f>
        <v>7638.2200000000012</v>
      </c>
      <c r="H163" s="109">
        <f>SUM(E163+F163-G163)</f>
        <v>411568.05999999994</v>
      </c>
      <c r="I163" s="253"/>
      <c r="J163" s="253"/>
      <c r="K163" s="253"/>
      <c r="L163" s="253"/>
      <c r="M163" s="253"/>
    </row>
    <row r="164" spans="1:13" s="84" customFormat="1" ht="12" customHeight="1" x14ac:dyDescent="0.25">
      <c r="A164" s="85"/>
      <c r="B164" s="103"/>
      <c r="C164" s="3">
        <v>4117</v>
      </c>
      <c r="D164" s="183" t="s">
        <v>74</v>
      </c>
      <c r="E164" s="113">
        <v>30964.019999999997</v>
      </c>
      <c r="F164" s="113"/>
      <c r="G164" s="113">
        <v>1821.98</v>
      </c>
      <c r="H164" s="184">
        <f t="shared" ref="H164:H182" si="34">SUM(E164+F164-G164)</f>
        <v>29142.039999999997</v>
      </c>
      <c r="I164" s="252"/>
      <c r="J164" s="252"/>
      <c r="K164" s="252"/>
      <c r="L164" s="252"/>
      <c r="M164" s="252"/>
    </row>
    <row r="165" spans="1:13" s="84" customFormat="1" ht="12" customHeight="1" x14ac:dyDescent="0.25">
      <c r="A165" s="85"/>
      <c r="B165" s="103"/>
      <c r="C165" s="3">
        <v>4127</v>
      </c>
      <c r="D165" s="183" t="s">
        <v>76</v>
      </c>
      <c r="E165" s="113">
        <v>2904.66</v>
      </c>
      <c r="F165" s="113"/>
      <c r="G165" s="113">
        <v>354.55</v>
      </c>
      <c r="H165" s="113">
        <f t="shared" si="34"/>
        <v>2550.1099999999997</v>
      </c>
      <c r="I165" s="252"/>
      <c r="J165" s="252"/>
      <c r="K165" s="252"/>
      <c r="L165" s="252"/>
      <c r="M165" s="252"/>
    </row>
    <row r="166" spans="1:13" s="84" customFormat="1" ht="12" customHeight="1" x14ac:dyDescent="0.25">
      <c r="A166" s="85"/>
      <c r="B166" s="103"/>
      <c r="C166" s="3">
        <v>4177</v>
      </c>
      <c r="D166" s="183" t="s">
        <v>46</v>
      </c>
      <c r="E166" s="113">
        <v>188615.47999999998</v>
      </c>
      <c r="F166" s="113"/>
      <c r="G166" s="113">
        <v>4886.84</v>
      </c>
      <c r="H166" s="113">
        <f t="shared" si="34"/>
        <v>183728.63999999998</v>
      </c>
      <c r="I166" s="252"/>
      <c r="J166" s="252"/>
      <c r="K166" s="252"/>
      <c r="L166" s="252"/>
      <c r="M166" s="252"/>
    </row>
    <row r="167" spans="1:13" s="84" customFormat="1" ht="12" customHeight="1" x14ac:dyDescent="0.25">
      <c r="A167" s="85"/>
      <c r="B167" s="103"/>
      <c r="C167" s="3">
        <v>4217</v>
      </c>
      <c r="D167" s="183" t="s">
        <v>77</v>
      </c>
      <c r="E167" s="113">
        <v>51020</v>
      </c>
      <c r="F167" s="113"/>
      <c r="G167" s="113">
        <v>574.85</v>
      </c>
      <c r="H167" s="113">
        <f t="shared" si="34"/>
        <v>50445.15</v>
      </c>
      <c r="I167" s="252"/>
      <c r="J167" s="252"/>
      <c r="K167" s="252"/>
      <c r="L167" s="252"/>
      <c r="M167" s="252"/>
    </row>
    <row r="168" spans="1:13" s="84" customFormat="1" ht="12" customHeight="1" x14ac:dyDescent="0.25">
      <c r="A168" s="85"/>
      <c r="B168" s="103"/>
      <c r="C168" s="3">
        <v>4307</v>
      </c>
      <c r="D168" s="183" t="s">
        <v>78</v>
      </c>
      <c r="E168" s="113">
        <v>90122.000000000015</v>
      </c>
      <c r="F168" s="113">
        <v>7500</v>
      </c>
      <c r="G168" s="113"/>
      <c r="H168" s="113">
        <f t="shared" si="34"/>
        <v>97622.000000000015</v>
      </c>
      <c r="I168" s="252"/>
      <c r="J168" s="252"/>
      <c r="K168" s="252"/>
      <c r="L168" s="252"/>
      <c r="M168" s="252"/>
    </row>
    <row r="169" spans="1:13" s="84" customFormat="1" ht="12" customHeight="1" x14ac:dyDescent="0.25">
      <c r="A169" s="85"/>
      <c r="B169" s="103"/>
      <c r="C169" s="3">
        <v>4717</v>
      </c>
      <c r="D169" s="185" t="s">
        <v>59</v>
      </c>
      <c r="E169" s="113">
        <v>1380.9</v>
      </c>
      <c r="F169" s="113">
        <v>138.22</v>
      </c>
      <c r="G169" s="113"/>
      <c r="H169" s="113">
        <f t="shared" si="34"/>
        <v>1519.1200000000001</v>
      </c>
      <c r="I169" s="252"/>
      <c r="J169" s="252"/>
      <c r="K169" s="252"/>
      <c r="L169" s="252"/>
      <c r="M169" s="252"/>
    </row>
    <row r="170" spans="1:13" s="84" customFormat="1" ht="12" customHeight="1" thickBot="1" x14ac:dyDescent="0.3">
      <c r="A170" s="99" t="s">
        <v>273</v>
      </c>
      <c r="B170" s="100"/>
      <c r="C170" s="99"/>
      <c r="D170" s="101" t="s">
        <v>274</v>
      </c>
      <c r="E170" s="98">
        <v>12241935.83</v>
      </c>
      <c r="F170" s="102">
        <f>SUM(F171,)</f>
        <v>66400</v>
      </c>
      <c r="G170" s="102">
        <f>SUM(G171,)</f>
        <v>66400</v>
      </c>
      <c r="H170" s="98">
        <f t="shared" si="34"/>
        <v>12241935.83</v>
      </c>
      <c r="I170" s="251"/>
      <c r="J170" s="251"/>
      <c r="K170" s="251"/>
      <c r="L170" s="251"/>
      <c r="M170" s="251"/>
    </row>
    <row r="171" spans="1:13" s="84" customFormat="1" ht="12" customHeight="1" thickTop="1" x14ac:dyDescent="0.25">
      <c r="A171" s="99"/>
      <c r="B171" s="119">
        <v>85154</v>
      </c>
      <c r="C171" s="148"/>
      <c r="D171" s="149" t="s">
        <v>275</v>
      </c>
      <c r="E171" s="105">
        <v>6693090.8300000001</v>
      </c>
      <c r="F171" s="106">
        <f>SUM(F172,F174,F177,)</f>
        <v>66400</v>
      </c>
      <c r="G171" s="106">
        <f>SUM(G172,G174,G177,)</f>
        <v>66400</v>
      </c>
      <c r="H171" s="105">
        <f t="shared" si="34"/>
        <v>6693090.8300000001</v>
      </c>
      <c r="I171" s="252"/>
      <c r="J171" s="252"/>
      <c r="K171" s="252"/>
      <c r="L171" s="252"/>
      <c r="M171" s="252"/>
    </row>
    <row r="172" spans="1:13" s="84" customFormat="1" ht="12" customHeight="1" x14ac:dyDescent="0.25">
      <c r="A172" s="99"/>
      <c r="B172" s="119"/>
      <c r="C172" s="172"/>
      <c r="D172" s="121" t="s">
        <v>80</v>
      </c>
      <c r="E172" s="109">
        <v>1710691.95</v>
      </c>
      <c r="F172" s="110">
        <f>SUM(F173)</f>
        <v>0</v>
      </c>
      <c r="G172" s="110">
        <f>SUM(G173)</f>
        <v>50000</v>
      </c>
      <c r="H172" s="109">
        <f t="shared" ref="H172" si="35">SUM(E172+F172-G172)</f>
        <v>1660691.95</v>
      </c>
      <c r="I172" s="253"/>
      <c r="J172" s="253"/>
      <c r="K172" s="253"/>
      <c r="L172" s="253"/>
      <c r="M172" s="253"/>
    </row>
    <row r="173" spans="1:13" s="84" customFormat="1" ht="12" customHeight="1" x14ac:dyDescent="0.25">
      <c r="A173" s="99"/>
      <c r="B173" s="119"/>
      <c r="C173" s="3">
        <v>4300</v>
      </c>
      <c r="D173" s="8" t="s">
        <v>50</v>
      </c>
      <c r="E173" s="176">
        <v>295841.95</v>
      </c>
      <c r="F173" s="114"/>
      <c r="G173" s="114">
        <v>50000</v>
      </c>
      <c r="H173" s="113">
        <f>SUM(E173+F173-G173)</f>
        <v>245841.95</v>
      </c>
      <c r="I173" s="252"/>
      <c r="J173" s="252"/>
      <c r="K173" s="252"/>
      <c r="L173" s="252"/>
      <c r="M173" s="252"/>
    </row>
    <row r="174" spans="1:13" s="84" customFormat="1" ht="12" customHeight="1" x14ac:dyDescent="0.25">
      <c r="A174" s="99"/>
      <c r="B174" s="119"/>
      <c r="C174" s="94"/>
      <c r="D174" s="121" t="s">
        <v>81</v>
      </c>
      <c r="E174" s="109">
        <v>1571231.88</v>
      </c>
      <c r="F174" s="110">
        <f>SUM(F175:F176)</f>
        <v>16400</v>
      </c>
      <c r="G174" s="110">
        <f>SUM(G175:G176)</f>
        <v>16400</v>
      </c>
      <c r="H174" s="109">
        <f t="shared" si="34"/>
        <v>1571231.88</v>
      </c>
      <c r="I174" s="253"/>
      <c r="J174" s="253"/>
      <c r="K174" s="253"/>
      <c r="L174" s="253"/>
      <c r="M174" s="253"/>
    </row>
    <row r="175" spans="1:13" s="84" customFormat="1" ht="12" customHeight="1" x14ac:dyDescent="0.25">
      <c r="A175" s="99"/>
      <c r="B175" s="119"/>
      <c r="C175" s="140">
        <v>4220</v>
      </c>
      <c r="D175" s="139" t="s">
        <v>66</v>
      </c>
      <c r="E175" s="113">
        <v>39932</v>
      </c>
      <c r="F175" s="114">
        <v>16400</v>
      </c>
      <c r="G175" s="114"/>
      <c r="H175" s="114">
        <f t="shared" si="34"/>
        <v>56332</v>
      </c>
      <c r="I175" s="255"/>
      <c r="J175" s="255"/>
      <c r="K175" s="255"/>
      <c r="L175" s="255"/>
      <c r="M175" s="255"/>
    </row>
    <row r="176" spans="1:13" s="84" customFormat="1" ht="12" customHeight="1" x14ac:dyDescent="0.25">
      <c r="A176" s="99"/>
      <c r="B176" s="119"/>
      <c r="C176" s="3">
        <v>4300</v>
      </c>
      <c r="D176" s="8" t="s">
        <v>50</v>
      </c>
      <c r="E176" s="175">
        <v>300070</v>
      </c>
      <c r="F176" s="114"/>
      <c r="G176" s="114">
        <v>16400</v>
      </c>
      <c r="H176" s="114">
        <f t="shared" si="34"/>
        <v>283670</v>
      </c>
      <c r="I176" s="255"/>
      <c r="J176" s="255"/>
      <c r="K176" s="255"/>
      <c r="L176" s="255"/>
      <c r="M176" s="255"/>
    </row>
    <row r="177" spans="1:13" s="84" customFormat="1" ht="12" customHeight="1" x14ac:dyDescent="0.25">
      <c r="A177" s="99"/>
      <c r="B177" s="119"/>
      <c r="C177" s="94"/>
      <c r="D177" s="121" t="s">
        <v>23</v>
      </c>
      <c r="E177" s="109">
        <v>35000</v>
      </c>
      <c r="F177" s="110">
        <f>SUM(F178:F182)</f>
        <v>50000</v>
      </c>
      <c r="G177" s="110">
        <f>SUM(G178:G182)</f>
        <v>0</v>
      </c>
      <c r="H177" s="109">
        <f t="shared" si="34"/>
        <v>85000</v>
      </c>
      <c r="I177" s="253"/>
      <c r="J177" s="253"/>
      <c r="K177" s="253"/>
      <c r="L177" s="253"/>
      <c r="M177" s="253"/>
    </row>
    <row r="178" spans="1:13" s="84" customFormat="1" ht="12" customHeight="1" x14ac:dyDescent="0.25">
      <c r="A178" s="99"/>
      <c r="B178" s="119"/>
      <c r="C178" s="140">
        <v>4110</v>
      </c>
      <c r="D178" s="141" t="s">
        <v>24</v>
      </c>
      <c r="E178" s="175">
        <v>0</v>
      </c>
      <c r="F178" s="114">
        <v>1580</v>
      </c>
      <c r="G178" s="114"/>
      <c r="H178" s="114">
        <f t="shared" si="34"/>
        <v>1580</v>
      </c>
      <c r="I178" s="255"/>
      <c r="J178" s="255"/>
      <c r="K178" s="255"/>
      <c r="L178" s="255"/>
      <c r="M178" s="255"/>
    </row>
    <row r="179" spans="1:13" s="84" customFormat="1" ht="12" customHeight="1" x14ac:dyDescent="0.25">
      <c r="A179" s="99"/>
      <c r="B179" s="119"/>
      <c r="C179" s="140">
        <v>4120</v>
      </c>
      <c r="D179" s="141" t="s">
        <v>12</v>
      </c>
      <c r="E179" s="175">
        <v>0</v>
      </c>
      <c r="F179" s="114">
        <v>230</v>
      </c>
      <c r="G179" s="114"/>
      <c r="H179" s="114">
        <f t="shared" si="34"/>
        <v>230</v>
      </c>
      <c r="I179" s="255"/>
      <c r="J179" s="255"/>
      <c r="K179" s="255"/>
      <c r="L179" s="255"/>
      <c r="M179" s="255"/>
    </row>
    <row r="180" spans="1:13" s="84" customFormat="1" ht="12" customHeight="1" x14ac:dyDescent="0.25">
      <c r="A180" s="99"/>
      <c r="B180" s="119"/>
      <c r="C180" s="186">
        <v>4170</v>
      </c>
      <c r="D180" s="187" t="s">
        <v>46</v>
      </c>
      <c r="E180" s="175">
        <v>0</v>
      </c>
      <c r="F180" s="114">
        <v>9190</v>
      </c>
      <c r="G180" s="114"/>
      <c r="H180" s="114">
        <f t="shared" si="34"/>
        <v>9190</v>
      </c>
      <c r="I180" s="255"/>
      <c r="J180" s="255"/>
      <c r="K180" s="255"/>
      <c r="L180" s="255"/>
      <c r="M180" s="255"/>
    </row>
    <row r="181" spans="1:13" s="84" customFormat="1" ht="12" customHeight="1" x14ac:dyDescent="0.25">
      <c r="A181" s="99"/>
      <c r="B181" s="119"/>
      <c r="C181" s="140">
        <v>4220</v>
      </c>
      <c r="D181" s="141" t="s">
        <v>66</v>
      </c>
      <c r="E181" s="175">
        <v>0</v>
      </c>
      <c r="F181" s="114">
        <v>1000</v>
      </c>
      <c r="G181" s="114"/>
      <c r="H181" s="114">
        <f t="shared" si="34"/>
        <v>1000</v>
      </c>
      <c r="I181" s="255"/>
      <c r="J181" s="255"/>
      <c r="K181" s="255"/>
      <c r="L181" s="255"/>
      <c r="M181" s="255"/>
    </row>
    <row r="182" spans="1:13" s="84" customFormat="1" ht="12" customHeight="1" x14ac:dyDescent="0.25">
      <c r="A182" s="99"/>
      <c r="B182" s="119"/>
      <c r="C182" s="3">
        <v>4300</v>
      </c>
      <c r="D182" s="8" t="s">
        <v>50</v>
      </c>
      <c r="E182" s="175">
        <v>0</v>
      </c>
      <c r="F182" s="114">
        <v>38000</v>
      </c>
      <c r="G182" s="114"/>
      <c r="H182" s="114">
        <f t="shared" si="34"/>
        <v>38000</v>
      </c>
      <c r="I182" s="255"/>
      <c r="J182" s="255"/>
      <c r="K182" s="255"/>
      <c r="L182" s="255"/>
      <c r="M182" s="255"/>
    </row>
    <row r="183" spans="1:13" s="84" customFormat="1" ht="12" customHeight="1" thickBot="1" x14ac:dyDescent="0.3">
      <c r="A183" s="99" t="s">
        <v>226</v>
      </c>
      <c r="B183" s="100"/>
      <c r="C183" s="99"/>
      <c r="D183" s="101" t="s">
        <v>227</v>
      </c>
      <c r="E183" s="2">
        <v>94786355.420000002</v>
      </c>
      <c r="F183" s="102">
        <f>SUM(F184,F188,F191,F195,F206,F215,F219)</f>
        <v>609038.35</v>
      </c>
      <c r="G183" s="102">
        <f>SUM(G184,G188,G191,G195,G206,G215,G219)</f>
        <v>204038.35</v>
      </c>
      <c r="H183" s="98">
        <f>SUM(E183+F183-G183)</f>
        <v>95191355.420000002</v>
      </c>
      <c r="I183" s="251"/>
      <c r="J183" s="251"/>
      <c r="K183" s="251"/>
      <c r="L183" s="251"/>
      <c r="M183" s="251"/>
    </row>
    <row r="184" spans="1:13" s="84" customFormat="1" ht="12" customHeight="1" thickTop="1" x14ac:dyDescent="0.25">
      <c r="A184" s="99"/>
      <c r="B184" s="119">
        <v>85203</v>
      </c>
      <c r="C184" s="85"/>
      <c r="D184" s="149" t="s">
        <v>276</v>
      </c>
      <c r="E184" s="105">
        <v>1950045.7199999997</v>
      </c>
      <c r="F184" s="106">
        <f>SUM(F185,)</f>
        <v>17615</v>
      </c>
      <c r="G184" s="106">
        <f>SUM(G185,)</f>
        <v>17615</v>
      </c>
      <c r="H184" s="105">
        <f t="shared" ref="H184:H204" si="36">SUM(E184+F184-G184)</f>
        <v>1950045.7199999997</v>
      </c>
      <c r="I184" s="252"/>
      <c r="J184" s="252"/>
      <c r="K184" s="252"/>
      <c r="L184" s="252"/>
      <c r="M184" s="252"/>
    </row>
    <row r="185" spans="1:13" s="84" customFormat="1" ht="12" customHeight="1" x14ac:dyDescent="0.25">
      <c r="A185" s="99"/>
      <c r="B185" s="119"/>
      <c r="C185" s="3"/>
      <c r="D185" s="160" t="s">
        <v>277</v>
      </c>
      <c r="E185" s="109">
        <v>403566.2</v>
      </c>
      <c r="F185" s="110">
        <f>SUM(F186:F187)</f>
        <v>17615</v>
      </c>
      <c r="G185" s="110">
        <f>SUM(G186:G187)</f>
        <v>17615</v>
      </c>
      <c r="H185" s="109">
        <f t="shared" si="36"/>
        <v>403566.2</v>
      </c>
      <c r="I185" s="253"/>
      <c r="J185" s="253"/>
      <c r="K185" s="253"/>
      <c r="L185" s="253"/>
      <c r="M185" s="253"/>
    </row>
    <row r="186" spans="1:13" s="84" customFormat="1" ht="12" customHeight="1" x14ac:dyDescent="0.25">
      <c r="A186" s="99"/>
      <c r="B186" s="119"/>
      <c r="C186" s="140">
        <v>4220</v>
      </c>
      <c r="D186" s="139" t="s">
        <v>66</v>
      </c>
      <c r="E186" s="113">
        <v>67283</v>
      </c>
      <c r="F186" s="114">
        <v>17615</v>
      </c>
      <c r="G186" s="114"/>
      <c r="H186" s="113">
        <f t="shared" si="36"/>
        <v>84898</v>
      </c>
      <c r="I186" s="252"/>
      <c r="J186" s="252"/>
      <c r="K186" s="252"/>
      <c r="L186" s="252"/>
      <c r="M186" s="252"/>
    </row>
    <row r="187" spans="1:13" s="84" customFormat="1" ht="12" customHeight="1" x14ac:dyDescent="0.25">
      <c r="A187" s="99"/>
      <c r="B187" s="119"/>
      <c r="C187" s="140">
        <v>4260</v>
      </c>
      <c r="D187" s="139" t="s">
        <v>48</v>
      </c>
      <c r="E187" s="113">
        <v>69223</v>
      </c>
      <c r="F187" s="114"/>
      <c r="G187" s="114">
        <v>17615</v>
      </c>
      <c r="H187" s="113">
        <f t="shared" si="36"/>
        <v>51608</v>
      </c>
      <c r="I187" s="252"/>
      <c r="J187" s="252"/>
      <c r="K187" s="252"/>
      <c r="L187" s="252"/>
      <c r="M187" s="252"/>
    </row>
    <row r="188" spans="1:13" s="84" customFormat="1" ht="12" customHeight="1" x14ac:dyDescent="0.25">
      <c r="A188" s="99"/>
      <c r="B188" s="119">
        <v>85205</v>
      </c>
      <c r="C188" s="148"/>
      <c r="D188" s="6" t="s">
        <v>278</v>
      </c>
      <c r="E188" s="105">
        <v>69184</v>
      </c>
      <c r="F188" s="106">
        <f>SUM(F189,)</f>
        <v>0</v>
      </c>
      <c r="G188" s="106">
        <f>SUM(G189,)</f>
        <v>19000</v>
      </c>
      <c r="H188" s="105">
        <f t="shared" si="36"/>
        <v>50184</v>
      </c>
      <c r="I188" s="252"/>
      <c r="J188" s="252"/>
      <c r="K188" s="252"/>
      <c r="L188" s="252"/>
      <c r="M188" s="252"/>
    </row>
    <row r="189" spans="1:13" s="84" customFormat="1" ht="12" customHeight="1" x14ac:dyDescent="0.25">
      <c r="A189" s="99"/>
      <c r="B189" s="119"/>
      <c r="C189" s="172"/>
      <c r="D189" s="117" t="s">
        <v>81</v>
      </c>
      <c r="E189" s="109">
        <v>69184</v>
      </c>
      <c r="F189" s="110">
        <f>SUM(F190:F190)</f>
        <v>0</v>
      </c>
      <c r="G189" s="110">
        <f>SUM(G190:G190)</f>
        <v>19000</v>
      </c>
      <c r="H189" s="109">
        <f t="shared" si="36"/>
        <v>50184</v>
      </c>
      <c r="I189" s="253"/>
      <c r="J189" s="253"/>
      <c r="K189" s="253"/>
      <c r="L189" s="253"/>
      <c r="M189" s="253"/>
    </row>
    <row r="190" spans="1:13" s="84" customFormat="1" ht="12" customHeight="1" x14ac:dyDescent="0.25">
      <c r="A190" s="99"/>
      <c r="B190" s="119"/>
      <c r="C190" s="186">
        <v>4170</v>
      </c>
      <c r="D190" s="187" t="s">
        <v>46</v>
      </c>
      <c r="E190" s="113">
        <v>47425</v>
      </c>
      <c r="F190" s="114"/>
      <c r="G190" s="114">
        <v>19000</v>
      </c>
      <c r="H190" s="114">
        <f t="shared" si="36"/>
        <v>28425</v>
      </c>
      <c r="I190" s="255"/>
      <c r="J190" s="255"/>
      <c r="K190" s="255"/>
      <c r="L190" s="255"/>
      <c r="M190" s="255"/>
    </row>
    <row r="191" spans="1:13" s="84" customFormat="1" ht="12" customHeight="1" x14ac:dyDescent="0.25">
      <c r="A191" s="99"/>
      <c r="B191" s="3">
        <v>85215</v>
      </c>
      <c r="C191" s="3"/>
      <c r="D191" s="6" t="s">
        <v>279</v>
      </c>
      <c r="E191" s="105">
        <v>4825010</v>
      </c>
      <c r="F191" s="106">
        <f>SUM(F192)</f>
        <v>1000</v>
      </c>
      <c r="G191" s="106">
        <f>SUM(G192)</f>
        <v>1000</v>
      </c>
      <c r="H191" s="105">
        <f t="shared" si="36"/>
        <v>4825010</v>
      </c>
      <c r="I191" s="252"/>
      <c r="J191" s="252"/>
      <c r="K191" s="252"/>
      <c r="L191" s="252"/>
      <c r="M191" s="252"/>
    </row>
    <row r="192" spans="1:13" s="84" customFormat="1" ht="12" customHeight="1" x14ac:dyDescent="0.25">
      <c r="A192" s="99"/>
      <c r="B192" s="119"/>
      <c r="C192" s="172"/>
      <c r="D192" s="117" t="s">
        <v>81</v>
      </c>
      <c r="E192" s="109">
        <v>4825010</v>
      </c>
      <c r="F192" s="109">
        <f>SUM(F193:F194)</f>
        <v>1000</v>
      </c>
      <c r="G192" s="109">
        <f>SUM(G193:G194)</f>
        <v>1000</v>
      </c>
      <c r="H192" s="109">
        <f t="shared" si="36"/>
        <v>4825010</v>
      </c>
      <c r="I192" s="253"/>
      <c r="J192" s="253"/>
      <c r="K192" s="253"/>
      <c r="L192" s="253"/>
      <c r="M192" s="253"/>
    </row>
    <row r="193" spans="1:13" s="84" customFormat="1" ht="12" customHeight="1" x14ac:dyDescent="0.25">
      <c r="A193" s="99"/>
      <c r="B193" s="119"/>
      <c r="C193" s="140">
        <v>4260</v>
      </c>
      <c r="D193" s="139" t="s">
        <v>48</v>
      </c>
      <c r="E193" s="113">
        <v>10600</v>
      </c>
      <c r="F193" s="113">
        <v>1000</v>
      </c>
      <c r="G193" s="113"/>
      <c r="H193" s="113">
        <f t="shared" si="36"/>
        <v>11600</v>
      </c>
      <c r="I193" s="252"/>
      <c r="J193" s="252"/>
      <c r="K193" s="252"/>
      <c r="L193" s="252"/>
      <c r="M193" s="252"/>
    </row>
    <row r="194" spans="1:13" s="84" customFormat="1" ht="12" customHeight="1" x14ac:dyDescent="0.25">
      <c r="A194" s="99"/>
      <c r="B194" s="119"/>
      <c r="C194" s="131">
        <v>4700</v>
      </c>
      <c r="D194" s="112" t="s">
        <v>58</v>
      </c>
      <c r="E194" s="113">
        <v>2270</v>
      </c>
      <c r="F194" s="114"/>
      <c r="G194" s="114">
        <v>1000</v>
      </c>
      <c r="H194" s="113">
        <f t="shared" si="36"/>
        <v>1270</v>
      </c>
      <c r="I194" s="252"/>
      <c r="J194" s="252"/>
      <c r="K194" s="252"/>
      <c r="L194" s="252"/>
      <c r="M194" s="252"/>
    </row>
    <row r="195" spans="1:13" s="84" customFormat="1" ht="12" customHeight="1" x14ac:dyDescent="0.25">
      <c r="A195" s="99"/>
      <c r="B195" s="119">
        <v>85219</v>
      </c>
      <c r="C195" s="148"/>
      <c r="D195" s="149" t="s">
        <v>243</v>
      </c>
      <c r="E195" s="105">
        <v>23196787.339999996</v>
      </c>
      <c r="F195" s="106">
        <f>SUM(F196,)</f>
        <v>106500</v>
      </c>
      <c r="G195" s="106">
        <f>SUM(G196,)</f>
        <v>34500</v>
      </c>
      <c r="H195" s="105">
        <f t="shared" si="36"/>
        <v>23268787.339999996</v>
      </c>
      <c r="I195" s="252"/>
      <c r="J195" s="252"/>
      <c r="K195" s="252"/>
      <c r="L195" s="252"/>
      <c r="M195" s="252"/>
    </row>
    <row r="196" spans="1:13" s="84" customFormat="1" ht="12" customHeight="1" x14ac:dyDescent="0.25">
      <c r="A196" s="99"/>
      <c r="B196" s="119"/>
      <c r="C196" s="172"/>
      <c r="D196" s="117" t="s">
        <v>81</v>
      </c>
      <c r="E196" s="109">
        <v>22867690.339999996</v>
      </c>
      <c r="F196" s="110">
        <f>SUM(F197:F204)</f>
        <v>106500</v>
      </c>
      <c r="G196" s="110">
        <f>SUM(G197:G204)</f>
        <v>34500</v>
      </c>
      <c r="H196" s="109">
        <f t="shared" si="36"/>
        <v>22939690.339999996</v>
      </c>
      <c r="I196" s="253"/>
      <c r="J196" s="253"/>
      <c r="K196" s="253"/>
      <c r="L196" s="253"/>
      <c r="M196" s="253"/>
    </row>
    <row r="197" spans="1:13" s="84" customFormat="1" ht="12" customHeight="1" x14ac:dyDescent="0.25">
      <c r="A197" s="99"/>
      <c r="B197" s="119"/>
      <c r="C197" s="140">
        <v>4040</v>
      </c>
      <c r="D197" s="139" t="s">
        <v>44</v>
      </c>
      <c r="E197" s="113">
        <v>1146003</v>
      </c>
      <c r="F197" s="114"/>
      <c r="G197" s="114">
        <v>4000</v>
      </c>
      <c r="H197" s="114">
        <f t="shared" si="36"/>
        <v>1142003</v>
      </c>
      <c r="I197" s="255"/>
      <c r="J197" s="255"/>
      <c r="K197" s="255"/>
      <c r="L197" s="255"/>
      <c r="M197" s="255"/>
    </row>
    <row r="198" spans="1:13" s="84" customFormat="1" ht="12" customHeight="1" x14ac:dyDescent="0.25">
      <c r="A198" s="99"/>
      <c r="B198" s="119"/>
      <c r="C198" s="119">
        <v>4110</v>
      </c>
      <c r="D198" s="139" t="s">
        <v>24</v>
      </c>
      <c r="E198" s="113">
        <v>2859622</v>
      </c>
      <c r="F198" s="114">
        <v>72000</v>
      </c>
      <c r="G198" s="114"/>
      <c r="H198" s="114">
        <f t="shared" si="36"/>
        <v>2931622</v>
      </c>
      <c r="I198" s="255"/>
      <c r="J198" s="255"/>
      <c r="K198" s="255"/>
      <c r="L198" s="255"/>
      <c r="M198" s="255"/>
    </row>
    <row r="199" spans="1:13" s="84" customFormat="1" ht="12" customHeight="1" x14ac:dyDescent="0.25">
      <c r="A199" s="99"/>
      <c r="B199" s="119"/>
      <c r="C199" s="140">
        <v>4140</v>
      </c>
      <c r="D199" s="112" t="s">
        <v>45</v>
      </c>
      <c r="E199" s="113">
        <v>55066</v>
      </c>
      <c r="F199" s="114"/>
      <c r="G199" s="114">
        <v>20000</v>
      </c>
      <c r="H199" s="114">
        <f t="shared" si="36"/>
        <v>35066</v>
      </c>
      <c r="I199" s="255"/>
      <c r="J199" s="255"/>
      <c r="K199" s="255"/>
      <c r="L199" s="255"/>
      <c r="M199" s="255"/>
    </row>
    <row r="200" spans="1:13" s="84" customFormat="1" ht="12" customHeight="1" x14ac:dyDescent="0.25">
      <c r="A200" s="99"/>
      <c r="B200" s="119"/>
      <c r="C200" s="138" t="s">
        <v>31</v>
      </c>
      <c r="D200" s="139" t="s">
        <v>32</v>
      </c>
      <c r="E200" s="113">
        <v>204863.4</v>
      </c>
      <c r="F200" s="114">
        <v>13000</v>
      </c>
      <c r="G200" s="114"/>
      <c r="H200" s="114">
        <f t="shared" si="36"/>
        <v>217863.4</v>
      </c>
      <c r="I200" s="255"/>
      <c r="J200" s="255"/>
      <c r="K200" s="255"/>
      <c r="L200" s="255"/>
      <c r="M200" s="255"/>
    </row>
    <row r="201" spans="1:13" s="84" customFormat="1" ht="12" customHeight="1" x14ac:dyDescent="0.25">
      <c r="A201" s="99"/>
      <c r="B201" s="119"/>
      <c r="C201" s="119">
        <v>4300</v>
      </c>
      <c r="D201" s="139" t="s">
        <v>50</v>
      </c>
      <c r="E201" s="113">
        <v>306280</v>
      </c>
      <c r="F201" s="114">
        <v>7500</v>
      </c>
      <c r="G201" s="114"/>
      <c r="H201" s="114">
        <f t="shared" si="36"/>
        <v>313780</v>
      </c>
      <c r="I201" s="255"/>
      <c r="J201" s="255"/>
      <c r="K201" s="255"/>
      <c r="L201" s="255"/>
      <c r="M201" s="255"/>
    </row>
    <row r="202" spans="1:13" s="84" customFormat="1" ht="12" customHeight="1" x14ac:dyDescent="0.25">
      <c r="A202" s="99"/>
      <c r="B202" s="119"/>
      <c r="C202" s="140">
        <v>4360</v>
      </c>
      <c r="D202" s="139" t="s">
        <v>51</v>
      </c>
      <c r="E202" s="113">
        <v>26000</v>
      </c>
      <c r="F202" s="114"/>
      <c r="G202" s="114">
        <v>3000</v>
      </c>
      <c r="H202" s="114">
        <f t="shared" si="36"/>
        <v>23000</v>
      </c>
      <c r="I202" s="255"/>
      <c r="J202" s="255"/>
      <c r="K202" s="255"/>
      <c r="L202" s="255"/>
      <c r="M202" s="255"/>
    </row>
    <row r="203" spans="1:13" s="84" customFormat="1" ht="12" customHeight="1" x14ac:dyDescent="0.25">
      <c r="A203" s="99"/>
      <c r="B203" s="119"/>
      <c r="C203" s="140">
        <v>4410</v>
      </c>
      <c r="D203" s="139" t="s">
        <v>53</v>
      </c>
      <c r="E203" s="113">
        <v>37470</v>
      </c>
      <c r="F203" s="114"/>
      <c r="G203" s="114">
        <v>7500</v>
      </c>
      <c r="H203" s="114">
        <f t="shared" si="36"/>
        <v>29970</v>
      </c>
      <c r="I203" s="255"/>
      <c r="J203" s="255"/>
      <c r="K203" s="255"/>
      <c r="L203" s="255"/>
      <c r="M203" s="255"/>
    </row>
    <row r="204" spans="1:13" s="84" customFormat="1" ht="12" customHeight="1" x14ac:dyDescent="0.25">
      <c r="A204" s="188"/>
      <c r="B204" s="189"/>
      <c r="C204" s="167">
        <v>4710</v>
      </c>
      <c r="D204" s="180" t="s">
        <v>59</v>
      </c>
      <c r="E204" s="105">
        <v>34100</v>
      </c>
      <c r="F204" s="106">
        <v>14000</v>
      </c>
      <c r="G204" s="106"/>
      <c r="H204" s="106">
        <f t="shared" si="36"/>
        <v>48100</v>
      </c>
      <c r="I204" s="255"/>
      <c r="J204" s="255"/>
      <c r="K204" s="255"/>
      <c r="L204" s="255"/>
      <c r="M204" s="255"/>
    </row>
    <row r="205" spans="1:13" s="84" customFormat="1" ht="12" customHeight="1" x14ac:dyDescent="0.25">
      <c r="A205" s="99"/>
      <c r="B205" s="119">
        <v>85220</v>
      </c>
      <c r="C205" s="148"/>
      <c r="D205" s="103" t="s">
        <v>280</v>
      </c>
      <c r="E205" s="113"/>
      <c r="F205" s="114"/>
      <c r="G205" s="114"/>
      <c r="H205" s="114"/>
      <c r="I205" s="255"/>
      <c r="J205" s="255"/>
      <c r="K205" s="255"/>
      <c r="L205" s="255"/>
      <c r="M205" s="255"/>
    </row>
    <row r="206" spans="1:13" s="84" customFormat="1" ht="12" customHeight="1" x14ac:dyDescent="0.25">
      <c r="A206" s="99"/>
      <c r="B206" s="123"/>
      <c r="C206" s="148"/>
      <c r="D206" s="149" t="s">
        <v>281</v>
      </c>
      <c r="E206" s="105">
        <v>1151459.46</v>
      </c>
      <c r="F206" s="106">
        <f>SUM(F208)</f>
        <v>56000</v>
      </c>
      <c r="G206" s="106">
        <f>SUM(G208)</f>
        <v>1000</v>
      </c>
      <c r="H206" s="105">
        <f t="shared" ref="H206:H215" si="37">SUM(E206+F206-G206)</f>
        <v>1206459.46</v>
      </c>
      <c r="I206" s="252"/>
      <c r="J206" s="252"/>
      <c r="K206" s="252"/>
      <c r="L206" s="252"/>
      <c r="M206" s="252"/>
    </row>
    <row r="207" spans="1:13" s="84" customFormat="1" ht="12" customHeight="1" x14ac:dyDescent="0.25">
      <c r="A207" s="99"/>
      <c r="B207" s="123"/>
      <c r="C207" s="119"/>
      <c r="D207" s="190" t="s">
        <v>282</v>
      </c>
      <c r="E207" s="113"/>
      <c r="F207" s="114"/>
      <c r="G207" s="114"/>
      <c r="H207" s="114"/>
      <c r="I207" s="255"/>
      <c r="J207" s="255"/>
      <c r="K207" s="255"/>
      <c r="L207" s="255"/>
      <c r="M207" s="255"/>
    </row>
    <row r="208" spans="1:13" s="84" customFormat="1" ht="12" customHeight="1" x14ac:dyDescent="0.25">
      <c r="A208" s="99"/>
      <c r="B208" s="119"/>
      <c r="C208" s="172"/>
      <c r="D208" s="150" t="s">
        <v>283</v>
      </c>
      <c r="E208" s="109">
        <v>1108279.46</v>
      </c>
      <c r="F208" s="110">
        <f>SUM(F209:F214)</f>
        <v>56000</v>
      </c>
      <c r="G208" s="110">
        <f>SUM(G209:G214)</f>
        <v>1000</v>
      </c>
      <c r="H208" s="109">
        <f t="shared" si="37"/>
        <v>1163279.46</v>
      </c>
      <c r="I208" s="253"/>
      <c r="J208" s="253"/>
      <c r="K208" s="253"/>
      <c r="L208" s="253"/>
      <c r="M208" s="253"/>
    </row>
    <row r="209" spans="1:13" s="84" customFormat="1" ht="12" customHeight="1" x14ac:dyDescent="0.25">
      <c r="A209" s="99"/>
      <c r="B209" s="119"/>
      <c r="C209" s="119">
        <v>4010</v>
      </c>
      <c r="D209" s="139" t="s">
        <v>43</v>
      </c>
      <c r="E209" s="113">
        <v>716852.46</v>
      </c>
      <c r="F209" s="114">
        <v>42000</v>
      </c>
      <c r="G209" s="114"/>
      <c r="H209" s="114">
        <f t="shared" si="37"/>
        <v>758852.46</v>
      </c>
      <c r="I209" s="255"/>
      <c r="J209" s="255"/>
      <c r="K209" s="255"/>
      <c r="L209" s="255"/>
      <c r="M209" s="255"/>
    </row>
    <row r="210" spans="1:13" s="84" customFormat="1" ht="12" customHeight="1" x14ac:dyDescent="0.25">
      <c r="A210" s="99"/>
      <c r="B210" s="119"/>
      <c r="C210" s="119">
        <v>4110</v>
      </c>
      <c r="D210" s="139" t="s">
        <v>24</v>
      </c>
      <c r="E210" s="113">
        <v>127135</v>
      </c>
      <c r="F210" s="114">
        <v>10000</v>
      </c>
      <c r="G210" s="114"/>
      <c r="H210" s="114">
        <f t="shared" si="37"/>
        <v>137135</v>
      </c>
      <c r="I210" s="255"/>
      <c r="J210" s="255"/>
      <c r="K210" s="255"/>
      <c r="L210" s="255"/>
      <c r="M210" s="255"/>
    </row>
    <row r="211" spans="1:13" s="84" customFormat="1" ht="12" customHeight="1" x14ac:dyDescent="0.25">
      <c r="A211" s="99"/>
      <c r="B211" s="119"/>
      <c r="C211" s="119">
        <v>4120</v>
      </c>
      <c r="D211" s="139" t="s">
        <v>12</v>
      </c>
      <c r="E211" s="113">
        <v>17246</v>
      </c>
      <c r="F211" s="114">
        <v>3000</v>
      </c>
      <c r="G211" s="114"/>
      <c r="H211" s="114">
        <f t="shared" si="37"/>
        <v>20246</v>
      </c>
      <c r="I211" s="255"/>
      <c r="J211" s="255"/>
      <c r="K211" s="255"/>
      <c r="L211" s="255"/>
      <c r="M211" s="255"/>
    </row>
    <row r="212" spans="1:13" s="84" customFormat="1" ht="12" customHeight="1" x14ac:dyDescent="0.25">
      <c r="A212" s="99"/>
      <c r="B212" s="119"/>
      <c r="C212" s="138" t="s">
        <v>31</v>
      </c>
      <c r="D212" s="139" t="s">
        <v>32</v>
      </c>
      <c r="E212" s="113">
        <v>17290</v>
      </c>
      <c r="F212" s="114">
        <v>800</v>
      </c>
      <c r="G212" s="114"/>
      <c r="H212" s="114">
        <f t="shared" si="37"/>
        <v>18090</v>
      </c>
      <c r="I212" s="255"/>
      <c r="J212" s="255"/>
      <c r="K212" s="255"/>
      <c r="L212" s="255"/>
      <c r="M212" s="255"/>
    </row>
    <row r="213" spans="1:13" s="84" customFormat="1" ht="12" customHeight="1" x14ac:dyDescent="0.25">
      <c r="A213" s="99"/>
      <c r="B213" s="119"/>
      <c r="C213" s="140">
        <v>4260</v>
      </c>
      <c r="D213" s="139" t="s">
        <v>48</v>
      </c>
      <c r="E213" s="113">
        <v>17271</v>
      </c>
      <c r="F213" s="114"/>
      <c r="G213" s="114">
        <v>1000</v>
      </c>
      <c r="H213" s="114">
        <f t="shared" si="37"/>
        <v>16271</v>
      </c>
      <c r="I213" s="255"/>
      <c r="J213" s="255"/>
      <c r="K213" s="255"/>
      <c r="L213" s="255"/>
      <c r="M213" s="255"/>
    </row>
    <row r="214" spans="1:13" s="84" customFormat="1" ht="12" customHeight="1" x14ac:dyDescent="0.25">
      <c r="A214" s="99"/>
      <c r="B214" s="119"/>
      <c r="C214" s="140">
        <v>4710</v>
      </c>
      <c r="D214" s="139" t="s">
        <v>59</v>
      </c>
      <c r="E214" s="113">
        <v>5500</v>
      </c>
      <c r="F214" s="114">
        <v>200</v>
      </c>
      <c r="G214" s="114"/>
      <c r="H214" s="114">
        <f t="shared" si="37"/>
        <v>5700</v>
      </c>
      <c r="I214" s="255"/>
      <c r="J214" s="255"/>
      <c r="K214" s="255"/>
      <c r="L214" s="255"/>
      <c r="M214" s="255"/>
    </row>
    <row r="215" spans="1:13" s="84" customFormat="1" ht="12" customHeight="1" x14ac:dyDescent="0.25">
      <c r="A215" s="99"/>
      <c r="B215" s="119">
        <v>85230</v>
      </c>
      <c r="C215" s="148"/>
      <c r="D215" s="149" t="s">
        <v>228</v>
      </c>
      <c r="E215" s="105">
        <v>5590243.6500000004</v>
      </c>
      <c r="F215" s="106">
        <f>SUM(F216,)</f>
        <v>408823.35</v>
      </c>
      <c r="G215" s="106">
        <f>SUM(G216,)</f>
        <v>0</v>
      </c>
      <c r="H215" s="105">
        <f t="shared" si="37"/>
        <v>5999067</v>
      </c>
      <c r="I215" s="252"/>
      <c r="J215" s="252"/>
      <c r="K215" s="252"/>
      <c r="L215" s="252"/>
      <c r="M215" s="252"/>
    </row>
    <row r="216" spans="1:13" s="84" customFormat="1" ht="12" customHeight="1" x14ac:dyDescent="0.25">
      <c r="A216" s="99"/>
      <c r="B216" s="119"/>
      <c r="C216" s="94"/>
      <c r="D216" s="181" t="s">
        <v>284</v>
      </c>
      <c r="E216" s="109">
        <v>5587509.6500000004</v>
      </c>
      <c r="F216" s="110">
        <f>SUM(F217:F218)</f>
        <v>408823.35</v>
      </c>
      <c r="G216" s="110">
        <f>SUM(G217:G218)</f>
        <v>0</v>
      </c>
      <c r="H216" s="109">
        <f>SUM(E216+F216-G216)</f>
        <v>5996333</v>
      </c>
      <c r="I216" s="253"/>
      <c r="J216" s="253"/>
      <c r="K216" s="253"/>
      <c r="L216" s="253"/>
      <c r="M216" s="253"/>
    </row>
    <row r="217" spans="1:13" s="84" customFormat="1" ht="12" customHeight="1" x14ac:dyDescent="0.25">
      <c r="A217" s="99"/>
      <c r="B217" s="119"/>
      <c r="C217" s="119">
        <v>3110</v>
      </c>
      <c r="D217" s="141" t="s">
        <v>285</v>
      </c>
      <c r="E217" s="113">
        <v>1991333</v>
      </c>
      <c r="F217" s="114">
        <v>184121</v>
      </c>
      <c r="G217" s="114"/>
      <c r="H217" s="114">
        <f t="shared" ref="H217:H218" si="38">SUM(E217+F217-G217)</f>
        <v>2175454</v>
      </c>
      <c r="I217" s="255"/>
      <c r="J217" s="255"/>
      <c r="K217" s="255"/>
      <c r="L217" s="255"/>
      <c r="M217" s="255"/>
    </row>
    <row r="218" spans="1:13" s="84" customFormat="1" ht="12" customHeight="1" x14ac:dyDescent="0.25">
      <c r="A218" s="99"/>
      <c r="B218" s="119"/>
      <c r="C218" s="119">
        <v>4300</v>
      </c>
      <c r="D218" s="141" t="s">
        <v>50</v>
      </c>
      <c r="E218" s="113">
        <v>3596176.65</v>
      </c>
      <c r="F218" s="114">
        <f>220879+3823.35</f>
        <v>224702.35</v>
      </c>
      <c r="G218" s="114"/>
      <c r="H218" s="114">
        <f t="shared" si="38"/>
        <v>3820879</v>
      </c>
      <c r="I218" s="255"/>
      <c r="J218" s="255"/>
      <c r="K218" s="255"/>
      <c r="L218" s="255"/>
      <c r="M218" s="255"/>
    </row>
    <row r="219" spans="1:13" s="84" customFormat="1" ht="12" customHeight="1" x14ac:dyDescent="0.25">
      <c r="A219" s="100"/>
      <c r="B219" s="103">
        <v>85295</v>
      </c>
      <c r="C219" s="94"/>
      <c r="D219" s="104" t="s">
        <v>73</v>
      </c>
      <c r="E219" s="105">
        <v>7556903.25</v>
      </c>
      <c r="F219" s="105">
        <f>SUM(F220,F229,F233,)</f>
        <v>19100</v>
      </c>
      <c r="G219" s="105">
        <f>SUM(G220,G229,G233,)</f>
        <v>130923.35</v>
      </c>
      <c r="H219" s="105">
        <f t="shared" ref="H219:H282" si="39">SUM(E219+F219-G219)</f>
        <v>7445079.9000000004</v>
      </c>
      <c r="I219" s="252"/>
      <c r="J219" s="252"/>
      <c r="K219" s="252"/>
      <c r="L219" s="252"/>
      <c r="M219" s="252"/>
    </row>
    <row r="220" spans="1:13" s="84" customFormat="1" ht="12" customHeight="1" x14ac:dyDescent="0.25">
      <c r="A220" s="100"/>
      <c r="B220" s="103"/>
      <c r="C220" s="172"/>
      <c r="D220" s="121" t="s">
        <v>81</v>
      </c>
      <c r="E220" s="109">
        <v>2046135.32</v>
      </c>
      <c r="F220" s="110">
        <f>SUM(F221:F226)</f>
        <v>1700</v>
      </c>
      <c r="G220" s="110">
        <f>SUM(G221:G226)</f>
        <v>129223.35</v>
      </c>
      <c r="H220" s="109">
        <f>SUM(E220+F220-G220)</f>
        <v>1918611.97</v>
      </c>
      <c r="I220" s="253"/>
      <c r="J220" s="253"/>
      <c r="K220" s="253"/>
      <c r="L220" s="253"/>
      <c r="M220" s="253"/>
    </row>
    <row r="221" spans="1:13" s="84" customFormat="1" ht="12" customHeight="1" x14ac:dyDescent="0.25">
      <c r="A221" s="100"/>
      <c r="B221" s="103"/>
      <c r="C221" s="140">
        <v>3110</v>
      </c>
      <c r="D221" s="139" t="s">
        <v>285</v>
      </c>
      <c r="E221" s="184">
        <v>326288</v>
      </c>
      <c r="F221" s="114"/>
      <c r="G221" s="114">
        <v>118700</v>
      </c>
      <c r="H221" s="114">
        <f t="shared" ref="H221:H237" si="40">SUM(E221+F221-G221)</f>
        <v>207588</v>
      </c>
      <c r="I221" s="255"/>
      <c r="J221" s="255"/>
      <c r="K221" s="255"/>
      <c r="L221" s="255"/>
      <c r="M221" s="255"/>
    </row>
    <row r="222" spans="1:13" s="84" customFormat="1" ht="12" customHeight="1" x14ac:dyDescent="0.25">
      <c r="A222" s="100"/>
      <c r="B222" s="103"/>
      <c r="C222" s="140">
        <v>4040</v>
      </c>
      <c r="D222" s="139" t="s">
        <v>44</v>
      </c>
      <c r="E222" s="113">
        <v>97407.6</v>
      </c>
      <c r="F222" s="114"/>
      <c r="G222" s="114">
        <v>295</v>
      </c>
      <c r="H222" s="114">
        <f t="shared" si="40"/>
        <v>97112.6</v>
      </c>
      <c r="I222" s="255"/>
      <c r="J222" s="255"/>
      <c r="K222" s="255"/>
      <c r="L222" s="255"/>
      <c r="M222" s="255"/>
    </row>
    <row r="223" spans="1:13" s="84" customFormat="1" ht="12" customHeight="1" x14ac:dyDescent="0.25">
      <c r="A223" s="100"/>
      <c r="B223" s="103"/>
      <c r="C223" s="119">
        <v>4120</v>
      </c>
      <c r="D223" s="141" t="s">
        <v>12</v>
      </c>
      <c r="E223" s="113">
        <v>25669</v>
      </c>
      <c r="F223" s="114"/>
      <c r="G223" s="114">
        <v>705</v>
      </c>
      <c r="H223" s="114">
        <f t="shared" si="40"/>
        <v>24964</v>
      </c>
      <c r="I223" s="255"/>
      <c r="J223" s="255"/>
      <c r="K223" s="255"/>
      <c r="L223" s="255"/>
      <c r="M223" s="255"/>
    </row>
    <row r="224" spans="1:13" s="84" customFormat="1" ht="23.25" customHeight="1" x14ac:dyDescent="0.25">
      <c r="A224" s="100"/>
      <c r="B224" s="103"/>
      <c r="C224" s="111" t="s">
        <v>286</v>
      </c>
      <c r="D224" s="191" t="s">
        <v>287</v>
      </c>
      <c r="E224" s="4">
        <v>55500</v>
      </c>
      <c r="F224" s="114"/>
      <c r="G224" s="114">
        <f>5000+3823.35</f>
        <v>8823.35</v>
      </c>
      <c r="H224" s="114">
        <f t="shared" si="40"/>
        <v>46676.65</v>
      </c>
      <c r="I224" s="255"/>
      <c r="J224" s="255"/>
      <c r="K224" s="255"/>
      <c r="L224" s="255"/>
      <c r="M224" s="255"/>
    </row>
    <row r="225" spans="1:13" s="84" customFormat="1" ht="12" customHeight="1" x14ac:dyDescent="0.25">
      <c r="A225" s="100"/>
      <c r="B225" s="103"/>
      <c r="C225" s="140">
        <v>4410</v>
      </c>
      <c r="D225" s="139" t="s">
        <v>53</v>
      </c>
      <c r="E225" s="4">
        <v>2880</v>
      </c>
      <c r="F225" s="114"/>
      <c r="G225" s="114">
        <v>700</v>
      </c>
      <c r="H225" s="114">
        <f t="shared" si="40"/>
        <v>2180</v>
      </c>
      <c r="I225" s="255"/>
      <c r="J225" s="255"/>
      <c r="K225" s="255"/>
      <c r="L225" s="255"/>
      <c r="M225" s="255"/>
    </row>
    <row r="226" spans="1:13" s="84" customFormat="1" ht="12" customHeight="1" x14ac:dyDescent="0.25">
      <c r="A226" s="100"/>
      <c r="B226" s="103"/>
      <c r="C226" s="140">
        <v>4710</v>
      </c>
      <c r="D226" s="139" t="s">
        <v>59</v>
      </c>
      <c r="E226" s="4">
        <v>4500</v>
      </c>
      <c r="F226" s="114">
        <v>1700</v>
      </c>
      <c r="G226" s="114"/>
      <c r="H226" s="114">
        <f t="shared" si="40"/>
        <v>6200</v>
      </c>
      <c r="I226" s="255"/>
      <c r="J226" s="255"/>
      <c r="K226" s="255"/>
      <c r="L226" s="255"/>
      <c r="M226" s="255"/>
    </row>
    <row r="227" spans="1:13" s="84" customFormat="1" ht="12" customHeight="1" x14ac:dyDescent="0.25">
      <c r="A227" s="100"/>
      <c r="B227" s="103"/>
      <c r="C227" s="94"/>
      <c r="D227" s="192" t="s">
        <v>288</v>
      </c>
      <c r="E227" s="113"/>
      <c r="F227" s="113"/>
      <c r="G227" s="113"/>
      <c r="H227" s="113"/>
      <c r="I227" s="252"/>
      <c r="J227" s="252"/>
      <c r="K227" s="252"/>
      <c r="L227" s="252"/>
      <c r="M227" s="252"/>
    </row>
    <row r="228" spans="1:13" s="84" customFormat="1" ht="12" customHeight="1" x14ac:dyDescent="0.25">
      <c r="A228" s="100"/>
      <c r="B228" s="103"/>
      <c r="C228" s="94"/>
      <c r="D228" s="192" t="s">
        <v>289</v>
      </c>
      <c r="E228" s="113"/>
      <c r="F228" s="113"/>
      <c r="G228" s="113"/>
      <c r="H228" s="113"/>
      <c r="I228" s="252"/>
      <c r="J228" s="252"/>
      <c r="K228" s="252"/>
      <c r="L228" s="252"/>
      <c r="M228" s="252"/>
    </row>
    <row r="229" spans="1:13" s="84" customFormat="1" ht="12" customHeight="1" x14ac:dyDescent="0.25">
      <c r="A229" s="100"/>
      <c r="B229" s="103"/>
      <c r="C229" s="119"/>
      <c r="D229" s="193" t="s">
        <v>290</v>
      </c>
      <c r="E229" s="109">
        <v>531075.19999999995</v>
      </c>
      <c r="F229" s="109">
        <f>SUM(F230:F232)</f>
        <v>16200</v>
      </c>
      <c r="G229" s="109">
        <f>SUM(G230:G232)</f>
        <v>500</v>
      </c>
      <c r="H229" s="109">
        <f>SUM(E229+F229-G229)</f>
        <v>546775.19999999995</v>
      </c>
      <c r="I229" s="253"/>
      <c r="J229" s="253"/>
      <c r="K229" s="253"/>
      <c r="L229" s="253"/>
      <c r="M229" s="253"/>
    </row>
    <row r="230" spans="1:13" s="84" customFormat="1" ht="12" customHeight="1" x14ac:dyDescent="0.25">
      <c r="A230" s="100"/>
      <c r="B230" s="103"/>
      <c r="C230" s="119">
        <v>4010</v>
      </c>
      <c r="D230" s="141" t="s">
        <v>43</v>
      </c>
      <c r="E230" s="114">
        <v>361506.2</v>
      </c>
      <c r="F230" s="114">
        <v>14000</v>
      </c>
      <c r="G230" s="114"/>
      <c r="H230" s="114">
        <f t="shared" ref="H230:H232" si="41">SUM(E230+F230-G230)</f>
        <v>375506.2</v>
      </c>
      <c r="I230" s="255"/>
      <c r="J230" s="255"/>
      <c r="K230" s="255"/>
      <c r="L230" s="255"/>
      <c r="M230" s="255"/>
    </row>
    <row r="231" spans="1:13" s="84" customFormat="1" ht="12" customHeight="1" x14ac:dyDescent="0.25">
      <c r="A231" s="100"/>
      <c r="B231" s="103"/>
      <c r="C231" s="119">
        <v>4110</v>
      </c>
      <c r="D231" s="141" t="s">
        <v>24</v>
      </c>
      <c r="E231" s="114">
        <v>67623</v>
      </c>
      <c r="F231" s="114">
        <v>2200</v>
      </c>
      <c r="G231" s="114"/>
      <c r="H231" s="114">
        <f t="shared" si="41"/>
        <v>69823</v>
      </c>
      <c r="I231" s="255"/>
      <c r="J231" s="255"/>
      <c r="K231" s="255"/>
      <c r="L231" s="255"/>
      <c r="M231" s="255"/>
    </row>
    <row r="232" spans="1:13" s="84" customFormat="1" ht="12" customHeight="1" x14ac:dyDescent="0.25">
      <c r="A232" s="100"/>
      <c r="B232" s="103"/>
      <c r="C232" s="119">
        <v>4120</v>
      </c>
      <c r="D232" s="141" t="s">
        <v>12</v>
      </c>
      <c r="E232" s="114">
        <v>8511</v>
      </c>
      <c r="F232" s="114"/>
      <c r="G232" s="114">
        <v>500</v>
      </c>
      <c r="H232" s="114">
        <f t="shared" si="41"/>
        <v>8011</v>
      </c>
      <c r="I232" s="255"/>
      <c r="J232" s="255"/>
      <c r="K232" s="255"/>
      <c r="L232" s="255"/>
      <c r="M232" s="255"/>
    </row>
    <row r="233" spans="1:13" s="84" customFormat="1" ht="25.5" customHeight="1" x14ac:dyDescent="0.25">
      <c r="A233" s="100"/>
      <c r="B233" s="103"/>
      <c r="C233" s="94"/>
      <c r="D233" s="194" t="s">
        <v>291</v>
      </c>
      <c r="E233" s="109">
        <v>44499.339999999989</v>
      </c>
      <c r="F233" s="110">
        <f>SUM(F234:F237)</f>
        <v>1200</v>
      </c>
      <c r="G233" s="110">
        <f>SUM(G234:G237)</f>
        <v>1200</v>
      </c>
      <c r="H233" s="109">
        <f t="shared" si="40"/>
        <v>44499.339999999989</v>
      </c>
      <c r="I233" s="253"/>
      <c r="J233" s="253"/>
      <c r="K233" s="253"/>
      <c r="L233" s="253"/>
      <c r="M233" s="253"/>
    </row>
    <row r="234" spans="1:13" s="84" customFormat="1" ht="12" customHeight="1" x14ac:dyDescent="0.25">
      <c r="A234" s="100"/>
      <c r="B234" s="103"/>
      <c r="C234" s="3">
        <v>4017</v>
      </c>
      <c r="D234" s="7" t="s">
        <v>43</v>
      </c>
      <c r="E234" s="113">
        <v>12120.54</v>
      </c>
      <c r="F234" s="114">
        <v>1001.75</v>
      </c>
      <c r="G234" s="114"/>
      <c r="H234" s="114">
        <f t="shared" si="40"/>
        <v>13122.29</v>
      </c>
      <c r="I234" s="255"/>
      <c r="J234" s="255"/>
      <c r="K234" s="255"/>
      <c r="L234" s="255"/>
      <c r="M234" s="255"/>
    </row>
    <row r="235" spans="1:13" s="84" customFormat="1" ht="12" customHeight="1" x14ac:dyDescent="0.25">
      <c r="A235" s="100"/>
      <c r="B235" s="103"/>
      <c r="C235" s="119">
        <v>4117</v>
      </c>
      <c r="D235" s="141" t="s">
        <v>24</v>
      </c>
      <c r="E235" s="113">
        <v>2101.6999999999998</v>
      </c>
      <c r="F235" s="114">
        <v>173.7</v>
      </c>
      <c r="G235" s="114"/>
      <c r="H235" s="114">
        <f t="shared" si="40"/>
        <v>2275.3999999999996</v>
      </c>
      <c r="I235" s="255"/>
      <c r="J235" s="255"/>
      <c r="K235" s="255"/>
      <c r="L235" s="255"/>
      <c r="M235" s="255"/>
    </row>
    <row r="236" spans="1:13" s="84" customFormat="1" ht="12" customHeight="1" x14ac:dyDescent="0.25">
      <c r="A236" s="100"/>
      <c r="B236" s="103"/>
      <c r="C236" s="119">
        <v>4127</v>
      </c>
      <c r="D236" s="141" t="s">
        <v>12</v>
      </c>
      <c r="E236" s="113">
        <v>296.98</v>
      </c>
      <c r="F236" s="114">
        <v>24.55</v>
      </c>
      <c r="G236" s="114"/>
      <c r="H236" s="114">
        <f t="shared" si="40"/>
        <v>321.53000000000003</v>
      </c>
      <c r="I236" s="255"/>
      <c r="J236" s="255"/>
      <c r="K236" s="255"/>
      <c r="L236" s="255"/>
      <c r="M236" s="255"/>
    </row>
    <row r="237" spans="1:13" s="84" customFormat="1" ht="12" customHeight="1" x14ac:dyDescent="0.25">
      <c r="A237" s="100"/>
      <c r="B237" s="103"/>
      <c r="C237" s="140">
        <v>4177</v>
      </c>
      <c r="D237" s="139" t="s">
        <v>46</v>
      </c>
      <c r="E237" s="113">
        <v>1800</v>
      </c>
      <c r="F237" s="114"/>
      <c r="G237" s="114">
        <v>1200</v>
      </c>
      <c r="H237" s="114">
        <f t="shared" si="40"/>
        <v>600</v>
      </c>
      <c r="I237" s="255"/>
      <c r="J237" s="255"/>
      <c r="K237" s="255"/>
      <c r="L237" s="255"/>
      <c r="M237" s="255"/>
    </row>
    <row r="238" spans="1:13" s="84" customFormat="1" ht="12" customHeight="1" thickBot="1" x14ac:dyDescent="0.3">
      <c r="A238" s="115">
        <v>853</v>
      </c>
      <c r="B238" s="100"/>
      <c r="C238" s="99"/>
      <c r="D238" s="101" t="s">
        <v>292</v>
      </c>
      <c r="E238" s="98">
        <v>9410475.0100000016</v>
      </c>
      <c r="F238" s="102">
        <f>SUM(F239)</f>
        <v>19200</v>
      </c>
      <c r="G238" s="102">
        <f>SUM(G239)</f>
        <v>19200</v>
      </c>
      <c r="H238" s="98">
        <f t="shared" si="39"/>
        <v>9410475.0100000016</v>
      </c>
      <c r="I238" s="251"/>
      <c r="J238" s="251"/>
      <c r="K238" s="251"/>
      <c r="L238" s="251"/>
      <c r="M238" s="251"/>
    </row>
    <row r="239" spans="1:13" s="84" customFormat="1" ht="12" customHeight="1" thickTop="1" x14ac:dyDescent="0.25">
      <c r="A239" s="99"/>
      <c r="B239" s="103">
        <v>85395</v>
      </c>
      <c r="C239" s="94"/>
      <c r="D239" s="104" t="s">
        <v>73</v>
      </c>
      <c r="E239" s="105">
        <v>9410475.0100000016</v>
      </c>
      <c r="F239" s="105">
        <f>SUM(F240,F243)</f>
        <v>19200</v>
      </c>
      <c r="G239" s="105">
        <f>SUM(G240,G243)</f>
        <v>19200</v>
      </c>
      <c r="H239" s="105">
        <f t="shared" si="39"/>
        <v>9410475.0100000016</v>
      </c>
      <c r="I239" s="252"/>
      <c r="J239" s="252"/>
      <c r="K239" s="252"/>
      <c r="L239" s="252"/>
      <c r="M239" s="252"/>
    </row>
    <row r="240" spans="1:13" s="84" customFormat="1" ht="12" customHeight="1" x14ac:dyDescent="0.25">
      <c r="A240" s="99"/>
      <c r="B240" s="100"/>
      <c r="C240" s="172"/>
      <c r="D240" s="121" t="s">
        <v>293</v>
      </c>
      <c r="E240" s="109">
        <v>6377389</v>
      </c>
      <c r="F240" s="110">
        <f>SUM(F241:F242)</f>
        <v>12000</v>
      </c>
      <c r="G240" s="110">
        <f>SUM(G241:G242)</f>
        <v>12000</v>
      </c>
      <c r="H240" s="109">
        <f t="shared" si="39"/>
        <v>6377389</v>
      </c>
      <c r="I240" s="253"/>
      <c r="J240" s="253"/>
      <c r="K240" s="253"/>
      <c r="L240" s="253"/>
      <c r="M240" s="253"/>
    </row>
    <row r="241" spans="1:13" s="84" customFormat="1" ht="12" customHeight="1" x14ac:dyDescent="0.25">
      <c r="A241" s="99"/>
      <c r="B241" s="100"/>
      <c r="C241" s="138" t="s">
        <v>31</v>
      </c>
      <c r="D241" s="139" t="s">
        <v>32</v>
      </c>
      <c r="E241" s="113">
        <v>210000</v>
      </c>
      <c r="F241" s="114">
        <v>12000</v>
      </c>
      <c r="G241" s="114"/>
      <c r="H241" s="114">
        <f t="shared" si="39"/>
        <v>222000</v>
      </c>
      <c r="I241" s="255"/>
      <c r="J241" s="255"/>
      <c r="K241" s="255"/>
      <c r="L241" s="255"/>
      <c r="M241" s="255"/>
    </row>
    <row r="242" spans="1:13" s="84" customFormat="1" ht="12" customHeight="1" x14ac:dyDescent="0.25">
      <c r="A242" s="99"/>
      <c r="B242" s="100"/>
      <c r="C242" s="140">
        <v>4220</v>
      </c>
      <c r="D242" s="139" t="s">
        <v>66</v>
      </c>
      <c r="E242" s="113">
        <v>1822400</v>
      </c>
      <c r="F242" s="114"/>
      <c r="G242" s="114">
        <v>12000</v>
      </c>
      <c r="H242" s="114">
        <f t="shared" si="39"/>
        <v>1810400</v>
      </c>
      <c r="I242" s="255"/>
      <c r="J242" s="255"/>
      <c r="K242" s="255"/>
      <c r="L242" s="255"/>
      <c r="M242" s="255"/>
    </row>
    <row r="243" spans="1:13" s="84" customFormat="1" ht="12" customHeight="1" x14ac:dyDescent="0.25">
      <c r="A243" s="100"/>
      <c r="B243" s="103"/>
      <c r="C243" s="172"/>
      <c r="D243" s="181" t="s">
        <v>294</v>
      </c>
      <c r="E243" s="109">
        <v>620945</v>
      </c>
      <c r="F243" s="110">
        <f>SUM(F244:F250)</f>
        <v>7200</v>
      </c>
      <c r="G243" s="110">
        <f>SUM(G244:G250)</f>
        <v>7200</v>
      </c>
      <c r="H243" s="109">
        <f>SUM(E243+F243-G243)</f>
        <v>620945</v>
      </c>
      <c r="I243" s="253"/>
      <c r="J243" s="253"/>
      <c r="K243" s="253"/>
      <c r="L243" s="253"/>
      <c r="M243" s="253"/>
    </row>
    <row r="244" spans="1:13" s="84" customFormat="1" ht="12" customHeight="1" x14ac:dyDescent="0.25">
      <c r="A244" s="100"/>
      <c r="B244" s="103"/>
      <c r="C244" s="140">
        <v>4040</v>
      </c>
      <c r="D244" s="139" t="s">
        <v>44</v>
      </c>
      <c r="E244" s="113">
        <v>26000</v>
      </c>
      <c r="F244" s="114"/>
      <c r="G244" s="114">
        <v>2570</v>
      </c>
      <c r="H244" s="114">
        <f>SUM(E244+F244-G244)</f>
        <v>23430</v>
      </c>
      <c r="I244" s="255"/>
      <c r="J244" s="255"/>
      <c r="K244" s="255"/>
      <c r="L244" s="255"/>
      <c r="M244" s="255"/>
    </row>
    <row r="245" spans="1:13" s="84" customFormat="1" ht="12" customHeight="1" x14ac:dyDescent="0.25">
      <c r="A245" s="100"/>
      <c r="B245" s="103"/>
      <c r="C245" s="138" t="s">
        <v>31</v>
      </c>
      <c r="D245" s="139" t="s">
        <v>32</v>
      </c>
      <c r="E245" s="113">
        <v>8400</v>
      </c>
      <c r="F245" s="114">
        <v>5000</v>
      </c>
      <c r="G245" s="114"/>
      <c r="H245" s="114">
        <f t="shared" ref="H245:H256" si="42">SUM(E245+F245-G245)</f>
        <v>13400</v>
      </c>
      <c r="I245" s="255"/>
      <c r="J245" s="255"/>
      <c r="K245" s="255"/>
      <c r="L245" s="255"/>
      <c r="M245" s="255"/>
    </row>
    <row r="246" spans="1:13" s="84" customFormat="1" ht="12" customHeight="1" x14ac:dyDescent="0.25">
      <c r="A246" s="100"/>
      <c r="B246" s="103"/>
      <c r="C246" s="140">
        <v>4260</v>
      </c>
      <c r="D246" s="139" t="s">
        <v>48</v>
      </c>
      <c r="E246" s="113">
        <v>55000</v>
      </c>
      <c r="F246" s="114"/>
      <c r="G246" s="114">
        <v>3030</v>
      </c>
      <c r="H246" s="114">
        <f t="shared" si="42"/>
        <v>51970</v>
      </c>
      <c r="I246" s="255"/>
      <c r="J246" s="255"/>
      <c r="K246" s="255"/>
      <c r="L246" s="255"/>
      <c r="M246" s="255"/>
    </row>
    <row r="247" spans="1:13" s="84" customFormat="1" ht="12" customHeight="1" x14ac:dyDescent="0.25">
      <c r="A247" s="100"/>
      <c r="B247" s="103"/>
      <c r="C247" s="140">
        <v>4270</v>
      </c>
      <c r="D247" s="139" t="s">
        <v>15</v>
      </c>
      <c r="E247" s="4">
        <v>9000</v>
      </c>
      <c r="F247" s="114">
        <v>2000</v>
      </c>
      <c r="G247" s="114"/>
      <c r="H247" s="114">
        <f t="shared" si="42"/>
        <v>11000</v>
      </c>
      <c r="I247" s="255"/>
      <c r="J247" s="255"/>
      <c r="K247" s="255"/>
      <c r="L247" s="255"/>
      <c r="M247" s="255"/>
    </row>
    <row r="248" spans="1:13" s="84" customFormat="1" ht="12" customHeight="1" x14ac:dyDescent="0.25">
      <c r="A248" s="100"/>
      <c r="B248" s="103"/>
      <c r="C248" s="140">
        <v>4280</v>
      </c>
      <c r="D248" s="139" t="s">
        <v>49</v>
      </c>
      <c r="E248" s="113">
        <v>900</v>
      </c>
      <c r="F248" s="113"/>
      <c r="G248" s="114">
        <v>600</v>
      </c>
      <c r="H248" s="114">
        <f t="shared" si="42"/>
        <v>300</v>
      </c>
      <c r="I248" s="255"/>
      <c r="J248" s="255"/>
      <c r="K248" s="255"/>
      <c r="L248" s="255"/>
      <c r="M248" s="255"/>
    </row>
    <row r="249" spans="1:13" s="84" customFormat="1" ht="12" customHeight="1" x14ac:dyDescent="0.25">
      <c r="A249" s="100"/>
      <c r="B249" s="103"/>
      <c r="C249" s="140">
        <v>4300</v>
      </c>
      <c r="D249" s="139" t="s">
        <v>50</v>
      </c>
      <c r="E249" s="4">
        <v>61000</v>
      </c>
      <c r="F249" s="114"/>
      <c r="G249" s="114">
        <v>1000</v>
      </c>
      <c r="H249" s="114">
        <f t="shared" si="42"/>
        <v>60000</v>
      </c>
      <c r="I249" s="255"/>
      <c r="J249" s="255"/>
      <c r="K249" s="255"/>
      <c r="L249" s="255"/>
      <c r="M249" s="255"/>
    </row>
    <row r="250" spans="1:13" s="84" customFormat="1" ht="12" customHeight="1" x14ac:dyDescent="0.25">
      <c r="A250" s="100"/>
      <c r="B250" s="103"/>
      <c r="C250" s="140">
        <v>4430</v>
      </c>
      <c r="D250" s="139" t="s">
        <v>54</v>
      </c>
      <c r="E250" s="4">
        <v>3000</v>
      </c>
      <c r="F250" s="114">
        <v>200</v>
      </c>
      <c r="G250" s="114"/>
      <c r="H250" s="114">
        <f t="shared" si="42"/>
        <v>3200</v>
      </c>
      <c r="I250" s="255"/>
      <c r="J250" s="255"/>
      <c r="K250" s="255"/>
      <c r="L250" s="255"/>
      <c r="M250" s="255"/>
    </row>
    <row r="251" spans="1:13" s="84" customFormat="1" ht="12" customHeight="1" thickBot="1" x14ac:dyDescent="0.3">
      <c r="A251" s="100">
        <v>854</v>
      </c>
      <c r="B251" s="100"/>
      <c r="C251" s="99"/>
      <c r="D251" s="101" t="s">
        <v>79</v>
      </c>
      <c r="E251" s="98">
        <v>1896957.5799999998</v>
      </c>
      <c r="F251" s="102">
        <f>SUM(F252,)</f>
        <v>378726.40000000002</v>
      </c>
      <c r="G251" s="102">
        <f>SUM(G252,)</f>
        <v>0</v>
      </c>
      <c r="H251" s="98">
        <f t="shared" si="42"/>
        <v>2275683.98</v>
      </c>
      <c r="I251" s="251"/>
      <c r="J251" s="251"/>
      <c r="K251" s="251"/>
      <c r="L251" s="251"/>
      <c r="M251" s="251"/>
    </row>
    <row r="252" spans="1:13" s="84" customFormat="1" ht="12" customHeight="1" thickTop="1" x14ac:dyDescent="0.25">
      <c r="A252" s="100"/>
      <c r="B252" s="119">
        <v>85415</v>
      </c>
      <c r="C252" s="123"/>
      <c r="D252" s="149" t="s">
        <v>229</v>
      </c>
      <c r="E252" s="105">
        <v>255000</v>
      </c>
      <c r="F252" s="106">
        <f>SUM(F253,F255)</f>
        <v>378726.40000000002</v>
      </c>
      <c r="G252" s="106">
        <f>SUM(G253,G255)</f>
        <v>0</v>
      </c>
      <c r="H252" s="105">
        <f t="shared" si="42"/>
        <v>633726.4</v>
      </c>
      <c r="I252" s="252"/>
      <c r="J252" s="252"/>
      <c r="K252" s="252"/>
      <c r="L252" s="252"/>
      <c r="M252" s="252"/>
    </row>
    <row r="253" spans="1:13" s="84" customFormat="1" ht="12" customHeight="1" x14ac:dyDescent="0.25">
      <c r="A253" s="100"/>
      <c r="B253" s="103"/>
      <c r="C253" s="94"/>
      <c r="D253" s="121" t="s">
        <v>23</v>
      </c>
      <c r="E253" s="109">
        <v>0</v>
      </c>
      <c r="F253" s="109">
        <f>SUM(F254)</f>
        <v>128726.39999999999</v>
      </c>
      <c r="G253" s="109">
        <f>SUM(G254:G256)</f>
        <v>0</v>
      </c>
      <c r="H253" s="109">
        <f t="shared" si="42"/>
        <v>128726.39999999999</v>
      </c>
      <c r="I253" s="253"/>
      <c r="J253" s="253"/>
      <c r="K253" s="253"/>
      <c r="L253" s="253"/>
      <c r="M253" s="253"/>
    </row>
    <row r="254" spans="1:13" s="84" customFormat="1" ht="12" customHeight="1" x14ac:dyDescent="0.25">
      <c r="A254" s="100"/>
      <c r="B254" s="103"/>
      <c r="C254" s="140">
        <v>3260</v>
      </c>
      <c r="D254" s="139" t="s">
        <v>295</v>
      </c>
      <c r="E254" s="113">
        <v>0</v>
      </c>
      <c r="F254" s="113">
        <v>128726.39999999999</v>
      </c>
      <c r="G254" s="113"/>
      <c r="H254" s="114">
        <f t="shared" si="42"/>
        <v>128726.39999999999</v>
      </c>
      <c r="I254" s="255"/>
      <c r="J254" s="255"/>
      <c r="K254" s="255"/>
      <c r="L254" s="255"/>
      <c r="M254" s="255"/>
    </row>
    <row r="255" spans="1:13" s="84" customFormat="1" ht="12" customHeight="1" x14ac:dyDescent="0.25">
      <c r="A255" s="100"/>
      <c r="B255" s="103"/>
      <c r="C255" s="94"/>
      <c r="D255" s="121" t="s">
        <v>272</v>
      </c>
      <c r="E255" s="109">
        <v>255000</v>
      </c>
      <c r="F255" s="109">
        <f>SUM(F256:F256)</f>
        <v>250000</v>
      </c>
      <c r="G255" s="109">
        <f>SUM(G256:G256)</f>
        <v>0</v>
      </c>
      <c r="H255" s="109">
        <f t="shared" si="42"/>
        <v>505000</v>
      </c>
      <c r="I255" s="253"/>
      <c r="J255" s="253"/>
      <c r="K255" s="253"/>
      <c r="L255" s="253"/>
      <c r="M255" s="253"/>
    </row>
    <row r="256" spans="1:13" s="84" customFormat="1" ht="12.6" customHeight="1" x14ac:dyDescent="0.25">
      <c r="A256" s="100"/>
      <c r="B256" s="103"/>
      <c r="C256" s="119">
        <v>3240</v>
      </c>
      <c r="D256" s="141" t="s">
        <v>296</v>
      </c>
      <c r="E256" s="114">
        <v>245000</v>
      </c>
      <c r="F256" s="114">
        <v>250000</v>
      </c>
      <c r="G256" s="114"/>
      <c r="H256" s="114">
        <f t="shared" si="42"/>
        <v>495000</v>
      </c>
      <c r="I256" s="255"/>
      <c r="J256" s="255"/>
      <c r="K256" s="255"/>
      <c r="L256" s="255"/>
      <c r="M256" s="255"/>
    </row>
    <row r="257" spans="1:13" s="84" customFormat="1" ht="12" customHeight="1" thickBot="1" x14ac:dyDescent="0.3">
      <c r="A257" s="100">
        <v>855</v>
      </c>
      <c r="B257" s="115"/>
      <c r="C257" s="99"/>
      <c r="D257" s="101" t="s">
        <v>39</v>
      </c>
      <c r="E257" s="98">
        <v>17372364.899999999</v>
      </c>
      <c r="F257" s="102">
        <f>SUM(F260,F263,F274)</f>
        <v>76009</v>
      </c>
      <c r="G257" s="102">
        <f>SUM(G260,G263,G274)</f>
        <v>88509</v>
      </c>
      <c r="H257" s="98">
        <f t="shared" si="39"/>
        <v>17359864.899999999</v>
      </c>
      <c r="I257" s="251"/>
      <c r="J257" s="251"/>
      <c r="K257" s="251"/>
      <c r="L257" s="251"/>
      <c r="M257" s="251"/>
    </row>
    <row r="258" spans="1:13" s="84" customFormat="1" ht="12" customHeight="1" thickTop="1" x14ac:dyDescent="0.25">
      <c r="A258" s="100"/>
      <c r="B258" s="119">
        <v>85502</v>
      </c>
      <c r="C258" s="94"/>
      <c r="D258" s="125" t="s">
        <v>297</v>
      </c>
      <c r="E258" s="195"/>
      <c r="F258" s="196"/>
      <c r="G258" s="196"/>
      <c r="H258" s="197"/>
      <c r="I258" s="251"/>
      <c r="J258" s="251"/>
      <c r="K258" s="251"/>
      <c r="L258" s="251"/>
      <c r="M258" s="251"/>
    </row>
    <row r="259" spans="1:13" s="84" customFormat="1" ht="12" customHeight="1" x14ac:dyDescent="0.25">
      <c r="A259" s="100"/>
      <c r="B259" s="119"/>
      <c r="C259" s="94"/>
      <c r="D259" s="125" t="s">
        <v>298</v>
      </c>
      <c r="E259" s="195"/>
      <c r="F259" s="196"/>
      <c r="G259" s="196"/>
      <c r="H259" s="197"/>
      <c r="I259" s="251"/>
      <c r="J259" s="251"/>
      <c r="K259" s="251"/>
      <c r="L259" s="251"/>
      <c r="M259" s="251"/>
    </row>
    <row r="260" spans="1:13" s="84" customFormat="1" ht="12" customHeight="1" x14ac:dyDescent="0.25">
      <c r="A260" s="100"/>
      <c r="B260" s="119"/>
      <c r="C260" s="94"/>
      <c r="D260" s="127" t="s">
        <v>299</v>
      </c>
      <c r="E260" s="105">
        <v>1458919</v>
      </c>
      <c r="F260" s="105">
        <f>SUM(F261)</f>
        <v>0</v>
      </c>
      <c r="G260" s="105">
        <f>SUM(G261)</f>
        <v>58060</v>
      </c>
      <c r="H260" s="105">
        <f t="shared" ref="H260:H262" si="43">SUM(E260+F260-G260)</f>
        <v>1400859</v>
      </c>
      <c r="I260" s="252"/>
      <c r="J260" s="252"/>
      <c r="K260" s="252"/>
      <c r="L260" s="252"/>
      <c r="M260" s="252"/>
    </row>
    <row r="261" spans="1:13" s="84" customFormat="1" ht="12" customHeight="1" x14ac:dyDescent="0.25">
      <c r="A261" s="100"/>
      <c r="B261" s="119"/>
      <c r="C261" s="172"/>
      <c r="D261" s="121" t="s">
        <v>81</v>
      </c>
      <c r="E261" s="109">
        <v>1179859</v>
      </c>
      <c r="F261" s="110">
        <f>SUM(F262:F262)</f>
        <v>0</v>
      </c>
      <c r="G261" s="110">
        <f>SUM(G262:G262)</f>
        <v>58060</v>
      </c>
      <c r="H261" s="109">
        <f t="shared" si="43"/>
        <v>1121799</v>
      </c>
      <c r="I261" s="253"/>
      <c r="J261" s="253"/>
      <c r="K261" s="253"/>
      <c r="L261" s="253"/>
      <c r="M261" s="253"/>
    </row>
    <row r="262" spans="1:13" s="84" customFormat="1" ht="12" customHeight="1" x14ac:dyDescent="0.25">
      <c r="A262" s="128"/>
      <c r="B262" s="189"/>
      <c r="C262" s="189">
        <v>4010</v>
      </c>
      <c r="D262" s="104" t="s">
        <v>43</v>
      </c>
      <c r="E262" s="105">
        <v>758686</v>
      </c>
      <c r="F262" s="106"/>
      <c r="G262" s="106">
        <v>58060</v>
      </c>
      <c r="H262" s="106">
        <f t="shared" si="43"/>
        <v>700626</v>
      </c>
      <c r="I262" s="255"/>
      <c r="J262" s="255"/>
      <c r="K262" s="255"/>
      <c r="L262" s="255"/>
      <c r="M262" s="255"/>
    </row>
    <row r="263" spans="1:13" s="84" customFormat="1" ht="12" customHeight="1" x14ac:dyDescent="0.25">
      <c r="A263" s="100"/>
      <c r="B263" s="119">
        <v>85504</v>
      </c>
      <c r="C263" s="94"/>
      <c r="D263" s="198" t="s">
        <v>300</v>
      </c>
      <c r="E263" s="105">
        <v>2834221.76</v>
      </c>
      <c r="F263" s="105">
        <f>SUM(F264,F268,)</f>
        <v>70760</v>
      </c>
      <c r="G263" s="105">
        <f>SUM(G264,G268,)</f>
        <v>25200</v>
      </c>
      <c r="H263" s="105">
        <f t="shared" si="39"/>
        <v>2879781.76</v>
      </c>
      <c r="I263" s="252"/>
      <c r="J263" s="252"/>
      <c r="K263" s="252"/>
      <c r="L263" s="252"/>
      <c r="M263" s="252"/>
    </row>
    <row r="264" spans="1:13" s="84" customFormat="1" ht="12" customHeight="1" x14ac:dyDescent="0.25">
      <c r="A264" s="100"/>
      <c r="B264" s="115"/>
      <c r="C264" s="172"/>
      <c r="D264" s="199" t="s">
        <v>301</v>
      </c>
      <c r="E264" s="109">
        <v>1505900.06</v>
      </c>
      <c r="F264" s="110">
        <f>SUM(F265:F267)</f>
        <v>19260</v>
      </c>
      <c r="G264" s="110">
        <f>SUM(G265:G267)</f>
        <v>7500</v>
      </c>
      <c r="H264" s="109">
        <f t="shared" si="39"/>
        <v>1517660.06</v>
      </c>
      <c r="I264" s="253"/>
      <c r="J264" s="253"/>
      <c r="K264" s="253"/>
      <c r="L264" s="253"/>
      <c r="M264" s="253"/>
    </row>
    <row r="265" spans="1:13" s="84" customFormat="1" ht="12" customHeight="1" x14ac:dyDescent="0.25">
      <c r="A265" s="100"/>
      <c r="B265" s="115"/>
      <c r="C265" s="186">
        <v>4010</v>
      </c>
      <c r="D265" s="187" t="s">
        <v>43</v>
      </c>
      <c r="E265" s="113">
        <v>947909.06</v>
      </c>
      <c r="F265" s="114">
        <v>11660</v>
      </c>
      <c r="G265" s="114"/>
      <c r="H265" s="114">
        <f t="shared" si="39"/>
        <v>959569.06</v>
      </c>
      <c r="I265" s="255"/>
      <c r="J265" s="255"/>
      <c r="K265" s="255"/>
      <c r="L265" s="255"/>
      <c r="M265" s="255"/>
    </row>
    <row r="266" spans="1:13" s="84" customFormat="1" ht="12" customHeight="1" x14ac:dyDescent="0.25">
      <c r="A266" s="100"/>
      <c r="B266" s="115"/>
      <c r="C266" s="186">
        <v>4110</v>
      </c>
      <c r="D266" s="187" t="s">
        <v>24</v>
      </c>
      <c r="E266" s="113">
        <v>195290</v>
      </c>
      <c r="F266" s="114"/>
      <c r="G266" s="114">
        <v>7500</v>
      </c>
      <c r="H266" s="114">
        <f t="shared" si="39"/>
        <v>187790</v>
      </c>
      <c r="I266" s="255"/>
      <c r="J266" s="255"/>
      <c r="K266" s="255"/>
      <c r="L266" s="255"/>
      <c r="M266" s="255"/>
    </row>
    <row r="267" spans="1:13" s="84" customFormat="1" ht="12" customHeight="1" x14ac:dyDescent="0.25">
      <c r="A267" s="100"/>
      <c r="B267" s="115"/>
      <c r="C267" s="140">
        <v>4220</v>
      </c>
      <c r="D267" s="139" t="s">
        <v>66</v>
      </c>
      <c r="E267" s="113">
        <v>22176</v>
      </c>
      <c r="F267" s="114">
        <v>7600</v>
      </c>
      <c r="G267" s="114"/>
      <c r="H267" s="114">
        <f t="shared" si="39"/>
        <v>29776</v>
      </c>
      <c r="I267" s="255"/>
      <c r="J267" s="255"/>
      <c r="K267" s="255"/>
      <c r="L267" s="255"/>
      <c r="M267" s="255"/>
    </row>
    <row r="268" spans="1:13" s="84" customFormat="1" ht="12" customHeight="1" x14ac:dyDescent="0.25">
      <c r="A268" s="100"/>
      <c r="B268" s="115"/>
      <c r="C268" s="172"/>
      <c r="D268" s="199" t="s">
        <v>302</v>
      </c>
      <c r="E268" s="109">
        <v>1327871.7</v>
      </c>
      <c r="F268" s="110">
        <f>SUM(F269:F273)</f>
        <v>51500</v>
      </c>
      <c r="G268" s="110">
        <f>SUM(G269:G273)</f>
        <v>17700</v>
      </c>
      <c r="H268" s="109">
        <f t="shared" si="39"/>
        <v>1361671.7</v>
      </c>
      <c r="I268" s="253"/>
      <c r="J268" s="253"/>
      <c r="K268" s="253"/>
      <c r="L268" s="253"/>
      <c r="M268" s="253"/>
    </row>
    <row r="269" spans="1:13" s="84" customFormat="1" ht="12" customHeight="1" x14ac:dyDescent="0.25">
      <c r="A269" s="100"/>
      <c r="B269" s="115"/>
      <c r="C269" s="186">
        <v>4010</v>
      </c>
      <c r="D269" s="187" t="s">
        <v>43</v>
      </c>
      <c r="E269" s="113">
        <v>961793</v>
      </c>
      <c r="F269" s="114">
        <v>49000</v>
      </c>
      <c r="G269" s="114"/>
      <c r="H269" s="114">
        <f t="shared" si="39"/>
        <v>1010793</v>
      </c>
      <c r="I269" s="255"/>
      <c r="J269" s="255"/>
      <c r="K269" s="255"/>
      <c r="L269" s="255"/>
      <c r="M269" s="255"/>
    </row>
    <row r="270" spans="1:13" s="84" customFormat="1" ht="12" customHeight="1" x14ac:dyDescent="0.25">
      <c r="A270" s="100"/>
      <c r="B270" s="115"/>
      <c r="C270" s="140">
        <v>4040</v>
      </c>
      <c r="D270" s="139" t="s">
        <v>44</v>
      </c>
      <c r="E270" s="113">
        <v>61691</v>
      </c>
      <c r="F270" s="114"/>
      <c r="G270" s="114">
        <f>8600+2500</f>
        <v>11100</v>
      </c>
      <c r="H270" s="114">
        <f t="shared" si="39"/>
        <v>50591</v>
      </c>
      <c r="I270" s="255"/>
      <c r="J270" s="255"/>
      <c r="K270" s="255"/>
      <c r="L270" s="255"/>
      <c r="M270" s="255"/>
    </row>
    <row r="271" spans="1:13" s="84" customFormat="1" ht="12" customHeight="1" x14ac:dyDescent="0.25">
      <c r="A271" s="100"/>
      <c r="B271" s="115"/>
      <c r="C271" s="138" t="s">
        <v>31</v>
      </c>
      <c r="D271" s="139" t="s">
        <v>32</v>
      </c>
      <c r="E271" s="113">
        <v>8765.7000000000007</v>
      </c>
      <c r="F271" s="114">
        <v>2000</v>
      </c>
      <c r="G271" s="114"/>
      <c r="H271" s="114">
        <f t="shared" si="39"/>
        <v>10765.7</v>
      </c>
      <c r="I271" s="255"/>
      <c r="J271" s="255"/>
      <c r="K271" s="255"/>
      <c r="L271" s="255"/>
      <c r="M271" s="255"/>
    </row>
    <row r="272" spans="1:13" s="84" customFormat="1" ht="12" customHeight="1" x14ac:dyDescent="0.25">
      <c r="A272" s="100"/>
      <c r="B272" s="115"/>
      <c r="C272" s="140">
        <v>4410</v>
      </c>
      <c r="D272" s="139" t="s">
        <v>53</v>
      </c>
      <c r="E272" s="113">
        <v>10200</v>
      </c>
      <c r="F272" s="114"/>
      <c r="G272" s="114">
        <v>6600</v>
      </c>
      <c r="H272" s="114">
        <f t="shared" si="39"/>
        <v>3600</v>
      </c>
      <c r="I272" s="255"/>
      <c r="J272" s="255"/>
      <c r="K272" s="255"/>
      <c r="L272" s="255"/>
      <c r="M272" s="255"/>
    </row>
    <row r="273" spans="1:13" s="84" customFormat="1" ht="12" customHeight="1" x14ac:dyDescent="0.25">
      <c r="A273" s="100"/>
      <c r="B273" s="115"/>
      <c r="C273" s="140">
        <v>4710</v>
      </c>
      <c r="D273" s="139" t="s">
        <v>59</v>
      </c>
      <c r="E273" s="113">
        <v>3500</v>
      </c>
      <c r="F273" s="114">
        <v>500</v>
      </c>
      <c r="G273" s="114"/>
      <c r="H273" s="114">
        <f t="shared" si="39"/>
        <v>4000</v>
      </c>
      <c r="I273" s="255"/>
      <c r="J273" s="255"/>
      <c r="K273" s="255"/>
      <c r="L273" s="255"/>
      <c r="M273" s="255"/>
    </row>
    <row r="274" spans="1:13" s="84" customFormat="1" ht="12" customHeight="1" x14ac:dyDescent="0.25">
      <c r="A274" s="99"/>
      <c r="B274" s="186">
        <v>85516</v>
      </c>
      <c r="C274" s="200"/>
      <c r="D274" s="201" t="s">
        <v>303</v>
      </c>
      <c r="E274" s="202">
        <v>12474548.25</v>
      </c>
      <c r="F274" s="203">
        <f>SUM(F275)</f>
        <v>5249</v>
      </c>
      <c r="G274" s="203">
        <f>SUM(G275)</f>
        <v>5249</v>
      </c>
      <c r="H274" s="202">
        <f t="shared" si="39"/>
        <v>12474548.25</v>
      </c>
      <c r="I274" s="260"/>
      <c r="J274" s="260"/>
      <c r="K274" s="260"/>
      <c r="L274" s="260"/>
      <c r="M274" s="260"/>
    </row>
    <row r="275" spans="1:13" s="84" customFormat="1" ht="12" customHeight="1" x14ac:dyDescent="0.25">
      <c r="A275" s="99"/>
      <c r="B275" s="204"/>
      <c r="C275" s="200"/>
      <c r="D275" s="205" t="s">
        <v>304</v>
      </c>
      <c r="E275" s="206">
        <v>10464946.25</v>
      </c>
      <c r="F275" s="207">
        <f>SUM(F276:F282)</f>
        <v>5249</v>
      </c>
      <c r="G275" s="207">
        <f>SUM(G276:G282)</f>
        <v>5249</v>
      </c>
      <c r="H275" s="206">
        <f t="shared" si="39"/>
        <v>10464946.25</v>
      </c>
      <c r="I275" s="261"/>
      <c r="J275" s="261"/>
      <c r="K275" s="261"/>
      <c r="L275" s="261"/>
      <c r="M275" s="261"/>
    </row>
    <row r="276" spans="1:13" s="84" customFormat="1" ht="12" customHeight="1" x14ac:dyDescent="0.25">
      <c r="A276" s="99"/>
      <c r="B276" s="208"/>
      <c r="C276" s="140">
        <v>4040</v>
      </c>
      <c r="D276" s="139" t="s">
        <v>44</v>
      </c>
      <c r="E276" s="4">
        <v>413007</v>
      </c>
      <c r="F276" s="209"/>
      <c r="G276" s="209">
        <v>1210</v>
      </c>
      <c r="H276" s="209">
        <f t="shared" si="39"/>
        <v>411797</v>
      </c>
      <c r="I276" s="262"/>
      <c r="J276" s="262"/>
      <c r="K276" s="262"/>
      <c r="L276" s="262"/>
      <c r="M276" s="262"/>
    </row>
    <row r="277" spans="1:13" s="84" customFormat="1" ht="12" customHeight="1" x14ac:dyDescent="0.25">
      <c r="A277" s="99"/>
      <c r="B277" s="208"/>
      <c r="C277" s="186">
        <v>4170</v>
      </c>
      <c r="D277" s="187" t="s">
        <v>46</v>
      </c>
      <c r="E277" s="210">
        <v>10800</v>
      </c>
      <c r="F277" s="209">
        <v>1400</v>
      </c>
      <c r="G277" s="209"/>
      <c r="H277" s="209">
        <f t="shared" si="39"/>
        <v>12200</v>
      </c>
      <c r="I277" s="262"/>
      <c r="J277" s="262"/>
      <c r="K277" s="262"/>
      <c r="L277" s="262"/>
      <c r="M277" s="262"/>
    </row>
    <row r="278" spans="1:13" s="84" customFormat="1" ht="12" customHeight="1" x14ac:dyDescent="0.25">
      <c r="A278" s="99"/>
      <c r="B278" s="208"/>
      <c r="C278" s="140">
        <v>4270</v>
      </c>
      <c r="D278" s="139" t="s">
        <v>15</v>
      </c>
      <c r="E278" s="210">
        <v>75052</v>
      </c>
      <c r="F278" s="209"/>
      <c r="G278" s="209">
        <v>1308</v>
      </c>
      <c r="H278" s="209">
        <f t="shared" si="39"/>
        <v>73744</v>
      </c>
      <c r="I278" s="262"/>
      <c r="J278" s="262"/>
      <c r="K278" s="262"/>
      <c r="L278" s="262"/>
      <c r="M278" s="262"/>
    </row>
    <row r="279" spans="1:13" s="84" customFormat="1" ht="12" customHeight="1" x14ac:dyDescent="0.25">
      <c r="A279" s="99"/>
      <c r="B279" s="208"/>
      <c r="C279" s="140">
        <v>4360</v>
      </c>
      <c r="D279" s="139" t="s">
        <v>51</v>
      </c>
      <c r="E279" s="210">
        <v>7886</v>
      </c>
      <c r="F279" s="209"/>
      <c r="G279" s="209">
        <v>2433</v>
      </c>
      <c r="H279" s="209">
        <f>SUM(E279+F279-G279)</f>
        <v>5453</v>
      </c>
      <c r="I279" s="262"/>
      <c r="J279" s="262"/>
      <c r="K279" s="262"/>
      <c r="L279" s="262"/>
      <c r="M279" s="262"/>
    </row>
    <row r="280" spans="1:13" s="84" customFormat="1" ht="24" customHeight="1" x14ac:dyDescent="0.25">
      <c r="A280" s="99"/>
      <c r="B280" s="208"/>
      <c r="C280" s="131">
        <v>4400</v>
      </c>
      <c r="D280" s="133" t="s">
        <v>305</v>
      </c>
      <c r="E280" s="210">
        <v>17270</v>
      </c>
      <c r="F280" s="209">
        <v>29</v>
      </c>
      <c r="G280" s="209"/>
      <c r="H280" s="209">
        <f t="shared" si="39"/>
        <v>17299</v>
      </c>
      <c r="I280" s="262"/>
      <c r="J280" s="262"/>
      <c r="K280" s="262"/>
      <c r="L280" s="262"/>
      <c r="M280" s="262"/>
    </row>
    <row r="281" spans="1:13" s="84" customFormat="1" ht="12" customHeight="1" x14ac:dyDescent="0.25">
      <c r="A281" s="99"/>
      <c r="B281" s="208"/>
      <c r="C281" s="140">
        <v>4430</v>
      </c>
      <c r="D281" s="139" t="s">
        <v>54</v>
      </c>
      <c r="E281" s="210">
        <v>14639</v>
      </c>
      <c r="F281" s="209"/>
      <c r="G281" s="209">
        <v>298</v>
      </c>
      <c r="H281" s="209">
        <f t="shared" si="39"/>
        <v>14341</v>
      </c>
      <c r="I281" s="262"/>
      <c r="J281" s="262"/>
      <c r="K281" s="262"/>
      <c r="L281" s="262"/>
      <c r="M281" s="262"/>
    </row>
    <row r="282" spans="1:13" s="84" customFormat="1" ht="12" customHeight="1" x14ac:dyDescent="0.25">
      <c r="A282" s="99"/>
      <c r="B282" s="208"/>
      <c r="C282" s="140">
        <v>4710</v>
      </c>
      <c r="D282" s="139" t="s">
        <v>59</v>
      </c>
      <c r="E282" s="210">
        <v>9037</v>
      </c>
      <c r="F282" s="209">
        <v>3820</v>
      </c>
      <c r="G282" s="209"/>
      <c r="H282" s="209">
        <f t="shared" si="39"/>
        <v>12857</v>
      </c>
      <c r="I282" s="262"/>
      <c r="J282" s="262"/>
      <c r="K282" s="262"/>
      <c r="L282" s="262"/>
      <c r="M282" s="262"/>
    </row>
    <row r="283" spans="1:13" s="84" customFormat="1" ht="12" customHeight="1" thickBot="1" x14ac:dyDescent="0.3">
      <c r="A283" s="115">
        <v>900</v>
      </c>
      <c r="B283" s="100"/>
      <c r="C283" s="99"/>
      <c r="D283" s="101" t="s">
        <v>306</v>
      </c>
      <c r="E283" s="98">
        <v>99409103.629999995</v>
      </c>
      <c r="F283" s="102">
        <f>SUM(F284,)</f>
        <v>18000</v>
      </c>
      <c r="G283" s="102">
        <f>SUM(G284,)</f>
        <v>18000</v>
      </c>
      <c r="H283" s="98">
        <f t="shared" ref="H283:H300" si="44">SUM(E283+F283-G283)</f>
        <v>99409103.629999995</v>
      </c>
      <c r="I283" s="251"/>
      <c r="J283" s="251"/>
      <c r="K283" s="251"/>
      <c r="L283" s="251"/>
      <c r="M283" s="251"/>
    </row>
    <row r="284" spans="1:13" s="84" customFormat="1" ht="12" customHeight="1" thickTop="1" x14ac:dyDescent="0.25">
      <c r="A284" s="115"/>
      <c r="B284" s="3">
        <v>90003</v>
      </c>
      <c r="C284" s="3"/>
      <c r="D284" s="6" t="s">
        <v>307</v>
      </c>
      <c r="E284" s="105">
        <v>756352.9</v>
      </c>
      <c r="F284" s="106">
        <f>SUM(F285)</f>
        <v>18000</v>
      </c>
      <c r="G284" s="106">
        <f>SUM(G285)</f>
        <v>18000</v>
      </c>
      <c r="H284" s="105">
        <f t="shared" si="44"/>
        <v>756352.9</v>
      </c>
      <c r="I284" s="252"/>
      <c r="J284" s="252"/>
      <c r="K284" s="252"/>
      <c r="L284" s="252"/>
      <c r="M284" s="252"/>
    </row>
    <row r="285" spans="1:13" s="84" customFormat="1" ht="12" customHeight="1" x14ac:dyDescent="0.25">
      <c r="A285" s="115"/>
      <c r="B285" s="93"/>
      <c r="C285" s="120"/>
      <c r="D285" s="137" t="s">
        <v>252</v>
      </c>
      <c r="E285" s="211">
        <v>591852.9</v>
      </c>
      <c r="F285" s="110">
        <f>SUM(F286:F287)</f>
        <v>18000</v>
      </c>
      <c r="G285" s="110">
        <f>SUM(G286:G287)</f>
        <v>18000</v>
      </c>
      <c r="H285" s="109">
        <f t="shared" si="44"/>
        <v>591852.9</v>
      </c>
      <c r="I285" s="253"/>
      <c r="J285" s="253"/>
      <c r="K285" s="253"/>
      <c r="L285" s="253"/>
      <c r="M285" s="253"/>
    </row>
    <row r="286" spans="1:13" s="84" customFormat="1" ht="12" customHeight="1" x14ac:dyDescent="0.25">
      <c r="A286" s="115"/>
      <c r="B286" s="93"/>
      <c r="C286" s="138" t="s">
        <v>31</v>
      </c>
      <c r="D286" s="139" t="s">
        <v>32</v>
      </c>
      <c r="E286" s="4">
        <v>233309.9</v>
      </c>
      <c r="F286" s="114">
        <v>18000</v>
      </c>
      <c r="G286" s="114"/>
      <c r="H286" s="114">
        <f t="shared" si="44"/>
        <v>251309.9</v>
      </c>
      <c r="I286" s="255"/>
      <c r="J286" s="255"/>
      <c r="K286" s="255"/>
      <c r="L286" s="255"/>
      <c r="M286" s="255"/>
    </row>
    <row r="287" spans="1:13" s="84" customFormat="1" ht="12" customHeight="1" x14ac:dyDescent="0.25">
      <c r="A287" s="115"/>
      <c r="B287" s="93"/>
      <c r="C287" s="119">
        <v>4300</v>
      </c>
      <c r="D287" s="141" t="s">
        <v>50</v>
      </c>
      <c r="E287" s="4">
        <v>200000</v>
      </c>
      <c r="F287" s="114"/>
      <c r="G287" s="114">
        <v>18000</v>
      </c>
      <c r="H287" s="114">
        <f t="shared" si="44"/>
        <v>182000</v>
      </c>
      <c r="I287" s="255"/>
      <c r="J287" s="255"/>
      <c r="K287" s="255"/>
      <c r="L287" s="255"/>
      <c r="M287" s="255"/>
    </row>
    <row r="288" spans="1:13" s="84" customFormat="1" ht="12" customHeight="1" thickBot="1" x14ac:dyDescent="0.3">
      <c r="A288" s="115">
        <v>921</v>
      </c>
      <c r="B288" s="100"/>
      <c r="C288" s="99"/>
      <c r="D288" s="101" t="s">
        <v>308</v>
      </c>
      <c r="E288" s="98">
        <v>23491370.710000001</v>
      </c>
      <c r="F288" s="102">
        <f>SUM(F289,F292,)</f>
        <v>40000</v>
      </c>
      <c r="G288" s="102">
        <f>SUM(G289,G292,)</f>
        <v>40000</v>
      </c>
      <c r="H288" s="98">
        <f t="shared" si="44"/>
        <v>23491370.710000001</v>
      </c>
      <c r="I288" s="251"/>
      <c r="J288" s="251"/>
      <c r="K288" s="251"/>
      <c r="L288" s="251"/>
      <c r="M288" s="251"/>
    </row>
    <row r="289" spans="1:13" s="84" customFormat="1" ht="12" customHeight="1" thickTop="1" x14ac:dyDescent="0.25">
      <c r="A289" s="115"/>
      <c r="B289" s="119">
        <v>92114</v>
      </c>
      <c r="C289" s="119"/>
      <c r="D289" s="6" t="s">
        <v>309</v>
      </c>
      <c r="E289" s="105">
        <v>2288271.42</v>
      </c>
      <c r="F289" s="105">
        <f>SUM(F290)</f>
        <v>40000</v>
      </c>
      <c r="G289" s="105">
        <f>SUM(G290)</f>
        <v>0</v>
      </c>
      <c r="H289" s="105">
        <f t="shared" si="44"/>
        <v>2328271.42</v>
      </c>
      <c r="I289" s="252"/>
      <c r="J289" s="252"/>
      <c r="K289" s="252"/>
      <c r="L289" s="252"/>
      <c r="M289" s="252"/>
    </row>
    <row r="290" spans="1:13" s="84" customFormat="1" ht="12" customHeight="1" x14ac:dyDescent="0.25">
      <c r="A290" s="115"/>
      <c r="B290" s="93"/>
      <c r="C290" s="119"/>
      <c r="D290" s="199" t="s">
        <v>310</v>
      </c>
      <c r="E290" s="109">
        <v>2288271.42</v>
      </c>
      <c r="F290" s="110">
        <f>SUM(F291:F291)</f>
        <v>40000</v>
      </c>
      <c r="G290" s="110">
        <f>SUM(G291:G291)</f>
        <v>0</v>
      </c>
      <c r="H290" s="109">
        <f t="shared" si="44"/>
        <v>2328271.42</v>
      </c>
      <c r="I290" s="253"/>
      <c r="J290" s="253"/>
      <c r="K290" s="253"/>
      <c r="L290" s="253"/>
      <c r="M290" s="253"/>
    </row>
    <row r="291" spans="1:13" s="84" customFormat="1" ht="21" customHeight="1" x14ac:dyDescent="0.25">
      <c r="A291" s="115"/>
      <c r="B291" s="93"/>
      <c r="C291" s="131">
        <v>2800</v>
      </c>
      <c r="D291" s="112" t="s">
        <v>311</v>
      </c>
      <c r="E291" s="113">
        <v>0</v>
      </c>
      <c r="F291" s="114">
        <v>40000</v>
      </c>
      <c r="G291" s="114"/>
      <c r="H291" s="114">
        <f t="shared" si="44"/>
        <v>40000</v>
      </c>
      <c r="I291" s="255"/>
      <c r="J291" s="255"/>
      <c r="K291" s="255"/>
      <c r="L291" s="255"/>
      <c r="M291" s="255"/>
    </row>
    <row r="292" spans="1:13" s="84" customFormat="1" ht="12" customHeight="1" x14ac:dyDescent="0.25">
      <c r="A292" s="115"/>
      <c r="B292" s="119">
        <v>92195</v>
      </c>
      <c r="C292" s="119"/>
      <c r="D292" s="212" t="s">
        <v>73</v>
      </c>
      <c r="E292" s="105">
        <v>1259820</v>
      </c>
      <c r="F292" s="105">
        <f>SUM(F293)</f>
        <v>0</v>
      </c>
      <c r="G292" s="105">
        <f>SUM(G293)</f>
        <v>40000</v>
      </c>
      <c r="H292" s="105">
        <f t="shared" si="44"/>
        <v>1219820</v>
      </c>
      <c r="I292" s="252"/>
      <c r="J292" s="252"/>
      <c r="K292" s="252"/>
      <c r="L292" s="252"/>
      <c r="M292" s="252"/>
    </row>
    <row r="293" spans="1:13" s="84" customFormat="1" ht="12" customHeight="1" x14ac:dyDescent="0.25">
      <c r="A293" s="115"/>
      <c r="B293" s="93"/>
      <c r="C293" s="119"/>
      <c r="D293" s="199" t="s">
        <v>310</v>
      </c>
      <c r="E293" s="109">
        <v>1259820</v>
      </c>
      <c r="F293" s="110">
        <f>SUM(F294:F294)</f>
        <v>0</v>
      </c>
      <c r="G293" s="110">
        <f>SUM(G294:G294)</f>
        <v>40000</v>
      </c>
      <c r="H293" s="109">
        <f t="shared" si="44"/>
        <v>1219820</v>
      </c>
      <c r="I293" s="253"/>
      <c r="J293" s="253"/>
      <c r="K293" s="253"/>
      <c r="L293" s="253"/>
      <c r="M293" s="253"/>
    </row>
    <row r="294" spans="1:13" s="84" customFormat="1" ht="12" customHeight="1" x14ac:dyDescent="0.25">
      <c r="A294" s="115"/>
      <c r="B294" s="93"/>
      <c r="C294" s="119">
        <v>4300</v>
      </c>
      <c r="D294" s="141" t="s">
        <v>50</v>
      </c>
      <c r="E294" s="113">
        <v>204000</v>
      </c>
      <c r="F294" s="114"/>
      <c r="G294" s="114">
        <v>40000</v>
      </c>
      <c r="H294" s="114">
        <f t="shared" si="44"/>
        <v>164000</v>
      </c>
      <c r="I294" s="255"/>
      <c r="J294" s="255"/>
      <c r="K294" s="255"/>
      <c r="L294" s="255"/>
      <c r="M294" s="255"/>
    </row>
    <row r="295" spans="1:13" s="84" customFormat="1" ht="12" customHeight="1" thickBot="1" x14ac:dyDescent="0.3">
      <c r="A295" s="115">
        <v>926</v>
      </c>
      <c r="B295" s="100"/>
      <c r="C295" s="99"/>
      <c r="D295" s="101" t="s">
        <v>312</v>
      </c>
      <c r="E295" s="98">
        <v>39940442.059999995</v>
      </c>
      <c r="F295" s="98">
        <f>SUM(F296,)</f>
        <v>1341019.3700000001</v>
      </c>
      <c r="G295" s="98">
        <f>SUM(G296,)</f>
        <v>0</v>
      </c>
      <c r="H295" s="98">
        <f t="shared" si="44"/>
        <v>41281461.429999992</v>
      </c>
      <c r="I295" s="251"/>
      <c r="J295" s="251"/>
      <c r="K295" s="251"/>
      <c r="L295" s="251"/>
      <c r="M295" s="251"/>
    </row>
    <row r="296" spans="1:13" s="84" customFormat="1" ht="12" customHeight="1" thickTop="1" x14ac:dyDescent="0.25">
      <c r="A296" s="115"/>
      <c r="B296" s="119">
        <v>92604</v>
      </c>
      <c r="C296" s="148"/>
      <c r="D296" s="104" t="s">
        <v>313</v>
      </c>
      <c r="E296" s="105">
        <v>21614826.759999998</v>
      </c>
      <c r="F296" s="105">
        <f>SUM(F297)</f>
        <v>1341019.3700000001</v>
      </c>
      <c r="G296" s="105">
        <f>SUM(G297)</f>
        <v>0</v>
      </c>
      <c r="H296" s="105">
        <f t="shared" si="44"/>
        <v>22955846.129999999</v>
      </c>
      <c r="I296" s="252"/>
      <c r="J296" s="252"/>
      <c r="K296" s="252"/>
      <c r="L296" s="252"/>
      <c r="M296" s="252"/>
    </row>
    <row r="297" spans="1:13" s="84" customFormat="1" ht="12" customHeight="1" x14ac:dyDescent="0.25">
      <c r="A297" s="115"/>
      <c r="B297" s="115"/>
      <c r="C297" s="99"/>
      <c r="D297" s="150" t="s">
        <v>255</v>
      </c>
      <c r="E297" s="109">
        <v>21614826.759999998</v>
      </c>
      <c r="F297" s="109">
        <f>SUM(F298:F300)</f>
        <v>1341019.3700000001</v>
      </c>
      <c r="G297" s="109">
        <f>SUM(G298:G300)</f>
        <v>0</v>
      </c>
      <c r="H297" s="109">
        <f t="shared" si="44"/>
        <v>22955846.129999999</v>
      </c>
      <c r="I297" s="253"/>
      <c r="J297" s="253"/>
      <c r="K297" s="253"/>
      <c r="L297" s="253"/>
      <c r="M297" s="253"/>
    </row>
    <row r="298" spans="1:13" s="84" customFormat="1" ht="12" customHeight="1" x14ac:dyDescent="0.25">
      <c r="A298" s="115"/>
      <c r="B298" s="103"/>
      <c r="C298" s="119">
        <v>4010</v>
      </c>
      <c r="D298" s="141" t="s">
        <v>43</v>
      </c>
      <c r="E298" s="175">
        <v>7680273.3399999999</v>
      </c>
      <c r="F298" s="113">
        <v>900162.3</v>
      </c>
      <c r="G298" s="113"/>
      <c r="H298" s="113">
        <f t="shared" si="44"/>
        <v>8580435.6400000006</v>
      </c>
      <c r="I298" s="252"/>
      <c r="J298" s="252"/>
      <c r="K298" s="252"/>
      <c r="L298" s="252"/>
      <c r="M298" s="252"/>
    </row>
    <row r="299" spans="1:13" s="84" customFormat="1" ht="12" customHeight="1" x14ac:dyDescent="0.25">
      <c r="A299" s="115"/>
      <c r="B299" s="103"/>
      <c r="C299" s="119">
        <v>4110</v>
      </c>
      <c r="D299" s="141" t="s">
        <v>24</v>
      </c>
      <c r="E299" s="175">
        <v>1106542.47</v>
      </c>
      <c r="F299" s="113">
        <v>409000.07</v>
      </c>
      <c r="G299" s="113"/>
      <c r="H299" s="113">
        <f t="shared" si="44"/>
        <v>1515542.54</v>
      </c>
      <c r="I299" s="252"/>
      <c r="J299" s="252"/>
      <c r="K299" s="252"/>
      <c r="L299" s="252"/>
      <c r="M299" s="252"/>
    </row>
    <row r="300" spans="1:13" s="84" customFormat="1" ht="12" customHeight="1" x14ac:dyDescent="0.25">
      <c r="A300" s="115"/>
      <c r="B300" s="103"/>
      <c r="C300" s="119">
        <v>4300</v>
      </c>
      <c r="D300" s="141" t="s">
        <v>50</v>
      </c>
      <c r="E300" s="175">
        <v>2750577</v>
      </c>
      <c r="F300" s="113">
        <v>31857</v>
      </c>
      <c r="G300" s="113"/>
      <c r="H300" s="113">
        <f t="shared" si="44"/>
        <v>2782434</v>
      </c>
      <c r="I300" s="252"/>
      <c r="J300" s="252"/>
      <c r="K300" s="252"/>
      <c r="L300" s="252"/>
      <c r="M300" s="252"/>
    </row>
    <row r="301" spans="1:13" s="84" customFormat="1" ht="19.5" customHeight="1" thickBot="1" x14ac:dyDescent="0.3">
      <c r="A301" s="115"/>
      <c r="B301" s="103"/>
      <c r="C301" s="119"/>
      <c r="D301" s="97" t="s">
        <v>314</v>
      </c>
      <c r="E301" s="98">
        <v>413483031.07999998</v>
      </c>
      <c r="F301" s="98">
        <f>SUM(F302,F308,F313,F317,F415,F434,F465)</f>
        <v>7045754.8399999999</v>
      </c>
      <c r="G301" s="98">
        <f>SUM(G302,G308,G313,G317,G415,G434,G465)</f>
        <v>4101927.84</v>
      </c>
      <c r="H301" s="98">
        <f>SUM(E301+F301-G301)</f>
        <v>416426858.07999998</v>
      </c>
      <c r="I301" s="251"/>
      <c r="J301" s="251"/>
      <c r="K301" s="251"/>
      <c r="L301" s="251"/>
      <c r="M301" s="251"/>
    </row>
    <row r="302" spans="1:13" s="84" customFormat="1" ht="17.25" customHeight="1" thickTop="1" thickBot="1" x14ac:dyDescent="0.3">
      <c r="A302" s="115">
        <v>600</v>
      </c>
      <c r="B302" s="100"/>
      <c r="C302" s="99"/>
      <c r="D302" s="101" t="s">
        <v>250</v>
      </c>
      <c r="E302" s="98">
        <v>101836414.57000001</v>
      </c>
      <c r="F302" s="98">
        <f>SUM(F303,)</f>
        <v>2460311</v>
      </c>
      <c r="G302" s="98">
        <f>SUM(G303)</f>
        <v>2440311</v>
      </c>
      <c r="H302" s="98">
        <f t="shared" ref="H302:H312" si="45">SUM(E302+F302-G302)</f>
        <v>101856414.57000001</v>
      </c>
      <c r="I302" s="251"/>
      <c r="J302" s="251"/>
      <c r="K302" s="251"/>
      <c r="L302" s="251"/>
      <c r="M302" s="251"/>
    </row>
    <row r="303" spans="1:13" s="84" customFormat="1" ht="12" customHeight="1" thickTop="1" x14ac:dyDescent="0.25">
      <c r="A303" s="115"/>
      <c r="B303" s="103">
        <v>60015</v>
      </c>
      <c r="C303" s="99"/>
      <c r="D303" s="127" t="s">
        <v>315</v>
      </c>
      <c r="E303" s="159">
        <v>101835114.57000001</v>
      </c>
      <c r="F303" s="159">
        <f>SUM(F304,)</f>
        <v>2460311</v>
      </c>
      <c r="G303" s="159">
        <f>SUM(G304,)</f>
        <v>2440311</v>
      </c>
      <c r="H303" s="159">
        <f t="shared" si="45"/>
        <v>101855114.57000001</v>
      </c>
      <c r="I303" s="257"/>
      <c r="J303" s="257"/>
      <c r="K303" s="257"/>
      <c r="L303" s="257"/>
      <c r="M303" s="257"/>
    </row>
    <row r="304" spans="1:13" s="84" customFormat="1" ht="12" customHeight="1" x14ac:dyDescent="0.25">
      <c r="A304" s="115"/>
      <c r="B304" s="103"/>
      <c r="C304" s="94"/>
      <c r="D304" s="137" t="s">
        <v>252</v>
      </c>
      <c r="E304" s="109">
        <v>85886321.820000008</v>
      </c>
      <c r="F304" s="110">
        <f>SUM(F305:F307)</f>
        <v>2460311</v>
      </c>
      <c r="G304" s="110">
        <f>SUM(G305:G307)</f>
        <v>2440311</v>
      </c>
      <c r="H304" s="109">
        <f t="shared" si="45"/>
        <v>85906321.820000008</v>
      </c>
      <c r="I304" s="253"/>
      <c r="J304" s="253"/>
      <c r="K304" s="253"/>
      <c r="L304" s="253"/>
      <c r="M304" s="253"/>
    </row>
    <row r="305" spans="1:13" s="84" customFormat="1" ht="12" customHeight="1" x14ac:dyDescent="0.25">
      <c r="A305" s="115"/>
      <c r="B305" s="103"/>
      <c r="C305" s="138" t="s">
        <v>31</v>
      </c>
      <c r="D305" s="139" t="s">
        <v>32</v>
      </c>
      <c r="E305" s="113">
        <v>240000</v>
      </c>
      <c r="F305" s="114">
        <v>35000</v>
      </c>
      <c r="G305" s="114"/>
      <c r="H305" s="164">
        <f t="shared" si="45"/>
        <v>275000</v>
      </c>
      <c r="I305" s="259"/>
      <c r="J305" s="259"/>
      <c r="K305" s="259"/>
      <c r="L305" s="259"/>
      <c r="M305" s="259"/>
    </row>
    <row r="306" spans="1:13" s="84" customFormat="1" ht="12" customHeight="1" x14ac:dyDescent="0.25">
      <c r="A306" s="115"/>
      <c r="B306" s="103"/>
      <c r="C306" s="140">
        <v>4270</v>
      </c>
      <c r="D306" s="139" t="s">
        <v>15</v>
      </c>
      <c r="E306" s="113">
        <v>3841153.8</v>
      </c>
      <c r="F306" s="114"/>
      <c r="G306" s="114">
        <f>15000+2425311</f>
        <v>2440311</v>
      </c>
      <c r="H306" s="164">
        <f t="shared" si="45"/>
        <v>1400842.7999999998</v>
      </c>
      <c r="I306" s="259"/>
      <c r="J306" s="259"/>
      <c r="K306" s="259"/>
      <c r="L306" s="259"/>
      <c r="M306" s="259"/>
    </row>
    <row r="307" spans="1:13" s="84" customFormat="1" ht="12" customHeight="1" x14ac:dyDescent="0.25">
      <c r="A307" s="115"/>
      <c r="B307" s="103"/>
      <c r="C307" s="119">
        <v>4300</v>
      </c>
      <c r="D307" s="141" t="s">
        <v>50</v>
      </c>
      <c r="E307" s="113">
        <v>8674497</v>
      </c>
      <c r="F307" s="114">
        <v>2425311</v>
      </c>
      <c r="G307" s="114"/>
      <c r="H307" s="164">
        <f t="shared" si="45"/>
        <v>11099808</v>
      </c>
      <c r="I307" s="259"/>
      <c r="J307" s="259"/>
      <c r="K307" s="259"/>
      <c r="L307" s="259"/>
      <c r="M307" s="259"/>
    </row>
    <row r="308" spans="1:13" s="84" customFormat="1" ht="12" customHeight="1" thickBot="1" x14ac:dyDescent="0.3">
      <c r="A308" s="213">
        <v>710</v>
      </c>
      <c r="B308" s="214"/>
      <c r="C308" s="1"/>
      <c r="D308" s="215" t="s">
        <v>316</v>
      </c>
      <c r="E308" s="98">
        <v>773887.7</v>
      </c>
      <c r="F308" s="102">
        <f>SUM(F309,)</f>
        <v>2000</v>
      </c>
      <c r="G308" s="102">
        <f>SUM(G309,)</f>
        <v>2000</v>
      </c>
      <c r="H308" s="98">
        <f t="shared" si="45"/>
        <v>773887.7</v>
      </c>
      <c r="I308" s="251"/>
      <c r="J308" s="251"/>
      <c r="K308" s="251"/>
      <c r="L308" s="251"/>
      <c r="M308" s="251"/>
    </row>
    <row r="309" spans="1:13" s="84" customFormat="1" ht="12" customHeight="1" thickTop="1" x14ac:dyDescent="0.25">
      <c r="A309" s="115"/>
      <c r="B309" s="3">
        <v>71095</v>
      </c>
      <c r="C309" s="3"/>
      <c r="D309" s="6" t="s">
        <v>73</v>
      </c>
      <c r="E309" s="159">
        <v>131189.20000000001</v>
      </c>
      <c r="F309" s="159">
        <f>SUM(F310,)</f>
        <v>2000</v>
      </c>
      <c r="G309" s="159">
        <f>SUM(G310,)</f>
        <v>2000</v>
      </c>
      <c r="H309" s="159">
        <f t="shared" si="45"/>
        <v>131189.20000000001</v>
      </c>
      <c r="I309" s="257"/>
      <c r="J309" s="257"/>
      <c r="K309" s="257"/>
      <c r="L309" s="257"/>
      <c r="M309" s="257"/>
    </row>
    <row r="310" spans="1:13" s="84" customFormat="1" ht="12" customHeight="1" x14ac:dyDescent="0.25">
      <c r="A310" s="115"/>
      <c r="B310" s="216"/>
      <c r="C310" s="3"/>
      <c r="D310" s="217" t="s">
        <v>317</v>
      </c>
      <c r="E310" s="109">
        <v>131189.20000000001</v>
      </c>
      <c r="F310" s="109">
        <f>SUM(F311:F312)</f>
        <v>2000</v>
      </c>
      <c r="G310" s="109">
        <f>SUM(G311:G312)</f>
        <v>2000</v>
      </c>
      <c r="H310" s="109">
        <f t="shared" si="45"/>
        <v>131189.20000000001</v>
      </c>
      <c r="I310" s="253"/>
      <c r="J310" s="253"/>
      <c r="K310" s="253"/>
      <c r="L310" s="253"/>
      <c r="M310" s="253"/>
    </row>
    <row r="311" spans="1:13" s="84" customFormat="1" ht="12" customHeight="1" x14ac:dyDescent="0.25">
      <c r="A311" s="214"/>
      <c r="B311" s="157"/>
      <c r="C311" s="138" t="s">
        <v>31</v>
      </c>
      <c r="D311" s="139" t="s">
        <v>32</v>
      </c>
      <c r="E311" s="113">
        <v>4000</v>
      </c>
      <c r="F311" s="113"/>
      <c r="G311" s="113">
        <v>2000</v>
      </c>
      <c r="H311" s="114">
        <f t="shared" si="45"/>
        <v>2000</v>
      </c>
      <c r="I311" s="255"/>
      <c r="J311" s="255"/>
      <c r="K311" s="255"/>
      <c r="L311" s="255"/>
      <c r="M311" s="255"/>
    </row>
    <row r="312" spans="1:13" s="84" customFormat="1" ht="12" customHeight="1" x14ac:dyDescent="0.25">
      <c r="A312" s="115"/>
      <c r="B312" s="103"/>
      <c r="C312" s="131">
        <v>4700</v>
      </c>
      <c r="D312" s="118" t="s">
        <v>58</v>
      </c>
      <c r="E312" s="113">
        <v>7100</v>
      </c>
      <c r="F312" s="114">
        <v>2000</v>
      </c>
      <c r="G312" s="114"/>
      <c r="H312" s="114">
        <f t="shared" si="45"/>
        <v>9100</v>
      </c>
      <c r="I312" s="255"/>
      <c r="J312" s="255"/>
      <c r="K312" s="255"/>
      <c r="L312" s="255"/>
      <c r="M312" s="255"/>
    </row>
    <row r="313" spans="1:13" s="84" customFormat="1" ht="12.75" customHeight="1" thickBot="1" x14ac:dyDescent="0.3">
      <c r="A313" s="115">
        <v>754</v>
      </c>
      <c r="B313" s="170"/>
      <c r="C313" s="170"/>
      <c r="D313" s="171" t="s">
        <v>233</v>
      </c>
      <c r="E313" s="98">
        <v>337000</v>
      </c>
      <c r="F313" s="102">
        <f>SUM(F314,)</f>
        <v>100000</v>
      </c>
      <c r="G313" s="102">
        <f>SUM(G314,)</f>
        <v>0</v>
      </c>
      <c r="H313" s="98">
        <f>SUM(E313+F313-G313)</f>
        <v>437000</v>
      </c>
      <c r="I313" s="251"/>
      <c r="J313" s="251"/>
      <c r="K313" s="251"/>
      <c r="L313" s="251"/>
      <c r="M313" s="251"/>
    </row>
    <row r="314" spans="1:13" s="84" customFormat="1" ht="12" customHeight="1" thickTop="1" x14ac:dyDescent="0.25">
      <c r="A314" s="115"/>
      <c r="B314" s="103">
        <v>75411</v>
      </c>
      <c r="C314" s="119"/>
      <c r="D314" s="104" t="s">
        <v>234</v>
      </c>
      <c r="E314" s="105">
        <v>200000</v>
      </c>
      <c r="F314" s="106">
        <f>SUM(F315)</f>
        <v>100000</v>
      </c>
      <c r="G314" s="106">
        <f>SUM(G315)</f>
        <v>0</v>
      </c>
      <c r="H314" s="105">
        <f>SUM(E314+F314-G314)</f>
        <v>300000</v>
      </c>
      <c r="I314" s="252"/>
      <c r="J314" s="252"/>
      <c r="K314" s="252"/>
      <c r="L314" s="252"/>
      <c r="M314" s="252"/>
    </row>
    <row r="315" spans="1:13" s="84" customFormat="1" ht="12" customHeight="1" x14ac:dyDescent="0.25">
      <c r="A315" s="115"/>
      <c r="B315" s="148"/>
      <c r="C315" s="148"/>
      <c r="D315" s="218" t="s">
        <v>318</v>
      </c>
      <c r="E315" s="109">
        <v>200000</v>
      </c>
      <c r="F315" s="110">
        <f>SUM(F316:F316)</f>
        <v>100000</v>
      </c>
      <c r="G315" s="110">
        <f>SUM(G316:G316)</f>
        <v>0</v>
      </c>
      <c r="H315" s="109">
        <f>SUM(E315+F315-G315)</f>
        <v>300000</v>
      </c>
      <c r="I315" s="253"/>
      <c r="J315" s="253"/>
      <c r="K315" s="253"/>
      <c r="L315" s="253"/>
      <c r="M315" s="253"/>
    </row>
    <row r="316" spans="1:13" s="84" customFormat="1" ht="12" customHeight="1" x14ac:dyDescent="0.25">
      <c r="A316" s="219"/>
      <c r="B316" s="220"/>
      <c r="C316" s="221">
        <v>6060</v>
      </c>
      <c r="D316" s="222" t="s">
        <v>319</v>
      </c>
      <c r="E316" s="5">
        <v>109064.98</v>
      </c>
      <c r="F316" s="169">
        <v>100000</v>
      </c>
      <c r="G316" s="169"/>
      <c r="H316" s="105">
        <f t="shared" ref="H316" si="46">SUM(E316+F316-G316)</f>
        <v>209064.97999999998</v>
      </c>
      <c r="I316" s="252"/>
      <c r="J316" s="252"/>
      <c r="K316" s="252"/>
      <c r="L316" s="252"/>
      <c r="M316" s="252"/>
    </row>
    <row r="317" spans="1:13" s="84" customFormat="1" ht="12" customHeight="1" thickBot="1" x14ac:dyDescent="0.3">
      <c r="A317" s="100">
        <v>801</v>
      </c>
      <c r="B317" s="100"/>
      <c r="C317" s="99"/>
      <c r="D317" s="101" t="s">
        <v>16</v>
      </c>
      <c r="E317" s="2">
        <v>226699796.79999995</v>
      </c>
      <c r="F317" s="102">
        <f>SUM(F318,F334,F337,F347,F371,F375,F386,F394,F361,F364,F343)</f>
        <v>2147676.84</v>
      </c>
      <c r="G317" s="102">
        <f>SUM(G318,G334,G337,G347,G371,G375,G386,G394,G361,G364,G343)</f>
        <v>1515951.8399999999</v>
      </c>
      <c r="H317" s="98">
        <f>SUM(E317+F317-G317)</f>
        <v>227331521.79999995</v>
      </c>
      <c r="I317" s="251"/>
      <c r="J317" s="251"/>
      <c r="K317" s="251"/>
      <c r="L317" s="251"/>
      <c r="M317" s="251"/>
    </row>
    <row r="318" spans="1:13" s="84" customFormat="1" ht="13.5" thickTop="1" x14ac:dyDescent="0.25">
      <c r="A318" s="100"/>
      <c r="B318" s="103">
        <v>80115</v>
      </c>
      <c r="C318" s="94"/>
      <c r="D318" s="104" t="s">
        <v>151</v>
      </c>
      <c r="E318" s="105">
        <v>68442272.120000005</v>
      </c>
      <c r="F318" s="106">
        <f>SUM(F319)</f>
        <v>186580</v>
      </c>
      <c r="G318" s="106">
        <f>SUM(G319)</f>
        <v>229141</v>
      </c>
      <c r="H318" s="105">
        <f t="shared" ref="H318:H333" si="47">SUM(E318+F318-G318)</f>
        <v>68399711.120000005</v>
      </c>
      <c r="I318" s="252"/>
      <c r="J318" s="252"/>
      <c r="K318" s="252"/>
      <c r="L318" s="252"/>
      <c r="M318" s="252"/>
    </row>
    <row r="319" spans="1:13" s="84" customFormat="1" ht="12.75" x14ac:dyDescent="0.25">
      <c r="A319" s="100"/>
      <c r="B319" s="103"/>
      <c r="C319" s="94"/>
      <c r="D319" s="121" t="s">
        <v>23</v>
      </c>
      <c r="E319" s="109">
        <v>64285942.68</v>
      </c>
      <c r="F319" s="109">
        <f>SUM(F320:F333)</f>
        <v>186580</v>
      </c>
      <c r="G319" s="109">
        <f>SUM(G320:G333)</f>
        <v>229141</v>
      </c>
      <c r="H319" s="109">
        <f t="shared" si="47"/>
        <v>64243381.68</v>
      </c>
      <c r="I319" s="253"/>
      <c r="J319" s="253"/>
      <c r="K319" s="253"/>
      <c r="L319" s="253"/>
      <c r="M319" s="253"/>
    </row>
    <row r="320" spans="1:13" s="84" customFormat="1" ht="12.75" x14ac:dyDescent="0.25">
      <c r="A320" s="100"/>
      <c r="B320" s="103"/>
      <c r="C320" s="140">
        <v>3020</v>
      </c>
      <c r="D320" s="139" t="s">
        <v>42</v>
      </c>
      <c r="E320" s="113">
        <v>218732.4</v>
      </c>
      <c r="F320" s="113">
        <v>4330</v>
      </c>
      <c r="G320" s="114"/>
      <c r="H320" s="114">
        <f t="shared" si="47"/>
        <v>223062.39999999999</v>
      </c>
      <c r="I320" s="255"/>
      <c r="J320" s="255"/>
      <c r="K320" s="255"/>
      <c r="L320" s="255"/>
      <c r="M320" s="255"/>
    </row>
    <row r="321" spans="1:13" s="84" customFormat="1" ht="12.75" x14ac:dyDescent="0.25">
      <c r="A321" s="100"/>
      <c r="B321" s="103"/>
      <c r="C321" s="140">
        <v>4040</v>
      </c>
      <c r="D321" s="139" t="s">
        <v>44</v>
      </c>
      <c r="E321" s="113">
        <v>682284</v>
      </c>
      <c r="F321" s="113"/>
      <c r="G321" s="114">
        <v>5610</v>
      </c>
      <c r="H321" s="114">
        <f t="shared" si="47"/>
        <v>676674</v>
      </c>
      <c r="I321" s="255"/>
      <c r="J321" s="255"/>
      <c r="K321" s="255"/>
      <c r="L321" s="255"/>
      <c r="M321" s="255"/>
    </row>
    <row r="322" spans="1:13" s="84" customFormat="1" ht="12.75" x14ac:dyDescent="0.25">
      <c r="A322" s="100"/>
      <c r="B322" s="103"/>
      <c r="C322" s="119">
        <v>4110</v>
      </c>
      <c r="D322" s="141" t="s">
        <v>24</v>
      </c>
      <c r="E322" s="113">
        <v>8447672</v>
      </c>
      <c r="F322" s="113">
        <v>20000</v>
      </c>
      <c r="G322" s="114"/>
      <c r="H322" s="114">
        <f t="shared" si="47"/>
        <v>8467672</v>
      </c>
      <c r="I322" s="255"/>
      <c r="J322" s="255"/>
      <c r="K322" s="255"/>
      <c r="L322" s="255"/>
      <c r="M322" s="255"/>
    </row>
    <row r="323" spans="1:13" s="84" customFormat="1" ht="12.75" x14ac:dyDescent="0.25">
      <c r="A323" s="100"/>
      <c r="B323" s="103"/>
      <c r="C323" s="119">
        <v>4120</v>
      </c>
      <c r="D323" s="141" t="s">
        <v>12</v>
      </c>
      <c r="E323" s="113">
        <v>1119564</v>
      </c>
      <c r="F323" s="113">
        <v>3000</v>
      </c>
      <c r="G323" s="114"/>
      <c r="H323" s="114">
        <f t="shared" si="47"/>
        <v>1122564</v>
      </c>
      <c r="I323" s="255"/>
      <c r="J323" s="255"/>
      <c r="K323" s="255"/>
      <c r="L323" s="255"/>
      <c r="M323" s="255"/>
    </row>
    <row r="324" spans="1:13" s="84" customFormat="1" ht="12.75" x14ac:dyDescent="0.25">
      <c r="A324" s="100"/>
      <c r="B324" s="103"/>
      <c r="C324" s="140">
        <v>4170</v>
      </c>
      <c r="D324" s="139" t="s">
        <v>46</v>
      </c>
      <c r="E324" s="113">
        <v>21500</v>
      </c>
      <c r="F324" s="113">
        <v>3000</v>
      </c>
      <c r="G324" s="114"/>
      <c r="H324" s="114">
        <f t="shared" si="47"/>
        <v>24500</v>
      </c>
      <c r="I324" s="255"/>
      <c r="J324" s="255"/>
      <c r="K324" s="255"/>
      <c r="L324" s="255"/>
      <c r="M324" s="255"/>
    </row>
    <row r="325" spans="1:13" s="84" customFormat="1" ht="12.75" x14ac:dyDescent="0.25">
      <c r="A325" s="100"/>
      <c r="B325" s="103"/>
      <c r="C325" s="138" t="s">
        <v>31</v>
      </c>
      <c r="D325" s="139" t="s">
        <v>32</v>
      </c>
      <c r="E325" s="113">
        <v>312633.3</v>
      </c>
      <c r="F325" s="113">
        <v>38500</v>
      </c>
      <c r="G325" s="114"/>
      <c r="H325" s="114">
        <f t="shared" si="47"/>
        <v>351133.3</v>
      </c>
      <c r="I325" s="255"/>
      <c r="J325" s="255"/>
      <c r="K325" s="255"/>
      <c r="L325" s="255"/>
      <c r="M325" s="255"/>
    </row>
    <row r="326" spans="1:13" s="84" customFormat="1" ht="12.75" x14ac:dyDescent="0.25">
      <c r="A326" s="100"/>
      <c r="B326" s="103"/>
      <c r="C326" s="140">
        <v>4260</v>
      </c>
      <c r="D326" s="139" t="s">
        <v>48</v>
      </c>
      <c r="E326" s="113">
        <v>3151222.5</v>
      </c>
      <c r="F326" s="113"/>
      <c r="G326" s="114">
        <v>155000</v>
      </c>
      <c r="H326" s="114">
        <f t="shared" si="47"/>
        <v>2996222.5</v>
      </c>
      <c r="I326" s="255"/>
      <c r="J326" s="255"/>
      <c r="K326" s="255"/>
      <c r="L326" s="255"/>
      <c r="M326" s="255"/>
    </row>
    <row r="327" spans="1:13" s="84" customFormat="1" ht="12.75" x14ac:dyDescent="0.25">
      <c r="A327" s="100"/>
      <c r="B327" s="103"/>
      <c r="C327" s="119">
        <v>4300</v>
      </c>
      <c r="D327" s="141" t="s">
        <v>50</v>
      </c>
      <c r="E327" s="113">
        <v>691450.8</v>
      </c>
      <c r="F327" s="113">
        <v>7750</v>
      </c>
      <c r="G327" s="114"/>
      <c r="H327" s="114">
        <f t="shared" si="47"/>
        <v>699200.8</v>
      </c>
      <c r="I327" s="255"/>
      <c r="J327" s="255"/>
      <c r="K327" s="255"/>
      <c r="L327" s="255"/>
      <c r="M327" s="255"/>
    </row>
    <row r="328" spans="1:13" s="84" customFormat="1" ht="12.75" x14ac:dyDescent="0.25">
      <c r="A328" s="100"/>
      <c r="B328" s="103"/>
      <c r="C328" s="140">
        <v>4360</v>
      </c>
      <c r="D328" s="139" t="s">
        <v>51</v>
      </c>
      <c r="E328" s="113">
        <v>27556</v>
      </c>
      <c r="F328" s="113"/>
      <c r="G328" s="114">
        <v>1500</v>
      </c>
      <c r="H328" s="114">
        <f t="shared" si="47"/>
        <v>26056</v>
      </c>
      <c r="I328" s="255"/>
      <c r="J328" s="255"/>
      <c r="K328" s="255"/>
      <c r="L328" s="255"/>
      <c r="M328" s="255"/>
    </row>
    <row r="329" spans="1:13" s="84" customFormat="1" ht="12" customHeight="1" x14ac:dyDescent="0.25">
      <c r="A329" s="100"/>
      <c r="B329" s="103"/>
      <c r="C329" s="140">
        <v>4390</v>
      </c>
      <c r="D329" s="112" t="s">
        <v>52</v>
      </c>
      <c r="E329" s="113">
        <v>25374</v>
      </c>
      <c r="F329" s="113">
        <v>3000</v>
      </c>
      <c r="G329" s="114"/>
      <c r="H329" s="114">
        <f t="shared" si="47"/>
        <v>28374</v>
      </c>
      <c r="I329" s="255"/>
      <c r="J329" s="255"/>
      <c r="K329" s="255"/>
      <c r="L329" s="255"/>
      <c r="M329" s="255"/>
    </row>
    <row r="330" spans="1:13" s="84" customFormat="1" ht="12" customHeight="1" x14ac:dyDescent="0.25">
      <c r="A330" s="100"/>
      <c r="B330" s="103"/>
      <c r="C330" s="131">
        <v>4700</v>
      </c>
      <c r="D330" s="112" t="s">
        <v>58</v>
      </c>
      <c r="E330" s="113">
        <v>56290</v>
      </c>
      <c r="F330" s="113">
        <v>7000</v>
      </c>
      <c r="G330" s="114"/>
      <c r="H330" s="114">
        <f t="shared" si="47"/>
        <v>63290</v>
      </c>
      <c r="I330" s="255"/>
      <c r="J330" s="255"/>
      <c r="K330" s="255"/>
      <c r="L330" s="255"/>
      <c r="M330" s="255"/>
    </row>
    <row r="331" spans="1:13" s="84" customFormat="1" ht="12.75" x14ac:dyDescent="0.25">
      <c r="A331" s="100"/>
      <c r="B331" s="103"/>
      <c r="C331" s="119">
        <v>4710</v>
      </c>
      <c r="D331" s="141" t="s">
        <v>59</v>
      </c>
      <c r="E331" s="113">
        <v>271030</v>
      </c>
      <c r="F331" s="113"/>
      <c r="G331" s="114">
        <v>4750</v>
      </c>
      <c r="H331" s="114">
        <f t="shared" si="47"/>
        <v>266280</v>
      </c>
      <c r="I331" s="255"/>
      <c r="J331" s="255"/>
      <c r="K331" s="255"/>
      <c r="L331" s="255"/>
      <c r="M331" s="255"/>
    </row>
    <row r="332" spans="1:13" s="84" customFormat="1" ht="12.75" x14ac:dyDescent="0.25">
      <c r="A332" s="100"/>
      <c r="B332" s="103"/>
      <c r="C332" s="119">
        <v>4790</v>
      </c>
      <c r="D332" s="141" t="s">
        <v>25</v>
      </c>
      <c r="E332" s="113">
        <v>35200102.609999999</v>
      </c>
      <c r="F332" s="113">
        <v>100000</v>
      </c>
      <c r="G332" s="114"/>
      <c r="H332" s="114">
        <f t="shared" si="47"/>
        <v>35300102.609999999</v>
      </c>
      <c r="I332" s="255"/>
      <c r="J332" s="255"/>
      <c r="K332" s="255"/>
      <c r="L332" s="255"/>
      <c r="M332" s="255"/>
    </row>
    <row r="333" spans="1:13" s="84" customFormat="1" ht="12.75" x14ac:dyDescent="0.25">
      <c r="A333" s="100"/>
      <c r="B333" s="103"/>
      <c r="C333" s="119">
        <v>4800</v>
      </c>
      <c r="D333" s="141" t="s">
        <v>60</v>
      </c>
      <c r="E333" s="113">
        <v>2779887</v>
      </c>
      <c r="F333" s="113"/>
      <c r="G333" s="114">
        <v>62281</v>
      </c>
      <c r="H333" s="114">
        <f t="shared" si="47"/>
        <v>2717606</v>
      </c>
      <c r="I333" s="255"/>
      <c r="J333" s="255"/>
      <c r="K333" s="255"/>
      <c r="L333" s="255"/>
      <c r="M333" s="255"/>
    </row>
    <row r="334" spans="1:13" s="84" customFormat="1" ht="12.75" x14ac:dyDescent="0.25">
      <c r="A334" s="100"/>
      <c r="B334" s="103">
        <v>80116</v>
      </c>
      <c r="C334" s="94"/>
      <c r="D334" s="104" t="s">
        <v>153</v>
      </c>
      <c r="E334" s="105">
        <v>11844879.280000001</v>
      </c>
      <c r="F334" s="106">
        <f>SUM(F335,)</f>
        <v>680000</v>
      </c>
      <c r="G334" s="106">
        <f>SUM(G335,)</f>
        <v>0</v>
      </c>
      <c r="H334" s="105">
        <f>SUM(E334+F334-G334)</f>
        <v>12524879.280000001</v>
      </c>
      <c r="I334" s="252"/>
      <c r="J334" s="252"/>
      <c r="K334" s="252"/>
      <c r="L334" s="252"/>
      <c r="M334" s="252"/>
    </row>
    <row r="335" spans="1:13" s="84" customFormat="1" ht="12.75" x14ac:dyDescent="0.25">
      <c r="A335" s="100"/>
      <c r="B335" s="103"/>
      <c r="C335" s="94"/>
      <c r="D335" s="121" t="s">
        <v>80</v>
      </c>
      <c r="E335" s="109">
        <v>10388519.300000001</v>
      </c>
      <c r="F335" s="109">
        <f>SUM(F336:F336)</f>
        <v>680000</v>
      </c>
      <c r="G335" s="109">
        <f>SUM(G336:G336)</f>
        <v>0</v>
      </c>
      <c r="H335" s="109">
        <f t="shared" ref="H335:H339" si="48">SUM(E335+F335-G335)</f>
        <v>11068519.300000001</v>
      </c>
      <c r="I335" s="253"/>
      <c r="J335" s="253"/>
      <c r="K335" s="253"/>
      <c r="L335" s="253"/>
      <c r="M335" s="253"/>
    </row>
    <row r="336" spans="1:13" s="84" customFormat="1" ht="38.25" x14ac:dyDescent="0.25">
      <c r="A336" s="100"/>
      <c r="B336" s="103"/>
      <c r="C336" s="131">
        <v>2590</v>
      </c>
      <c r="D336" s="112" t="s">
        <v>271</v>
      </c>
      <c r="E336" s="175">
        <v>1350000</v>
      </c>
      <c r="F336" s="176">
        <v>680000</v>
      </c>
      <c r="G336" s="176"/>
      <c r="H336" s="113">
        <f t="shared" si="48"/>
        <v>2030000</v>
      </c>
      <c r="I336" s="252"/>
      <c r="J336" s="252"/>
      <c r="K336" s="252"/>
      <c r="L336" s="252"/>
      <c r="M336" s="252"/>
    </row>
    <row r="337" spans="1:13" s="84" customFormat="1" ht="12.75" x14ac:dyDescent="0.25">
      <c r="A337" s="100"/>
      <c r="B337" s="103">
        <v>80117</v>
      </c>
      <c r="C337" s="94"/>
      <c r="D337" s="104" t="s">
        <v>164</v>
      </c>
      <c r="E337" s="105">
        <v>12366524.640000001</v>
      </c>
      <c r="F337" s="106">
        <f>SUM(F338,F340)</f>
        <v>17052.45</v>
      </c>
      <c r="G337" s="106">
        <f>SUM(G338,G340)</f>
        <v>1017052.45</v>
      </c>
      <c r="H337" s="105">
        <f t="shared" si="48"/>
        <v>11366524.640000001</v>
      </c>
      <c r="I337" s="252"/>
      <c r="J337" s="252"/>
      <c r="K337" s="252"/>
      <c r="L337" s="252"/>
      <c r="M337" s="252"/>
    </row>
    <row r="338" spans="1:13" s="84" customFormat="1" ht="12.75" x14ac:dyDescent="0.25">
      <c r="A338" s="100"/>
      <c r="B338" s="103"/>
      <c r="C338" s="94"/>
      <c r="D338" s="121" t="s">
        <v>80</v>
      </c>
      <c r="E338" s="109">
        <v>4461408.18</v>
      </c>
      <c r="F338" s="109">
        <f>SUM(F339:F339)</f>
        <v>0</v>
      </c>
      <c r="G338" s="109">
        <f>SUM(G339:G339)</f>
        <v>1000000</v>
      </c>
      <c r="H338" s="109">
        <f t="shared" si="48"/>
        <v>3461408.1799999997</v>
      </c>
      <c r="I338" s="253"/>
      <c r="J338" s="253"/>
      <c r="K338" s="253"/>
      <c r="L338" s="253"/>
      <c r="M338" s="253"/>
    </row>
    <row r="339" spans="1:13" s="84" customFormat="1" ht="38.25" x14ac:dyDescent="0.25">
      <c r="A339" s="100"/>
      <c r="B339" s="103"/>
      <c r="C339" s="131">
        <v>2590</v>
      </c>
      <c r="D339" s="112" t="s">
        <v>271</v>
      </c>
      <c r="E339" s="175">
        <v>1983634.18</v>
      </c>
      <c r="F339" s="176"/>
      <c r="G339" s="176">
        <v>1000000</v>
      </c>
      <c r="H339" s="113">
        <f t="shared" si="48"/>
        <v>983634.17999999993</v>
      </c>
      <c r="I339" s="252"/>
      <c r="J339" s="252"/>
      <c r="K339" s="252"/>
      <c r="L339" s="252"/>
      <c r="M339" s="252"/>
    </row>
    <row r="340" spans="1:13" s="84" customFormat="1" ht="12.75" x14ac:dyDescent="0.25">
      <c r="A340" s="100"/>
      <c r="B340" s="103"/>
      <c r="C340" s="94"/>
      <c r="D340" s="121" t="s">
        <v>23</v>
      </c>
      <c r="E340" s="109">
        <v>7905116.46</v>
      </c>
      <c r="F340" s="109">
        <f>SUM(F341:F342)</f>
        <v>17052.45</v>
      </c>
      <c r="G340" s="109">
        <f>SUM(G341:G342)</f>
        <v>17052.45</v>
      </c>
      <c r="H340" s="109">
        <f>SUM(E340+F340-G340)</f>
        <v>7905116.46</v>
      </c>
      <c r="I340" s="253"/>
      <c r="J340" s="253"/>
      <c r="K340" s="253"/>
      <c r="L340" s="253"/>
      <c r="M340" s="253"/>
    </row>
    <row r="341" spans="1:13" s="84" customFormat="1" ht="12.75" x14ac:dyDescent="0.25">
      <c r="A341" s="100"/>
      <c r="B341" s="103"/>
      <c r="C341" s="138" t="s">
        <v>31</v>
      </c>
      <c r="D341" s="139" t="s">
        <v>32</v>
      </c>
      <c r="E341" s="113">
        <v>46448.100000000006</v>
      </c>
      <c r="F341" s="113">
        <v>17052.45</v>
      </c>
      <c r="G341" s="113"/>
      <c r="H341" s="113">
        <f>SUM(E341+F341-G341)</f>
        <v>63500.55</v>
      </c>
      <c r="I341" s="252"/>
      <c r="J341" s="252"/>
      <c r="K341" s="252"/>
      <c r="L341" s="252"/>
      <c r="M341" s="252"/>
    </row>
    <row r="342" spans="1:13" s="84" customFormat="1" ht="12.75" x14ac:dyDescent="0.25">
      <c r="A342" s="100"/>
      <c r="B342" s="103"/>
      <c r="C342" s="94">
        <v>4240</v>
      </c>
      <c r="D342" s="141" t="s">
        <v>47</v>
      </c>
      <c r="E342" s="113">
        <v>61756.2</v>
      </c>
      <c r="F342" s="113"/>
      <c r="G342" s="113">
        <v>17052.45</v>
      </c>
      <c r="H342" s="113">
        <f>SUM(E342+F342-G342)</f>
        <v>44703.75</v>
      </c>
      <c r="I342" s="252"/>
      <c r="J342" s="252"/>
      <c r="K342" s="252"/>
      <c r="L342" s="252"/>
      <c r="M342" s="252"/>
    </row>
    <row r="343" spans="1:13" s="84" customFormat="1" ht="12.75" x14ac:dyDescent="0.25">
      <c r="A343" s="100"/>
      <c r="B343" s="103">
        <v>80118</v>
      </c>
      <c r="C343" s="94"/>
      <c r="D343" s="104" t="s">
        <v>320</v>
      </c>
      <c r="E343" s="105">
        <v>2058702</v>
      </c>
      <c r="F343" s="106">
        <f>SUM(F344)</f>
        <v>400</v>
      </c>
      <c r="G343" s="106">
        <f>SUM(G344)</f>
        <v>400</v>
      </c>
      <c r="H343" s="105">
        <f>SUM(E343+F343-G343)</f>
        <v>2058702</v>
      </c>
      <c r="I343" s="252"/>
      <c r="J343" s="252"/>
      <c r="K343" s="252"/>
      <c r="L343" s="252"/>
      <c r="M343" s="252"/>
    </row>
    <row r="344" spans="1:13" s="84" customFormat="1" ht="12.75" x14ac:dyDescent="0.25">
      <c r="A344" s="100"/>
      <c r="B344" s="103"/>
      <c r="C344" s="94"/>
      <c r="D344" s="121" t="s">
        <v>23</v>
      </c>
      <c r="E344" s="109">
        <v>2058702</v>
      </c>
      <c r="F344" s="109">
        <f>SUM(F345:F346)</f>
        <v>400</v>
      </c>
      <c r="G344" s="109">
        <f>SUM(G345:G346)</f>
        <v>400</v>
      </c>
      <c r="H344" s="109">
        <f>SUM(E344+F344-G344)</f>
        <v>2058702</v>
      </c>
      <c r="I344" s="253"/>
      <c r="J344" s="253"/>
      <c r="K344" s="253"/>
      <c r="L344" s="253"/>
      <c r="M344" s="253"/>
    </row>
    <row r="345" spans="1:13" s="84" customFormat="1" ht="12.75" x14ac:dyDescent="0.25">
      <c r="A345" s="100"/>
      <c r="B345" s="103"/>
      <c r="C345" s="140">
        <v>3020</v>
      </c>
      <c r="D345" s="139" t="s">
        <v>42</v>
      </c>
      <c r="E345" s="113">
        <v>800</v>
      </c>
      <c r="F345" s="184">
        <v>400</v>
      </c>
      <c r="G345" s="176"/>
      <c r="H345" s="184">
        <f t="shared" ref="H345:H346" si="49">SUM(E345+F345-G345)</f>
        <v>1200</v>
      </c>
      <c r="I345" s="252"/>
      <c r="J345" s="252"/>
      <c r="K345" s="252"/>
      <c r="L345" s="252"/>
      <c r="M345" s="252"/>
    </row>
    <row r="346" spans="1:13" s="84" customFormat="1" ht="12.75" x14ac:dyDescent="0.25">
      <c r="A346" s="100"/>
      <c r="B346" s="103"/>
      <c r="C346" s="119">
        <v>4800</v>
      </c>
      <c r="D346" s="141" t="s">
        <v>60</v>
      </c>
      <c r="E346" s="113">
        <v>62000</v>
      </c>
      <c r="F346" s="113"/>
      <c r="G346" s="114">
        <v>400</v>
      </c>
      <c r="H346" s="113">
        <f t="shared" si="49"/>
        <v>61600</v>
      </c>
      <c r="I346" s="252"/>
      <c r="J346" s="252"/>
      <c r="K346" s="252"/>
      <c r="L346" s="252"/>
      <c r="M346" s="252"/>
    </row>
    <row r="347" spans="1:13" s="84" customFormat="1" ht="12.75" x14ac:dyDescent="0.25">
      <c r="A347" s="100"/>
      <c r="B347" s="119">
        <v>80120</v>
      </c>
      <c r="C347" s="148"/>
      <c r="D347" s="149" t="s">
        <v>167</v>
      </c>
      <c r="E347" s="105">
        <v>47485637.079999991</v>
      </c>
      <c r="F347" s="106">
        <f>SUM(F348,F351,)</f>
        <v>1105382</v>
      </c>
      <c r="G347" s="106">
        <f>SUM(G348,G351,)</f>
        <v>170382</v>
      </c>
      <c r="H347" s="105">
        <f>SUM(E347+F347-G347)</f>
        <v>48420637.079999991</v>
      </c>
      <c r="I347" s="252"/>
      <c r="J347" s="252"/>
      <c r="K347" s="252"/>
      <c r="L347" s="252"/>
      <c r="M347" s="252"/>
    </row>
    <row r="348" spans="1:13" s="84" customFormat="1" ht="12.75" x14ac:dyDescent="0.25">
      <c r="A348" s="100"/>
      <c r="B348" s="119"/>
      <c r="C348" s="94"/>
      <c r="D348" s="181" t="s">
        <v>321</v>
      </c>
      <c r="E348" s="109">
        <v>7826819.2999999998</v>
      </c>
      <c r="F348" s="109">
        <f>SUM(F349:F350)</f>
        <v>900000</v>
      </c>
      <c r="G348" s="109">
        <f>SUM(G349:G350)</f>
        <v>0</v>
      </c>
      <c r="H348" s="109">
        <f t="shared" ref="H348" si="50">SUM(E348+F348-G348)</f>
        <v>8726819.3000000007</v>
      </c>
      <c r="I348" s="253"/>
      <c r="J348" s="253"/>
      <c r="K348" s="253"/>
      <c r="L348" s="253"/>
      <c r="M348" s="253"/>
    </row>
    <row r="349" spans="1:13" s="84" customFormat="1" ht="12" customHeight="1" x14ac:dyDescent="0.25">
      <c r="A349" s="100"/>
      <c r="B349" s="119"/>
      <c r="C349" s="131">
        <v>2540</v>
      </c>
      <c r="D349" s="112" t="s">
        <v>322</v>
      </c>
      <c r="E349" s="113">
        <v>3040842.8499999996</v>
      </c>
      <c r="F349" s="184">
        <v>500000</v>
      </c>
      <c r="G349" s="184"/>
      <c r="H349" s="184">
        <f>SUM(E349+F349-G349)</f>
        <v>3540842.8499999996</v>
      </c>
      <c r="I349" s="252"/>
      <c r="J349" s="252"/>
      <c r="K349" s="252"/>
      <c r="L349" s="252"/>
      <c r="M349" s="252"/>
    </row>
    <row r="350" spans="1:13" s="84" customFormat="1" ht="34.5" customHeight="1" x14ac:dyDescent="0.25">
      <c r="A350" s="100"/>
      <c r="B350" s="119"/>
      <c r="C350" s="131">
        <v>2590</v>
      </c>
      <c r="D350" s="112" t="s">
        <v>271</v>
      </c>
      <c r="E350" s="175">
        <v>4785976.45</v>
      </c>
      <c r="F350" s="114">
        <v>400000</v>
      </c>
      <c r="G350" s="114"/>
      <c r="H350" s="113">
        <f t="shared" ref="H350" si="51">SUM(E350+F350-G350)</f>
        <v>5185976.45</v>
      </c>
      <c r="I350" s="252"/>
      <c r="J350" s="252"/>
      <c r="K350" s="252"/>
      <c r="L350" s="252"/>
      <c r="M350" s="252"/>
    </row>
    <row r="351" spans="1:13" s="84" customFormat="1" ht="12.75" x14ac:dyDescent="0.25">
      <c r="A351" s="100"/>
      <c r="B351" s="119"/>
      <c r="C351" s="94"/>
      <c r="D351" s="121" t="s">
        <v>23</v>
      </c>
      <c r="E351" s="109">
        <v>37889577.779999994</v>
      </c>
      <c r="F351" s="109">
        <f>SUM(F352:F360)</f>
        <v>205382</v>
      </c>
      <c r="G351" s="109">
        <f>SUM(G352:G360)</f>
        <v>170382</v>
      </c>
      <c r="H351" s="109">
        <f>SUM(E351+F351-G351)</f>
        <v>37924577.779999994</v>
      </c>
      <c r="I351" s="253"/>
      <c r="J351" s="253"/>
      <c r="K351" s="253"/>
      <c r="L351" s="253"/>
      <c r="M351" s="253"/>
    </row>
    <row r="352" spans="1:13" s="84" customFormat="1" ht="12.75" x14ac:dyDescent="0.25">
      <c r="A352" s="100"/>
      <c r="B352" s="119"/>
      <c r="C352" s="140">
        <v>3020</v>
      </c>
      <c r="D352" s="139" t="s">
        <v>42</v>
      </c>
      <c r="E352" s="113">
        <v>330222</v>
      </c>
      <c r="F352" s="113">
        <v>38382</v>
      </c>
      <c r="G352" s="114"/>
      <c r="H352" s="114">
        <f t="shared" ref="H352:H359" si="52">SUM(E352+F352-G352)</f>
        <v>368604</v>
      </c>
      <c r="I352" s="255"/>
      <c r="J352" s="255"/>
      <c r="K352" s="255"/>
      <c r="L352" s="255"/>
      <c r="M352" s="255"/>
    </row>
    <row r="353" spans="1:13" s="84" customFormat="1" ht="12.75" x14ac:dyDescent="0.25">
      <c r="A353" s="100"/>
      <c r="B353" s="119"/>
      <c r="C353" s="119" t="s">
        <v>62</v>
      </c>
      <c r="D353" s="141" t="s">
        <v>24</v>
      </c>
      <c r="E353" s="113">
        <v>4859442</v>
      </c>
      <c r="F353" s="113"/>
      <c r="G353" s="113">
        <v>20000</v>
      </c>
      <c r="H353" s="114">
        <f t="shared" si="52"/>
        <v>4839442</v>
      </c>
      <c r="I353" s="255"/>
      <c r="J353" s="255"/>
      <c r="K353" s="255"/>
      <c r="L353" s="255"/>
      <c r="M353" s="255"/>
    </row>
    <row r="354" spans="1:13" s="84" customFormat="1" ht="12.75" x14ac:dyDescent="0.25">
      <c r="A354" s="100"/>
      <c r="B354" s="119"/>
      <c r="C354" s="111" t="s">
        <v>63</v>
      </c>
      <c r="D354" s="141" t="s">
        <v>12</v>
      </c>
      <c r="E354" s="113">
        <v>656617</v>
      </c>
      <c r="F354" s="113"/>
      <c r="G354" s="113">
        <v>3000</v>
      </c>
      <c r="H354" s="114">
        <f t="shared" si="52"/>
        <v>653617</v>
      </c>
      <c r="I354" s="255"/>
      <c r="J354" s="255"/>
      <c r="K354" s="255"/>
      <c r="L354" s="255"/>
      <c r="M354" s="255"/>
    </row>
    <row r="355" spans="1:13" s="84" customFormat="1" ht="12.75" x14ac:dyDescent="0.25">
      <c r="A355" s="100"/>
      <c r="B355" s="119"/>
      <c r="C355" s="119">
        <v>4210</v>
      </c>
      <c r="D355" s="141" t="s">
        <v>32</v>
      </c>
      <c r="E355" s="113">
        <v>215036.86</v>
      </c>
      <c r="F355" s="113">
        <v>6000</v>
      </c>
      <c r="G355" s="113"/>
      <c r="H355" s="114">
        <f t="shared" si="52"/>
        <v>221036.86</v>
      </c>
      <c r="I355" s="255"/>
      <c r="J355" s="255"/>
      <c r="K355" s="255"/>
      <c r="L355" s="255"/>
      <c r="M355" s="255"/>
    </row>
    <row r="356" spans="1:13" s="84" customFormat="1" ht="12.75" x14ac:dyDescent="0.25">
      <c r="A356" s="100"/>
      <c r="B356" s="119"/>
      <c r="C356" s="140">
        <v>4260</v>
      </c>
      <c r="D356" s="139" t="s">
        <v>48</v>
      </c>
      <c r="E356" s="113">
        <v>2413406</v>
      </c>
      <c r="F356" s="113">
        <v>100000</v>
      </c>
      <c r="G356" s="113"/>
      <c r="H356" s="114">
        <f t="shared" si="52"/>
        <v>2513406</v>
      </c>
      <c r="I356" s="255"/>
      <c r="J356" s="255"/>
      <c r="K356" s="255"/>
      <c r="L356" s="255"/>
      <c r="M356" s="255"/>
    </row>
    <row r="357" spans="1:13" s="84" customFormat="1" ht="12.75" x14ac:dyDescent="0.25">
      <c r="A357" s="100"/>
      <c r="B357" s="119"/>
      <c r="C357" s="119">
        <v>4300</v>
      </c>
      <c r="D357" s="141" t="s">
        <v>50</v>
      </c>
      <c r="E357" s="113">
        <v>350940</v>
      </c>
      <c r="F357" s="113">
        <v>61000</v>
      </c>
      <c r="G357" s="113"/>
      <c r="H357" s="114">
        <f t="shared" si="52"/>
        <v>411940</v>
      </c>
      <c r="I357" s="255"/>
      <c r="J357" s="255"/>
      <c r="K357" s="255"/>
      <c r="L357" s="255"/>
      <c r="M357" s="255"/>
    </row>
    <row r="358" spans="1:13" s="84" customFormat="1" ht="12.75" x14ac:dyDescent="0.25">
      <c r="A358" s="100"/>
      <c r="B358" s="119"/>
      <c r="C358" s="119">
        <v>4710</v>
      </c>
      <c r="D358" s="141" t="s">
        <v>59</v>
      </c>
      <c r="E358" s="113">
        <v>127439</v>
      </c>
      <c r="F358" s="113"/>
      <c r="G358" s="113">
        <v>3000</v>
      </c>
      <c r="H358" s="114">
        <f t="shared" si="52"/>
        <v>124439</v>
      </c>
      <c r="I358" s="255"/>
      <c r="J358" s="255"/>
      <c r="K358" s="255"/>
      <c r="L358" s="255"/>
      <c r="M358" s="255"/>
    </row>
    <row r="359" spans="1:13" s="84" customFormat="1" ht="12.75" x14ac:dyDescent="0.25">
      <c r="A359" s="100"/>
      <c r="B359" s="119"/>
      <c r="C359" s="119" t="s">
        <v>67</v>
      </c>
      <c r="D359" s="141" t="s">
        <v>25</v>
      </c>
      <c r="E359" s="113">
        <v>20921879</v>
      </c>
      <c r="F359" s="113"/>
      <c r="G359" s="113">
        <v>100000</v>
      </c>
      <c r="H359" s="114">
        <f t="shared" si="52"/>
        <v>20821879</v>
      </c>
      <c r="I359" s="255"/>
      <c r="J359" s="255"/>
      <c r="K359" s="255"/>
      <c r="L359" s="255"/>
      <c r="M359" s="255"/>
    </row>
    <row r="360" spans="1:13" s="84" customFormat="1" ht="12.75" x14ac:dyDescent="0.25">
      <c r="A360" s="100"/>
      <c r="B360" s="119"/>
      <c r="C360" s="119">
        <v>4800</v>
      </c>
      <c r="D360" s="141" t="s">
        <v>60</v>
      </c>
      <c r="E360" s="113">
        <v>1772900.12</v>
      </c>
      <c r="F360" s="113"/>
      <c r="G360" s="113">
        <v>44382</v>
      </c>
      <c r="H360" s="114">
        <f>E360+F360-G360</f>
        <v>1728518.12</v>
      </c>
      <c r="I360" s="255"/>
      <c r="J360" s="255"/>
      <c r="K360" s="255"/>
      <c r="L360" s="255"/>
      <c r="M360" s="255"/>
    </row>
    <row r="361" spans="1:13" s="84" customFormat="1" ht="12.75" x14ac:dyDescent="0.25">
      <c r="A361" s="100"/>
      <c r="B361" s="119">
        <v>80122</v>
      </c>
      <c r="C361" s="148"/>
      <c r="D361" s="149" t="s">
        <v>172</v>
      </c>
      <c r="E361" s="105">
        <v>878260</v>
      </c>
      <c r="F361" s="106">
        <f>SUM(F362,)</f>
        <v>50000</v>
      </c>
      <c r="G361" s="106">
        <f>SUM(G362,)</f>
        <v>0</v>
      </c>
      <c r="H361" s="105">
        <f>SUM(E361+F361-G361)</f>
        <v>928260</v>
      </c>
      <c r="I361" s="252"/>
      <c r="J361" s="252"/>
      <c r="K361" s="252"/>
      <c r="L361" s="252"/>
      <c r="M361" s="252"/>
    </row>
    <row r="362" spans="1:13" s="84" customFormat="1" ht="12.75" x14ac:dyDescent="0.25">
      <c r="A362" s="100"/>
      <c r="B362" s="119"/>
      <c r="C362" s="94"/>
      <c r="D362" s="181" t="s">
        <v>321</v>
      </c>
      <c r="E362" s="109">
        <v>878260</v>
      </c>
      <c r="F362" s="109">
        <f>SUM(F363)</f>
        <v>50000</v>
      </c>
      <c r="G362" s="109">
        <f>SUM(G363)</f>
        <v>0</v>
      </c>
      <c r="H362" s="109">
        <f t="shared" ref="H362" si="53">SUM(E362+F362-G362)</f>
        <v>928260</v>
      </c>
      <c r="I362" s="253"/>
      <c r="J362" s="253"/>
      <c r="K362" s="253"/>
      <c r="L362" s="253"/>
      <c r="M362" s="253"/>
    </row>
    <row r="363" spans="1:13" s="84" customFormat="1" ht="12" customHeight="1" x14ac:dyDescent="0.25">
      <c r="A363" s="128"/>
      <c r="B363" s="189"/>
      <c r="C363" s="221">
        <v>2540</v>
      </c>
      <c r="D363" s="223" t="s">
        <v>322</v>
      </c>
      <c r="E363" s="105">
        <v>75800</v>
      </c>
      <c r="F363" s="224">
        <v>50000</v>
      </c>
      <c r="G363" s="224"/>
      <c r="H363" s="224">
        <f>SUM(E363+F363-G363)</f>
        <v>125800</v>
      </c>
      <c r="I363" s="252"/>
      <c r="J363" s="252"/>
      <c r="K363" s="252"/>
      <c r="L363" s="252"/>
      <c r="M363" s="252"/>
    </row>
    <row r="364" spans="1:13" s="84" customFormat="1" ht="12.75" x14ac:dyDescent="0.25">
      <c r="A364" s="100"/>
      <c r="B364" s="119">
        <v>80132</v>
      </c>
      <c r="C364" s="148"/>
      <c r="D364" s="149" t="s">
        <v>323</v>
      </c>
      <c r="E364" s="105">
        <v>8951289.1999999993</v>
      </c>
      <c r="F364" s="106">
        <f>SUM(F365)</f>
        <v>35000</v>
      </c>
      <c r="G364" s="106">
        <f>SUM(G365)</f>
        <v>35000</v>
      </c>
      <c r="H364" s="105">
        <f>SUM(E364+F364-G364)</f>
        <v>8951289.1999999993</v>
      </c>
      <c r="I364" s="252"/>
      <c r="J364" s="252"/>
      <c r="K364" s="252"/>
      <c r="L364" s="252"/>
      <c r="M364" s="252"/>
    </row>
    <row r="365" spans="1:13" s="84" customFormat="1" ht="12.75" x14ac:dyDescent="0.25">
      <c r="A365" s="100"/>
      <c r="B365" s="119"/>
      <c r="C365" s="94"/>
      <c r="D365" s="121" t="s">
        <v>23</v>
      </c>
      <c r="E365" s="109">
        <v>8951289.1999999993</v>
      </c>
      <c r="F365" s="109">
        <f>SUM(F366:F370)</f>
        <v>35000</v>
      </c>
      <c r="G365" s="109">
        <f>SUM(G366:G370)</f>
        <v>35000</v>
      </c>
      <c r="H365" s="109">
        <f>SUM(E365+F365-G365)</f>
        <v>8951289.1999999993</v>
      </c>
      <c r="I365" s="253"/>
      <c r="J365" s="253"/>
      <c r="K365" s="253"/>
      <c r="L365" s="253"/>
      <c r="M365" s="253"/>
    </row>
    <row r="366" spans="1:13" s="84" customFormat="1" ht="12.75" x14ac:dyDescent="0.25">
      <c r="A366" s="100"/>
      <c r="B366" s="103"/>
      <c r="C366" s="111" t="s">
        <v>63</v>
      </c>
      <c r="D366" s="141" t="s">
        <v>12</v>
      </c>
      <c r="E366" s="113">
        <v>152884</v>
      </c>
      <c r="F366" s="113"/>
      <c r="G366" s="113">
        <v>24000</v>
      </c>
      <c r="H366" s="113">
        <f t="shared" ref="H366:H370" si="54">SUM(E366+F366-G366)</f>
        <v>128884</v>
      </c>
      <c r="I366" s="252"/>
      <c r="J366" s="252"/>
      <c r="K366" s="252"/>
      <c r="L366" s="252"/>
      <c r="M366" s="252"/>
    </row>
    <row r="367" spans="1:13" s="84" customFormat="1" ht="12.75" x14ac:dyDescent="0.25">
      <c r="A367" s="100"/>
      <c r="B367" s="103"/>
      <c r="C367" s="119">
        <v>4210</v>
      </c>
      <c r="D367" s="141" t="s">
        <v>32</v>
      </c>
      <c r="E367" s="113">
        <v>45663.040000000008</v>
      </c>
      <c r="F367" s="113">
        <v>20000</v>
      </c>
      <c r="G367" s="113"/>
      <c r="H367" s="113">
        <f t="shared" si="54"/>
        <v>65663.040000000008</v>
      </c>
      <c r="I367" s="252"/>
      <c r="J367" s="252"/>
      <c r="K367" s="252"/>
      <c r="L367" s="252"/>
      <c r="M367" s="252"/>
    </row>
    <row r="368" spans="1:13" s="84" customFormat="1" ht="12.75" x14ac:dyDescent="0.25">
      <c r="A368" s="100"/>
      <c r="B368" s="103"/>
      <c r="C368" s="138">
        <v>4300</v>
      </c>
      <c r="D368" s="141" t="s">
        <v>50</v>
      </c>
      <c r="E368" s="113">
        <v>67500</v>
      </c>
      <c r="F368" s="113">
        <v>14000</v>
      </c>
      <c r="G368" s="113"/>
      <c r="H368" s="113">
        <f t="shared" si="54"/>
        <v>81500</v>
      </c>
      <c r="I368" s="252"/>
      <c r="J368" s="252"/>
      <c r="K368" s="252"/>
      <c r="L368" s="252"/>
      <c r="M368" s="252"/>
    </row>
    <row r="369" spans="1:13" s="84" customFormat="1" ht="12.75" x14ac:dyDescent="0.25">
      <c r="A369" s="100"/>
      <c r="B369" s="103"/>
      <c r="C369" s="140">
        <v>4530</v>
      </c>
      <c r="D369" s="139" t="s">
        <v>56</v>
      </c>
      <c r="E369" s="113">
        <v>0</v>
      </c>
      <c r="F369" s="113">
        <v>1000</v>
      </c>
      <c r="G369" s="113"/>
      <c r="H369" s="113">
        <f t="shared" si="54"/>
        <v>1000</v>
      </c>
      <c r="I369" s="252"/>
      <c r="J369" s="252"/>
      <c r="K369" s="252"/>
      <c r="L369" s="252"/>
      <c r="M369" s="252"/>
    </row>
    <row r="370" spans="1:13" s="84" customFormat="1" ht="12.75" x14ac:dyDescent="0.25">
      <c r="A370" s="100"/>
      <c r="B370" s="103"/>
      <c r="C370" s="119">
        <v>4710</v>
      </c>
      <c r="D370" s="141" t="s">
        <v>59</v>
      </c>
      <c r="E370" s="113">
        <v>52320</v>
      </c>
      <c r="F370" s="113"/>
      <c r="G370" s="113">
        <v>11000</v>
      </c>
      <c r="H370" s="113">
        <f t="shared" si="54"/>
        <v>41320</v>
      </c>
      <c r="I370" s="252"/>
      <c r="J370" s="252"/>
      <c r="K370" s="252"/>
      <c r="L370" s="252"/>
      <c r="M370" s="252"/>
    </row>
    <row r="371" spans="1:13" s="84" customFormat="1" ht="11.25" customHeight="1" x14ac:dyDescent="0.25">
      <c r="A371" s="100"/>
      <c r="B371" s="140">
        <v>80140</v>
      </c>
      <c r="C371" s="111"/>
      <c r="D371" s="223" t="s">
        <v>215</v>
      </c>
      <c r="E371" s="105">
        <v>6216927.1699999999</v>
      </c>
      <c r="F371" s="106">
        <f>SUM(F372)</f>
        <v>5000</v>
      </c>
      <c r="G371" s="106">
        <f>SUM(G372)</f>
        <v>5000</v>
      </c>
      <c r="H371" s="105">
        <f>SUM(E371+F371-G371)</f>
        <v>6216927.1699999999</v>
      </c>
      <c r="I371" s="252"/>
      <c r="J371" s="252"/>
      <c r="K371" s="252"/>
      <c r="L371" s="252"/>
      <c r="M371" s="252"/>
    </row>
    <row r="372" spans="1:13" s="84" customFormat="1" ht="12.75" x14ac:dyDescent="0.25">
      <c r="A372" s="100"/>
      <c r="B372" s="103"/>
      <c r="C372" s="94"/>
      <c r="D372" s="121" t="s">
        <v>23</v>
      </c>
      <c r="E372" s="109">
        <v>6216927.1699999999</v>
      </c>
      <c r="F372" s="109">
        <f>SUM(F373:F374)</f>
        <v>5000</v>
      </c>
      <c r="G372" s="109">
        <f>SUM(G373:G374)</f>
        <v>5000</v>
      </c>
      <c r="H372" s="109">
        <f>SUM(E372+F372-G372)</f>
        <v>6216927.1699999999</v>
      </c>
      <c r="I372" s="253"/>
      <c r="J372" s="253"/>
      <c r="K372" s="253"/>
      <c r="L372" s="253"/>
      <c r="M372" s="253"/>
    </row>
    <row r="373" spans="1:13" s="84" customFormat="1" ht="12.75" x14ac:dyDescent="0.25">
      <c r="A373" s="100"/>
      <c r="B373" s="103"/>
      <c r="C373" s="140">
        <v>4260</v>
      </c>
      <c r="D373" s="139" t="s">
        <v>48</v>
      </c>
      <c r="E373" s="113">
        <v>755000</v>
      </c>
      <c r="F373" s="113"/>
      <c r="G373" s="114">
        <v>5000</v>
      </c>
      <c r="H373" s="114">
        <f t="shared" ref="H373" si="55">SUM(E373+F373-G373)</f>
        <v>750000</v>
      </c>
      <c r="I373" s="255"/>
      <c r="J373" s="255"/>
      <c r="K373" s="255"/>
      <c r="L373" s="255"/>
      <c r="M373" s="255"/>
    </row>
    <row r="374" spans="1:13" s="84" customFormat="1" ht="12.75" x14ac:dyDescent="0.25">
      <c r="A374" s="100"/>
      <c r="B374" s="103"/>
      <c r="C374" s="119">
        <v>4300</v>
      </c>
      <c r="D374" s="141" t="s">
        <v>50</v>
      </c>
      <c r="E374" s="113">
        <v>256948.8</v>
      </c>
      <c r="F374" s="113">
        <v>5000</v>
      </c>
      <c r="G374" s="114"/>
      <c r="H374" s="114">
        <f>SUM(E374+F374-G374)</f>
        <v>261948.79999999999</v>
      </c>
      <c r="I374" s="255"/>
      <c r="J374" s="255"/>
      <c r="K374" s="255"/>
      <c r="L374" s="255"/>
      <c r="M374" s="255"/>
    </row>
    <row r="375" spans="1:13" s="84" customFormat="1" ht="12" customHeight="1" x14ac:dyDescent="0.25">
      <c r="A375" s="100"/>
      <c r="B375" s="103">
        <v>80146</v>
      </c>
      <c r="C375" s="94"/>
      <c r="D375" s="104" t="s">
        <v>68</v>
      </c>
      <c r="E375" s="105">
        <v>1283927.78</v>
      </c>
      <c r="F375" s="105">
        <f>SUM(F376)</f>
        <v>500</v>
      </c>
      <c r="G375" s="105">
        <f>SUM(G376)</f>
        <v>500</v>
      </c>
      <c r="H375" s="105">
        <f>SUM(E375+F375-G375)</f>
        <v>1283927.78</v>
      </c>
      <c r="I375" s="252"/>
      <c r="J375" s="252"/>
      <c r="K375" s="252"/>
      <c r="L375" s="252"/>
      <c r="M375" s="252"/>
    </row>
    <row r="376" spans="1:13" s="84" customFormat="1" ht="12.75" x14ac:dyDescent="0.25">
      <c r="A376" s="100"/>
      <c r="B376" s="119"/>
      <c r="C376" s="111"/>
      <c r="D376" s="121" t="s">
        <v>23</v>
      </c>
      <c r="E376" s="109">
        <v>1180583</v>
      </c>
      <c r="F376" s="109">
        <f>SUM(F377:F378)</f>
        <v>500</v>
      </c>
      <c r="G376" s="109">
        <f>SUM(G377:G378)</f>
        <v>500</v>
      </c>
      <c r="H376" s="109">
        <f t="shared" ref="H376:H378" si="56">SUM(E376+F376-G376)</f>
        <v>1180583</v>
      </c>
      <c r="I376" s="253"/>
      <c r="J376" s="253"/>
      <c r="K376" s="253"/>
      <c r="L376" s="253"/>
      <c r="M376" s="253"/>
    </row>
    <row r="377" spans="1:13" s="84" customFormat="1" ht="12.75" x14ac:dyDescent="0.25">
      <c r="A377" s="100"/>
      <c r="B377" s="119"/>
      <c r="C377" s="140">
        <v>4410</v>
      </c>
      <c r="D377" s="139" t="s">
        <v>53</v>
      </c>
      <c r="E377" s="113">
        <v>80500</v>
      </c>
      <c r="F377" s="113"/>
      <c r="G377" s="113">
        <v>500</v>
      </c>
      <c r="H377" s="113">
        <f t="shared" si="56"/>
        <v>80000</v>
      </c>
      <c r="I377" s="252"/>
      <c r="J377" s="252"/>
      <c r="K377" s="252"/>
      <c r="L377" s="252"/>
      <c r="M377" s="252"/>
    </row>
    <row r="378" spans="1:13" s="84" customFormat="1" ht="12" customHeight="1" x14ac:dyDescent="0.25">
      <c r="A378" s="100"/>
      <c r="B378" s="119"/>
      <c r="C378" s="131">
        <v>4700</v>
      </c>
      <c r="D378" s="112" t="s">
        <v>58</v>
      </c>
      <c r="E378" s="113">
        <v>297499</v>
      </c>
      <c r="F378" s="113">
        <v>500</v>
      </c>
      <c r="G378" s="113"/>
      <c r="H378" s="113">
        <f t="shared" si="56"/>
        <v>297999</v>
      </c>
      <c r="I378" s="252"/>
      <c r="J378" s="252"/>
      <c r="K378" s="252"/>
      <c r="L378" s="252"/>
      <c r="M378" s="252"/>
    </row>
    <row r="379" spans="1:13" s="84" customFormat="1" ht="12.75" x14ac:dyDescent="0.25">
      <c r="A379" s="100"/>
      <c r="B379" s="103">
        <v>80152</v>
      </c>
      <c r="C379" s="94"/>
      <c r="D379" s="141" t="s">
        <v>26</v>
      </c>
      <c r="E379" s="113"/>
      <c r="F379" s="113"/>
      <c r="G379" s="113"/>
      <c r="H379" s="114"/>
      <c r="I379" s="255"/>
      <c r="J379" s="255"/>
      <c r="K379" s="255"/>
      <c r="L379" s="255"/>
      <c r="M379" s="255"/>
    </row>
    <row r="380" spans="1:13" s="84" customFormat="1" ht="12.75" x14ac:dyDescent="0.25">
      <c r="A380" s="100"/>
      <c r="B380" s="103"/>
      <c r="C380" s="94"/>
      <c r="D380" s="141" t="s">
        <v>27</v>
      </c>
      <c r="E380" s="113"/>
      <c r="F380" s="113"/>
      <c r="G380" s="113"/>
      <c r="H380" s="114"/>
      <c r="I380" s="255"/>
      <c r="J380" s="255"/>
      <c r="K380" s="255"/>
      <c r="L380" s="255"/>
      <c r="M380" s="255"/>
    </row>
    <row r="381" spans="1:13" s="84" customFormat="1" ht="12.75" x14ac:dyDescent="0.25">
      <c r="A381" s="100"/>
      <c r="B381" s="103"/>
      <c r="C381" s="94"/>
      <c r="D381" s="141" t="s">
        <v>324</v>
      </c>
      <c r="E381" s="113"/>
      <c r="F381" s="113"/>
      <c r="G381" s="113"/>
      <c r="H381" s="114"/>
      <c r="I381" s="255"/>
      <c r="J381" s="255"/>
      <c r="K381" s="255"/>
      <c r="L381" s="255"/>
      <c r="M381" s="255"/>
    </row>
    <row r="382" spans="1:13" s="84" customFormat="1" ht="12.75" x14ac:dyDescent="0.25">
      <c r="A382" s="100"/>
      <c r="B382" s="103"/>
      <c r="C382" s="94"/>
      <c r="D382" s="103" t="s">
        <v>325</v>
      </c>
      <c r="E382" s="113"/>
      <c r="F382" s="113"/>
      <c r="G382" s="113"/>
      <c r="H382" s="114"/>
      <c r="I382" s="255"/>
      <c r="J382" s="255"/>
      <c r="K382" s="255"/>
      <c r="L382" s="255"/>
      <c r="M382" s="255"/>
    </row>
    <row r="383" spans="1:13" s="84" customFormat="1" ht="12.75" x14ac:dyDescent="0.25">
      <c r="A383" s="100"/>
      <c r="B383" s="103"/>
      <c r="C383" s="94"/>
      <c r="D383" s="103" t="s">
        <v>326</v>
      </c>
      <c r="E383" s="113"/>
      <c r="F383" s="113"/>
      <c r="G383" s="113"/>
      <c r="H383" s="114"/>
      <c r="I383" s="255"/>
      <c r="J383" s="255"/>
      <c r="K383" s="255"/>
      <c r="L383" s="255"/>
      <c r="M383" s="255"/>
    </row>
    <row r="384" spans="1:13" s="84" customFormat="1" ht="12.75" x14ac:dyDescent="0.25">
      <c r="A384" s="100"/>
      <c r="B384" s="103"/>
      <c r="C384" s="94"/>
      <c r="D384" s="141" t="s">
        <v>327</v>
      </c>
      <c r="E384" s="113"/>
      <c r="F384" s="113"/>
      <c r="G384" s="113"/>
      <c r="H384" s="114"/>
      <c r="I384" s="255"/>
      <c r="J384" s="255"/>
      <c r="K384" s="255"/>
      <c r="L384" s="255"/>
      <c r="M384" s="255"/>
    </row>
    <row r="385" spans="1:13" s="84" customFormat="1" ht="12.75" x14ac:dyDescent="0.25">
      <c r="A385" s="100"/>
      <c r="B385" s="103"/>
      <c r="C385" s="94"/>
      <c r="D385" s="103" t="s">
        <v>328</v>
      </c>
      <c r="E385" s="113"/>
      <c r="F385" s="113"/>
      <c r="G385" s="113"/>
      <c r="H385" s="114"/>
      <c r="I385" s="255"/>
      <c r="J385" s="255"/>
      <c r="K385" s="255"/>
      <c r="L385" s="255"/>
      <c r="M385" s="255"/>
    </row>
    <row r="386" spans="1:13" s="84" customFormat="1" ht="12.75" x14ac:dyDescent="0.25">
      <c r="A386" s="100"/>
      <c r="B386" s="103"/>
      <c r="C386" s="94"/>
      <c r="D386" s="149" t="s">
        <v>329</v>
      </c>
      <c r="E386" s="105">
        <v>10361298.449999999</v>
      </c>
      <c r="F386" s="106">
        <f>SUM(F387)</f>
        <v>8951</v>
      </c>
      <c r="G386" s="106">
        <f>SUM(G387)</f>
        <v>1390</v>
      </c>
      <c r="H386" s="105">
        <f>SUM(E386+F386-G386)</f>
        <v>10368859.449999999</v>
      </c>
      <c r="I386" s="252"/>
      <c r="J386" s="252"/>
      <c r="K386" s="252"/>
      <c r="L386" s="252"/>
      <c r="M386" s="252"/>
    </row>
    <row r="387" spans="1:13" s="84" customFormat="1" ht="12.75" x14ac:dyDescent="0.25">
      <c r="A387" s="100"/>
      <c r="B387" s="115"/>
      <c r="C387" s="94"/>
      <c r="D387" s="121" t="s">
        <v>23</v>
      </c>
      <c r="E387" s="109">
        <v>8375457.7599999998</v>
      </c>
      <c r="F387" s="109">
        <f>SUM(F388:F393)</f>
        <v>8951</v>
      </c>
      <c r="G387" s="109">
        <f>SUM(G388:G393)</f>
        <v>1390</v>
      </c>
      <c r="H387" s="109">
        <f t="shared" ref="H387:H393" si="57">SUM(E387+F387-G387)</f>
        <v>8383018.7599999998</v>
      </c>
      <c r="I387" s="253"/>
      <c r="J387" s="253"/>
      <c r="K387" s="253"/>
      <c r="L387" s="253"/>
      <c r="M387" s="253"/>
    </row>
    <row r="388" spans="1:13" s="84" customFormat="1" ht="12.75" x14ac:dyDescent="0.25">
      <c r="A388" s="100"/>
      <c r="B388" s="115"/>
      <c r="C388" s="140">
        <v>3020</v>
      </c>
      <c r="D388" s="139" t="s">
        <v>42</v>
      </c>
      <c r="E388" s="113">
        <v>1000</v>
      </c>
      <c r="F388" s="113">
        <v>2000</v>
      </c>
      <c r="G388" s="113"/>
      <c r="H388" s="114">
        <f t="shared" si="57"/>
        <v>3000</v>
      </c>
      <c r="I388" s="255"/>
      <c r="J388" s="255"/>
      <c r="K388" s="255"/>
      <c r="L388" s="255"/>
      <c r="M388" s="255"/>
    </row>
    <row r="389" spans="1:13" s="84" customFormat="1" ht="12.75" x14ac:dyDescent="0.25">
      <c r="A389" s="100"/>
      <c r="B389" s="115"/>
      <c r="C389" s="119">
        <v>4110</v>
      </c>
      <c r="D389" s="141" t="s">
        <v>24</v>
      </c>
      <c r="E389" s="113">
        <v>1159716</v>
      </c>
      <c r="F389" s="113">
        <v>946</v>
      </c>
      <c r="G389" s="113"/>
      <c r="H389" s="114">
        <f t="shared" si="57"/>
        <v>1160662</v>
      </c>
      <c r="I389" s="255"/>
      <c r="J389" s="255"/>
      <c r="K389" s="255"/>
      <c r="L389" s="255"/>
      <c r="M389" s="255"/>
    </row>
    <row r="390" spans="1:13" s="84" customFormat="1" ht="12.75" x14ac:dyDescent="0.25">
      <c r="A390" s="100"/>
      <c r="B390" s="115"/>
      <c r="C390" s="119">
        <v>4120</v>
      </c>
      <c r="D390" s="141" t="s">
        <v>12</v>
      </c>
      <c r="E390" s="113">
        <v>151130</v>
      </c>
      <c r="F390" s="113">
        <v>135</v>
      </c>
      <c r="G390" s="113"/>
      <c r="H390" s="114">
        <f t="shared" si="57"/>
        <v>151265</v>
      </c>
      <c r="I390" s="255"/>
      <c r="J390" s="255"/>
      <c r="K390" s="255"/>
      <c r="L390" s="255"/>
      <c r="M390" s="255"/>
    </row>
    <row r="391" spans="1:13" s="84" customFormat="1" ht="12.75" x14ac:dyDescent="0.25">
      <c r="A391" s="100"/>
      <c r="B391" s="115"/>
      <c r="C391" s="140">
        <v>4440</v>
      </c>
      <c r="D391" s="139" t="s">
        <v>55</v>
      </c>
      <c r="E391" s="113">
        <v>383812</v>
      </c>
      <c r="F391" s="113">
        <v>370</v>
      </c>
      <c r="G391" s="113"/>
      <c r="H391" s="114">
        <f t="shared" si="57"/>
        <v>384182</v>
      </c>
      <c r="I391" s="255"/>
      <c r="J391" s="255"/>
      <c r="K391" s="255"/>
      <c r="L391" s="255"/>
      <c r="M391" s="255"/>
    </row>
    <row r="392" spans="1:13" s="84" customFormat="1" ht="12.75" x14ac:dyDescent="0.25">
      <c r="A392" s="100"/>
      <c r="B392" s="115"/>
      <c r="C392" s="119">
        <v>4710</v>
      </c>
      <c r="D392" s="68" t="s">
        <v>59</v>
      </c>
      <c r="E392" s="113">
        <v>60466</v>
      </c>
      <c r="F392" s="113"/>
      <c r="G392" s="113">
        <v>1390</v>
      </c>
      <c r="H392" s="114">
        <f t="shared" si="57"/>
        <v>59076</v>
      </c>
      <c r="I392" s="255"/>
      <c r="J392" s="255"/>
      <c r="K392" s="255"/>
      <c r="L392" s="255"/>
      <c r="M392" s="255"/>
    </row>
    <row r="393" spans="1:13" s="84" customFormat="1" ht="12.75" x14ac:dyDescent="0.25">
      <c r="A393" s="100"/>
      <c r="B393" s="119"/>
      <c r="C393" s="119">
        <v>4790</v>
      </c>
      <c r="D393" s="84" t="s">
        <v>25</v>
      </c>
      <c r="E393" s="113">
        <v>6134789.2599999998</v>
      </c>
      <c r="F393" s="113">
        <v>5500</v>
      </c>
      <c r="G393" s="113"/>
      <c r="H393" s="114">
        <f t="shared" si="57"/>
        <v>6140289.2599999998</v>
      </c>
      <c r="I393" s="255"/>
      <c r="J393" s="255"/>
      <c r="K393" s="255"/>
      <c r="L393" s="255"/>
      <c r="M393" s="255"/>
    </row>
    <row r="394" spans="1:13" s="84" customFormat="1" ht="12.75" x14ac:dyDescent="0.25">
      <c r="A394" s="100"/>
      <c r="B394" s="103">
        <v>80195</v>
      </c>
      <c r="C394" s="94"/>
      <c r="D394" s="104" t="s">
        <v>73</v>
      </c>
      <c r="E394" s="105">
        <v>16878542.649999999</v>
      </c>
      <c r="F394" s="106">
        <f>SUM(F395,F397,F412)</f>
        <v>58811.39</v>
      </c>
      <c r="G394" s="106">
        <f>SUM(G395,G397,G412)</f>
        <v>57086.39</v>
      </c>
      <c r="H394" s="105">
        <f>SUM(E394+F394-G394)</f>
        <v>16880267.649999999</v>
      </c>
      <c r="I394" s="252"/>
      <c r="J394" s="252"/>
      <c r="K394" s="252"/>
      <c r="L394" s="252"/>
      <c r="M394" s="252"/>
    </row>
    <row r="395" spans="1:13" s="84" customFormat="1" ht="12.75" x14ac:dyDescent="0.25">
      <c r="A395" s="100"/>
      <c r="B395" s="103"/>
      <c r="C395" s="94"/>
      <c r="D395" s="181" t="s">
        <v>272</v>
      </c>
      <c r="E395" s="109">
        <v>626298.33000000007</v>
      </c>
      <c r="F395" s="109">
        <f>SUM(F396:F396)</f>
        <v>1725</v>
      </c>
      <c r="G395" s="109">
        <f>SUM(G396:G396)</f>
        <v>0</v>
      </c>
      <c r="H395" s="109">
        <f>SUM(E395+F395-G395)</f>
        <v>628023.33000000007</v>
      </c>
      <c r="I395" s="253"/>
      <c r="J395" s="253"/>
      <c r="K395" s="253"/>
      <c r="L395" s="253"/>
      <c r="M395" s="253"/>
    </row>
    <row r="396" spans="1:13" s="84" customFormat="1" ht="12.75" x14ac:dyDescent="0.25">
      <c r="A396" s="100"/>
      <c r="B396" s="103"/>
      <c r="C396" s="94" t="s">
        <v>31</v>
      </c>
      <c r="D396" s="141" t="s">
        <v>32</v>
      </c>
      <c r="E396" s="113">
        <v>0</v>
      </c>
      <c r="F396" s="113">
        <v>1725</v>
      </c>
      <c r="G396" s="113"/>
      <c r="H396" s="113">
        <f t="shared" ref="H396" si="58">SUM(E396+F396-G396)</f>
        <v>1725</v>
      </c>
      <c r="I396" s="252"/>
      <c r="J396" s="252"/>
      <c r="K396" s="252"/>
      <c r="L396" s="252"/>
      <c r="M396" s="252"/>
    </row>
    <row r="397" spans="1:13" s="84" customFormat="1" ht="40.5" customHeight="1" x14ac:dyDescent="0.25">
      <c r="A397" s="100"/>
      <c r="B397" s="103"/>
      <c r="C397" s="94"/>
      <c r="D397" s="225" t="s">
        <v>330</v>
      </c>
      <c r="E397" s="109">
        <v>642214.38</v>
      </c>
      <c r="F397" s="109">
        <f>SUM(F398:F411)</f>
        <v>55086.39</v>
      </c>
      <c r="G397" s="109">
        <f>SUM(G398:G411)</f>
        <v>55086.39</v>
      </c>
      <c r="H397" s="109">
        <f>SUM(E397+F397-G397)</f>
        <v>642214.38</v>
      </c>
      <c r="I397" s="253"/>
      <c r="J397" s="253"/>
      <c r="K397" s="253"/>
      <c r="L397" s="253"/>
      <c r="M397" s="253"/>
    </row>
    <row r="398" spans="1:13" s="84" customFormat="1" ht="12.75" x14ac:dyDescent="0.25">
      <c r="A398" s="100"/>
      <c r="B398" s="103"/>
      <c r="C398" s="3">
        <v>4117</v>
      </c>
      <c r="D398" s="7" t="s">
        <v>74</v>
      </c>
      <c r="E398" s="113">
        <v>35288.26999999999</v>
      </c>
      <c r="F398" s="113"/>
      <c r="G398" s="113">
        <v>7647.39</v>
      </c>
      <c r="H398" s="113">
        <f t="shared" ref="H398:H411" si="59">SUM(E398+F398-G398)</f>
        <v>27640.87999999999</v>
      </c>
      <c r="I398" s="252"/>
      <c r="J398" s="252"/>
      <c r="K398" s="252"/>
      <c r="L398" s="252"/>
      <c r="M398" s="252"/>
    </row>
    <row r="399" spans="1:13" s="84" customFormat="1" ht="12.75" x14ac:dyDescent="0.25">
      <c r="A399" s="100"/>
      <c r="B399" s="103"/>
      <c r="C399" s="3">
        <v>4119</v>
      </c>
      <c r="D399" s="7" t="s">
        <v>74</v>
      </c>
      <c r="E399" s="113">
        <v>7475.02</v>
      </c>
      <c r="F399" s="113"/>
      <c r="G399" s="113">
        <v>1620.14</v>
      </c>
      <c r="H399" s="113">
        <f t="shared" si="59"/>
        <v>5854.88</v>
      </c>
      <c r="I399" s="252"/>
      <c r="J399" s="252"/>
      <c r="K399" s="252"/>
      <c r="L399" s="252"/>
      <c r="M399" s="252"/>
    </row>
    <row r="400" spans="1:13" s="84" customFormat="1" ht="12.75" x14ac:dyDescent="0.25">
      <c r="A400" s="100"/>
      <c r="B400" s="103"/>
      <c r="C400" s="3">
        <v>4127</v>
      </c>
      <c r="D400" s="8" t="s">
        <v>76</v>
      </c>
      <c r="E400" s="113">
        <v>7953.1999999999971</v>
      </c>
      <c r="F400" s="113"/>
      <c r="G400" s="113">
        <v>4625.79</v>
      </c>
      <c r="H400" s="113">
        <f t="shared" si="59"/>
        <v>3327.4099999999971</v>
      </c>
      <c r="I400" s="252"/>
      <c r="J400" s="252"/>
      <c r="K400" s="252"/>
      <c r="L400" s="252"/>
      <c r="M400" s="252"/>
    </row>
    <row r="401" spans="1:13" s="84" customFormat="1" ht="12.75" x14ac:dyDescent="0.25">
      <c r="A401" s="100"/>
      <c r="B401" s="103"/>
      <c r="C401" s="3">
        <v>4129</v>
      </c>
      <c r="D401" s="8" t="s">
        <v>76</v>
      </c>
      <c r="E401" s="113">
        <v>1684.7200000000012</v>
      </c>
      <c r="F401" s="113"/>
      <c r="G401" s="113">
        <v>979.96</v>
      </c>
      <c r="H401" s="113">
        <f t="shared" si="59"/>
        <v>704.76000000000113</v>
      </c>
      <c r="I401" s="252"/>
      <c r="J401" s="252"/>
      <c r="K401" s="252"/>
      <c r="L401" s="252"/>
      <c r="M401" s="252"/>
    </row>
    <row r="402" spans="1:13" s="84" customFormat="1" ht="12.75" x14ac:dyDescent="0.25">
      <c r="A402" s="100"/>
      <c r="B402" s="103"/>
      <c r="C402" s="140">
        <v>4177</v>
      </c>
      <c r="D402" s="139" t="s">
        <v>46</v>
      </c>
      <c r="E402" s="113">
        <v>275014.28999999998</v>
      </c>
      <c r="F402" s="113"/>
      <c r="G402" s="113">
        <v>24685.65</v>
      </c>
      <c r="H402" s="113">
        <f t="shared" si="59"/>
        <v>250328.63999999998</v>
      </c>
      <c r="I402" s="252"/>
      <c r="J402" s="252"/>
      <c r="K402" s="252"/>
      <c r="L402" s="252"/>
      <c r="M402" s="252"/>
    </row>
    <row r="403" spans="1:13" s="84" customFormat="1" ht="12.75" x14ac:dyDescent="0.25">
      <c r="A403" s="100"/>
      <c r="B403" s="103"/>
      <c r="C403" s="140">
        <v>4179</v>
      </c>
      <c r="D403" s="139" t="s">
        <v>46</v>
      </c>
      <c r="E403" s="113">
        <v>58255.649999999994</v>
      </c>
      <c r="F403" s="113"/>
      <c r="G403" s="113">
        <v>5229.3900000000003</v>
      </c>
      <c r="H403" s="113">
        <f t="shared" si="59"/>
        <v>53026.259999999995</v>
      </c>
      <c r="I403" s="252"/>
      <c r="J403" s="252"/>
      <c r="K403" s="252"/>
      <c r="L403" s="252"/>
      <c r="M403" s="252"/>
    </row>
    <row r="404" spans="1:13" s="84" customFormat="1" ht="12.75" x14ac:dyDescent="0.25">
      <c r="A404" s="100"/>
      <c r="B404" s="103"/>
      <c r="C404" s="119">
        <v>4217</v>
      </c>
      <c r="D404" s="141" t="s">
        <v>32</v>
      </c>
      <c r="E404" s="113">
        <v>2719.2200000000003</v>
      </c>
      <c r="F404" s="113"/>
      <c r="G404" s="113">
        <v>2490.85</v>
      </c>
      <c r="H404" s="113">
        <f t="shared" si="59"/>
        <v>228.37000000000035</v>
      </c>
      <c r="I404" s="252"/>
      <c r="J404" s="252"/>
      <c r="K404" s="252"/>
      <c r="L404" s="252"/>
      <c r="M404" s="252"/>
    </row>
    <row r="405" spans="1:13" s="84" customFormat="1" ht="12.75" x14ac:dyDescent="0.25">
      <c r="A405" s="100"/>
      <c r="B405" s="103"/>
      <c r="C405" s="119">
        <v>4219</v>
      </c>
      <c r="D405" s="141" t="s">
        <v>32</v>
      </c>
      <c r="E405" s="113">
        <v>576</v>
      </c>
      <c r="F405" s="113"/>
      <c r="G405" s="113">
        <v>527.62</v>
      </c>
      <c r="H405" s="113">
        <f t="shared" si="59"/>
        <v>48.379999999999995</v>
      </c>
      <c r="I405" s="252"/>
      <c r="J405" s="252"/>
      <c r="K405" s="252"/>
      <c r="L405" s="252"/>
      <c r="M405" s="252"/>
    </row>
    <row r="406" spans="1:13" s="84" customFormat="1" ht="12.75" x14ac:dyDescent="0.25">
      <c r="A406" s="100"/>
      <c r="B406" s="103"/>
      <c r="C406" s="131">
        <v>4227</v>
      </c>
      <c r="D406" s="226" t="s">
        <v>66</v>
      </c>
      <c r="E406" s="113">
        <v>4126</v>
      </c>
      <c r="F406" s="113"/>
      <c r="G406" s="113">
        <v>4126</v>
      </c>
      <c r="H406" s="113">
        <f t="shared" si="59"/>
        <v>0</v>
      </c>
      <c r="I406" s="252"/>
      <c r="J406" s="252"/>
      <c r="K406" s="252"/>
      <c r="L406" s="252"/>
      <c r="M406" s="252"/>
    </row>
    <row r="407" spans="1:13" s="84" customFormat="1" ht="12.75" x14ac:dyDescent="0.25">
      <c r="A407" s="100"/>
      <c r="B407" s="103"/>
      <c r="C407" s="131">
        <v>4229</v>
      </c>
      <c r="D407" s="226" t="s">
        <v>66</v>
      </c>
      <c r="E407" s="113">
        <v>874</v>
      </c>
      <c r="F407" s="113"/>
      <c r="G407" s="113">
        <v>874</v>
      </c>
      <c r="H407" s="113">
        <f t="shared" si="59"/>
        <v>0</v>
      </c>
      <c r="I407" s="252"/>
      <c r="J407" s="252"/>
      <c r="K407" s="252"/>
      <c r="L407" s="252"/>
      <c r="M407" s="252"/>
    </row>
    <row r="408" spans="1:13" s="84" customFormat="1" ht="12.75" x14ac:dyDescent="0.25">
      <c r="A408" s="100"/>
      <c r="B408" s="103"/>
      <c r="C408" s="119">
        <v>4307</v>
      </c>
      <c r="D408" s="141" t="s">
        <v>50</v>
      </c>
      <c r="E408" s="113">
        <v>119655.89</v>
      </c>
      <c r="F408" s="113">
        <v>45456.35</v>
      </c>
      <c r="G408" s="113"/>
      <c r="H408" s="113">
        <f t="shared" si="59"/>
        <v>165112.24</v>
      </c>
      <c r="I408" s="252"/>
      <c r="J408" s="252"/>
      <c r="K408" s="252"/>
      <c r="L408" s="252"/>
      <c r="M408" s="252"/>
    </row>
    <row r="409" spans="1:13" s="84" customFormat="1" ht="12.75" x14ac:dyDescent="0.25">
      <c r="A409" s="100"/>
      <c r="B409" s="103"/>
      <c r="C409" s="119">
        <v>4309</v>
      </c>
      <c r="D409" s="141" t="s">
        <v>50</v>
      </c>
      <c r="E409" s="113">
        <v>25346.400000000001</v>
      </c>
      <c r="F409" s="113">
        <v>9630.0400000000009</v>
      </c>
      <c r="G409" s="113"/>
      <c r="H409" s="113">
        <f t="shared" si="59"/>
        <v>34976.44</v>
      </c>
      <c r="I409" s="252"/>
      <c r="J409" s="252"/>
      <c r="K409" s="252"/>
      <c r="L409" s="252"/>
      <c r="M409" s="252"/>
    </row>
    <row r="410" spans="1:13" s="84" customFormat="1" ht="12.75" x14ac:dyDescent="0.25">
      <c r="A410" s="100"/>
      <c r="B410" s="103"/>
      <c r="C410" s="131">
        <v>4717</v>
      </c>
      <c r="D410" s="226" t="s">
        <v>59</v>
      </c>
      <c r="E410" s="113">
        <v>3134.87</v>
      </c>
      <c r="F410" s="113"/>
      <c r="G410" s="113">
        <v>1880.67</v>
      </c>
      <c r="H410" s="113">
        <f t="shared" si="59"/>
        <v>1254.1999999999998</v>
      </c>
      <c r="I410" s="252"/>
      <c r="J410" s="252"/>
      <c r="K410" s="252"/>
      <c r="L410" s="252"/>
      <c r="M410" s="252"/>
    </row>
    <row r="411" spans="1:13" s="84" customFormat="1" ht="12.75" x14ac:dyDescent="0.25">
      <c r="A411" s="100"/>
      <c r="B411" s="103"/>
      <c r="C411" s="131">
        <v>4719</v>
      </c>
      <c r="D411" s="226" t="s">
        <v>59</v>
      </c>
      <c r="E411" s="113">
        <v>664.54</v>
      </c>
      <c r="F411" s="113"/>
      <c r="G411" s="113">
        <v>398.93</v>
      </c>
      <c r="H411" s="113">
        <f t="shared" si="59"/>
        <v>265.60999999999996</v>
      </c>
      <c r="I411" s="252"/>
      <c r="J411" s="252"/>
      <c r="K411" s="252"/>
      <c r="L411" s="252"/>
      <c r="M411" s="252"/>
    </row>
    <row r="412" spans="1:13" s="84" customFormat="1" ht="25.5" x14ac:dyDescent="0.25">
      <c r="A412" s="100"/>
      <c r="B412" s="103"/>
      <c r="C412" s="94"/>
      <c r="D412" s="181" t="s">
        <v>331</v>
      </c>
      <c r="E412" s="109">
        <v>77040</v>
      </c>
      <c r="F412" s="109">
        <f>SUM(F413:F414)</f>
        <v>2000</v>
      </c>
      <c r="G412" s="109">
        <f>SUM(G413:G414)</f>
        <v>2000</v>
      </c>
      <c r="H412" s="109">
        <f>SUM(E412+F412-G412)</f>
        <v>77040</v>
      </c>
      <c r="I412" s="253"/>
      <c r="J412" s="253"/>
      <c r="K412" s="253"/>
      <c r="L412" s="253"/>
      <c r="M412" s="253"/>
    </row>
    <row r="413" spans="1:13" s="84" customFormat="1" ht="12.75" x14ac:dyDescent="0.25">
      <c r="A413" s="100"/>
      <c r="B413" s="103"/>
      <c r="C413" s="3">
        <v>4217</v>
      </c>
      <c r="D413" s="8" t="s">
        <v>77</v>
      </c>
      <c r="E413" s="113">
        <v>2460</v>
      </c>
      <c r="F413" s="113">
        <v>2000</v>
      </c>
      <c r="G413" s="113"/>
      <c r="H413" s="113">
        <f t="shared" ref="H413:H414" si="60">SUM(E413+F413-G413)</f>
        <v>4460</v>
      </c>
      <c r="I413" s="252"/>
      <c r="J413" s="252"/>
      <c r="K413" s="252"/>
      <c r="L413" s="252"/>
      <c r="M413" s="252"/>
    </row>
    <row r="414" spans="1:13" s="84" customFormat="1" ht="12.75" x14ac:dyDescent="0.25">
      <c r="A414" s="128"/>
      <c r="B414" s="149"/>
      <c r="C414" s="227">
        <v>4307</v>
      </c>
      <c r="D414" s="6" t="s">
        <v>78</v>
      </c>
      <c r="E414" s="105">
        <v>43880</v>
      </c>
      <c r="F414" s="105"/>
      <c r="G414" s="105">
        <v>2000</v>
      </c>
      <c r="H414" s="105">
        <f t="shared" si="60"/>
        <v>41880</v>
      </c>
      <c r="I414" s="252"/>
      <c r="J414" s="252"/>
      <c r="K414" s="252"/>
      <c r="L414" s="252"/>
      <c r="M414" s="252"/>
    </row>
    <row r="415" spans="1:13" s="84" customFormat="1" ht="13.5" thickBot="1" x14ac:dyDescent="0.3">
      <c r="A415" s="100">
        <v>854</v>
      </c>
      <c r="B415" s="100"/>
      <c r="C415" s="99"/>
      <c r="D415" s="101" t="s">
        <v>79</v>
      </c>
      <c r="E415" s="98">
        <v>37413352.200000003</v>
      </c>
      <c r="F415" s="102">
        <f>SUM(F416,F430,F422,)</f>
        <v>25824</v>
      </c>
      <c r="G415" s="102">
        <f>SUM(G416,G430,G422,)</f>
        <v>25824</v>
      </c>
      <c r="H415" s="98">
        <f t="shared" ref="H415:H416" si="61">SUM(E415+F415-G415)</f>
        <v>37413352.200000003</v>
      </c>
      <c r="I415" s="251"/>
      <c r="J415" s="251"/>
      <c r="K415" s="251"/>
      <c r="L415" s="251"/>
      <c r="M415" s="251"/>
    </row>
    <row r="416" spans="1:13" s="84" customFormat="1" ht="13.5" thickTop="1" x14ac:dyDescent="0.25">
      <c r="A416" s="100"/>
      <c r="B416" s="119">
        <v>85406</v>
      </c>
      <c r="C416" s="123"/>
      <c r="D416" s="149" t="s">
        <v>332</v>
      </c>
      <c r="E416" s="105">
        <v>6937155.5199999996</v>
      </c>
      <c r="F416" s="106">
        <f>SUM(F417)</f>
        <v>2511</v>
      </c>
      <c r="G416" s="106">
        <f>SUM(G417)</f>
        <v>2511</v>
      </c>
      <c r="H416" s="105">
        <f t="shared" si="61"/>
        <v>6937155.5199999996</v>
      </c>
      <c r="I416" s="252"/>
      <c r="J416" s="252"/>
      <c r="K416" s="252"/>
      <c r="L416" s="252"/>
      <c r="M416" s="252"/>
    </row>
    <row r="417" spans="1:13" s="84" customFormat="1" ht="12.75" x14ac:dyDescent="0.25">
      <c r="A417" s="100"/>
      <c r="B417" s="119"/>
      <c r="C417" s="94"/>
      <c r="D417" s="121" t="s">
        <v>23</v>
      </c>
      <c r="E417" s="109">
        <v>6813250.5</v>
      </c>
      <c r="F417" s="109">
        <f>SUM(F418:F421)</f>
        <v>2511</v>
      </c>
      <c r="G417" s="109">
        <f>SUM(G418:G421)</f>
        <v>2511</v>
      </c>
      <c r="H417" s="109">
        <f>SUM(E417+F417-G417)</f>
        <v>6813250.5</v>
      </c>
      <c r="I417" s="253"/>
      <c r="J417" s="253"/>
      <c r="K417" s="253"/>
      <c r="L417" s="253"/>
      <c r="M417" s="253"/>
    </row>
    <row r="418" spans="1:13" s="84" customFormat="1" ht="12.75" x14ac:dyDescent="0.25">
      <c r="A418" s="100"/>
      <c r="B418" s="119"/>
      <c r="C418" s="140">
        <v>3020</v>
      </c>
      <c r="D418" s="139" t="s">
        <v>42</v>
      </c>
      <c r="E418" s="113">
        <v>6195</v>
      </c>
      <c r="F418" s="113">
        <v>2511</v>
      </c>
      <c r="G418" s="113"/>
      <c r="H418" s="113">
        <f t="shared" ref="H418:H421" si="62">SUM(E418+F418-G418)</f>
        <v>8706</v>
      </c>
      <c r="I418" s="252"/>
      <c r="J418" s="252"/>
      <c r="K418" s="252"/>
      <c r="L418" s="252"/>
      <c r="M418" s="252"/>
    </row>
    <row r="419" spans="1:13" s="84" customFormat="1" ht="12.75" x14ac:dyDescent="0.25">
      <c r="A419" s="100"/>
      <c r="B419" s="119"/>
      <c r="C419" s="94" t="s">
        <v>63</v>
      </c>
      <c r="D419" s="141" t="s">
        <v>12</v>
      </c>
      <c r="E419" s="113">
        <v>113025</v>
      </c>
      <c r="F419" s="113"/>
      <c r="G419" s="113">
        <v>2000</v>
      </c>
      <c r="H419" s="113">
        <f>E419+F419-G419</f>
        <v>111025</v>
      </c>
      <c r="I419" s="252"/>
      <c r="J419" s="252"/>
      <c r="K419" s="252"/>
      <c r="L419" s="252"/>
      <c r="M419" s="252"/>
    </row>
    <row r="420" spans="1:13" s="84" customFormat="1" ht="12.75" x14ac:dyDescent="0.25">
      <c r="A420" s="100"/>
      <c r="B420" s="119"/>
      <c r="C420" s="140">
        <v>4170</v>
      </c>
      <c r="D420" s="139" t="s">
        <v>46</v>
      </c>
      <c r="E420" s="113">
        <v>1117</v>
      </c>
      <c r="F420" s="113"/>
      <c r="G420" s="113">
        <v>384</v>
      </c>
      <c r="H420" s="113">
        <f>E420+F420-G420</f>
        <v>733</v>
      </c>
      <c r="I420" s="252"/>
      <c r="J420" s="252"/>
      <c r="K420" s="252"/>
      <c r="L420" s="252"/>
      <c r="M420" s="252"/>
    </row>
    <row r="421" spans="1:13" s="84" customFormat="1" ht="12.75" x14ac:dyDescent="0.25">
      <c r="A421" s="100"/>
      <c r="B421" s="119"/>
      <c r="C421" s="140">
        <v>4410</v>
      </c>
      <c r="D421" s="139" t="s">
        <v>53</v>
      </c>
      <c r="E421" s="113">
        <v>927</v>
      </c>
      <c r="F421" s="113"/>
      <c r="G421" s="113">
        <v>127</v>
      </c>
      <c r="H421" s="113">
        <f t="shared" si="62"/>
        <v>800</v>
      </c>
      <c r="I421" s="252"/>
      <c r="J421" s="252"/>
      <c r="K421" s="252"/>
      <c r="L421" s="252"/>
      <c r="M421" s="252"/>
    </row>
    <row r="422" spans="1:13" s="84" customFormat="1" ht="12.75" x14ac:dyDescent="0.25">
      <c r="A422" s="100"/>
      <c r="B422" s="119">
        <v>85410</v>
      </c>
      <c r="C422" s="94"/>
      <c r="D422" s="228" t="s">
        <v>195</v>
      </c>
      <c r="E422" s="105">
        <v>18006460.93</v>
      </c>
      <c r="F422" s="105">
        <f>SUM(F423)</f>
        <v>18313</v>
      </c>
      <c r="G422" s="105">
        <f>SUM(G423)</f>
        <v>18313</v>
      </c>
      <c r="H422" s="105">
        <f>SUM(E422+F422-G422)</f>
        <v>18006460.93</v>
      </c>
      <c r="I422" s="252"/>
      <c r="J422" s="252"/>
      <c r="K422" s="252"/>
      <c r="L422" s="252"/>
      <c r="M422" s="252"/>
    </row>
    <row r="423" spans="1:13" s="84" customFormat="1" ht="12.75" x14ac:dyDescent="0.25">
      <c r="A423" s="100"/>
      <c r="C423" s="94"/>
      <c r="D423" s="229" t="s">
        <v>23</v>
      </c>
      <c r="E423" s="230">
        <v>4696378.0199999996</v>
      </c>
      <c r="F423" s="230">
        <f>SUM(F424:F429)</f>
        <v>18313</v>
      </c>
      <c r="G423" s="230">
        <f>SUM(G424:G429)</f>
        <v>18313</v>
      </c>
      <c r="H423" s="230">
        <f t="shared" ref="H423:H433" si="63">SUM(E423+F423-G423)</f>
        <v>4696378.0199999996</v>
      </c>
      <c r="I423" s="252"/>
      <c r="J423" s="252"/>
      <c r="K423" s="252"/>
      <c r="L423" s="252"/>
      <c r="M423" s="252"/>
    </row>
    <row r="424" spans="1:13" s="84" customFormat="1" ht="12.75" x14ac:dyDescent="0.25">
      <c r="A424" s="100"/>
      <c r="B424" s="119"/>
      <c r="C424" s="140">
        <v>3020</v>
      </c>
      <c r="D424" s="139" t="s">
        <v>42</v>
      </c>
      <c r="E424" s="113">
        <v>10535</v>
      </c>
      <c r="F424" s="113">
        <v>2208</v>
      </c>
      <c r="G424" s="113"/>
      <c r="H424" s="113">
        <f t="shared" si="63"/>
        <v>12743</v>
      </c>
      <c r="I424" s="252"/>
      <c r="J424" s="252"/>
      <c r="K424" s="252"/>
      <c r="L424" s="252"/>
      <c r="M424" s="252"/>
    </row>
    <row r="425" spans="1:13" s="84" customFormat="1" ht="12" customHeight="1" x14ac:dyDescent="0.25">
      <c r="A425" s="100"/>
      <c r="B425" s="119"/>
      <c r="C425" s="140">
        <v>4140</v>
      </c>
      <c r="D425" s="112" t="s">
        <v>45</v>
      </c>
      <c r="E425" s="113">
        <v>5105</v>
      </c>
      <c r="F425" s="113"/>
      <c r="G425" s="113">
        <v>5105</v>
      </c>
      <c r="H425" s="113">
        <f t="shared" si="63"/>
        <v>0</v>
      </c>
      <c r="I425" s="252"/>
      <c r="J425" s="252"/>
      <c r="K425" s="252"/>
      <c r="L425" s="252"/>
      <c r="M425" s="252"/>
    </row>
    <row r="426" spans="1:13" s="84" customFormat="1" ht="12.75" x14ac:dyDescent="0.25">
      <c r="A426" s="100"/>
      <c r="B426" s="119"/>
      <c r="C426" s="138" t="s">
        <v>31</v>
      </c>
      <c r="D426" s="139" t="s">
        <v>32</v>
      </c>
      <c r="E426" s="113">
        <v>73169.100000000006</v>
      </c>
      <c r="F426" s="113">
        <v>15105</v>
      </c>
      <c r="G426" s="113"/>
      <c r="H426" s="113">
        <f t="shared" si="63"/>
        <v>88274.1</v>
      </c>
      <c r="I426" s="252"/>
      <c r="J426" s="252"/>
      <c r="K426" s="252"/>
      <c r="L426" s="252"/>
      <c r="M426" s="252"/>
    </row>
    <row r="427" spans="1:13" s="84" customFormat="1" ht="12.75" x14ac:dyDescent="0.25">
      <c r="A427" s="100"/>
      <c r="B427" s="119"/>
      <c r="C427" s="140">
        <v>4300</v>
      </c>
      <c r="D427" s="139" t="s">
        <v>50</v>
      </c>
      <c r="E427" s="113">
        <v>253740</v>
      </c>
      <c r="F427" s="113"/>
      <c r="G427" s="113">
        <v>1000</v>
      </c>
      <c r="H427" s="113">
        <f t="shared" si="63"/>
        <v>252740</v>
      </c>
      <c r="I427" s="252"/>
      <c r="J427" s="252"/>
      <c r="K427" s="252"/>
      <c r="L427" s="252"/>
      <c r="M427" s="252"/>
    </row>
    <row r="428" spans="1:13" s="84" customFormat="1" ht="12.75" x14ac:dyDescent="0.25">
      <c r="A428" s="100"/>
      <c r="B428" s="119"/>
      <c r="C428" s="140">
        <v>4360</v>
      </c>
      <c r="D428" s="139" t="s">
        <v>51</v>
      </c>
      <c r="E428" s="113">
        <v>3000</v>
      </c>
      <c r="F428" s="113">
        <v>1000</v>
      </c>
      <c r="G428" s="113"/>
      <c r="H428" s="113">
        <f t="shared" si="63"/>
        <v>4000</v>
      </c>
      <c r="I428" s="252"/>
      <c r="J428" s="252"/>
      <c r="K428" s="252"/>
      <c r="L428" s="252"/>
      <c r="M428" s="252"/>
    </row>
    <row r="429" spans="1:13" s="84" customFormat="1" ht="12.75" x14ac:dyDescent="0.25">
      <c r="A429" s="100"/>
      <c r="B429" s="119"/>
      <c r="C429" s="119">
        <v>4710</v>
      </c>
      <c r="D429" s="68" t="s">
        <v>59</v>
      </c>
      <c r="E429" s="113">
        <v>29647</v>
      </c>
      <c r="F429" s="113"/>
      <c r="G429" s="113">
        <v>12208</v>
      </c>
      <c r="H429" s="113">
        <f t="shared" si="63"/>
        <v>17439</v>
      </c>
      <c r="I429" s="252"/>
      <c r="J429" s="252"/>
      <c r="K429" s="252"/>
      <c r="L429" s="252"/>
      <c r="M429" s="252"/>
    </row>
    <row r="430" spans="1:13" s="84" customFormat="1" ht="12.75" x14ac:dyDescent="0.25">
      <c r="A430" s="100"/>
      <c r="B430" s="119">
        <v>85420</v>
      </c>
      <c r="C430" s="123"/>
      <c r="D430" s="149" t="s">
        <v>223</v>
      </c>
      <c r="E430" s="105">
        <v>9973252.3599999994</v>
      </c>
      <c r="F430" s="106">
        <f>SUM(F431)</f>
        <v>5000</v>
      </c>
      <c r="G430" s="106">
        <f>SUM(G431)</f>
        <v>5000</v>
      </c>
      <c r="H430" s="105">
        <f t="shared" si="63"/>
        <v>9973252.3599999994</v>
      </c>
      <c r="I430" s="252"/>
      <c r="J430" s="252"/>
      <c r="K430" s="252"/>
      <c r="L430" s="252"/>
      <c r="M430" s="252"/>
    </row>
    <row r="431" spans="1:13" s="84" customFormat="1" ht="12.75" x14ac:dyDescent="0.25">
      <c r="A431" s="100"/>
      <c r="B431" s="103"/>
      <c r="C431" s="94"/>
      <c r="D431" s="121" t="s">
        <v>23</v>
      </c>
      <c r="E431" s="109">
        <v>9708252.3599999994</v>
      </c>
      <c r="F431" s="109">
        <f>SUM(F432:F433)</f>
        <v>5000</v>
      </c>
      <c r="G431" s="109">
        <f>SUM(G432:G433)</f>
        <v>5000</v>
      </c>
      <c r="H431" s="109">
        <f t="shared" si="63"/>
        <v>9708252.3599999994</v>
      </c>
      <c r="I431" s="253"/>
      <c r="J431" s="253"/>
      <c r="K431" s="253"/>
      <c r="L431" s="253"/>
      <c r="M431" s="253"/>
    </row>
    <row r="432" spans="1:13" s="84" customFormat="1" ht="12" customHeight="1" x14ac:dyDescent="0.25">
      <c r="A432" s="100"/>
      <c r="B432" s="103"/>
      <c r="C432" s="140">
        <v>4390</v>
      </c>
      <c r="D432" s="112" t="s">
        <v>52</v>
      </c>
      <c r="E432" s="113">
        <v>10000</v>
      </c>
      <c r="F432" s="113"/>
      <c r="G432" s="113">
        <v>5000</v>
      </c>
      <c r="H432" s="113">
        <f t="shared" si="63"/>
        <v>5000</v>
      </c>
      <c r="I432" s="252"/>
      <c r="J432" s="252"/>
      <c r="K432" s="252"/>
      <c r="L432" s="252"/>
      <c r="M432" s="252"/>
    </row>
    <row r="433" spans="1:13" s="84" customFormat="1" ht="12.75" x14ac:dyDescent="0.25">
      <c r="A433" s="100"/>
      <c r="B433" s="103"/>
      <c r="C433" s="140">
        <v>4430</v>
      </c>
      <c r="D433" s="139" t="s">
        <v>54</v>
      </c>
      <c r="E433" s="113">
        <v>7000</v>
      </c>
      <c r="F433" s="113">
        <v>5000</v>
      </c>
      <c r="G433" s="113"/>
      <c r="H433" s="113">
        <f t="shared" si="63"/>
        <v>12000</v>
      </c>
      <c r="I433" s="252"/>
      <c r="J433" s="252"/>
      <c r="K433" s="252"/>
      <c r="L433" s="252"/>
      <c r="M433" s="252"/>
    </row>
    <row r="434" spans="1:13" s="84" customFormat="1" ht="12" customHeight="1" thickBot="1" x14ac:dyDescent="0.3">
      <c r="A434" s="100">
        <v>855</v>
      </c>
      <c r="B434" s="100"/>
      <c r="C434" s="99"/>
      <c r="D434" s="101" t="s">
        <v>39</v>
      </c>
      <c r="E434" s="2">
        <v>24738567.859999999</v>
      </c>
      <c r="F434" s="102">
        <f>SUM(F435,F441,)</f>
        <v>643467</v>
      </c>
      <c r="G434" s="102">
        <f>SUM(G435,G441,)</f>
        <v>117841</v>
      </c>
      <c r="H434" s="98">
        <f>SUM(E434+F434-G434)</f>
        <v>25264193.859999999</v>
      </c>
      <c r="I434" s="251"/>
      <c r="J434" s="251"/>
      <c r="K434" s="251"/>
      <c r="L434" s="251"/>
      <c r="M434" s="251"/>
    </row>
    <row r="435" spans="1:13" s="84" customFormat="1" ht="12" customHeight="1" thickTop="1" x14ac:dyDescent="0.25">
      <c r="A435" s="100"/>
      <c r="B435" s="119">
        <v>85508</v>
      </c>
      <c r="C435" s="123"/>
      <c r="D435" s="201" t="s">
        <v>333</v>
      </c>
      <c r="E435" s="105">
        <v>5122547.9399999995</v>
      </c>
      <c r="F435" s="105">
        <f>SUM(F436)</f>
        <v>15070</v>
      </c>
      <c r="G435" s="105">
        <f>SUM(G436)</f>
        <v>2570</v>
      </c>
      <c r="H435" s="105">
        <f t="shared" ref="H435:H488" si="64">SUM(E435+F435-G435)</f>
        <v>5135047.9399999995</v>
      </c>
      <c r="I435" s="252"/>
      <c r="J435" s="252"/>
      <c r="K435" s="252"/>
      <c r="L435" s="252"/>
      <c r="M435" s="252"/>
    </row>
    <row r="436" spans="1:13" s="84" customFormat="1" ht="12" customHeight="1" x14ac:dyDescent="0.25">
      <c r="A436" s="100"/>
      <c r="B436" s="115"/>
      <c r="C436" s="172"/>
      <c r="D436" s="199" t="s">
        <v>334</v>
      </c>
      <c r="E436" s="109">
        <v>1058406.8599999999</v>
      </c>
      <c r="F436" s="110">
        <f>SUM(F437:F440)</f>
        <v>15070</v>
      </c>
      <c r="G436" s="110">
        <f>SUM(G437:G440)</f>
        <v>2570</v>
      </c>
      <c r="H436" s="109">
        <f t="shared" si="64"/>
        <v>1070906.8599999999</v>
      </c>
      <c r="I436" s="253"/>
      <c r="J436" s="253"/>
      <c r="K436" s="253"/>
      <c r="L436" s="253"/>
      <c r="M436" s="253"/>
    </row>
    <row r="437" spans="1:13" s="84" customFormat="1" ht="12" customHeight="1" x14ac:dyDescent="0.25">
      <c r="A437" s="100"/>
      <c r="B437" s="115"/>
      <c r="C437" s="119">
        <v>4010</v>
      </c>
      <c r="D437" s="141" t="s">
        <v>43</v>
      </c>
      <c r="E437" s="113">
        <v>747931.86</v>
      </c>
      <c r="F437" s="114">
        <v>6000</v>
      </c>
      <c r="G437" s="114"/>
      <c r="H437" s="114">
        <f t="shared" si="64"/>
        <v>753931.86</v>
      </c>
      <c r="I437" s="255"/>
      <c r="J437" s="255"/>
      <c r="K437" s="255"/>
      <c r="L437" s="255"/>
      <c r="M437" s="255"/>
    </row>
    <row r="438" spans="1:13" s="84" customFormat="1" ht="12" customHeight="1" x14ac:dyDescent="0.25">
      <c r="A438" s="100"/>
      <c r="B438" s="115"/>
      <c r="C438" s="119">
        <v>4110</v>
      </c>
      <c r="D438" s="141" t="s">
        <v>24</v>
      </c>
      <c r="E438" s="113">
        <v>131130</v>
      </c>
      <c r="F438" s="114">
        <v>7500</v>
      </c>
      <c r="G438" s="114"/>
      <c r="H438" s="114">
        <f t="shared" si="64"/>
        <v>138630</v>
      </c>
      <c r="I438" s="255"/>
      <c r="J438" s="255"/>
      <c r="K438" s="255"/>
      <c r="L438" s="255"/>
      <c r="M438" s="255"/>
    </row>
    <row r="439" spans="1:13" s="84" customFormat="1" ht="12" customHeight="1" x14ac:dyDescent="0.25">
      <c r="A439" s="100"/>
      <c r="B439" s="115"/>
      <c r="C439" s="138" t="s">
        <v>31</v>
      </c>
      <c r="D439" s="139" t="s">
        <v>32</v>
      </c>
      <c r="E439" s="113">
        <v>19656</v>
      </c>
      <c r="F439" s="114">
        <v>1570</v>
      </c>
      <c r="G439" s="114"/>
      <c r="H439" s="114">
        <f t="shared" si="64"/>
        <v>21226</v>
      </c>
      <c r="I439" s="255"/>
      <c r="J439" s="255"/>
      <c r="K439" s="255"/>
      <c r="L439" s="255"/>
      <c r="M439" s="255"/>
    </row>
    <row r="440" spans="1:13" s="84" customFormat="1" ht="12" customHeight="1" x14ac:dyDescent="0.25">
      <c r="A440" s="100"/>
      <c r="B440" s="115"/>
      <c r="C440" s="140">
        <v>4410</v>
      </c>
      <c r="D440" s="139" t="s">
        <v>53</v>
      </c>
      <c r="E440" s="113">
        <v>6068</v>
      </c>
      <c r="F440" s="114"/>
      <c r="G440" s="114">
        <f>1000+1570</f>
        <v>2570</v>
      </c>
      <c r="H440" s="114">
        <f t="shared" si="64"/>
        <v>3498</v>
      </c>
      <c r="I440" s="255"/>
      <c r="J440" s="255"/>
      <c r="K440" s="255"/>
      <c r="L440" s="255"/>
      <c r="M440" s="255"/>
    </row>
    <row r="441" spans="1:13" s="84" customFormat="1" ht="12" customHeight="1" x14ac:dyDescent="0.25">
      <c r="A441" s="115"/>
      <c r="B441" s="119">
        <v>85510</v>
      </c>
      <c r="C441" s="94"/>
      <c r="D441" s="104" t="s">
        <v>118</v>
      </c>
      <c r="E441" s="105">
        <v>19292453.919999998</v>
      </c>
      <c r="F441" s="105">
        <f>SUM(F442,F448,F457,F460,)</f>
        <v>628397</v>
      </c>
      <c r="G441" s="105">
        <f>SUM(G442,G448,G457,G460,)</f>
        <v>115271</v>
      </c>
      <c r="H441" s="105">
        <f t="shared" si="64"/>
        <v>19805579.919999998</v>
      </c>
      <c r="I441" s="252"/>
      <c r="J441" s="252"/>
      <c r="K441" s="252"/>
      <c r="L441" s="252"/>
      <c r="M441" s="252"/>
    </row>
    <row r="442" spans="1:13" s="84" customFormat="1" ht="12" customHeight="1" x14ac:dyDescent="0.25">
      <c r="A442" s="115"/>
      <c r="B442" s="119"/>
      <c r="C442" s="94"/>
      <c r="D442" s="121" t="s">
        <v>335</v>
      </c>
      <c r="E442" s="109">
        <v>6062372.8799999999</v>
      </c>
      <c r="F442" s="110">
        <f>SUM(F443:F447)</f>
        <v>457058</v>
      </c>
      <c r="G442" s="110">
        <f>SUM(G443:G447)</f>
        <v>63932</v>
      </c>
      <c r="H442" s="109">
        <f t="shared" ref="H442:H459" si="65">SUM(E442+F442-G442)</f>
        <v>6455498.8799999999</v>
      </c>
      <c r="I442" s="253"/>
      <c r="J442" s="253"/>
      <c r="K442" s="253"/>
      <c r="L442" s="253"/>
      <c r="M442" s="253"/>
    </row>
    <row r="443" spans="1:13" s="84" customFormat="1" ht="12" customHeight="1" x14ac:dyDescent="0.25">
      <c r="A443" s="115"/>
      <c r="B443" s="119"/>
      <c r="C443" s="3">
        <v>4010</v>
      </c>
      <c r="D443" s="8" t="s">
        <v>43</v>
      </c>
      <c r="E443" s="113">
        <v>3478828.18</v>
      </c>
      <c r="F443" s="114">
        <v>399902</v>
      </c>
      <c r="G443" s="114"/>
      <c r="H443" s="114">
        <f t="shared" si="65"/>
        <v>3878730.18</v>
      </c>
      <c r="I443" s="255"/>
      <c r="J443" s="255"/>
      <c r="K443" s="255"/>
      <c r="L443" s="255"/>
      <c r="M443" s="255"/>
    </row>
    <row r="444" spans="1:13" s="84" customFormat="1" ht="12" customHeight="1" x14ac:dyDescent="0.25">
      <c r="A444" s="115"/>
      <c r="B444" s="119"/>
      <c r="C444" s="140">
        <v>4040</v>
      </c>
      <c r="D444" s="139" t="s">
        <v>44</v>
      </c>
      <c r="E444" s="113">
        <v>308415</v>
      </c>
      <c r="F444" s="114"/>
      <c r="G444" s="114">
        <v>36932</v>
      </c>
      <c r="H444" s="114">
        <f t="shared" si="65"/>
        <v>271483</v>
      </c>
      <c r="I444" s="255"/>
      <c r="J444" s="255"/>
      <c r="K444" s="255"/>
      <c r="L444" s="255"/>
      <c r="M444" s="255"/>
    </row>
    <row r="445" spans="1:13" s="84" customFormat="1" ht="12" customHeight="1" x14ac:dyDescent="0.25">
      <c r="A445" s="115"/>
      <c r="B445" s="119"/>
      <c r="C445" s="3">
        <v>4110</v>
      </c>
      <c r="D445" s="8" t="s">
        <v>336</v>
      </c>
      <c r="E445" s="113">
        <v>609411</v>
      </c>
      <c r="F445" s="114">
        <v>50037</v>
      </c>
      <c r="G445" s="114"/>
      <c r="H445" s="114">
        <f t="shared" si="65"/>
        <v>659448</v>
      </c>
      <c r="I445" s="255"/>
      <c r="J445" s="255"/>
      <c r="K445" s="255"/>
      <c r="L445" s="255"/>
      <c r="M445" s="255"/>
    </row>
    <row r="446" spans="1:13" s="84" customFormat="1" ht="12" customHeight="1" x14ac:dyDescent="0.25">
      <c r="A446" s="115"/>
      <c r="B446" s="119"/>
      <c r="C446" s="3">
        <v>4120</v>
      </c>
      <c r="D446" s="8" t="s">
        <v>12</v>
      </c>
      <c r="E446" s="113">
        <v>86705</v>
      </c>
      <c r="F446" s="114">
        <v>7119</v>
      </c>
      <c r="G446" s="114"/>
      <c r="H446" s="114">
        <f t="shared" si="65"/>
        <v>93824</v>
      </c>
      <c r="I446" s="255"/>
      <c r="J446" s="255"/>
      <c r="K446" s="255"/>
      <c r="L446" s="255"/>
      <c r="M446" s="255"/>
    </row>
    <row r="447" spans="1:13" s="84" customFormat="1" ht="12" customHeight="1" x14ac:dyDescent="0.25">
      <c r="A447" s="115"/>
      <c r="B447" s="119"/>
      <c r="C447" s="119">
        <v>4170</v>
      </c>
      <c r="D447" s="141" t="s">
        <v>46</v>
      </c>
      <c r="E447" s="113">
        <v>60000</v>
      </c>
      <c r="F447" s="114"/>
      <c r="G447" s="114">
        <v>27000</v>
      </c>
      <c r="H447" s="114">
        <f t="shared" si="65"/>
        <v>33000</v>
      </c>
      <c r="I447" s="255"/>
      <c r="J447" s="255"/>
      <c r="K447" s="255"/>
      <c r="L447" s="255"/>
      <c r="M447" s="255"/>
    </row>
    <row r="448" spans="1:13" s="84" customFormat="1" ht="12" customHeight="1" x14ac:dyDescent="0.25">
      <c r="A448" s="115"/>
      <c r="B448" s="119"/>
      <c r="C448" s="94"/>
      <c r="D448" s="150" t="s">
        <v>337</v>
      </c>
      <c r="E448" s="109">
        <v>3173660</v>
      </c>
      <c r="F448" s="110">
        <f>SUM(F449:F456)</f>
        <v>152710</v>
      </c>
      <c r="G448" s="110">
        <f>SUM(G449:G456)</f>
        <v>32710</v>
      </c>
      <c r="H448" s="109">
        <f t="shared" si="65"/>
        <v>3293660</v>
      </c>
      <c r="I448" s="253"/>
      <c r="J448" s="253"/>
      <c r="K448" s="253"/>
      <c r="L448" s="253"/>
      <c r="M448" s="253"/>
    </row>
    <row r="449" spans="1:13" s="84" customFormat="1" ht="12" customHeight="1" x14ac:dyDescent="0.25">
      <c r="A449" s="115"/>
      <c r="B449" s="119"/>
      <c r="C449" s="119">
        <v>4010</v>
      </c>
      <c r="D449" s="141" t="s">
        <v>43</v>
      </c>
      <c r="E449" s="113">
        <v>2009913</v>
      </c>
      <c r="F449" s="114">
        <v>120000</v>
      </c>
      <c r="G449" s="114"/>
      <c r="H449" s="114">
        <f t="shared" si="65"/>
        <v>2129913</v>
      </c>
      <c r="I449" s="255"/>
      <c r="J449" s="255"/>
      <c r="K449" s="255"/>
      <c r="L449" s="255"/>
      <c r="M449" s="255"/>
    </row>
    <row r="450" spans="1:13" s="84" customFormat="1" ht="12" customHeight="1" x14ac:dyDescent="0.25">
      <c r="A450" s="115"/>
      <c r="B450" s="119"/>
      <c r="C450" s="138" t="s">
        <v>31</v>
      </c>
      <c r="D450" s="139" t="s">
        <v>32</v>
      </c>
      <c r="E450" s="113">
        <v>45108</v>
      </c>
      <c r="F450" s="114">
        <v>15000</v>
      </c>
      <c r="G450" s="114"/>
      <c r="H450" s="114">
        <f t="shared" si="65"/>
        <v>60108</v>
      </c>
      <c r="I450" s="255"/>
      <c r="J450" s="255"/>
      <c r="K450" s="255"/>
      <c r="L450" s="255"/>
      <c r="M450" s="255"/>
    </row>
    <row r="451" spans="1:13" s="84" customFormat="1" ht="12" customHeight="1" x14ac:dyDescent="0.25">
      <c r="A451" s="115"/>
      <c r="B451" s="119"/>
      <c r="C451" s="140">
        <v>4220</v>
      </c>
      <c r="D451" s="139" t="s">
        <v>66</v>
      </c>
      <c r="E451" s="113">
        <v>133463</v>
      </c>
      <c r="F451" s="114"/>
      <c r="G451" s="114">
        <v>15000</v>
      </c>
      <c r="H451" s="114">
        <f t="shared" si="65"/>
        <v>118463</v>
      </c>
      <c r="I451" s="255"/>
      <c r="J451" s="255"/>
      <c r="K451" s="255"/>
      <c r="L451" s="255"/>
      <c r="M451" s="255"/>
    </row>
    <row r="452" spans="1:13" s="84" customFormat="1" ht="12" customHeight="1" x14ac:dyDescent="0.25">
      <c r="A452" s="115"/>
      <c r="B452" s="119"/>
      <c r="C452" s="140">
        <v>4260</v>
      </c>
      <c r="D452" s="139" t="s">
        <v>48</v>
      </c>
      <c r="E452" s="113">
        <v>75707</v>
      </c>
      <c r="F452" s="114"/>
      <c r="G452" s="114">
        <v>2710</v>
      </c>
      <c r="H452" s="114">
        <f t="shared" si="65"/>
        <v>72997</v>
      </c>
      <c r="I452" s="255"/>
      <c r="J452" s="255"/>
      <c r="K452" s="255"/>
      <c r="L452" s="255"/>
      <c r="M452" s="255"/>
    </row>
    <row r="453" spans="1:13" s="84" customFormat="1" ht="12" customHeight="1" x14ac:dyDescent="0.25">
      <c r="A453" s="115"/>
      <c r="B453" s="119"/>
      <c r="C453" s="140">
        <v>4270</v>
      </c>
      <c r="D453" s="139" t="s">
        <v>15</v>
      </c>
      <c r="E453" s="113">
        <v>10754</v>
      </c>
      <c r="F453" s="114"/>
      <c r="G453" s="114">
        <v>5000</v>
      </c>
      <c r="H453" s="114">
        <f t="shared" si="65"/>
        <v>5754</v>
      </c>
      <c r="I453" s="255"/>
      <c r="J453" s="255"/>
      <c r="K453" s="255"/>
      <c r="L453" s="255"/>
      <c r="M453" s="255"/>
    </row>
    <row r="454" spans="1:13" s="84" customFormat="1" ht="12" customHeight="1" x14ac:dyDescent="0.25">
      <c r="A454" s="115"/>
      <c r="B454" s="119"/>
      <c r="C454" s="140">
        <v>4300</v>
      </c>
      <c r="D454" s="139" t="s">
        <v>50</v>
      </c>
      <c r="E454" s="113">
        <v>87890</v>
      </c>
      <c r="F454" s="114">
        <v>15000</v>
      </c>
      <c r="G454" s="114"/>
      <c r="H454" s="114">
        <f t="shared" si="65"/>
        <v>102890</v>
      </c>
      <c r="I454" s="255"/>
      <c r="J454" s="255"/>
      <c r="K454" s="255"/>
      <c r="L454" s="255"/>
      <c r="M454" s="255"/>
    </row>
    <row r="455" spans="1:13" s="84" customFormat="1" ht="12" customHeight="1" x14ac:dyDescent="0.25">
      <c r="A455" s="115"/>
      <c r="B455" s="119"/>
      <c r="C455" s="119">
        <v>4430</v>
      </c>
      <c r="D455" s="141" t="s">
        <v>338</v>
      </c>
      <c r="E455" s="113">
        <v>5240</v>
      </c>
      <c r="F455" s="114">
        <v>2710</v>
      </c>
      <c r="G455" s="114"/>
      <c r="H455" s="114">
        <f t="shared" si="65"/>
        <v>7950</v>
      </c>
      <c r="I455" s="255"/>
      <c r="J455" s="255"/>
      <c r="K455" s="255"/>
      <c r="L455" s="255"/>
      <c r="M455" s="255"/>
    </row>
    <row r="456" spans="1:13" s="84" customFormat="1" ht="12" customHeight="1" x14ac:dyDescent="0.25">
      <c r="A456" s="115"/>
      <c r="B456" s="119"/>
      <c r="C456" s="119">
        <v>4710</v>
      </c>
      <c r="D456" s="68" t="s">
        <v>59</v>
      </c>
      <c r="E456" s="113">
        <v>16577</v>
      </c>
      <c r="F456" s="114"/>
      <c r="G456" s="114">
        <v>10000</v>
      </c>
      <c r="H456" s="114">
        <f t="shared" si="65"/>
        <v>6577</v>
      </c>
      <c r="I456" s="255"/>
      <c r="J456" s="255"/>
      <c r="K456" s="255"/>
      <c r="L456" s="255"/>
      <c r="M456" s="255"/>
    </row>
    <row r="457" spans="1:13" s="84" customFormat="1" ht="12" customHeight="1" x14ac:dyDescent="0.25">
      <c r="A457" s="115"/>
      <c r="B457" s="119"/>
      <c r="C457" s="94"/>
      <c r="D457" s="150" t="s">
        <v>339</v>
      </c>
      <c r="E457" s="109">
        <v>2607322.88</v>
      </c>
      <c r="F457" s="110">
        <f>SUM(F458:F459)</f>
        <v>2445</v>
      </c>
      <c r="G457" s="110">
        <f>SUM(G458:G459)</f>
        <v>2445</v>
      </c>
      <c r="H457" s="109">
        <f>SUM(E457+F457-G457)</f>
        <v>2607322.88</v>
      </c>
      <c r="I457" s="253"/>
      <c r="J457" s="253"/>
      <c r="K457" s="253"/>
      <c r="L457" s="253"/>
      <c r="M457" s="253"/>
    </row>
    <row r="458" spans="1:13" s="84" customFormat="1" ht="12" customHeight="1" x14ac:dyDescent="0.25">
      <c r="A458" s="115"/>
      <c r="B458" s="119"/>
      <c r="C458" s="138" t="s">
        <v>31</v>
      </c>
      <c r="D458" s="139" t="s">
        <v>32</v>
      </c>
      <c r="E458" s="4">
        <v>71771</v>
      </c>
      <c r="F458" s="114"/>
      <c r="G458" s="114">
        <v>2445</v>
      </c>
      <c r="H458" s="114">
        <f t="shared" si="65"/>
        <v>69326</v>
      </c>
      <c r="I458" s="255"/>
      <c r="J458" s="255"/>
      <c r="K458" s="255"/>
      <c r="L458" s="255"/>
      <c r="M458" s="255"/>
    </row>
    <row r="459" spans="1:13" s="84" customFormat="1" ht="12" customHeight="1" x14ac:dyDescent="0.25">
      <c r="A459" s="115"/>
      <c r="B459" s="119"/>
      <c r="C459" s="119">
        <v>4430</v>
      </c>
      <c r="D459" s="141" t="s">
        <v>338</v>
      </c>
      <c r="E459" s="4">
        <v>818</v>
      </c>
      <c r="F459" s="114">
        <v>2445</v>
      </c>
      <c r="G459" s="114"/>
      <c r="H459" s="114">
        <f t="shared" si="65"/>
        <v>3263</v>
      </c>
      <c r="I459" s="255"/>
      <c r="J459" s="255"/>
      <c r="K459" s="255"/>
      <c r="L459" s="255"/>
      <c r="M459" s="255"/>
    </row>
    <row r="460" spans="1:13" s="84" customFormat="1" ht="12" customHeight="1" x14ac:dyDescent="0.25">
      <c r="A460" s="115"/>
      <c r="B460" s="119"/>
      <c r="C460" s="94"/>
      <c r="D460" s="231" t="s">
        <v>340</v>
      </c>
      <c r="E460" s="109">
        <v>2640974.16</v>
      </c>
      <c r="F460" s="110">
        <f>SUM(F461:F464)</f>
        <v>16184</v>
      </c>
      <c r="G460" s="110">
        <f>SUM(G461:G464)</f>
        <v>16184</v>
      </c>
      <c r="H460" s="109">
        <f t="shared" si="64"/>
        <v>2640974.16</v>
      </c>
      <c r="I460" s="253"/>
      <c r="J460" s="253"/>
      <c r="K460" s="253"/>
      <c r="L460" s="253"/>
      <c r="M460" s="253"/>
    </row>
    <row r="461" spans="1:13" s="84" customFormat="1" ht="12" customHeight="1" x14ac:dyDescent="0.25">
      <c r="A461" s="115"/>
      <c r="B461" s="119"/>
      <c r="C461" s="119">
        <v>4120</v>
      </c>
      <c r="D461" s="139" t="s">
        <v>12</v>
      </c>
      <c r="E461" s="113">
        <v>33356.5</v>
      </c>
      <c r="F461" s="114">
        <v>3000</v>
      </c>
      <c r="G461" s="114"/>
      <c r="H461" s="114">
        <f t="shared" si="64"/>
        <v>36356.5</v>
      </c>
      <c r="I461" s="255"/>
      <c r="J461" s="255"/>
      <c r="K461" s="255"/>
      <c r="L461" s="255"/>
      <c r="M461" s="255"/>
    </row>
    <row r="462" spans="1:13" s="84" customFormat="1" ht="12" customHeight="1" x14ac:dyDescent="0.25">
      <c r="A462" s="115"/>
      <c r="B462" s="119"/>
      <c r="C462" s="138" t="s">
        <v>31</v>
      </c>
      <c r="D462" s="139" t="s">
        <v>32</v>
      </c>
      <c r="E462" s="113">
        <v>30160</v>
      </c>
      <c r="F462" s="114">
        <v>10000</v>
      </c>
      <c r="G462" s="114"/>
      <c r="H462" s="114">
        <f t="shared" si="64"/>
        <v>40160</v>
      </c>
      <c r="I462" s="255"/>
      <c r="J462" s="255"/>
      <c r="K462" s="255"/>
      <c r="L462" s="255"/>
      <c r="M462" s="255"/>
    </row>
    <row r="463" spans="1:13" s="84" customFormat="1" ht="12" customHeight="1" x14ac:dyDescent="0.25">
      <c r="A463" s="115"/>
      <c r="B463" s="119"/>
      <c r="C463" s="140">
        <v>4260</v>
      </c>
      <c r="D463" s="139" t="s">
        <v>48</v>
      </c>
      <c r="E463" s="113">
        <v>135600</v>
      </c>
      <c r="F463" s="114"/>
      <c r="G463" s="114">
        <v>16184</v>
      </c>
      <c r="H463" s="114">
        <f t="shared" si="64"/>
        <v>119416</v>
      </c>
      <c r="I463" s="255"/>
      <c r="J463" s="255"/>
      <c r="K463" s="255"/>
      <c r="L463" s="255"/>
      <c r="M463" s="255"/>
    </row>
    <row r="464" spans="1:13" s="84" customFormat="1" ht="12" customHeight="1" x14ac:dyDescent="0.25">
      <c r="A464" s="115"/>
      <c r="B464" s="119"/>
      <c r="C464" s="119">
        <v>4430</v>
      </c>
      <c r="D464" s="139" t="s">
        <v>338</v>
      </c>
      <c r="E464" s="113">
        <v>818</v>
      </c>
      <c r="F464" s="114">
        <v>3184</v>
      </c>
      <c r="G464" s="114"/>
      <c r="H464" s="114">
        <f t="shared" si="64"/>
        <v>4002</v>
      </c>
      <c r="I464" s="255"/>
      <c r="J464" s="255"/>
      <c r="K464" s="255"/>
      <c r="L464" s="255"/>
      <c r="M464" s="255"/>
    </row>
    <row r="465" spans="1:13" s="84" customFormat="1" ht="12" customHeight="1" thickBot="1" x14ac:dyDescent="0.3">
      <c r="A465" s="115">
        <v>900</v>
      </c>
      <c r="B465" s="100"/>
      <c r="C465" s="99"/>
      <c r="D465" s="101" t="s">
        <v>306</v>
      </c>
      <c r="E465" s="98">
        <v>1324793</v>
      </c>
      <c r="F465" s="102">
        <f>SUM(F466)</f>
        <v>1666476</v>
      </c>
      <c r="G465" s="102">
        <f>SUM(G466)</f>
        <v>0</v>
      </c>
      <c r="H465" s="98">
        <f t="shared" si="64"/>
        <v>2991269</v>
      </c>
      <c r="I465" s="251"/>
      <c r="J465" s="251"/>
      <c r="K465" s="251"/>
      <c r="L465" s="251"/>
      <c r="M465" s="251"/>
    </row>
    <row r="466" spans="1:13" s="84" customFormat="1" ht="12" customHeight="1" thickTop="1" x14ac:dyDescent="0.25">
      <c r="A466" s="115"/>
      <c r="B466" s="119">
        <v>90001</v>
      </c>
      <c r="C466" s="123"/>
      <c r="D466" s="232" t="s">
        <v>341</v>
      </c>
      <c r="E466" s="105">
        <v>1324793</v>
      </c>
      <c r="F466" s="106">
        <f>SUM(F467,F469,)</f>
        <v>1666476</v>
      </c>
      <c r="G466" s="106">
        <f>SUM(G467,G469,)</f>
        <v>0</v>
      </c>
      <c r="H466" s="105">
        <f t="shared" si="64"/>
        <v>2991269</v>
      </c>
      <c r="I466" s="252"/>
      <c r="J466" s="252"/>
      <c r="K466" s="252"/>
      <c r="L466" s="252"/>
      <c r="M466" s="252"/>
    </row>
    <row r="467" spans="1:13" s="84" customFormat="1" ht="12" customHeight="1" x14ac:dyDescent="0.25">
      <c r="A467" s="115"/>
      <c r="B467" s="93"/>
      <c r="C467" s="233"/>
      <c r="D467" s="137" t="s">
        <v>252</v>
      </c>
      <c r="E467" s="109">
        <v>1324793</v>
      </c>
      <c r="F467" s="110">
        <f>SUM(F468:F468)</f>
        <v>1555834</v>
      </c>
      <c r="G467" s="110">
        <f>SUM(G468:G468)</f>
        <v>0</v>
      </c>
      <c r="H467" s="109">
        <f>SUM(E467+F467-G467)</f>
        <v>2880627</v>
      </c>
      <c r="I467" s="253"/>
      <c r="J467" s="253"/>
      <c r="K467" s="253"/>
      <c r="L467" s="253"/>
      <c r="M467" s="253"/>
    </row>
    <row r="468" spans="1:13" s="84" customFormat="1" ht="12" customHeight="1" x14ac:dyDescent="0.25">
      <c r="A468" s="115"/>
      <c r="B468" s="93"/>
      <c r="C468" s="119">
        <v>4430</v>
      </c>
      <c r="D468" s="141" t="s">
        <v>338</v>
      </c>
      <c r="E468" s="234">
        <v>1024793</v>
      </c>
      <c r="F468" s="114">
        <v>1555834</v>
      </c>
      <c r="G468" s="114"/>
      <c r="H468" s="114">
        <f t="shared" ref="H468" si="66">SUM(E468+F468-G468)</f>
        <v>2580627</v>
      </c>
      <c r="I468" s="255"/>
      <c r="J468" s="255"/>
      <c r="K468" s="255"/>
      <c r="L468" s="255"/>
      <c r="M468" s="255"/>
    </row>
    <row r="469" spans="1:13" s="84" customFormat="1" ht="12" customHeight="1" x14ac:dyDescent="0.25">
      <c r="A469" s="115"/>
      <c r="B469" s="119"/>
      <c r="C469" s="233"/>
      <c r="D469" s="235" t="s">
        <v>342</v>
      </c>
      <c r="E469" s="109">
        <v>0</v>
      </c>
      <c r="F469" s="110">
        <f>SUM(F470:F470)</f>
        <v>110642</v>
      </c>
      <c r="G469" s="110">
        <f>SUM(G470:G470)</f>
        <v>0</v>
      </c>
      <c r="H469" s="109">
        <f>SUM(E469+F469-G469)</f>
        <v>110642</v>
      </c>
      <c r="I469" s="253"/>
      <c r="J469" s="253"/>
      <c r="K469" s="253"/>
      <c r="L469" s="253"/>
      <c r="M469" s="253"/>
    </row>
    <row r="470" spans="1:13" s="84" customFormat="1" ht="12" customHeight="1" x14ac:dyDescent="0.25">
      <c r="A470" s="219"/>
      <c r="B470" s="189"/>
      <c r="C470" s="189">
        <v>4430</v>
      </c>
      <c r="D470" s="104" t="s">
        <v>338</v>
      </c>
      <c r="E470" s="236">
        <v>0</v>
      </c>
      <c r="F470" s="106">
        <v>110642</v>
      </c>
      <c r="G470" s="106"/>
      <c r="H470" s="106">
        <f t="shared" ref="H470" si="67">SUM(E470+F470-G470)</f>
        <v>110642</v>
      </c>
      <c r="I470" s="255"/>
      <c r="J470" s="255"/>
      <c r="K470" s="255"/>
      <c r="L470" s="255"/>
      <c r="M470" s="255"/>
    </row>
    <row r="471" spans="1:13" s="84" customFormat="1" ht="17.25" customHeight="1" thickBot="1" x14ac:dyDescent="0.3">
      <c r="A471" s="93"/>
      <c r="B471" s="103"/>
      <c r="C471" s="119"/>
      <c r="D471" s="97" t="s">
        <v>30</v>
      </c>
      <c r="E471" s="98">
        <v>65017946.049999997</v>
      </c>
      <c r="F471" s="98">
        <f>SUM(F472,F480)</f>
        <v>2744151</v>
      </c>
      <c r="G471" s="98">
        <f>SUM(G472,G480)</f>
        <v>0</v>
      </c>
      <c r="H471" s="98">
        <f t="shared" si="64"/>
        <v>67762097.049999997</v>
      </c>
      <c r="I471" s="251"/>
      <c r="J471" s="251"/>
      <c r="K471" s="251"/>
      <c r="L471" s="251"/>
      <c r="M471" s="251"/>
    </row>
    <row r="472" spans="1:13" s="84" customFormat="1" ht="15.75" customHeight="1" thickTop="1" thickBot="1" x14ac:dyDescent="0.3">
      <c r="A472" s="213">
        <v>852</v>
      </c>
      <c r="B472" s="213"/>
      <c r="C472" s="3"/>
      <c r="D472" s="237" t="s">
        <v>227</v>
      </c>
      <c r="E472" s="98">
        <v>7577369.6699999999</v>
      </c>
      <c r="F472" s="98">
        <f>SUM(F473,F477,)</f>
        <v>2740349</v>
      </c>
      <c r="G472" s="98">
        <f>SUM(G473,G477,)</f>
        <v>0</v>
      </c>
      <c r="H472" s="98">
        <f t="shared" si="64"/>
        <v>10317718.67</v>
      </c>
      <c r="I472" s="251"/>
      <c r="J472" s="251"/>
      <c r="K472" s="251"/>
      <c r="L472" s="251"/>
      <c r="M472" s="251"/>
    </row>
    <row r="473" spans="1:13" s="84" customFormat="1" ht="12" customHeight="1" thickTop="1" x14ac:dyDescent="0.25">
      <c r="A473" s="213"/>
      <c r="B473" s="103">
        <v>85219</v>
      </c>
      <c r="C473" s="94"/>
      <c r="D473" s="104" t="s">
        <v>243</v>
      </c>
      <c r="E473" s="105">
        <v>242083</v>
      </c>
      <c r="F473" s="106">
        <f t="shared" ref="F473:G473" si="68">SUM(F474)</f>
        <v>31616</v>
      </c>
      <c r="G473" s="106">
        <f t="shared" si="68"/>
        <v>0</v>
      </c>
      <c r="H473" s="105">
        <f t="shared" si="64"/>
        <v>273699</v>
      </c>
      <c r="I473" s="252"/>
      <c r="J473" s="252"/>
      <c r="K473" s="252"/>
      <c r="L473" s="252"/>
      <c r="M473" s="252"/>
    </row>
    <row r="474" spans="1:13" s="84" customFormat="1" ht="12" customHeight="1" x14ac:dyDescent="0.25">
      <c r="A474" s="213"/>
      <c r="B474" s="3"/>
      <c r="C474" s="1"/>
      <c r="D474" s="182" t="s">
        <v>284</v>
      </c>
      <c r="E474" s="238">
        <v>242083</v>
      </c>
      <c r="F474" s="110">
        <f>SUM(F475:F476)</f>
        <v>31616</v>
      </c>
      <c r="G474" s="110">
        <f>SUM(G475:G476)</f>
        <v>0</v>
      </c>
      <c r="H474" s="109">
        <f t="shared" si="64"/>
        <v>273699</v>
      </c>
      <c r="I474" s="253"/>
      <c r="J474" s="253"/>
      <c r="K474" s="253"/>
      <c r="L474" s="253"/>
      <c r="M474" s="253"/>
    </row>
    <row r="475" spans="1:13" s="84" customFormat="1" ht="12" customHeight="1" x14ac:dyDescent="0.25">
      <c r="A475" s="213"/>
      <c r="B475" s="119"/>
      <c r="C475" s="119">
        <v>3110</v>
      </c>
      <c r="D475" s="141" t="s">
        <v>285</v>
      </c>
      <c r="E475" s="113">
        <v>238505</v>
      </c>
      <c r="F475" s="114">
        <v>31141</v>
      </c>
      <c r="G475" s="114"/>
      <c r="H475" s="114">
        <f t="shared" si="64"/>
        <v>269646</v>
      </c>
      <c r="I475" s="255"/>
      <c r="J475" s="255"/>
      <c r="K475" s="255"/>
      <c r="L475" s="255"/>
      <c r="M475" s="255"/>
    </row>
    <row r="476" spans="1:13" s="84" customFormat="1" ht="12" customHeight="1" x14ac:dyDescent="0.25">
      <c r="A476" s="213"/>
      <c r="B476" s="119"/>
      <c r="C476" s="138" t="s">
        <v>31</v>
      </c>
      <c r="D476" s="139" t="s">
        <v>32</v>
      </c>
      <c r="E476" s="113">
        <v>3578</v>
      </c>
      <c r="F476" s="114">
        <v>475</v>
      </c>
      <c r="G476" s="114"/>
      <c r="H476" s="114">
        <f t="shared" si="64"/>
        <v>4053</v>
      </c>
      <c r="I476" s="255"/>
      <c r="J476" s="255"/>
      <c r="K476" s="255"/>
      <c r="L476" s="255"/>
      <c r="M476" s="255"/>
    </row>
    <row r="477" spans="1:13" s="84" customFormat="1" ht="12" customHeight="1" x14ac:dyDescent="0.25">
      <c r="A477" s="213"/>
      <c r="B477" s="103">
        <v>85228</v>
      </c>
      <c r="C477" s="94"/>
      <c r="D477" s="127" t="s">
        <v>343</v>
      </c>
      <c r="E477" s="105">
        <v>5382027</v>
      </c>
      <c r="F477" s="106">
        <f>SUM(F478)</f>
        <v>2708733</v>
      </c>
      <c r="G477" s="106">
        <f>SUM(G478)</f>
        <v>0</v>
      </c>
      <c r="H477" s="105">
        <f t="shared" si="64"/>
        <v>8090760</v>
      </c>
      <c r="I477" s="252"/>
      <c r="J477" s="252"/>
      <c r="K477" s="252"/>
      <c r="L477" s="252"/>
      <c r="M477" s="252"/>
    </row>
    <row r="478" spans="1:13" s="84" customFormat="1" ht="12" customHeight="1" x14ac:dyDescent="0.25">
      <c r="A478" s="213"/>
      <c r="B478" s="103"/>
      <c r="C478" s="94"/>
      <c r="D478" s="121" t="s">
        <v>80</v>
      </c>
      <c r="E478" s="238">
        <v>5382027</v>
      </c>
      <c r="F478" s="110">
        <f>SUM(F479:F479)</f>
        <v>2708733</v>
      </c>
      <c r="G478" s="110">
        <f>SUM(G479:G479)</f>
        <v>0</v>
      </c>
      <c r="H478" s="109">
        <f t="shared" si="64"/>
        <v>8090760</v>
      </c>
      <c r="I478" s="253"/>
      <c r="J478" s="253"/>
      <c r="K478" s="253"/>
      <c r="L478" s="253"/>
      <c r="M478" s="253"/>
    </row>
    <row r="479" spans="1:13" s="84" customFormat="1" ht="48.75" customHeight="1" x14ac:dyDescent="0.25">
      <c r="A479" s="213"/>
      <c r="B479" s="103"/>
      <c r="C479" s="111" t="s">
        <v>344</v>
      </c>
      <c r="D479" s="136" t="s">
        <v>345</v>
      </c>
      <c r="E479" s="113">
        <v>5382027</v>
      </c>
      <c r="F479" s="113">
        <f>594592+2114141</f>
        <v>2708733</v>
      </c>
      <c r="G479" s="113"/>
      <c r="H479" s="114">
        <f t="shared" si="64"/>
        <v>8090760</v>
      </c>
      <c r="I479" s="255"/>
      <c r="J479" s="255"/>
      <c r="K479" s="255"/>
      <c r="L479" s="255"/>
      <c r="M479" s="255"/>
    </row>
    <row r="480" spans="1:13" s="84" customFormat="1" ht="12" customHeight="1" thickBot="1" x14ac:dyDescent="0.3">
      <c r="A480" s="100">
        <v>855</v>
      </c>
      <c r="B480" s="100"/>
      <c r="C480" s="99"/>
      <c r="D480" s="101" t="s">
        <v>39</v>
      </c>
      <c r="E480" s="98">
        <v>49332136.369999997</v>
      </c>
      <c r="F480" s="98">
        <f>SUM(F481,F484,)</f>
        <v>3802</v>
      </c>
      <c r="G480" s="98">
        <f>SUM(G481,G484,)</f>
        <v>0</v>
      </c>
      <c r="H480" s="98">
        <f t="shared" si="64"/>
        <v>49335938.369999997</v>
      </c>
      <c r="I480" s="251"/>
      <c r="J480" s="251"/>
      <c r="K480" s="251"/>
      <c r="L480" s="251"/>
      <c r="M480" s="251"/>
    </row>
    <row r="481" spans="1:13" s="84" customFormat="1" ht="36.75" customHeight="1" thickTop="1" x14ac:dyDescent="0.25">
      <c r="A481" s="100"/>
      <c r="B481" s="131">
        <v>85502</v>
      </c>
      <c r="C481" s="94"/>
      <c r="D481" s="132" t="s">
        <v>245</v>
      </c>
      <c r="E481" s="105">
        <v>48480576.149999999</v>
      </c>
      <c r="F481" s="106">
        <f>SUM(F482)</f>
        <v>2500</v>
      </c>
      <c r="G481" s="106">
        <f>SUM(G482)</f>
        <v>0</v>
      </c>
      <c r="H481" s="105">
        <f t="shared" si="64"/>
        <v>48483076.149999999</v>
      </c>
      <c r="I481" s="252"/>
      <c r="J481" s="252"/>
      <c r="K481" s="252"/>
      <c r="L481" s="252"/>
      <c r="M481" s="252"/>
    </row>
    <row r="482" spans="1:13" s="84" customFormat="1" ht="12" customHeight="1" x14ac:dyDescent="0.25">
      <c r="A482" s="103"/>
      <c r="B482" s="103"/>
      <c r="C482" s="1"/>
      <c r="D482" s="239" t="s">
        <v>346</v>
      </c>
      <c r="E482" s="109">
        <v>24449</v>
      </c>
      <c r="F482" s="110">
        <f>SUM(F483:F483)</f>
        <v>2500</v>
      </c>
      <c r="G482" s="110">
        <f>SUM(G483:G483)</f>
        <v>0</v>
      </c>
      <c r="H482" s="109">
        <f t="shared" si="64"/>
        <v>26949</v>
      </c>
      <c r="I482" s="253"/>
      <c r="J482" s="253"/>
      <c r="K482" s="253"/>
      <c r="L482" s="253"/>
      <c r="M482" s="253"/>
    </row>
    <row r="483" spans="1:13" s="84" customFormat="1" ht="12" customHeight="1" x14ac:dyDescent="0.25">
      <c r="A483" s="103"/>
      <c r="B483" s="103"/>
      <c r="C483" s="119">
        <v>3110</v>
      </c>
      <c r="D483" s="141" t="s">
        <v>285</v>
      </c>
      <c r="E483" s="113">
        <v>22449</v>
      </c>
      <c r="F483" s="113">
        <v>2500</v>
      </c>
      <c r="G483" s="113"/>
      <c r="H483" s="114">
        <f t="shared" si="64"/>
        <v>24949</v>
      </c>
      <c r="I483" s="255"/>
      <c r="J483" s="255"/>
      <c r="K483" s="255"/>
      <c r="L483" s="255"/>
      <c r="M483" s="255"/>
    </row>
    <row r="484" spans="1:13" s="84" customFormat="1" ht="12" customHeight="1" x14ac:dyDescent="0.25">
      <c r="A484" s="103"/>
      <c r="B484" s="3">
        <v>85503</v>
      </c>
      <c r="C484" s="240"/>
      <c r="D484" s="6" t="s">
        <v>248</v>
      </c>
      <c r="E484" s="106">
        <v>2858</v>
      </c>
      <c r="F484" s="106">
        <f t="shared" ref="F484:G484" si="69">SUM(F485)</f>
        <v>1302</v>
      </c>
      <c r="G484" s="106">
        <f t="shared" si="69"/>
        <v>0</v>
      </c>
      <c r="H484" s="105">
        <f t="shared" si="64"/>
        <v>4160</v>
      </c>
      <c r="I484" s="252"/>
      <c r="J484" s="252"/>
      <c r="K484" s="252"/>
      <c r="L484" s="252"/>
      <c r="M484" s="252"/>
    </row>
    <row r="485" spans="1:13" s="84" customFormat="1" ht="12" customHeight="1" x14ac:dyDescent="0.25">
      <c r="A485" s="103"/>
      <c r="B485" s="214"/>
      <c r="C485" s="240"/>
      <c r="D485" s="121" t="s">
        <v>80</v>
      </c>
      <c r="E485" s="241">
        <v>2858</v>
      </c>
      <c r="F485" s="110">
        <f>SUM(F486:F488)</f>
        <v>1302</v>
      </c>
      <c r="G485" s="110">
        <f>SUM(G486:G488)</f>
        <v>0</v>
      </c>
      <c r="H485" s="109">
        <f t="shared" si="64"/>
        <v>4160</v>
      </c>
      <c r="I485" s="253"/>
      <c r="J485" s="253"/>
      <c r="K485" s="253"/>
      <c r="L485" s="253"/>
      <c r="M485" s="253"/>
    </row>
    <row r="486" spans="1:13" s="84" customFormat="1" ht="12" customHeight="1" x14ac:dyDescent="0.25">
      <c r="A486" s="103"/>
      <c r="B486" s="214"/>
      <c r="C486" s="119">
        <v>4010</v>
      </c>
      <c r="D486" s="141" t="s">
        <v>43</v>
      </c>
      <c r="E486" s="114">
        <v>1520</v>
      </c>
      <c r="F486" s="113">
        <v>965</v>
      </c>
      <c r="G486" s="113"/>
      <c r="H486" s="114">
        <f t="shared" si="64"/>
        <v>2485</v>
      </c>
      <c r="I486" s="255"/>
      <c r="J486" s="255"/>
      <c r="K486" s="255"/>
      <c r="L486" s="255"/>
      <c r="M486" s="255"/>
    </row>
    <row r="487" spans="1:13" s="84" customFormat="1" ht="12" customHeight="1" x14ac:dyDescent="0.25">
      <c r="A487" s="103"/>
      <c r="B487" s="214"/>
      <c r="C487" s="119">
        <v>4110</v>
      </c>
      <c r="D487" s="141" t="s">
        <v>24</v>
      </c>
      <c r="E487" s="114">
        <v>279</v>
      </c>
      <c r="F487" s="113">
        <v>305</v>
      </c>
      <c r="G487" s="113"/>
      <c r="H487" s="114">
        <f t="shared" si="64"/>
        <v>584</v>
      </c>
      <c r="I487" s="255"/>
      <c r="J487" s="255"/>
      <c r="K487" s="255"/>
      <c r="L487" s="255"/>
      <c r="M487" s="255"/>
    </row>
    <row r="488" spans="1:13" s="84" customFormat="1" ht="12" customHeight="1" x14ac:dyDescent="0.25">
      <c r="A488" s="103"/>
      <c r="B488" s="214"/>
      <c r="C488" s="119">
        <v>4120</v>
      </c>
      <c r="D488" s="141" t="s">
        <v>12</v>
      </c>
      <c r="E488" s="114">
        <v>39</v>
      </c>
      <c r="F488" s="113">
        <v>32</v>
      </c>
      <c r="G488" s="113"/>
      <c r="H488" s="114">
        <f t="shared" si="64"/>
        <v>71</v>
      </c>
      <c r="I488" s="255"/>
      <c r="J488" s="255"/>
      <c r="K488" s="255"/>
      <c r="L488" s="255"/>
      <c r="M488" s="255"/>
    </row>
    <row r="489" spans="1:13" s="84" customFormat="1" ht="20.25" customHeight="1" thickBot="1" x14ac:dyDescent="0.3">
      <c r="A489" s="242"/>
      <c r="B489" s="103"/>
      <c r="C489" s="119"/>
      <c r="D489" s="97" t="s">
        <v>82</v>
      </c>
      <c r="E489" s="98">
        <v>27933871.719999999</v>
      </c>
      <c r="F489" s="98">
        <f>SUM(F490,)</f>
        <v>1509617.6199999999</v>
      </c>
      <c r="G489" s="98">
        <f>SUM(G490,)</f>
        <v>788993.72</v>
      </c>
      <c r="H489" s="98">
        <f>SUM(E489+F489-G489)</f>
        <v>28654495.620000001</v>
      </c>
      <c r="I489" s="251"/>
      <c r="J489" s="251"/>
      <c r="K489" s="251"/>
      <c r="L489" s="251"/>
      <c r="M489" s="251"/>
    </row>
    <row r="490" spans="1:13" s="84" customFormat="1" ht="18.75" customHeight="1" thickTop="1" thickBot="1" x14ac:dyDescent="0.3">
      <c r="A490" s="100">
        <v>754</v>
      </c>
      <c r="B490" s="100"/>
      <c r="C490" s="99"/>
      <c r="D490" s="101" t="s">
        <v>233</v>
      </c>
      <c r="E490" s="98">
        <v>23696558.550000004</v>
      </c>
      <c r="F490" s="102">
        <f t="shared" ref="F490:G491" si="70">SUM(F491)</f>
        <v>1509617.6199999999</v>
      </c>
      <c r="G490" s="102">
        <f t="shared" si="70"/>
        <v>788993.72</v>
      </c>
      <c r="H490" s="98">
        <f>SUM(E490+F490-G490)</f>
        <v>24417182.450000007</v>
      </c>
      <c r="I490" s="251"/>
      <c r="J490" s="251"/>
      <c r="K490" s="251"/>
      <c r="L490" s="251"/>
      <c r="M490" s="251"/>
    </row>
    <row r="491" spans="1:13" s="84" customFormat="1" ht="12" customHeight="1" thickTop="1" x14ac:dyDescent="0.25">
      <c r="A491" s="93"/>
      <c r="B491" s="119">
        <v>75411</v>
      </c>
      <c r="C491" s="148"/>
      <c r="D491" s="243" t="s">
        <v>249</v>
      </c>
      <c r="E491" s="105">
        <v>23696558.550000004</v>
      </c>
      <c r="F491" s="106">
        <f t="shared" si="70"/>
        <v>1509617.6199999999</v>
      </c>
      <c r="G491" s="106">
        <f t="shared" si="70"/>
        <v>788993.72</v>
      </c>
      <c r="H491" s="105">
        <f>SUM(E491+F491-G491)</f>
        <v>24417182.450000007</v>
      </c>
      <c r="I491" s="252"/>
      <c r="J491" s="252"/>
      <c r="K491" s="252"/>
      <c r="L491" s="252"/>
      <c r="M491" s="252"/>
    </row>
    <row r="492" spans="1:13" s="84" customFormat="1" ht="12" customHeight="1" x14ac:dyDescent="0.25">
      <c r="A492" s="85"/>
      <c r="B492" s="148"/>
      <c r="C492" s="119"/>
      <c r="D492" s="244" t="s">
        <v>318</v>
      </c>
      <c r="E492" s="109">
        <v>23696558.550000004</v>
      </c>
      <c r="F492" s="109">
        <f>SUM(F493:F502)</f>
        <v>1509617.6199999999</v>
      </c>
      <c r="G492" s="109">
        <f>SUM(G493:G502)</f>
        <v>788993.72</v>
      </c>
      <c r="H492" s="109">
        <f>SUM(E492+F492-G492)</f>
        <v>24417182.450000007</v>
      </c>
      <c r="I492" s="253"/>
      <c r="J492" s="253"/>
      <c r="K492" s="253"/>
      <c r="L492" s="253"/>
      <c r="M492" s="253"/>
    </row>
    <row r="493" spans="1:13" s="84" customFormat="1" ht="24" customHeight="1" x14ac:dyDescent="0.25">
      <c r="A493" s="85"/>
      <c r="B493" s="148"/>
      <c r="C493" s="131">
        <v>3070</v>
      </c>
      <c r="D493" s="112" t="s">
        <v>347</v>
      </c>
      <c r="E493" s="113">
        <v>1695481.2899999998</v>
      </c>
      <c r="F493" s="113"/>
      <c r="G493" s="113">
        <v>77987</v>
      </c>
      <c r="H493" s="114">
        <f t="shared" ref="H493:H502" si="71">SUM(E493+F493-G493)</f>
        <v>1617494.2899999998</v>
      </c>
      <c r="I493" s="255"/>
      <c r="J493" s="255"/>
      <c r="K493" s="255"/>
      <c r="L493" s="255"/>
      <c r="M493" s="255"/>
    </row>
    <row r="494" spans="1:13" s="84" customFormat="1" ht="12" customHeight="1" x14ac:dyDescent="0.25">
      <c r="A494" s="85"/>
      <c r="B494" s="148"/>
      <c r="C494" s="140">
        <v>4050</v>
      </c>
      <c r="D494" s="245" t="s">
        <v>348</v>
      </c>
      <c r="E494" s="113">
        <v>15396433.49</v>
      </c>
      <c r="F494" s="113"/>
      <c r="G494" s="113">
        <v>356245.72</v>
      </c>
      <c r="H494" s="114">
        <f t="shared" si="71"/>
        <v>15040187.77</v>
      </c>
      <c r="I494" s="255"/>
      <c r="J494" s="255"/>
      <c r="K494" s="255"/>
      <c r="L494" s="255"/>
      <c r="M494" s="255"/>
    </row>
    <row r="495" spans="1:13" s="84" customFormat="1" ht="24" customHeight="1" x14ac:dyDescent="0.25">
      <c r="A495" s="85"/>
      <c r="B495" s="148"/>
      <c r="C495" s="131">
        <v>4060</v>
      </c>
      <c r="D495" s="246" t="s">
        <v>349</v>
      </c>
      <c r="E495" s="113">
        <v>492603.57999999996</v>
      </c>
      <c r="F495" s="113">
        <v>26245.72</v>
      </c>
      <c r="G495" s="113">
        <v>289074</v>
      </c>
      <c r="H495" s="114">
        <f t="shared" si="71"/>
        <v>229775.29999999993</v>
      </c>
      <c r="I495" s="255"/>
      <c r="J495" s="255"/>
      <c r="K495" s="255"/>
      <c r="L495" s="255"/>
      <c r="M495" s="255"/>
    </row>
    <row r="496" spans="1:13" s="84" customFormat="1" ht="24" customHeight="1" x14ac:dyDescent="0.25">
      <c r="A496" s="85"/>
      <c r="B496" s="148"/>
      <c r="C496" s="131">
        <v>4070</v>
      </c>
      <c r="D496" s="247" t="s">
        <v>350</v>
      </c>
      <c r="E496" s="113">
        <v>1251369</v>
      </c>
      <c r="F496" s="113"/>
      <c r="G496" s="113">
        <v>65687</v>
      </c>
      <c r="H496" s="114">
        <f t="shared" si="71"/>
        <v>1185682</v>
      </c>
      <c r="I496" s="255"/>
      <c r="J496" s="255"/>
      <c r="K496" s="255"/>
      <c r="L496" s="255"/>
      <c r="M496" s="255"/>
    </row>
    <row r="497" spans="1:13" s="84" customFormat="1" ht="21.75" customHeight="1" x14ac:dyDescent="0.25">
      <c r="A497" s="85"/>
      <c r="B497" s="148"/>
      <c r="C497" s="131">
        <v>4180</v>
      </c>
      <c r="D497" s="133" t="s">
        <v>351</v>
      </c>
      <c r="E497" s="113">
        <v>2906178.1</v>
      </c>
      <c r="F497" s="113">
        <f>720623.9+684761</f>
        <v>1405384.9</v>
      </c>
      <c r="G497" s="113"/>
      <c r="H497" s="114">
        <f t="shared" si="71"/>
        <v>4311563</v>
      </c>
      <c r="I497" s="255"/>
      <c r="J497" s="255"/>
      <c r="K497" s="255"/>
      <c r="L497" s="255"/>
      <c r="M497" s="255"/>
    </row>
    <row r="498" spans="1:13" s="84" customFormat="1" ht="12" customHeight="1" x14ac:dyDescent="0.25">
      <c r="A498" s="85"/>
      <c r="B498" s="148"/>
      <c r="C498" s="138" t="s">
        <v>31</v>
      </c>
      <c r="D498" s="139" t="s">
        <v>32</v>
      </c>
      <c r="E498" s="113">
        <v>306189</v>
      </c>
      <c r="F498" s="113">
        <v>20000</v>
      </c>
      <c r="G498" s="113"/>
      <c r="H498" s="114">
        <f t="shared" si="71"/>
        <v>326189</v>
      </c>
      <c r="I498" s="255"/>
      <c r="J498" s="255"/>
      <c r="K498" s="255"/>
      <c r="L498" s="255"/>
      <c r="M498" s="255"/>
    </row>
    <row r="499" spans="1:13" s="84" customFormat="1" ht="12" customHeight="1" x14ac:dyDescent="0.25">
      <c r="A499" s="85"/>
      <c r="B499" s="148"/>
      <c r="C499" s="140">
        <v>4260</v>
      </c>
      <c r="D499" s="139" t="s">
        <v>48</v>
      </c>
      <c r="E499" s="113">
        <v>278120.98</v>
      </c>
      <c r="F499" s="113">
        <v>30000</v>
      </c>
      <c r="G499" s="113"/>
      <c r="H499" s="114">
        <f t="shared" si="71"/>
        <v>308120.98</v>
      </c>
      <c r="I499" s="255"/>
      <c r="J499" s="255"/>
      <c r="K499" s="255"/>
      <c r="L499" s="255"/>
      <c r="M499" s="255"/>
    </row>
    <row r="500" spans="1:13" s="84" customFormat="1" ht="12" customHeight="1" x14ac:dyDescent="0.25">
      <c r="A500" s="85"/>
      <c r="B500" s="148"/>
      <c r="C500" s="140">
        <v>4280</v>
      </c>
      <c r="D500" s="139" t="s">
        <v>49</v>
      </c>
      <c r="E500" s="113">
        <v>80000</v>
      </c>
      <c r="F500" s="113">
        <v>2000</v>
      </c>
      <c r="G500" s="113"/>
      <c r="H500" s="114">
        <f t="shared" si="71"/>
        <v>82000</v>
      </c>
      <c r="I500" s="255"/>
      <c r="J500" s="255"/>
      <c r="K500" s="255"/>
      <c r="L500" s="255"/>
      <c r="M500" s="255"/>
    </row>
    <row r="501" spans="1:13" s="84" customFormat="1" ht="12" customHeight="1" x14ac:dyDescent="0.25">
      <c r="A501" s="85"/>
      <c r="B501" s="148"/>
      <c r="C501" s="140">
        <v>4300</v>
      </c>
      <c r="D501" s="139" t="s">
        <v>50</v>
      </c>
      <c r="E501" s="113">
        <v>125147</v>
      </c>
      <c r="F501" s="113">
        <v>20000</v>
      </c>
      <c r="G501" s="113"/>
      <c r="H501" s="114">
        <f t="shared" si="71"/>
        <v>145147</v>
      </c>
      <c r="I501" s="255"/>
      <c r="J501" s="255"/>
      <c r="K501" s="255"/>
      <c r="L501" s="255"/>
      <c r="M501" s="255"/>
    </row>
    <row r="502" spans="1:13" s="84" customFormat="1" ht="12" customHeight="1" x14ac:dyDescent="0.25">
      <c r="A502" s="85"/>
      <c r="B502" s="148"/>
      <c r="C502" s="140">
        <v>4480</v>
      </c>
      <c r="D502" s="139" t="s">
        <v>352</v>
      </c>
      <c r="E502" s="113">
        <v>53883</v>
      </c>
      <c r="F502" s="113">
        <v>5987</v>
      </c>
      <c r="G502" s="113"/>
      <c r="H502" s="114">
        <f t="shared" si="71"/>
        <v>59870</v>
      </c>
      <c r="I502" s="255"/>
      <c r="J502" s="255"/>
      <c r="K502" s="255"/>
      <c r="L502" s="255"/>
      <c r="M502" s="255"/>
    </row>
    <row r="503" spans="1:13" s="84" customFormat="1" ht="3.75" customHeight="1" x14ac:dyDescent="0.25">
      <c r="A503" s="248"/>
      <c r="B503" s="248"/>
      <c r="C503" s="249"/>
      <c r="D503" s="228"/>
      <c r="E503" s="105"/>
      <c r="F503" s="105"/>
      <c r="G503" s="105"/>
      <c r="H503" s="105"/>
      <c r="I503" s="252"/>
      <c r="J503" s="252"/>
      <c r="K503" s="252"/>
      <c r="L503" s="252"/>
      <c r="M503" s="252"/>
    </row>
    <row r="504" spans="1:13" s="84" customFormat="1" ht="12.95" customHeight="1" x14ac:dyDescent="0.25"/>
    <row r="505" spans="1:13" s="84" customFormat="1" ht="12.95" customHeight="1" x14ac:dyDescent="0.25"/>
    <row r="506" spans="1:13" s="84" customFormat="1" ht="12.95" customHeight="1" x14ac:dyDescent="0.25"/>
    <row r="507" spans="1:13" s="84" customFormat="1" ht="12.95" customHeight="1" x14ac:dyDescent="0.25"/>
    <row r="508" spans="1:13" s="84" customFormat="1" ht="12.95" customHeight="1" x14ac:dyDescent="0.25"/>
    <row r="509" spans="1:13" s="84" customFormat="1" ht="12.95" customHeight="1" x14ac:dyDescent="0.25"/>
    <row r="510" spans="1:13" s="84" customFormat="1" ht="12.95" customHeight="1" x14ac:dyDescent="0.25"/>
    <row r="511" spans="1:13" s="84" customFormat="1" ht="12.95" customHeight="1" x14ac:dyDescent="0.25"/>
    <row r="512" spans="1:13" s="84" customFormat="1" ht="12.95" customHeight="1" x14ac:dyDescent="0.25"/>
    <row r="513" s="84" customFormat="1" ht="12.95" customHeight="1" x14ac:dyDescent="0.25"/>
    <row r="514" s="84" customFormat="1" ht="12.95" customHeight="1" x14ac:dyDescent="0.25"/>
    <row r="515" s="84" customFormat="1" ht="12.95" customHeight="1" x14ac:dyDescent="0.25"/>
    <row r="516" s="84" customFormat="1" ht="12.95" customHeight="1" x14ac:dyDescent="0.25"/>
    <row r="517" s="84" customFormat="1" ht="12.95" customHeight="1" x14ac:dyDescent="0.25"/>
    <row r="518" s="84" customFormat="1" ht="12.95" customHeight="1" x14ac:dyDescent="0.25"/>
    <row r="519" s="84" customFormat="1" ht="12.95" customHeight="1" x14ac:dyDescent="0.25"/>
    <row r="520" s="84" customFormat="1" ht="12.95" customHeight="1" x14ac:dyDescent="0.25"/>
    <row r="521" s="84" customFormat="1" ht="12.95" customHeight="1" x14ac:dyDescent="0.25"/>
    <row r="522" s="84" customFormat="1" ht="12.95" customHeight="1" x14ac:dyDescent="0.25"/>
    <row r="523" s="84" customFormat="1" ht="12.95" customHeight="1" x14ac:dyDescent="0.25"/>
    <row r="524" s="84" customFormat="1" ht="12.95" customHeight="1" x14ac:dyDescent="0.25"/>
    <row r="525" s="84" customFormat="1" ht="12.95" customHeight="1" x14ac:dyDescent="0.25"/>
    <row r="526" s="84" customFormat="1" ht="12.95" customHeight="1" x14ac:dyDescent="0.25"/>
    <row r="527" s="84" customFormat="1" ht="12.95" customHeight="1" x14ac:dyDescent="0.25"/>
    <row r="528" s="84" customFormat="1" ht="12.95" customHeight="1" x14ac:dyDescent="0.25"/>
    <row r="529" s="84" customFormat="1" ht="12.95" customHeight="1" x14ac:dyDescent="0.25"/>
    <row r="530" s="84" customFormat="1" ht="12.95" customHeight="1" x14ac:dyDescent="0.25"/>
    <row r="531" s="84" customFormat="1" ht="12.95" customHeight="1" x14ac:dyDescent="0.25"/>
    <row r="532" s="84" customFormat="1" ht="12.95" customHeight="1" x14ac:dyDescent="0.25"/>
    <row r="533" s="84" customFormat="1" ht="12.95" customHeight="1" x14ac:dyDescent="0.25"/>
    <row r="534" s="84" customFormat="1" ht="12.95" customHeight="1" x14ac:dyDescent="0.25"/>
    <row r="535" s="84" customFormat="1" ht="12.95" customHeight="1" x14ac:dyDescent="0.25"/>
    <row r="536" s="84" customFormat="1" ht="12.95" customHeight="1" x14ac:dyDescent="0.25"/>
    <row r="537" s="84" customFormat="1" ht="12.95" customHeight="1" x14ac:dyDescent="0.25"/>
    <row r="538" s="84" customFormat="1" ht="12.95" customHeight="1" x14ac:dyDescent="0.25"/>
    <row r="539" s="84" customFormat="1" ht="12.95" customHeight="1" x14ac:dyDescent="0.25"/>
    <row r="540" s="84" customFormat="1" ht="12.95" customHeight="1" x14ac:dyDescent="0.25"/>
    <row r="541" s="84" customFormat="1" ht="12.95" customHeight="1" x14ac:dyDescent="0.25"/>
    <row r="542" s="84" customFormat="1" ht="12.95" customHeight="1" x14ac:dyDescent="0.25"/>
    <row r="543" s="84" customFormat="1" ht="12.95" customHeight="1" x14ac:dyDescent="0.25"/>
    <row r="544" s="84" customFormat="1" ht="12.95" customHeight="1" x14ac:dyDescent="0.25"/>
    <row r="545" s="84" customFormat="1" ht="12.95" customHeight="1" x14ac:dyDescent="0.25"/>
    <row r="546" s="84" customFormat="1" ht="12.95" customHeight="1" x14ac:dyDescent="0.25"/>
    <row r="547" s="84" customFormat="1" ht="12.95" customHeight="1" x14ac:dyDescent="0.25"/>
    <row r="548" s="84" customFormat="1" ht="12.95" customHeight="1" x14ac:dyDescent="0.25"/>
    <row r="549" s="84" customFormat="1" ht="12.95" customHeight="1" x14ac:dyDescent="0.25"/>
    <row r="550" s="84" customFormat="1" ht="12.95" customHeight="1" x14ac:dyDescent="0.25"/>
    <row r="551" s="84" customFormat="1" ht="12.95" customHeight="1" x14ac:dyDescent="0.25"/>
    <row r="552" s="84" customFormat="1" ht="12.95" customHeight="1" x14ac:dyDescent="0.25"/>
    <row r="553" s="84" customFormat="1" ht="12.95" customHeight="1" x14ac:dyDescent="0.25"/>
    <row r="554" s="84" customFormat="1" ht="12.95" customHeight="1" x14ac:dyDescent="0.25"/>
    <row r="555" s="84" customFormat="1" ht="12.95" customHeight="1" x14ac:dyDescent="0.25"/>
    <row r="556" s="84" customFormat="1" ht="12.95" customHeight="1" x14ac:dyDescent="0.25"/>
    <row r="557" s="84" customFormat="1" ht="12.95" customHeight="1" x14ac:dyDescent="0.25"/>
    <row r="558" s="84" customFormat="1" ht="12.95" customHeight="1" x14ac:dyDescent="0.25"/>
    <row r="559" s="84" customFormat="1" ht="12.95" customHeight="1" x14ac:dyDescent="0.25"/>
    <row r="560" s="84" customFormat="1" ht="12.95" customHeight="1" x14ac:dyDescent="0.25"/>
    <row r="561" s="84" customFormat="1" ht="12.95" customHeight="1" x14ac:dyDescent="0.25"/>
    <row r="562" s="84" customFormat="1" ht="12.95" customHeight="1" x14ac:dyDescent="0.25"/>
    <row r="563" s="84" customFormat="1" ht="12.95" customHeight="1" x14ac:dyDescent="0.25"/>
    <row r="564" s="84" customFormat="1" ht="12.95" customHeight="1" x14ac:dyDescent="0.25"/>
    <row r="565" s="84" customFormat="1" ht="12.95" customHeight="1" x14ac:dyDescent="0.25"/>
    <row r="566" s="84" customFormat="1" ht="12.95" customHeight="1" x14ac:dyDescent="0.25"/>
    <row r="567" s="84" customFormat="1" ht="12.95" customHeight="1" x14ac:dyDescent="0.25"/>
    <row r="568" s="84" customFormat="1" ht="12.95" customHeight="1" x14ac:dyDescent="0.25"/>
    <row r="569" s="84" customFormat="1" ht="12.95" customHeight="1" x14ac:dyDescent="0.25"/>
    <row r="570" s="84" customFormat="1" ht="12.95" customHeight="1" x14ac:dyDescent="0.25"/>
    <row r="571" ht="12.95" customHeight="1" x14ac:dyDescent="0.3"/>
    <row r="572" ht="12.95" customHeight="1" x14ac:dyDescent="0.3"/>
    <row r="573" ht="12.95" customHeight="1" x14ac:dyDescent="0.3"/>
    <row r="574" ht="12.95" customHeight="1" x14ac:dyDescent="0.3"/>
    <row r="575" ht="12.95" customHeight="1" x14ac:dyDescent="0.3"/>
    <row r="576" ht="12.95" customHeight="1" x14ac:dyDescent="0.3"/>
    <row r="577" ht="12.95" customHeight="1" x14ac:dyDescent="0.3"/>
    <row r="578" ht="12.95" customHeight="1" x14ac:dyDescent="0.3"/>
    <row r="579" ht="12.95" customHeight="1" x14ac:dyDescent="0.3"/>
    <row r="580" ht="12.95" customHeight="1" x14ac:dyDescent="0.3"/>
    <row r="581" ht="12.95" customHeight="1" x14ac:dyDescent="0.3"/>
    <row r="582" ht="12.9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</sheetData>
  <pageMargins left="0.11811023622047245" right="0.11811023622047245" top="0.74803149606299213" bottom="0.74803149606299213" header="0.31496062992125984" footer="0.31496062992125984"/>
  <pageSetup paperSize="9" orientation="portrait" r:id="rId1"/>
  <headerFooter>
    <oddFooter>&amp;C&amp;"Arial,Normalny"&amp;8&amp;P</oddFooter>
  </headerFooter>
  <rowBreaks count="8" manualBreakCount="8">
    <brk id="43" max="7" man="1"/>
    <brk id="90" max="7" man="1"/>
    <brk id="204" max="7" man="1"/>
    <brk id="262" max="7" man="1"/>
    <brk id="316" max="7" man="1"/>
    <brk id="363" max="7" man="1"/>
    <brk id="414" max="7" man="1"/>
    <brk id="47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BE4B8-32EE-45F1-9CEE-82430486E97F}">
  <sheetPr>
    <tabColor rgb="FFFFFF00"/>
    <pageSetUpPr fitToPage="1"/>
  </sheetPr>
  <dimension ref="A1:M524"/>
  <sheetViews>
    <sheetView zoomScale="106" zoomScaleNormal="106" workbookViewId="0">
      <pane ySplit="19" topLeftCell="A20" activePane="bottomLeft" state="frozen"/>
      <selection pane="bottomLeft" activeCell="C509" sqref="C509"/>
    </sheetView>
  </sheetViews>
  <sheetFormatPr defaultRowHeight="12.75" x14ac:dyDescent="0.25"/>
  <cols>
    <col min="1" max="1" width="3.7109375" style="489" customWidth="1"/>
    <col min="2" max="2" width="5.85546875" style="489" customWidth="1"/>
    <col min="3" max="3" width="55.85546875" style="68" customWidth="1"/>
    <col min="4" max="4" width="11.5703125" style="68" customWidth="1"/>
    <col min="5" max="5" width="11.7109375" style="68" customWidth="1"/>
    <col min="6" max="7" width="12" style="433" customWidth="1"/>
    <col min="8" max="8" width="12.140625" style="433" customWidth="1"/>
    <col min="9" max="10" width="12" style="433" customWidth="1"/>
    <col min="11" max="11" width="11.28515625" style="433" customWidth="1"/>
    <col min="12" max="12" width="14.7109375" style="76" customWidth="1"/>
    <col min="13" max="13" width="10.85546875" style="68" customWidth="1"/>
    <col min="14" max="251" width="9.140625" style="68"/>
    <col min="252" max="252" width="4.140625" style="68" customWidth="1"/>
    <col min="253" max="253" width="5.5703125" style="68" customWidth="1"/>
    <col min="254" max="254" width="59.5703125" style="68" customWidth="1"/>
    <col min="255" max="256" width="11.28515625" style="68" customWidth="1"/>
    <col min="257" max="257" width="10.5703125" style="68" customWidth="1"/>
    <col min="258" max="258" width="10.42578125" style="68" customWidth="1"/>
    <col min="259" max="259" width="10.7109375" style="68" customWidth="1"/>
    <col min="260" max="260" width="9" style="68" customWidth="1"/>
    <col min="261" max="261" width="11.5703125" style="68" customWidth="1"/>
    <col min="262" max="262" width="9.140625" style="68"/>
    <col min="263" max="263" width="13" style="68" customWidth="1"/>
    <col min="264" max="507" width="9.140625" style="68"/>
    <col min="508" max="508" width="4.140625" style="68" customWidth="1"/>
    <col min="509" max="509" width="5.5703125" style="68" customWidth="1"/>
    <col min="510" max="510" width="59.5703125" style="68" customWidth="1"/>
    <col min="511" max="512" width="11.28515625" style="68" customWidth="1"/>
    <col min="513" max="513" width="10.5703125" style="68" customWidth="1"/>
    <col min="514" max="514" width="10.42578125" style="68" customWidth="1"/>
    <col min="515" max="515" width="10.7109375" style="68" customWidth="1"/>
    <col min="516" max="516" width="9" style="68" customWidth="1"/>
    <col min="517" max="517" width="11.5703125" style="68" customWidth="1"/>
    <col min="518" max="518" width="9.140625" style="68"/>
    <col min="519" max="519" width="13" style="68" customWidth="1"/>
    <col min="520" max="763" width="9.140625" style="68"/>
    <col min="764" max="764" width="4.140625" style="68" customWidth="1"/>
    <col min="765" max="765" width="5.5703125" style="68" customWidth="1"/>
    <col min="766" max="766" width="59.5703125" style="68" customWidth="1"/>
    <col min="767" max="768" width="11.28515625" style="68" customWidth="1"/>
    <col min="769" max="769" width="10.5703125" style="68" customWidth="1"/>
    <col min="770" max="770" width="10.42578125" style="68" customWidth="1"/>
    <col min="771" max="771" width="10.7109375" style="68" customWidth="1"/>
    <col min="772" max="772" width="9" style="68" customWidth="1"/>
    <col min="773" max="773" width="11.5703125" style="68" customWidth="1"/>
    <col min="774" max="774" width="9.140625" style="68"/>
    <col min="775" max="775" width="13" style="68" customWidth="1"/>
    <col min="776" max="1019" width="9.140625" style="68"/>
    <col min="1020" max="1020" width="4.140625" style="68" customWidth="1"/>
    <col min="1021" max="1021" width="5.5703125" style="68" customWidth="1"/>
    <col min="1022" max="1022" width="59.5703125" style="68" customWidth="1"/>
    <col min="1023" max="1024" width="11.28515625" style="68" customWidth="1"/>
    <col min="1025" max="1025" width="10.5703125" style="68" customWidth="1"/>
    <col min="1026" max="1026" width="10.42578125" style="68" customWidth="1"/>
    <col min="1027" max="1027" width="10.7109375" style="68" customWidth="1"/>
    <col min="1028" max="1028" width="9" style="68" customWidth="1"/>
    <col min="1029" max="1029" width="11.5703125" style="68" customWidth="1"/>
    <col min="1030" max="1030" width="9.140625" style="68"/>
    <col min="1031" max="1031" width="13" style="68" customWidth="1"/>
    <col min="1032" max="1275" width="9.140625" style="68"/>
    <col min="1276" max="1276" width="4.140625" style="68" customWidth="1"/>
    <col min="1277" max="1277" width="5.5703125" style="68" customWidth="1"/>
    <col min="1278" max="1278" width="59.5703125" style="68" customWidth="1"/>
    <col min="1279" max="1280" width="11.28515625" style="68" customWidth="1"/>
    <col min="1281" max="1281" width="10.5703125" style="68" customWidth="1"/>
    <col min="1282" max="1282" width="10.42578125" style="68" customWidth="1"/>
    <col min="1283" max="1283" width="10.7109375" style="68" customWidth="1"/>
    <col min="1284" max="1284" width="9" style="68" customWidth="1"/>
    <col min="1285" max="1285" width="11.5703125" style="68" customWidth="1"/>
    <col min="1286" max="1286" width="9.140625" style="68"/>
    <col min="1287" max="1287" width="13" style="68" customWidth="1"/>
    <col min="1288" max="1531" width="9.140625" style="68"/>
    <col min="1532" max="1532" width="4.140625" style="68" customWidth="1"/>
    <col min="1533" max="1533" width="5.5703125" style="68" customWidth="1"/>
    <col min="1534" max="1534" width="59.5703125" style="68" customWidth="1"/>
    <col min="1535" max="1536" width="11.28515625" style="68" customWidth="1"/>
    <col min="1537" max="1537" width="10.5703125" style="68" customWidth="1"/>
    <col min="1538" max="1538" width="10.42578125" style="68" customWidth="1"/>
    <col min="1539" max="1539" width="10.7109375" style="68" customWidth="1"/>
    <col min="1540" max="1540" width="9" style="68" customWidth="1"/>
    <col min="1541" max="1541" width="11.5703125" style="68" customWidth="1"/>
    <col min="1542" max="1542" width="9.140625" style="68"/>
    <col min="1543" max="1543" width="13" style="68" customWidth="1"/>
    <col min="1544" max="1787" width="9.140625" style="68"/>
    <col min="1788" max="1788" width="4.140625" style="68" customWidth="1"/>
    <col min="1789" max="1789" width="5.5703125" style="68" customWidth="1"/>
    <col min="1790" max="1790" width="59.5703125" style="68" customWidth="1"/>
    <col min="1791" max="1792" width="11.28515625" style="68" customWidth="1"/>
    <col min="1793" max="1793" width="10.5703125" style="68" customWidth="1"/>
    <col min="1794" max="1794" width="10.42578125" style="68" customWidth="1"/>
    <col min="1795" max="1795" width="10.7109375" style="68" customWidth="1"/>
    <col min="1796" max="1796" width="9" style="68" customWidth="1"/>
    <col min="1797" max="1797" width="11.5703125" style="68" customWidth="1"/>
    <col min="1798" max="1798" width="9.140625" style="68"/>
    <col min="1799" max="1799" width="13" style="68" customWidth="1"/>
    <col min="1800" max="2043" width="9.140625" style="68"/>
    <col min="2044" max="2044" width="4.140625" style="68" customWidth="1"/>
    <col min="2045" max="2045" width="5.5703125" style="68" customWidth="1"/>
    <col min="2046" max="2046" width="59.5703125" style="68" customWidth="1"/>
    <col min="2047" max="2048" width="11.28515625" style="68" customWidth="1"/>
    <col min="2049" max="2049" width="10.5703125" style="68" customWidth="1"/>
    <col min="2050" max="2050" width="10.42578125" style="68" customWidth="1"/>
    <col min="2051" max="2051" width="10.7109375" style="68" customWidth="1"/>
    <col min="2052" max="2052" width="9" style="68" customWidth="1"/>
    <col min="2053" max="2053" width="11.5703125" style="68" customWidth="1"/>
    <col min="2054" max="2054" width="9.140625" style="68"/>
    <col min="2055" max="2055" width="13" style="68" customWidth="1"/>
    <col min="2056" max="2299" width="9.140625" style="68"/>
    <col min="2300" max="2300" width="4.140625" style="68" customWidth="1"/>
    <col min="2301" max="2301" width="5.5703125" style="68" customWidth="1"/>
    <col min="2302" max="2302" width="59.5703125" style="68" customWidth="1"/>
    <col min="2303" max="2304" width="11.28515625" style="68" customWidth="1"/>
    <col min="2305" max="2305" width="10.5703125" style="68" customWidth="1"/>
    <col min="2306" max="2306" width="10.42578125" style="68" customWidth="1"/>
    <col min="2307" max="2307" width="10.7109375" style="68" customWidth="1"/>
    <col min="2308" max="2308" width="9" style="68" customWidth="1"/>
    <col min="2309" max="2309" width="11.5703125" style="68" customWidth="1"/>
    <col min="2310" max="2310" width="9.140625" style="68"/>
    <col min="2311" max="2311" width="13" style="68" customWidth="1"/>
    <col min="2312" max="2555" width="9.140625" style="68"/>
    <col min="2556" max="2556" width="4.140625" style="68" customWidth="1"/>
    <col min="2557" max="2557" width="5.5703125" style="68" customWidth="1"/>
    <col min="2558" max="2558" width="59.5703125" style="68" customWidth="1"/>
    <col min="2559" max="2560" width="11.28515625" style="68" customWidth="1"/>
    <col min="2561" max="2561" width="10.5703125" style="68" customWidth="1"/>
    <col min="2562" max="2562" width="10.42578125" style="68" customWidth="1"/>
    <col min="2563" max="2563" width="10.7109375" style="68" customWidth="1"/>
    <col min="2564" max="2564" width="9" style="68" customWidth="1"/>
    <col min="2565" max="2565" width="11.5703125" style="68" customWidth="1"/>
    <col min="2566" max="2566" width="9.140625" style="68"/>
    <col min="2567" max="2567" width="13" style="68" customWidth="1"/>
    <col min="2568" max="2811" width="9.140625" style="68"/>
    <col min="2812" max="2812" width="4.140625" style="68" customWidth="1"/>
    <col min="2813" max="2813" width="5.5703125" style="68" customWidth="1"/>
    <col min="2814" max="2814" width="59.5703125" style="68" customWidth="1"/>
    <col min="2815" max="2816" width="11.28515625" style="68" customWidth="1"/>
    <col min="2817" max="2817" width="10.5703125" style="68" customWidth="1"/>
    <col min="2818" max="2818" width="10.42578125" style="68" customWidth="1"/>
    <col min="2819" max="2819" width="10.7109375" style="68" customWidth="1"/>
    <col min="2820" max="2820" width="9" style="68" customWidth="1"/>
    <col min="2821" max="2821" width="11.5703125" style="68" customWidth="1"/>
    <col min="2822" max="2822" width="9.140625" style="68"/>
    <col min="2823" max="2823" width="13" style="68" customWidth="1"/>
    <col min="2824" max="3067" width="9.140625" style="68"/>
    <col min="3068" max="3068" width="4.140625" style="68" customWidth="1"/>
    <col min="3069" max="3069" width="5.5703125" style="68" customWidth="1"/>
    <col min="3070" max="3070" width="59.5703125" style="68" customWidth="1"/>
    <col min="3071" max="3072" width="11.28515625" style="68" customWidth="1"/>
    <col min="3073" max="3073" width="10.5703125" style="68" customWidth="1"/>
    <col min="3074" max="3074" width="10.42578125" style="68" customWidth="1"/>
    <col min="3075" max="3075" width="10.7109375" style="68" customWidth="1"/>
    <col min="3076" max="3076" width="9" style="68" customWidth="1"/>
    <col min="3077" max="3077" width="11.5703125" style="68" customWidth="1"/>
    <col min="3078" max="3078" width="9.140625" style="68"/>
    <col min="3079" max="3079" width="13" style="68" customWidth="1"/>
    <col min="3080" max="3323" width="9.140625" style="68"/>
    <col min="3324" max="3324" width="4.140625" style="68" customWidth="1"/>
    <col min="3325" max="3325" width="5.5703125" style="68" customWidth="1"/>
    <col min="3326" max="3326" width="59.5703125" style="68" customWidth="1"/>
    <col min="3327" max="3328" width="11.28515625" style="68" customWidth="1"/>
    <col min="3329" max="3329" width="10.5703125" style="68" customWidth="1"/>
    <col min="3330" max="3330" width="10.42578125" style="68" customWidth="1"/>
    <col min="3331" max="3331" width="10.7109375" style="68" customWidth="1"/>
    <col min="3332" max="3332" width="9" style="68" customWidth="1"/>
    <col min="3333" max="3333" width="11.5703125" style="68" customWidth="1"/>
    <col min="3334" max="3334" width="9.140625" style="68"/>
    <col min="3335" max="3335" width="13" style="68" customWidth="1"/>
    <col min="3336" max="3579" width="9.140625" style="68"/>
    <col min="3580" max="3580" width="4.140625" style="68" customWidth="1"/>
    <col min="3581" max="3581" width="5.5703125" style="68" customWidth="1"/>
    <col min="3582" max="3582" width="59.5703125" style="68" customWidth="1"/>
    <col min="3583" max="3584" width="11.28515625" style="68" customWidth="1"/>
    <col min="3585" max="3585" width="10.5703125" style="68" customWidth="1"/>
    <col min="3586" max="3586" width="10.42578125" style="68" customWidth="1"/>
    <col min="3587" max="3587" width="10.7109375" style="68" customWidth="1"/>
    <col min="3588" max="3588" width="9" style="68" customWidth="1"/>
    <col min="3589" max="3589" width="11.5703125" style="68" customWidth="1"/>
    <col min="3590" max="3590" width="9.140625" style="68"/>
    <col min="3591" max="3591" width="13" style="68" customWidth="1"/>
    <col min="3592" max="3835" width="9.140625" style="68"/>
    <col min="3836" max="3836" width="4.140625" style="68" customWidth="1"/>
    <col min="3837" max="3837" width="5.5703125" style="68" customWidth="1"/>
    <col min="3838" max="3838" width="59.5703125" style="68" customWidth="1"/>
    <col min="3839" max="3840" width="11.28515625" style="68" customWidth="1"/>
    <col min="3841" max="3841" width="10.5703125" style="68" customWidth="1"/>
    <col min="3842" max="3842" width="10.42578125" style="68" customWidth="1"/>
    <col min="3843" max="3843" width="10.7109375" style="68" customWidth="1"/>
    <col min="3844" max="3844" width="9" style="68" customWidth="1"/>
    <col min="3845" max="3845" width="11.5703125" style="68" customWidth="1"/>
    <col min="3846" max="3846" width="9.140625" style="68"/>
    <col min="3847" max="3847" width="13" style="68" customWidth="1"/>
    <col min="3848" max="4091" width="9.140625" style="68"/>
    <col min="4092" max="4092" width="4.140625" style="68" customWidth="1"/>
    <col min="4093" max="4093" width="5.5703125" style="68" customWidth="1"/>
    <col min="4094" max="4094" width="59.5703125" style="68" customWidth="1"/>
    <col min="4095" max="4096" width="11.28515625" style="68" customWidth="1"/>
    <col min="4097" max="4097" width="10.5703125" style="68" customWidth="1"/>
    <col min="4098" max="4098" width="10.42578125" style="68" customWidth="1"/>
    <col min="4099" max="4099" width="10.7109375" style="68" customWidth="1"/>
    <col min="4100" max="4100" width="9" style="68" customWidth="1"/>
    <col min="4101" max="4101" width="11.5703125" style="68" customWidth="1"/>
    <col min="4102" max="4102" width="9.140625" style="68"/>
    <col min="4103" max="4103" width="13" style="68" customWidth="1"/>
    <col min="4104" max="4347" width="9.140625" style="68"/>
    <col min="4348" max="4348" width="4.140625" style="68" customWidth="1"/>
    <col min="4349" max="4349" width="5.5703125" style="68" customWidth="1"/>
    <col min="4350" max="4350" width="59.5703125" style="68" customWidth="1"/>
    <col min="4351" max="4352" width="11.28515625" style="68" customWidth="1"/>
    <col min="4353" max="4353" width="10.5703125" style="68" customWidth="1"/>
    <col min="4354" max="4354" width="10.42578125" style="68" customWidth="1"/>
    <col min="4355" max="4355" width="10.7109375" style="68" customWidth="1"/>
    <col min="4356" max="4356" width="9" style="68" customWidth="1"/>
    <col min="4357" max="4357" width="11.5703125" style="68" customWidth="1"/>
    <col min="4358" max="4358" width="9.140625" style="68"/>
    <col min="4359" max="4359" width="13" style="68" customWidth="1"/>
    <col min="4360" max="4603" width="9.140625" style="68"/>
    <col min="4604" max="4604" width="4.140625" style="68" customWidth="1"/>
    <col min="4605" max="4605" width="5.5703125" style="68" customWidth="1"/>
    <col min="4606" max="4606" width="59.5703125" style="68" customWidth="1"/>
    <col min="4607" max="4608" width="11.28515625" style="68" customWidth="1"/>
    <col min="4609" max="4609" width="10.5703125" style="68" customWidth="1"/>
    <col min="4610" max="4610" width="10.42578125" style="68" customWidth="1"/>
    <col min="4611" max="4611" width="10.7109375" style="68" customWidth="1"/>
    <col min="4612" max="4612" width="9" style="68" customWidth="1"/>
    <col min="4613" max="4613" width="11.5703125" style="68" customWidth="1"/>
    <col min="4614" max="4614" width="9.140625" style="68"/>
    <col min="4615" max="4615" width="13" style="68" customWidth="1"/>
    <col min="4616" max="4859" width="9.140625" style="68"/>
    <col min="4860" max="4860" width="4.140625" style="68" customWidth="1"/>
    <col min="4861" max="4861" width="5.5703125" style="68" customWidth="1"/>
    <col min="4862" max="4862" width="59.5703125" style="68" customWidth="1"/>
    <col min="4863" max="4864" width="11.28515625" style="68" customWidth="1"/>
    <col min="4865" max="4865" width="10.5703125" style="68" customWidth="1"/>
    <col min="4866" max="4866" width="10.42578125" style="68" customWidth="1"/>
    <col min="4867" max="4867" width="10.7109375" style="68" customWidth="1"/>
    <col min="4868" max="4868" width="9" style="68" customWidth="1"/>
    <col min="4869" max="4869" width="11.5703125" style="68" customWidth="1"/>
    <col min="4870" max="4870" width="9.140625" style="68"/>
    <col min="4871" max="4871" width="13" style="68" customWidth="1"/>
    <col min="4872" max="5115" width="9.140625" style="68"/>
    <col min="5116" max="5116" width="4.140625" style="68" customWidth="1"/>
    <col min="5117" max="5117" width="5.5703125" style="68" customWidth="1"/>
    <col min="5118" max="5118" width="59.5703125" style="68" customWidth="1"/>
    <col min="5119" max="5120" width="11.28515625" style="68" customWidth="1"/>
    <col min="5121" max="5121" width="10.5703125" style="68" customWidth="1"/>
    <col min="5122" max="5122" width="10.42578125" style="68" customWidth="1"/>
    <col min="5123" max="5123" width="10.7109375" style="68" customWidth="1"/>
    <col min="5124" max="5124" width="9" style="68" customWidth="1"/>
    <col min="5125" max="5125" width="11.5703125" style="68" customWidth="1"/>
    <col min="5126" max="5126" width="9.140625" style="68"/>
    <col min="5127" max="5127" width="13" style="68" customWidth="1"/>
    <col min="5128" max="5371" width="9.140625" style="68"/>
    <col min="5372" max="5372" width="4.140625" style="68" customWidth="1"/>
    <col min="5373" max="5373" width="5.5703125" style="68" customWidth="1"/>
    <col min="5374" max="5374" width="59.5703125" style="68" customWidth="1"/>
    <col min="5375" max="5376" width="11.28515625" style="68" customWidth="1"/>
    <col min="5377" max="5377" width="10.5703125" style="68" customWidth="1"/>
    <col min="5378" max="5378" width="10.42578125" style="68" customWidth="1"/>
    <col min="5379" max="5379" width="10.7109375" style="68" customWidth="1"/>
    <col min="5380" max="5380" width="9" style="68" customWidth="1"/>
    <col min="5381" max="5381" width="11.5703125" style="68" customWidth="1"/>
    <col min="5382" max="5382" width="9.140625" style="68"/>
    <col min="5383" max="5383" width="13" style="68" customWidth="1"/>
    <col min="5384" max="5627" width="9.140625" style="68"/>
    <col min="5628" max="5628" width="4.140625" style="68" customWidth="1"/>
    <col min="5629" max="5629" width="5.5703125" style="68" customWidth="1"/>
    <col min="5630" max="5630" width="59.5703125" style="68" customWidth="1"/>
    <col min="5631" max="5632" width="11.28515625" style="68" customWidth="1"/>
    <col min="5633" max="5633" width="10.5703125" style="68" customWidth="1"/>
    <col min="5634" max="5634" width="10.42578125" style="68" customWidth="1"/>
    <col min="5635" max="5635" width="10.7109375" style="68" customWidth="1"/>
    <col min="5636" max="5636" width="9" style="68" customWidth="1"/>
    <col min="5637" max="5637" width="11.5703125" style="68" customWidth="1"/>
    <col min="5638" max="5638" width="9.140625" style="68"/>
    <col min="5639" max="5639" width="13" style="68" customWidth="1"/>
    <col min="5640" max="5883" width="9.140625" style="68"/>
    <col min="5884" max="5884" width="4.140625" style="68" customWidth="1"/>
    <col min="5885" max="5885" width="5.5703125" style="68" customWidth="1"/>
    <col min="5886" max="5886" width="59.5703125" style="68" customWidth="1"/>
    <col min="5887" max="5888" width="11.28515625" style="68" customWidth="1"/>
    <col min="5889" max="5889" width="10.5703125" style="68" customWidth="1"/>
    <col min="5890" max="5890" width="10.42578125" style="68" customWidth="1"/>
    <col min="5891" max="5891" width="10.7109375" style="68" customWidth="1"/>
    <col min="5892" max="5892" width="9" style="68" customWidth="1"/>
    <col min="5893" max="5893" width="11.5703125" style="68" customWidth="1"/>
    <col min="5894" max="5894" width="9.140625" style="68"/>
    <col min="5895" max="5895" width="13" style="68" customWidth="1"/>
    <col min="5896" max="6139" width="9.140625" style="68"/>
    <col min="6140" max="6140" width="4.140625" style="68" customWidth="1"/>
    <col min="6141" max="6141" width="5.5703125" style="68" customWidth="1"/>
    <col min="6142" max="6142" width="59.5703125" style="68" customWidth="1"/>
    <col min="6143" max="6144" width="11.28515625" style="68" customWidth="1"/>
    <col min="6145" max="6145" width="10.5703125" style="68" customWidth="1"/>
    <col min="6146" max="6146" width="10.42578125" style="68" customWidth="1"/>
    <col min="6147" max="6147" width="10.7109375" style="68" customWidth="1"/>
    <col min="6148" max="6148" width="9" style="68" customWidth="1"/>
    <col min="6149" max="6149" width="11.5703125" style="68" customWidth="1"/>
    <col min="6150" max="6150" width="9.140625" style="68"/>
    <col min="6151" max="6151" width="13" style="68" customWidth="1"/>
    <col min="6152" max="6395" width="9.140625" style="68"/>
    <col min="6396" max="6396" width="4.140625" style="68" customWidth="1"/>
    <col min="6397" max="6397" width="5.5703125" style="68" customWidth="1"/>
    <col min="6398" max="6398" width="59.5703125" style="68" customWidth="1"/>
    <col min="6399" max="6400" width="11.28515625" style="68" customWidth="1"/>
    <col min="6401" max="6401" width="10.5703125" style="68" customWidth="1"/>
    <col min="6402" max="6402" width="10.42578125" style="68" customWidth="1"/>
    <col min="6403" max="6403" width="10.7109375" style="68" customWidth="1"/>
    <col min="6404" max="6404" width="9" style="68" customWidth="1"/>
    <col min="6405" max="6405" width="11.5703125" style="68" customWidth="1"/>
    <col min="6406" max="6406" width="9.140625" style="68"/>
    <col min="6407" max="6407" width="13" style="68" customWidth="1"/>
    <col min="6408" max="6651" width="9.140625" style="68"/>
    <col min="6652" max="6652" width="4.140625" style="68" customWidth="1"/>
    <col min="6653" max="6653" width="5.5703125" style="68" customWidth="1"/>
    <col min="6654" max="6654" width="59.5703125" style="68" customWidth="1"/>
    <col min="6655" max="6656" width="11.28515625" style="68" customWidth="1"/>
    <col min="6657" max="6657" width="10.5703125" style="68" customWidth="1"/>
    <col min="6658" max="6658" width="10.42578125" style="68" customWidth="1"/>
    <col min="6659" max="6659" width="10.7109375" style="68" customWidth="1"/>
    <col min="6660" max="6660" width="9" style="68" customWidth="1"/>
    <col min="6661" max="6661" width="11.5703125" style="68" customWidth="1"/>
    <col min="6662" max="6662" width="9.140625" style="68"/>
    <col min="6663" max="6663" width="13" style="68" customWidth="1"/>
    <col min="6664" max="6907" width="9.140625" style="68"/>
    <col min="6908" max="6908" width="4.140625" style="68" customWidth="1"/>
    <col min="6909" max="6909" width="5.5703125" style="68" customWidth="1"/>
    <col min="6910" max="6910" width="59.5703125" style="68" customWidth="1"/>
    <col min="6911" max="6912" width="11.28515625" style="68" customWidth="1"/>
    <col min="6913" max="6913" width="10.5703125" style="68" customWidth="1"/>
    <col min="6914" max="6914" width="10.42578125" style="68" customWidth="1"/>
    <col min="6915" max="6915" width="10.7109375" style="68" customWidth="1"/>
    <col min="6916" max="6916" width="9" style="68" customWidth="1"/>
    <col min="6917" max="6917" width="11.5703125" style="68" customWidth="1"/>
    <col min="6918" max="6918" width="9.140625" style="68"/>
    <col min="6919" max="6919" width="13" style="68" customWidth="1"/>
    <col min="6920" max="7163" width="9.140625" style="68"/>
    <col min="7164" max="7164" width="4.140625" style="68" customWidth="1"/>
    <col min="7165" max="7165" width="5.5703125" style="68" customWidth="1"/>
    <col min="7166" max="7166" width="59.5703125" style="68" customWidth="1"/>
    <col min="7167" max="7168" width="11.28515625" style="68" customWidth="1"/>
    <col min="7169" max="7169" width="10.5703125" style="68" customWidth="1"/>
    <col min="7170" max="7170" width="10.42578125" style="68" customWidth="1"/>
    <col min="7171" max="7171" width="10.7109375" style="68" customWidth="1"/>
    <col min="7172" max="7172" width="9" style="68" customWidth="1"/>
    <col min="7173" max="7173" width="11.5703125" style="68" customWidth="1"/>
    <col min="7174" max="7174" width="9.140625" style="68"/>
    <col min="7175" max="7175" width="13" style="68" customWidth="1"/>
    <col min="7176" max="7419" width="9.140625" style="68"/>
    <col min="7420" max="7420" width="4.140625" style="68" customWidth="1"/>
    <col min="7421" max="7421" width="5.5703125" style="68" customWidth="1"/>
    <col min="7422" max="7422" width="59.5703125" style="68" customWidth="1"/>
    <col min="7423" max="7424" width="11.28515625" style="68" customWidth="1"/>
    <col min="7425" max="7425" width="10.5703125" style="68" customWidth="1"/>
    <col min="7426" max="7426" width="10.42578125" style="68" customWidth="1"/>
    <col min="7427" max="7427" width="10.7109375" style="68" customWidth="1"/>
    <col min="7428" max="7428" width="9" style="68" customWidth="1"/>
    <col min="7429" max="7429" width="11.5703125" style="68" customWidth="1"/>
    <col min="7430" max="7430" width="9.140625" style="68"/>
    <col min="7431" max="7431" width="13" style="68" customWidth="1"/>
    <col min="7432" max="7675" width="9.140625" style="68"/>
    <col min="7676" max="7676" width="4.140625" style="68" customWidth="1"/>
    <col min="7677" max="7677" width="5.5703125" style="68" customWidth="1"/>
    <col min="7678" max="7678" width="59.5703125" style="68" customWidth="1"/>
    <col min="7679" max="7680" width="11.28515625" style="68" customWidth="1"/>
    <col min="7681" max="7681" width="10.5703125" style="68" customWidth="1"/>
    <col min="7682" max="7682" width="10.42578125" style="68" customWidth="1"/>
    <col min="7683" max="7683" width="10.7109375" style="68" customWidth="1"/>
    <col min="7684" max="7684" width="9" style="68" customWidth="1"/>
    <col min="7685" max="7685" width="11.5703125" style="68" customWidth="1"/>
    <col min="7686" max="7686" width="9.140625" style="68"/>
    <col min="7687" max="7687" width="13" style="68" customWidth="1"/>
    <col min="7688" max="7931" width="9.140625" style="68"/>
    <col min="7932" max="7932" width="4.140625" style="68" customWidth="1"/>
    <col min="7933" max="7933" width="5.5703125" style="68" customWidth="1"/>
    <col min="7934" max="7934" width="59.5703125" style="68" customWidth="1"/>
    <col min="7935" max="7936" width="11.28515625" style="68" customWidth="1"/>
    <col min="7937" max="7937" width="10.5703125" style="68" customWidth="1"/>
    <col min="7938" max="7938" width="10.42578125" style="68" customWidth="1"/>
    <col min="7939" max="7939" width="10.7109375" style="68" customWidth="1"/>
    <col min="7940" max="7940" width="9" style="68" customWidth="1"/>
    <col min="7941" max="7941" width="11.5703125" style="68" customWidth="1"/>
    <col min="7942" max="7942" width="9.140625" style="68"/>
    <col min="7943" max="7943" width="13" style="68" customWidth="1"/>
    <col min="7944" max="8187" width="9.140625" style="68"/>
    <col min="8188" max="8188" width="4.140625" style="68" customWidth="1"/>
    <col min="8189" max="8189" width="5.5703125" style="68" customWidth="1"/>
    <col min="8190" max="8190" width="59.5703125" style="68" customWidth="1"/>
    <col min="8191" max="8192" width="11.28515625" style="68" customWidth="1"/>
    <col min="8193" max="8193" width="10.5703125" style="68" customWidth="1"/>
    <col min="8194" max="8194" width="10.42578125" style="68" customWidth="1"/>
    <col min="8195" max="8195" width="10.7109375" style="68" customWidth="1"/>
    <col min="8196" max="8196" width="9" style="68" customWidth="1"/>
    <col min="8197" max="8197" width="11.5703125" style="68" customWidth="1"/>
    <col min="8198" max="8198" width="9.140625" style="68"/>
    <col min="8199" max="8199" width="13" style="68" customWidth="1"/>
    <col min="8200" max="8443" width="9.140625" style="68"/>
    <col min="8444" max="8444" width="4.140625" style="68" customWidth="1"/>
    <col min="8445" max="8445" width="5.5703125" style="68" customWidth="1"/>
    <col min="8446" max="8446" width="59.5703125" style="68" customWidth="1"/>
    <col min="8447" max="8448" width="11.28515625" style="68" customWidth="1"/>
    <col min="8449" max="8449" width="10.5703125" style="68" customWidth="1"/>
    <col min="8450" max="8450" width="10.42578125" style="68" customWidth="1"/>
    <col min="8451" max="8451" width="10.7109375" style="68" customWidth="1"/>
    <col min="8452" max="8452" width="9" style="68" customWidth="1"/>
    <col min="8453" max="8453" width="11.5703125" style="68" customWidth="1"/>
    <col min="8454" max="8454" width="9.140625" style="68"/>
    <col min="8455" max="8455" width="13" style="68" customWidth="1"/>
    <col min="8456" max="8699" width="9.140625" style="68"/>
    <col min="8700" max="8700" width="4.140625" style="68" customWidth="1"/>
    <col min="8701" max="8701" width="5.5703125" style="68" customWidth="1"/>
    <col min="8702" max="8702" width="59.5703125" style="68" customWidth="1"/>
    <col min="8703" max="8704" width="11.28515625" style="68" customWidth="1"/>
    <col min="8705" max="8705" width="10.5703125" style="68" customWidth="1"/>
    <col min="8706" max="8706" width="10.42578125" style="68" customWidth="1"/>
    <col min="8707" max="8707" width="10.7109375" style="68" customWidth="1"/>
    <col min="8708" max="8708" width="9" style="68" customWidth="1"/>
    <col min="8709" max="8709" width="11.5703125" style="68" customWidth="1"/>
    <col min="8710" max="8710" width="9.140625" style="68"/>
    <col min="8711" max="8711" width="13" style="68" customWidth="1"/>
    <col min="8712" max="8955" width="9.140625" style="68"/>
    <col min="8956" max="8956" width="4.140625" style="68" customWidth="1"/>
    <col min="8957" max="8957" width="5.5703125" style="68" customWidth="1"/>
    <col min="8958" max="8958" width="59.5703125" style="68" customWidth="1"/>
    <col min="8959" max="8960" width="11.28515625" style="68" customWidth="1"/>
    <col min="8961" max="8961" width="10.5703125" style="68" customWidth="1"/>
    <col min="8962" max="8962" width="10.42578125" style="68" customWidth="1"/>
    <col min="8963" max="8963" width="10.7109375" style="68" customWidth="1"/>
    <col min="8964" max="8964" width="9" style="68" customWidth="1"/>
    <col min="8965" max="8965" width="11.5703125" style="68" customWidth="1"/>
    <col min="8966" max="8966" width="9.140625" style="68"/>
    <col min="8967" max="8967" width="13" style="68" customWidth="1"/>
    <col min="8968" max="9211" width="9.140625" style="68"/>
    <col min="9212" max="9212" width="4.140625" style="68" customWidth="1"/>
    <col min="9213" max="9213" width="5.5703125" style="68" customWidth="1"/>
    <col min="9214" max="9214" width="59.5703125" style="68" customWidth="1"/>
    <col min="9215" max="9216" width="11.28515625" style="68" customWidth="1"/>
    <col min="9217" max="9217" width="10.5703125" style="68" customWidth="1"/>
    <col min="9218" max="9218" width="10.42578125" style="68" customWidth="1"/>
    <col min="9219" max="9219" width="10.7109375" style="68" customWidth="1"/>
    <col min="9220" max="9220" width="9" style="68" customWidth="1"/>
    <col min="9221" max="9221" width="11.5703125" style="68" customWidth="1"/>
    <col min="9222" max="9222" width="9.140625" style="68"/>
    <col min="9223" max="9223" width="13" style="68" customWidth="1"/>
    <col min="9224" max="9467" width="9.140625" style="68"/>
    <col min="9468" max="9468" width="4.140625" style="68" customWidth="1"/>
    <col min="9469" max="9469" width="5.5703125" style="68" customWidth="1"/>
    <col min="9470" max="9470" width="59.5703125" style="68" customWidth="1"/>
    <col min="9471" max="9472" width="11.28515625" style="68" customWidth="1"/>
    <col min="9473" max="9473" width="10.5703125" style="68" customWidth="1"/>
    <col min="9474" max="9474" width="10.42578125" style="68" customWidth="1"/>
    <col min="9475" max="9475" width="10.7109375" style="68" customWidth="1"/>
    <col min="9476" max="9476" width="9" style="68" customWidth="1"/>
    <col min="9477" max="9477" width="11.5703125" style="68" customWidth="1"/>
    <col min="9478" max="9478" width="9.140625" style="68"/>
    <col min="9479" max="9479" width="13" style="68" customWidth="1"/>
    <col min="9480" max="9723" width="9.140625" style="68"/>
    <col min="9724" max="9724" width="4.140625" style="68" customWidth="1"/>
    <col min="9725" max="9725" width="5.5703125" style="68" customWidth="1"/>
    <col min="9726" max="9726" width="59.5703125" style="68" customWidth="1"/>
    <col min="9727" max="9728" width="11.28515625" style="68" customWidth="1"/>
    <col min="9729" max="9729" width="10.5703125" style="68" customWidth="1"/>
    <col min="9730" max="9730" width="10.42578125" style="68" customWidth="1"/>
    <col min="9731" max="9731" width="10.7109375" style="68" customWidth="1"/>
    <col min="9732" max="9732" width="9" style="68" customWidth="1"/>
    <col min="9733" max="9733" width="11.5703125" style="68" customWidth="1"/>
    <col min="9734" max="9734" width="9.140625" style="68"/>
    <col min="9735" max="9735" width="13" style="68" customWidth="1"/>
    <col min="9736" max="9979" width="9.140625" style="68"/>
    <col min="9980" max="9980" width="4.140625" style="68" customWidth="1"/>
    <col min="9981" max="9981" width="5.5703125" style="68" customWidth="1"/>
    <col min="9982" max="9982" width="59.5703125" style="68" customWidth="1"/>
    <col min="9983" max="9984" width="11.28515625" style="68" customWidth="1"/>
    <col min="9985" max="9985" width="10.5703125" style="68" customWidth="1"/>
    <col min="9986" max="9986" width="10.42578125" style="68" customWidth="1"/>
    <col min="9987" max="9987" width="10.7109375" style="68" customWidth="1"/>
    <col min="9988" max="9988" width="9" style="68" customWidth="1"/>
    <col min="9989" max="9989" width="11.5703125" style="68" customWidth="1"/>
    <col min="9990" max="9990" width="9.140625" style="68"/>
    <col min="9991" max="9991" width="13" style="68" customWidth="1"/>
    <col min="9992" max="10235" width="9.140625" style="68"/>
    <col min="10236" max="10236" width="4.140625" style="68" customWidth="1"/>
    <col min="10237" max="10237" width="5.5703125" style="68" customWidth="1"/>
    <col min="10238" max="10238" width="59.5703125" style="68" customWidth="1"/>
    <col min="10239" max="10240" width="11.28515625" style="68" customWidth="1"/>
    <col min="10241" max="10241" width="10.5703125" style="68" customWidth="1"/>
    <col min="10242" max="10242" width="10.42578125" style="68" customWidth="1"/>
    <col min="10243" max="10243" width="10.7109375" style="68" customWidth="1"/>
    <col min="10244" max="10244" width="9" style="68" customWidth="1"/>
    <col min="10245" max="10245" width="11.5703125" style="68" customWidth="1"/>
    <col min="10246" max="10246" width="9.140625" style="68"/>
    <col min="10247" max="10247" width="13" style="68" customWidth="1"/>
    <col min="10248" max="10491" width="9.140625" style="68"/>
    <col min="10492" max="10492" width="4.140625" style="68" customWidth="1"/>
    <col min="10493" max="10493" width="5.5703125" style="68" customWidth="1"/>
    <col min="10494" max="10494" width="59.5703125" style="68" customWidth="1"/>
    <col min="10495" max="10496" width="11.28515625" style="68" customWidth="1"/>
    <col min="10497" max="10497" width="10.5703125" style="68" customWidth="1"/>
    <col min="10498" max="10498" width="10.42578125" style="68" customWidth="1"/>
    <col min="10499" max="10499" width="10.7109375" style="68" customWidth="1"/>
    <col min="10500" max="10500" width="9" style="68" customWidth="1"/>
    <col min="10501" max="10501" width="11.5703125" style="68" customWidth="1"/>
    <col min="10502" max="10502" width="9.140625" style="68"/>
    <col min="10503" max="10503" width="13" style="68" customWidth="1"/>
    <col min="10504" max="10747" width="9.140625" style="68"/>
    <col min="10748" max="10748" width="4.140625" style="68" customWidth="1"/>
    <col min="10749" max="10749" width="5.5703125" style="68" customWidth="1"/>
    <col min="10750" max="10750" width="59.5703125" style="68" customWidth="1"/>
    <col min="10751" max="10752" width="11.28515625" style="68" customWidth="1"/>
    <col min="10753" max="10753" width="10.5703125" style="68" customWidth="1"/>
    <col min="10754" max="10754" width="10.42578125" style="68" customWidth="1"/>
    <col min="10755" max="10755" width="10.7109375" style="68" customWidth="1"/>
    <col min="10756" max="10756" width="9" style="68" customWidth="1"/>
    <col min="10757" max="10757" width="11.5703125" style="68" customWidth="1"/>
    <col min="10758" max="10758" width="9.140625" style="68"/>
    <col min="10759" max="10759" width="13" style="68" customWidth="1"/>
    <col min="10760" max="11003" width="9.140625" style="68"/>
    <col min="11004" max="11004" width="4.140625" style="68" customWidth="1"/>
    <col min="11005" max="11005" width="5.5703125" style="68" customWidth="1"/>
    <col min="11006" max="11006" width="59.5703125" style="68" customWidth="1"/>
    <col min="11007" max="11008" width="11.28515625" style="68" customWidth="1"/>
    <col min="11009" max="11009" width="10.5703125" style="68" customWidth="1"/>
    <col min="11010" max="11010" width="10.42578125" style="68" customWidth="1"/>
    <col min="11011" max="11011" width="10.7109375" style="68" customWidth="1"/>
    <col min="11012" max="11012" width="9" style="68" customWidth="1"/>
    <col min="11013" max="11013" width="11.5703125" style="68" customWidth="1"/>
    <col min="11014" max="11014" width="9.140625" style="68"/>
    <col min="11015" max="11015" width="13" style="68" customWidth="1"/>
    <col min="11016" max="11259" width="9.140625" style="68"/>
    <col min="11260" max="11260" width="4.140625" style="68" customWidth="1"/>
    <col min="11261" max="11261" width="5.5703125" style="68" customWidth="1"/>
    <col min="11262" max="11262" width="59.5703125" style="68" customWidth="1"/>
    <col min="11263" max="11264" width="11.28515625" style="68" customWidth="1"/>
    <col min="11265" max="11265" width="10.5703125" style="68" customWidth="1"/>
    <col min="11266" max="11266" width="10.42578125" style="68" customWidth="1"/>
    <col min="11267" max="11267" width="10.7109375" style="68" customWidth="1"/>
    <col min="11268" max="11268" width="9" style="68" customWidth="1"/>
    <col min="11269" max="11269" width="11.5703125" style="68" customWidth="1"/>
    <col min="11270" max="11270" width="9.140625" style="68"/>
    <col min="11271" max="11271" width="13" style="68" customWidth="1"/>
    <col min="11272" max="11515" width="9.140625" style="68"/>
    <col min="11516" max="11516" width="4.140625" style="68" customWidth="1"/>
    <col min="11517" max="11517" width="5.5703125" style="68" customWidth="1"/>
    <col min="11518" max="11518" width="59.5703125" style="68" customWidth="1"/>
    <col min="11519" max="11520" width="11.28515625" style="68" customWidth="1"/>
    <col min="11521" max="11521" width="10.5703125" style="68" customWidth="1"/>
    <col min="11522" max="11522" width="10.42578125" style="68" customWidth="1"/>
    <col min="11523" max="11523" width="10.7109375" style="68" customWidth="1"/>
    <col min="11524" max="11524" width="9" style="68" customWidth="1"/>
    <col min="11525" max="11525" width="11.5703125" style="68" customWidth="1"/>
    <col min="11526" max="11526" width="9.140625" style="68"/>
    <col min="11527" max="11527" width="13" style="68" customWidth="1"/>
    <col min="11528" max="11771" width="9.140625" style="68"/>
    <col min="11772" max="11772" width="4.140625" style="68" customWidth="1"/>
    <col min="11773" max="11773" width="5.5703125" style="68" customWidth="1"/>
    <col min="11774" max="11774" width="59.5703125" style="68" customWidth="1"/>
    <col min="11775" max="11776" width="11.28515625" style="68" customWidth="1"/>
    <col min="11777" max="11777" width="10.5703125" style="68" customWidth="1"/>
    <col min="11778" max="11778" width="10.42578125" style="68" customWidth="1"/>
    <col min="11779" max="11779" width="10.7109375" style="68" customWidth="1"/>
    <col min="11780" max="11780" width="9" style="68" customWidth="1"/>
    <col min="11781" max="11781" width="11.5703125" style="68" customWidth="1"/>
    <col min="11782" max="11782" width="9.140625" style="68"/>
    <col min="11783" max="11783" width="13" style="68" customWidth="1"/>
    <col min="11784" max="12027" width="9.140625" style="68"/>
    <col min="12028" max="12028" width="4.140625" style="68" customWidth="1"/>
    <col min="12029" max="12029" width="5.5703125" style="68" customWidth="1"/>
    <col min="12030" max="12030" width="59.5703125" style="68" customWidth="1"/>
    <col min="12031" max="12032" width="11.28515625" style="68" customWidth="1"/>
    <col min="12033" max="12033" width="10.5703125" style="68" customWidth="1"/>
    <col min="12034" max="12034" width="10.42578125" style="68" customWidth="1"/>
    <col min="12035" max="12035" width="10.7109375" style="68" customWidth="1"/>
    <col min="12036" max="12036" width="9" style="68" customWidth="1"/>
    <col min="12037" max="12037" width="11.5703125" style="68" customWidth="1"/>
    <col min="12038" max="12038" width="9.140625" style="68"/>
    <col min="12039" max="12039" width="13" style="68" customWidth="1"/>
    <col min="12040" max="12283" width="9.140625" style="68"/>
    <col min="12284" max="12284" width="4.140625" style="68" customWidth="1"/>
    <col min="12285" max="12285" width="5.5703125" style="68" customWidth="1"/>
    <col min="12286" max="12286" width="59.5703125" style="68" customWidth="1"/>
    <col min="12287" max="12288" width="11.28515625" style="68" customWidth="1"/>
    <col min="12289" max="12289" width="10.5703125" style="68" customWidth="1"/>
    <col min="12290" max="12290" width="10.42578125" style="68" customWidth="1"/>
    <col min="12291" max="12291" width="10.7109375" style="68" customWidth="1"/>
    <col min="12292" max="12292" width="9" style="68" customWidth="1"/>
    <col min="12293" max="12293" width="11.5703125" style="68" customWidth="1"/>
    <col min="12294" max="12294" width="9.140625" style="68"/>
    <col min="12295" max="12295" width="13" style="68" customWidth="1"/>
    <col min="12296" max="12539" width="9.140625" style="68"/>
    <col min="12540" max="12540" width="4.140625" style="68" customWidth="1"/>
    <col min="12541" max="12541" width="5.5703125" style="68" customWidth="1"/>
    <col min="12542" max="12542" width="59.5703125" style="68" customWidth="1"/>
    <col min="12543" max="12544" width="11.28515625" style="68" customWidth="1"/>
    <col min="12545" max="12545" width="10.5703125" style="68" customWidth="1"/>
    <col min="12546" max="12546" width="10.42578125" style="68" customWidth="1"/>
    <col min="12547" max="12547" width="10.7109375" style="68" customWidth="1"/>
    <col min="12548" max="12548" width="9" style="68" customWidth="1"/>
    <col min="12549" max="12549" width="11.5703125" style="68" customWidth="1"/>
    <col min="12550" max="12550" width="9.140625" style="68"/>
    <col min="12551" max="12551" width="13" style="68" customWidth="1"/>
    <col min="12552" max="12795" width="9.140625" style="68"/>
    <col min="12796" max="12796" width="4.140625" style="68" customWidth="1"/>
    <col min="12797" max="12797" width="5.5703125" style="68" customWidth="1"/>
    <col min="12798" max="12798" width="59.5703125" style="68" customWidth="1"/>
    <col min="12799" max="12800" width="11.28515625" style="68" customWidth="1"/>
    <col min="12801" max="12801" width="10.5703125" style="68" customWidth="1"/>
    <col min="12802" max="12802" width="10.42578125" style="68" customWidth="1"/>
    <col min="12803" max="12803" width="10.7109375" style="68" customWidth="1"/>
    <col min="12804" max="12804" width="9" style="68" customWidth="1"/>
    <col min="12805" max="12805" width="11.5703125" style="68" customWidth="1"/>
    <col min="12806" max="12806" width="9.140625" style="68"/>
    <col min="12807" max="12807" width="13" style="68" customWidth="1"/>
    <col min="12808" max="13051" width="9.140625" style="68"/>
    <col min="13052" max="13052" width="4.140625" style="68" customWidth="1"/>
    <col min="13053" max="13053" width="5.5703125" style="68" customWidth="1"/>
    <col min="13054" max="13054" width="59.5703125" style="68" customWidth="1"/>
    <col min="13055" max="13056" width="11.28515625" style="68" customWidth="1"/>
    <col min="13057" max="13057" width="10.5703125" style="68" customWidth="1"/>
    <col min="13058" max="13058" width="10.42578125" style="68" customWidth="1"/>
    <col min="13059" max="13059" width="10.7109375" style="68" customWidth="1"/>
    <col min="13060" max="13060" width="9" style="68" customWidth="1"/>
    <col min="13061" max="13061" width="11.5703125" style="68" customWidth="1"/>
    <col min="13062" max="13062" width="9.140625" style="68"/>
    <col min="13063" max="13063" width="13" style="68" customWidth="1"/>
    <col min="13064" max="13307" width="9.140625" style="68"/>
    <col min="13308" max="13308" width="4.140625" style="68" customWidth="1"/>
    <col min="13309" max="13309" width="5.5703125" style="68" customWidth="1"/>
    <col min="13310" max="13310" width="59.5703125" style="68" customWidth="1"/>
    <col min="13311" max="13312" width="11.28515625" style="68" customWidth="1"/>
    <col min="13313" max="13313" width="10.5703125" style="68" customWidth="1"/>
    <col min="13314" max="13314" width="10.42578125" style="68" customWidth="1"/>
    <col min="13315" max="13315" width="10.7109375" style="68" customWidth="1"/>
    <col min="13316" max="13316" width="9" style="68" customWidth="1"/>
    <col min="13317" max="13317" width="11.5703125" style="68" customWidth="1"/>
    <col min="13318" max="13318" width="9.140625" style="68"/>
    <col min="13319" max="13319" width="13" style="68" customWidth="1"/>
    <col min="13320" max="13563" width="9.140625" style="68"/>
    <col min="13564" max="13564" width="4.140625" style="68" customWidth="1"/>
    <col min="13565" max="13565" width="5.5703125" style="68" customWidth="1"/>
    <col min="13566" max="13566" width="59.5703125" style="68" customWidth="1"/>
    <col min="13567" max="13568" width="11.28515625" style="68" customWidth="1"/>
    <col min="13569" max="13569" width="10.5703125" style="68" customWidth="1"/>
    <col min="13570" max="13570" width="10.42578125" style="68" customWidth="1"/>
    <col min="13571" max="13571" width="10.7109375" style="68" customWidth="1"/>
    <col min="13572" max="13572" width="9" style="68" customWidth="1"/>
    <col min="13573" max="13573" width="11.5703125" style="68" customWidth="1"/>
    <col min="13574" max="13574" width="9.140625" style="68"/>
    <col min="13575" max="13575" width="13" style="68" customWidth="1"/>
    <col min="13576" max="13819" width="9.140625" style="68"/>
    <col min="13820" max="13820" width="4.140625" style="68" customWidth="1"/>
    <col min="13821" max="13821" width="5.5703125" style="68" customWidth="1"/>
    <col min="13822" max="13822" width="59.5703125" style="68" customWidth="1"/>
    <col min="13823" max="13824" width="11.28515625" style="68" customWidth="1"/>
    <col min="13825" max="13825" width="10.5703125" style="68" customWidth="1"/>
    <col min="13826" max="13826" width="10.42578125" style="68" customWidth="1"/>
    <col min="13827" max="13827" width="10.7109375" style="68" customWidth="1"/>
    <col min="13828" max="13828" width="9" style="68" customWidth="1"/>
    <col min="13829" max="13829" width="11.5703125" style="68" customWidth="1"/>
    <col min="13830" max="13830" width="9.140625" style="68"/>
    <col min="13831" max="13831" width="13" style="68" customWidth="1"/>
    <col min="13832" max="14075" width="9.140625" style="68"/>
    <col min="14076" max="14076" width="4.140625" style="68" customWidth="1"/>
    <col min="14077" max="14077" width="5.5703125" style="68" customWidth="1"/>
    <col min="14078" max="14078" width="59.5703125" style="68" customWidth="1"/>
    <col min="14079" max="14080" width="11.28515625" style="68" customWidth="1"/>
    <col min="14081" max="14081" width="10.5703125" style="68" customWidth="1"/>
    <col min="14082" max="14082" width="10.42578125" style="68" customWidth="1"/>
    <col min="14083" max="14083" width="10.7109375" style="68" customWidth="1"/>
    <col min="14084" max="14084" width="9" style="68" customWidth="1"/>
    <col min="14085" max="14085" width="11.5703125" style="68" customWidth="1"/>
    <col min="14086" max="14086" width="9.140625" style="68"/>
    <col min="14087" max="14087" width="13" style="68" customWidth="1"/>
    <col min="14088" max="14331" width="9.140625" style="68"/>
    <col min="14332" max="14332" width="4.140625" style="68" customWidth="1"/>
    <col min="14333" max="14333" width="5.5703125" style="68" customWidth="1"/>
    <col min="14334" max="14334" width="59.5703125" style="68" customWidth="1"/>
    <col min="14335" max="14336" width="11.28515625" style="68" customWidth="1"/>
    <col min="14337" max="14337" width="10.5703125" style="68" customWidth="1"/>
    <col min="14338" max="14338" width="10.42578125" style="68" customWidth="1"/>
    <col min="14339" max="14339" width="10.7109375" style="68" customWidth="1"/>
    <col min="14340" max="14340" width="9" style="68" customWidth="1"/>
    <col min="14341" max="14341" width="11.5703125" style="68" customWidth="1"/>
    <col min="14342" max="14342" width="9.140625" style="68"/>
    <col min="14343" max="14343" width="13" style="68" customWidth="1"/>
    <col min="14344" max="14587" width="9.140625" style="68"/>
    <col min="14588" max="14588" width="4.140625" style="68" customWidth="1"/>
    <col min="14589" max="14589" width="5.5703125" style="68" customWidth="1"/>
    <col min="14590" max="14590" width="59.5703125" style="68" customWidth="1"/>
    <col min="14591" max="14592" width="11.28515625" style="68" customWidth="1"/>
    <col min="14593" max="14593" width="10.5703125" style="68" customWidth="1"/>
    <col min="14594" max="14594" width="10.42578125" style="68" customWidth="1"/>
    <col min="14595" max="14595" width="10.7109375" style="68" customWidth="1"/>
    <col min="14596" max="14596" width="9" style="68" customWidth="1"/>
    <col min="14597" max="14597" width="11.5703125" style="68" customWidth="1"/>
    <col min="14598" max="14598" width="9.140625" style="68"/>
    <col min="14599" max="14599" width="13" style="68" customWidth="1"/>
    <col min="14600" max="14843" width="9.140625" style="68"/>
    <col min="14844" max="14844" width="4.140625" style="68" customWidth="1"/>
    <col min="14845" max="14845" width="5.5703125" style="68" customWidth="1"/>
    <col min="14846" max="14846" width="59.5703125" style="68" customWidth="1"/>
    <col min="14847" max="14848" width="11.28515625" style="68" customWidth="1"/>
    <col min="14849" max="14849" width="10.5703125" style="68" customWidth="1"/>
    <col min="14850" max="14850" width="10.42578125" style="68" customWidth="1"/>
    <col min="14851" max="14851" width="10.7109375" style="68" customWidth="1"/>
    <col min="14852" max="14852" width="9" style="68" customWidth="1"/>
    <col min="14853" max="14853" width="11.5703125" style="68" customWidth="1"/>
    <col min="14854" max="14854" width="9.140625" style="68"/>
    <col min="14855" max="14855" width="13" style="68" customWidth="1"/>
    <col min="14856" max="15099" width="9.140625" style="68"/>
    <col min="15100" max="15100" width="4.140625" style="68" customWidth="1"/>
    <col min="15101" max="15101" width="5.5703125" style="68" customWidth="1"/>
    <col min="15102" max="15102" width="59.5703125" style="68" customWidth="1"/>
    <col min="15103" max="15104" width="11.28515625" style="68" customWidth="1"/>
    <col min="15105" max="15105" width="10.5703125" style="68" customWidth="1"/>
    <col min="15106" max="15106" width="10.42578125" style="68" customWidth="1"/>
    <col min="15107" max="15107" width="10.7109375" style="68" customWidth="1"/>
    <col min="15108" max="15108" width="9" style="68" customWidth="1"/>
    <col min="15109" max="15109" width="11.5703125" style="68" customWidth="1"/>
    <col min="15110" max="15110" width="9.140625" style="68"/>
    <col min="15111" max="15111" width="13" style="68" customWidth="1"/>
    <col min="15112" max="15355" width="9.140625" style="68"/>
    <col min="15356" max="15356" width="4.140625" style="68" customWidth="1"/>
    <col min="15357" max="15357" width="5.5703125" style="68" customWidth="1"/>
    <col min="15358" max="15358" width="59.5703125" style="68" customWidth="1"/>
    <col min="15359" max="15360" width="11.28515625" style="68" customWidth="1"/>
    <col min="15361" max="15361" width="10.5703125" style="68" customWidth="1"/>
    <col min="15362" max="15362" width="10.42578125" style="68" customWidth="1"/>
    <col min="15363" max="15363" width="10.7109375" style="68" customWidth="1"/>
    <col min="15364" max="15364" width="9" style="68" customWidth="1"/>
    <col min="15365" max="15365" width="11.5703125" style="68" customWidth="1"/>
    <col min="15366" max="15366" width="9.140625" style="68"/>
    <col min="15367" max="15367" width="13" style="68" customWidth="1"/>
    <col min="15368" max="15611" width="9.140625" style="68"/>
    <col min="15612" max="15612" width="4.140625" style="68" customWidth="1"/>
    <col min="15613" max="15613" width="5.5703125" style="68" customWidth="1"/>
    <col min="15614" max="15614" width="59.5703125" style="68" customWidth="1"/>
    <col min="15615" max="15616" width="11.28515625" style="68" customWidth="1"/>
    <col min="15617" max="15617" width="10.5703125" style="68" customWidth="1"/>
    <col min="15618" max="15618" width="10.42578125" style="68" customWidth="1"/>
    <col min="15619" max="15619" width="10.7109375" style="68" customWidth="1"/>
    <col min="15620" max="15620" width="9" style="68" customWidth="1"/>
    <col min="15621" max="15621" width="11.5703125" style="68" customWidth="1"/>
    <col min="15622" max="15622" width="9.140625" style="68"/>
    <col min="15623" max="15623" width="13" style="68" customWidth="1"/>
    <col min="15624" max="15867" width="9.140625" style="68"/>
    <col min="15868" max="15868" width="4.140625" style="68" customWidth="1"/>
    <col min="15869" max="15869" width="5.5703125" style="68" customWidth="1"/>
    <col min="15870" max="15870" width="59.5703125" style="68" customWidth="1"/>
    <col min="15871" max="15872" width="11.28515625" style="68" customWidth="1"/>
    <col min="15873" max="15873" width="10.5703125" style="68" customWidth="1"/>
    <col min="15874" max="15874" width="10.42578125" style="68" customWidth="1"/>
    <col min="15875" max="15875" width="10.7109375" style="68" customWidth="1"/>
    <col min="15876" max="15876" width="9" style="68" customWidth="1"/>
    <col min="15877" max="15877" width="11.5703125" style="68" customWidth="1"/>
    <col min="15878" max="15878" width="9.140625" style="68"/>
    <col min="15879" max="15879" width="13" style="68" customWidth="1"/>
    <col min="15880" max="16123" width="9.140625" style="68"/>
    <col min="16124" max="16124" width="4.140625" style="68" customWidth="1"/>
    <col min="16125" max="16125" width="5.5703125" style="68" customWidth="1"/>
    <col min="16126" max="16126" width="59.5703125" style="68" customWidth="1"/>
    <col min="16127" max="16128" width="11.28515625" style="68" customWidth="1"/>
    <col min="16129" max="16129" width="10.5703125" style="68" customWidth="1"/>
    <col min="16130" max="16130" width="10.42578125" style="68" customWidth="1"/>
    <col min="16131" max="16131" width="10.7109375" style="68" customWidth="1"/>
    <col min="16132" max="16132" width="9" style="68" customWidth="1"/>
    <col min="16133" max="16133" width="11.5703125" style="68" customWidth="1"/>
    <col min="16134" max="16134" width="9.140625" style="68"/>
    <col min="16135" max="16135" width="13" style="68" customWidth="1"/>
    <col min="16136" max="16384" width="9.140625" style="68"/>
  </cols>
  <sheetData>
    <row r="1" spans="1:13" ht="12" customHeight="1" x14ac:dyDescent="0.25">
      <c r="A1" s="442"/>
      <c r="B1" s="442"/>
      <c r="C1" s="430"/>
      <c r="D1" s="430"/>
      <c r="E1" s="430"/>
      <c r="F1" s="431"/>
      <c r="G1" s="431"/>
      <c r="H1" s="431"/>
      <c r="I1" s="431"/>
      <c r="J1" s="432" t="s">
        <v>83</v>
      </c>
      <c r="L1" s="434"/>
    </row>
    <row r="2" spans="1:13" ht="12" customHeight="1" x14ac:dyDescent="0.25">
      <c r="A2" s="442"/>
      <c r="B2" s="442"/>
      <c r="C2" s="430"/>
      <c r="D2" s="430"/>
      <c r="E2" s="430"/>
      <c r="F2" s="431"/>
      <c r="G2" s="431"/>
      <c r="H2" s="431"/>
      <c r="I2" s="431"/>
      <c r="J2" s="435" t="s">
        <v>353</v>
      </c>
      <c r="L2" s="434"/>
      <c r="M2" s="436"/>
    </row>
    <row r="3" spans="1:13" ht="12" customHeight="1" x14ac:dyDescent="0.25">
      <c r="A3" s="442"/>
      <c r="B3" s="442"/>
      <c r="C3" s="430"/>
      <c r="D3" s="430"/>
      <c r="E3" s="430"/>
      <c r="F3" s="431"/>
      <c r="G3" s="431"/>
      <c r="H3" s="431"/>
      <c r="I3" s="431"/>
      <c r="J3" s="435" t="s">
        <v>0</v>
      </c>
      <c r="L3" s="434"/>
      <c r="M3" s="436"/>
    </row>
    <row r="4" spans="1:13" ht="12" customHeight="1" x14ac:dyDescent="0.25">
      <c r="A4" s="442"/>
      <c r="B4" s="442"/>
      <c r="C4" s="430"/>
      <c r="D4" s="430"/>
      <c r="E4" s="430"/>
      <c r="F4" s="437"/>
      <c r="G4" s="431"/>
      <c r="H4" s="431"/>
      <c r="I4" s="431"/>
      <c r="J4" s="435" t="s">
        <v>354</v>
      </c>
      <c r="L4" s="434"/>
      <c r="M4" s="436"/>
    </row>
    <row r="5" spans="1:13" ht="12" customHeight="1" x14ac:dyDescent="0.25">
      <c r="A5" s="442"/>
      <c r="B5" s="442"/>
      <c r="C5" s="430"/>
      <c r="D5" s="430"/>
      <c r="E5" s="430"/>
      <c r="F5" s="431"/>
      <c r="G5" s="431"/>
      <c r="H5" s="431"/>
      <c r="I5" s="431"/>
      <c r="J5" s="431"/>
      <c r="K5" s="438"/>
      <c r="L5" s="434"/>
      <c r="M5" s="436"/>
    </row>
    <row r="6" spans="1:13" ht="12" customHeight="1" x14ac:dyDescent="0.25">
      <c r="A6" s="442"/>
      <c r="B6" s="442"/>
      <c r="C6" s="430"/>
      <c r="D6" s="430"/>
      <c r="E6" s="430"/>
      <c r="F6" s="431"/>
      <c r="G6" s="431"/>
      <c r="H6" s="431"/>
      <c r="I6" s="431"/>
      <c r="J6" s="431"/>
      <c r="K6" s="438"/>
      <c r="L6" s="434"/>
      <c r="M6" s="436"/>
    </row>
    <row r="7" spans="1:13" ht="12" customHeight="1" x14ac:dyDescent="0.25">
      <c r="A7" s="442"/>
      <c r="B7" s="442"/>
      <c r="C7" s="430"/>
      <c r="D7" s="430"/>
      <c r="E7" s="430"/>
      <c r="F7" s="431"/>
      <c r="G7" s="431"/>
      <c r="H7" s="431"/>
      <c r="I7" s="431"/>
      <c r="J7" s="431"/>
      <c r="K7" s="438"/>
      <c r="L7" s="434"/>
      <c r="M7" s="436"/>
    </row>
    <row r="8" spans="1:13" ht="14.25" customHeight="1" x14ac:dyDescent="0.25">
      <c r="A8" s="439" t="s">
        <v>380</v>
      </c>
      <c r="B8" s="439"/>
      <c r="C8" s="439"/>
      <c r="D8" s="439"/>
      <c r="E8" s="439"/>
      <c r="F8" s="439"/>
      <c r="G8" s="439"/>
      <c r="H8" s="439"/>
      <c r="I8" s="439"/>
      <c r="J8" s="439"/>
      <c r="K8" s="439"/>
      <c r="L8" s="440"/>
      <c r="M8" s="441"/>
    </row>
    <row r="9" spans="1:13" ht="14.25" customHeight="1" x14ac:dyDescent="0.25">
      <c r="A9" s="442"/>
      <c r="B9" s="442"/>
      <c r="C9" s="442"/>
      <c r="D9" s="442"/>
      <c r="E9" s="442"/>
      <c r="F9" s="442"/>
      <c r="G9" s="442"/>
      <c r="H9" s="442"/>
      <c r="I9" s="442"/>
      <c r="J9" s="442"/>
      <c r="K9" s="442"/>
      <c r="L9" s="440"/>
      <c r="M9" s="441"/>
    </row>
    <row r="10" spans="1:13" ht="11.25" customHeight="1" x14ac:dyDescent="0.25">
      <c r="A10" s="429"/>
      <c r="B10" s="429"/>
      <c r="C10" s="443"/>
      <c r="D10" s="443"/>
      <c r="E10" s="443"/>
      <c r="F10" s="431"/>
      <c r="G10" s="431"/>
      <c r="H10" s="444"/>
      <c r="I10" s="444"/>
      <c r="J10" s="444"/>
      <c r="K10" s="431" t="s">
        <v>1</v>
      </c>
      <c r="L10" s="445"/>
    </row>
    <row r="11" spans="1:13" s="454" customFormat="1" ht="12" customHeight="1" x14ac:dyDescent="0.25">
      <c r="A11" s="446"/>
      <c r="B11" s="446"/>
      <c r="C11" s="447"/>
      <c r="D11" s="447"/>
      <c r="E11" s="447"/>
      <c r="F11" s="448"/>
      <c r="G11" s="449" t="s">
        <v>381</v>
      </c>
      <c r="H11" s="450"/>
      <c r="I11" s="451"/>
      <c r="J11" s="452"/>
      <c r="K11" s="453" t="s">
        <v>382</v>
      </c>
      <c r="L11" s="448" t="s">
        <v>383</v>
      </c>
    </row>
    <row r="12" spans="1:13" s="454" customFormat="1" ht="12.75" customHeight="1" x14ac:dyDescent="0.25">
      <c r="A12" s="455"/>
      <c r="B12" s="456"/>
      <c r="C12" s="457"/>
      <c r="D12" s="457"/>
      <c r="E12" s="457"/>
      <c r="F12" s="458" t="s">
        <v>384</v>
      </c>
      <c r="G12" s="459" t="s">
        <v>385</v>
      </c>
      <c r="H12" s="460"/>
      <c r="I12" s="460" t="s">
        <v>386</v>
      </c>
      <c r="J12" s="461"/>
      <c r="K12" s="459" t="s">
        <v>387</v>
      </c>
      <c r="L12" s="462" t="s">
        <v>388</v>
      </c>
    </row>
    <row r="13" spans="1:13" s="454" customFormat="1" x14ac:dyDescent="0.25">
      <c r="A13" s="455" t="s">
        <v>87</v>
      </c>
      <c r="B13" s="456" t="s">
        <v>4</v>
      </c>
      <c r="C13" s="457" t="s">
        <v>389</v>
      </c>
      <c r="D13" s="463" t="s">
        <v>8</v>
      </c>
      <c r="E13" s="463" t="s">
        <v>9</v>
      </c>
      <c r="F13" s="458" t="s">
        <v>390</v>
      </c>
      <c r="G13" s="459" t="s">
        <v>391</v>
      </c>
      <c r="H13" s="462"/>
      <c r="I13" s="453" t="s">
        <v>392</v>
      </c>
      <c r="J13" s="458" t="s">
        <v>392</v>
      </c>
      <c r="K13" s="458" t="s">
        <v>393</v>
      </c>
      <c r="L13" s="462" t="s">
        <v>394</v>
      </c>
    </row>
    <row r="14" spans="1:13" s="454" customFormat="1" x14ac:dyDescent="0.25">
      <c r="A14" s="455"/>
      <c r="B14" s="456"/>
      <c r="C14" s="457"/>
      <c r="D14" s="457"/>
      <c r="E14" s="457"/>
      <c r="F14" s="458" t="s">
        <v>395</v>
      </c>
      <c r="G14" s="459">
        <v>2026</v>
      </c>
      <c r="H14" s="462" t="s">
        <v>392</v>
      </c>
      <c r="I14" s="458" t="s">
        <v>396</v>
      </c>
      <c r="J14" s="458" t="s">
        <v>397</v>
      </c>
      <c r="K14" s="459" t="s">
        <v>398</v>
      </c>
      <c r="L14" s="462" t="s">
        <v>399</v>
      </c>
    </row>
    <row r="15" spans="1:13" s="454" customFormat="1" x14ac:dyDescent="0.25">
      <c r="A15" s="455"/>
      <c r="B15" s="456"/>
      <c r="C15" s="457"/>
      <c r="D15" s="457"/>
      <c r="E15" s="457"/>
      <c r="F15" s="458"/>
      <c r="G15" s="459" t="s">
        <v>400</v>
      </c>
      <c r="H15" s="462" t="s">
        <v>401</v>
      </c>
      <c r="I15" s="458" t="s">
        <v>402</v>
      </c>
      <c r="J15" s="458" t="s">
        <v>403</v>
      </c>
      <c r="K15" s="459" t="s">
        <v>404</v>
      </c>
      <c r="L15" s="462" t="s">
        <v>405</v>
      </c>
    </row>
    <row r="16" spans="1:13" s="454" customFormat="1" ht="9.75" customHeight="1" x14ac:dyDescent="0.25">
      <c r="A16" s="455"/>
      <c r="B16" s="456"/>
      <c r="C16" s="457"/>
      <c r="D16" s="457"/>
      <c r="E16" s="457"/>
      <c r="F16" s="458"/>
      <c r="G16" s="459"/>
      <c r="H16" s="462"/>
      <c r="I16" s="458" t="s">
        <v>406</v>
      </c>
      <c r="J16" s="462" t="s">
        <v>407</v>
      </c>
      <c r="K16" s="459" t="s">
        <v>408</v>
      </c>
      <c r="L16" s="462" t="s">
        <v>409</v>
      </c>
    </row>
    <row r="17" spans="1:13" s="454" customFormat="1" ht="9.75" customHeight="1" x14ac:dyDescent="0.25">
      <c r="A17" s="464"/>
      <c r="B17" s="465"/>
      <c r="C17" s="466"/>
      <c r="D17" s="466"/>
      <c r="E17" s="466"/>
      <c r="F17" s="467"/>
      <c r="G17" s="459"/>
      <c r="H17" s="468"/>
      <c r="I17" s="467"/>
      <c r="J17" s="467"/>
      <c r="K17" s="459"/>
      <c r="L17" s="462" t="s">
        <v>410</v>
      </c>
    </row>
    <row r="18" spans="1:13" ht="10.5" customHeight="1" x14ac:dyDescent="0.25">
      <c r="A18" s="469">
        <v>1</v>
      </c>
      <c r="B18" s="469">
        <v>2</v>
      </c>
      <c r="C18" s="470">
        <v>3</v>
      </c>
      <c r="D18" s="470"/>
      <c r="E18" s="470"/>
      <c r="F18" s="471">
        <v>4</v>
      </c>
      <c r="G18" s="472">
        <v>5</v>
      </c>
      <c r="H18" s="471">
        <v>6</v>
      </c>
      <c r="I18" s="471">
        <v>7</v>
      </c>
      <c r="J18" s="473">
        <v>8</v>
      </c>
      <c r="K18" s="471">
        <v>9</v>
      </c>
      <c r="L18" s="471">
        <v>10</v>
      </c>
    </row>
    <row r="19" spans="1:13" s="478" customFormat="1" ht="40.5" customHeight="1" x14ac:dyDescent="0.25">
      <c r="A19" s="474"/>
      <c r="B19" s="474"/>
      <c r="C19" s="475" t="s">
        <v>411</v>
      </c>
      <c r="D19" s="476">
        <v>100000</v>
      </c>
      <c r="E19" s="476">
        <v>0</v>
      </c>
      <c r="F19" s="476">
        <v>895094186.38</v>
      </c>
      <c r="G19" s="476">
        <v>457334201.10000002</v>
      </c>
      <c r="H19" s="476">
        <v>181555064.70000002</v>
      </c>
      <c r="I19" s="476">
        <v>137012289.49000001</v>
      </c>
      <c r="J19" s="476">
        <v>138766846.91</v>
      </c>
      <c r="K19" s="476">
        <v>20000</v>
      </c>
      <c r="L19" s="477" t="s">
        <v>412</v>
      </c>
    </row>
    <row r="20" spans="1:13" ht="40.5" customHeight="1" x14ac:dyDescent="0.25">
      <c r="A20" s="479">
        <v>754</v>
      </c>
      <c r="B20" s="479"/>
      <c r="C20" s="480" t="s">
        <v>413</v>
      </c>
      <c r="D20" s="481">
        <v>100000</v>
      </c>
      <c r="E20" s="481">
        <v>0</v>
      </c>
      <c r="F20" s="481">
        <v>588555.98</v>
      </c>
      <c r="G20" s="481">
        <v>588555.98</v>
      </c>
      <c r="H20" s="481">
        <v>114720</v>
      </c>
      <c r="I20" s="481">
        <v>350780.63</v>
      </c>
      <c r="J20" s="481">
        <v>123055.35</v>
      </c>
      <c r="K20" s="481">
        <v>0</v>
      </c>
      <c r="L20" s="482"/>
      <c r="M20" s="483"/>
    </row>
    <row r="21" spans="1:13" ht="40.5" customHeight="1" x14ac:dyDescent="0.25">
      <c r="A21" s="479"/>
      <c r="B21" s="479">
        <v>75411</v>
      </c>
      <c r="C21" s="480" t="s">
        <v>249</v>
      </c>
      <c r="D21" s="481">
        <v>100000</v>
      </c>
      <c r="E21" s="481">
        <v>0</v>
      </c>
      <c r="F21" s="481">
        <v>329064.98</v>
      </c>
      <c r="G21" s="481">
        <v>329064.98</v>
      </c>
      <c r="H21" s="481">
        <v>0</v>
      </c>
      <c r="I21" s="481">
        <v>329064.98</v>
      </c>
      <c r="J21" s="481">
        <v>0</v>
      </c>
      <c r="K21" s="481">
        <v>0</v>
      </c>
      <c r="L21" s="482"/>
      <c r="M21" s="483"/>
    </row>
    <row r="22" spans="1:13" ht="40.5" customHeight="1" x14ac:dyDescent="0.25">
      <c r="A22" s="484"/>
      <c r="B22" s="485"/>
      <c r="C22" s="486" t="s">
        <v>414</v>
      </c>
      <c r="D22" s="487">
        <v>100000</v>
      </c>
      <c r="E22" s="487"/>
      <c r="F22" s="487">
        <v>209064.97999999998</v>
      </c>
      <c r="G22" s="487">
        <v>209064.97999999998</v>
      </c>
      <c r="H22" s="487"/>
      <c r="I22" s="487">
        <v>209064.97999999998</v>
      </c>
      <c r="J22" s="487"/>
      <c r="K22" s="487"/>
      <c r="L22" s="488" t="s">
        <v>318</v>
      </c>
      <c r="M22" s="483"/>
    </row>
    <row r="29" spans="1:13" x14ac:dyDescent="0.25">
      <c r="A29" s="555"/>
      <c r="B29" s="555"/>
    </row>
    <row r="30" spans="1:13" x14ac:dyDescent="0.25">
      <c r="A30" s="555"/>
      <c r="B30" s="555"/>
    </row>
    <row r="31" spans="1:13" x14ac:dyDescent="0.25">
      <c r="A31" s="555"/>
      <c r="B31" s="555"/>
    </row>
    <row r="32" spans="1:13" x14ac:dyDescent="0.25">
      <c r="A32" s="555"/>
      <c r="B32" s="555"/>
    </row>
    <row r="33" spans="1:2" x14ac:dyDescent="0.25">
      <c r="A33" s="555"/>
      <c r="B33" s="555"/>
    </row>
    <row r="34" spans="1:2" x14ac:dyDescent="0.25">
      <c r="A34" s="555"/>
      <c r="B34" s="555"/>
    </row>
    <row r="35" spans="1:2" x14ac:dyDescent="0.25">
      <c r="A35" s="555"/>
      <c r="B35" s="555"/>
    </row>
    <row r="36" spans="1:2" x14ac:dyDescent="0.25">
      <c r="A36" s="555"/>
      <c r="B36" s="555"/>
    </row>
    <row r="37" spans="1:2" x14ac:dyDescent="0.25">
      <c r="A37" s="555"/>
      <c r="B37" s="555"/>
    </row>
    <row r="38" spans="1:2" x14ac:dyDescent="0.25">
      <c r="A38" s="555"/>
      <c r="B38" s="555"/>
    </row>
    <row r="39" spans="1:2" x14ac:dyDescent="0.25">
      <c r="A39" s="555"/>
      <c r="B39" s="555"/>
    </row>
    <row r="40" spans="1:2" x14ac:dyDescent="0.25">
      <c r="A40" s="555"/>
      <c r="B40" s="555"/>
    </row>
    <row r="41" spans="1:2" x14ac:dyDescent="0.25">
      <c r="A41" s="555"/>
      <c r="B41" s="555"/>
    </row>
    <row r="42" spans="1:2" x14ac:dyDescent="0.25">
      <c r="A42" s="555"/>
      <c r="B42" s="555"/>
    </row>
    <row r="43" spans="1:2" x14ac:dyDescent="0.25">
      <c r="A43" s="555"/>
      <c r="B43" s="555"/>
    </row>
    <row r="44" spans="1:2" x14ac:dyDescent="0.25">
      <c r="A44" s="555"/>
      <c r="B44" s="555"/>
    </row>
    <row r="45" spans="1:2" x14ac:dyDescent="0.25">
      <c r="A45" s="555"/>
      <c r="B45" s="555"/>
    </row>
    <row r="46" spans="1:2" x14ac:dyDescent="0.25">
      <c r="A46" s="555"/>
      <c r="B46" s="555"/>
    </row>
    <row r="47" spans="1:2" x14ac:dyDescent="0.25">
      <c r="A47" s="555"/>
      <c r="B47" s="555"/>
    </row>
    <row r="48" spans="1:2" x14ac:dyDescent="0.25">
      <c r="A48" s="555"/>
      <c r="B48" s="555"/>
    </row>
    <row r="49" spans="1:2" x14ac:dyDescent="0.25">
      <c r="A49" s="555"/>
      <c r="B49" s="555"/>
    </row>
    <row r="50" spans="1:2" x14ac:dyDescent="0.25">
      <c r="A50" s="555"/>
      <c r="B50" s="555"/>
    </row>
    <row r="51" spans="1:2" x14ac:dyDescent="0.25">
      <c r="A51" s="555"/>
      <c r="B51" s="555"/>
    </row>
    <row r="52" spans="1:2" x14ac:dyDescent="0.25">
      <c r="A52" s="555"/>
      <c r="B52" s="555"/>
    </row>
    <row r="53" spans="1:2" x14ac:dyDescent="0.25">
      <c r="A53" s="555"/>
      <c r="B53" s="555"/>
    </row>
    <row r="54" spans="1:2" x14ac:dyDescent="0.25">
      <c r="A54" s="555"/>
      <c r="B54" s="555"/>
    </row>
    <row r="55" spans="1:2" x14ac:dyDescent="0.25">
      <c r="A55" s="555"/>
      <c r="B55" s="555"/>
    </row>
    <row r="56" spans="1:2" x14ac:dyDescent="0.25">
      <c r="A56" s="555"/>
      <c r="B56" s="555"/>
    </row>
    <row r="57" spans="1:2" x14ac:dyDescent="0.25">
      <c r="A57" s="555"/>
      <c r="B57" s="555"/>
    </row>
    <row r="58" spans="1:2" x14ac:dyDescent="0.25">
      <c r="A58" s="555"/>
      <c r="B58" s="555"/>
    </row>
    <row r="59" spans="1:2" x14ac:dyDescent="0.25">
      <c r="A59" s="555"/>
      <c r="B59" s="555"/>
    </row>
    <row r="60" spans="1:2" x14ac:dyDescent="0.25">
      <c r="A60" s="555"/>
      <c r="B60" s="555"/>
    </row>
    <row r="61" spans="1:2" x14ac:dyDescent="0.25">
      <c r="A61" s="555"/>
      <c r="B61" s="555"/>
    </row>
    <row r="62" spans="1:2" x14ac:dyDescent="0.25">
      <c r="A62" s="555"/>
      <c r="B62" s="555"/>
    </row>
    <row r="63" spans="1:2" x14ac:dyDescent="0.25">
      <c r="A63" s="555"/>
      <c r="B63" s="555"/>
    </row>
    <row r="64" spans="1:2" x14ac:dyDescent="0.25">
      <c r="A64" s="555"/>
      <c r="B64" s="555"/>
    </row>
    <row r="65" spans="1:2" x14ac:dyDescent="0.25">
      <c r="A65" s="555"/>
      <c r="B65" s="555"/>
    </row>
    <row r="66" spans="1:2" x14ac:dyDescent="0.25">
      <c r="A66" s="555"/>
      <c r="B66" s="555"/>
    </row>
    <row r="67" spans="1:2" x14ac:dyDescent="0.25">
      <c r="A67" s="555"/>
      <c r="B67" s="555"/>
    </row>
    <row r="68" spans="1:2" x14ac:dyDescent="0.25">
      <c r="A68" s="555"/>
      <c r="B68" s="555"/>
    </row>
    <row r="69" spans="1:2" x14ac:dyDescent="0.25">
      <c r="A69" s="555"/>
      <c r="B69" s="555"/>
    </row>
    <row r="70" spans="1:2" x14ac:dyDescent="0.25">
      <c r="A70" s="555"/>
      <c r="B70" s="555"/>
    </row>
    <row r="71" spans="1:2" x14ac:dyDescent="0.25">
      <c r="A71" s="555"/>
      <c r="B71" s="555"/>
    </row>
    <row r="72" spans="1:2" x14ac:dyDescent="0.25">
      <c r="A72" s="555"/>
      <c r="B72" s="555"/>
    </row>
    <row r="73" spans="1:2" x14ac:dyDescent="0.25">
      <c r="A73" s="555"/>
      <c r="B73" s="555"/>
    </row>
    <row r="74" spans="1:2" x14ac:dyDescent="0.25">
      <c r="A74" s="555"/>
      <c r="B74" s="555"/>
    </row>
    <row r="75" spans="1:2" x14ac:dyDescent="0.25">
      <c r="A75" s="555"/>
      <c r="B75" s="555"/>
    </row>
    <row r="76" spans="1:2" x14ac:dyDescent="0.25">
      <c r="A76" s="555"/>
      <c r="B76" s="555"/>
    </row>
    <row r="77" spans="1:2" x14ac:dyDescent="0.25">
      <c r="A77" s="555"/>
      <c r="B77" s="555"/>
    </row>
    <row r="78" spans="1:2" x14ac:dyDescent="0.25">
      <c r="A78" s="555"/>
      <c r="B78" s="555"/>
    </row>
    <row r="79" spans="1:2" x14ac:dyDescent="0.25">
      <c r="A79" s="555"/>
      <c r="B79" s="555"/>
    </row>
    <row r="80" spans="1:2" x14ac:dyDescent="0.25">
      <c r="A80" s="555"/>
      <c r="B80" s="555"/>
    </row>
    <row r="81" spans="1:2" x14ac:dyDescent="0.25">
      <c r="A81" s="555"/>
      <c r="B81" s="555"/>
    </row>
    <row r="82" spans="1:2" x14ac:dyDescent="0.25">
      <c r="A82" s="555"/>
      <c r="B82" s="555"/>
    </row>
    <row r="83" spans="1:2" x14ac:dyDescent="0.25">
      <c r="A83" s="555"/>
      <c r="B83" s="555"/>
    </row>
    <row r="84" spans="1:2" x14ac:dyDescent="0.25">
      <c r="A84" s="555"/>
      <c r="B84" s="555"/>
    </row>
    <row r="85" spans="1:2" x14ac:dyDescent="0.25">
      <c r="A85" s="555"/>
      <c r="B85" s="555"/>
    </row>
    <row r="86" spans="1:2" x14ac:dyDescent="0.25">
      <c r="A86" s="555"/>
      <c r="B86" s="555"/>
    </row>
    <row r="87" spans="1:2" x14ac:dyDescent="0.25">
      <c r="A87" s="555"/>
      <c r="B87" s="555"/>
    </row>
    <row r="88" spans="1:2" x14ac:dyDescent="0.25">
      <c r="A88" s="555"/>
      <c r="B88" s="555"/>
    </row>
    <row r="89" spans="1:2" x14ac:dyDescent="0.25">
      <c r="A89" s="555"/>
      <c r="B89" s="555"/>
    </row>
    <row r="90" spans="1:2" x14ac:dyDescent="0.25">
      <c r="A90" s="555"/>
      <c r="B90" s="555"/>
    </row>
    <row r="91" spans="1:2" x14ac:dyDescent="0.25">
      <c r="A91" s="555"/>
      <c r="B91" s="555"/>
    </row>
    <row r="92" spans="1:2" x14ac:dyDescent="0.25">
      <c r="A92" s="555"/>
      <c r="B92" s="555"/>
    </row>
    <row r="93" spans="1:2" x14ac:dyDescent="0.25">
      <c r="A93" s="555"/>
      <c r="B93" s="555"/>
    </row>
    <row r="94" spans="1:2" x14ac:dyDescent="0.25">
      <c r="A94" s="555"/>
      <c r="B94" s="555"/>
    </row>
    <row r="95" spans="1:2" x14ac:dyDescent="0.25">
      <c r="A95" s="555"/>
      <c r="B95" s="555"/>
    </row>
    <row r="96" spans="1:2" x14ac:dyDescent="0.25">
      <c r="A96" s="555"/>
      <c r="B96" s="555"/>
    </row>
    <row r="97" spans="1:2" x14ac:dyDescent="0.25">
      <c r="A97" s="555"/>
      <c r="B97" s="555"/>
    </row>
    <row r="98" spans="1:2" x14ac:dyDescent="0.25">
      <c r="A98" s="555"/>
      <c r="B98" s="555"/>
    </row>
    <row r="99" spans="1:2" x14ac:dyDescent="0.25">
      <c r="A99" s="555"/>
      <c r="B99" s="555"/>
    </row>
    <row r="100" spans="1:2" x14ac:dyDescent="0.25">
      <c r="A100" s="555"/>
      <c r="B100" s="555"/>
    </row>
    <row r="101" spans="1:2" x14ac:dyDescent="0.25">
      <c r="A101" s="555"/>
      <c r="B101" s="555"/>
    </row>
    <row r="102" spans="1:2" x14ac:dyDescent="0.25">
      <c r="A102" s="555"/>
      <c r="B102" s="555"/>
    </row>
    <row r="103" spans="1:2" x14ac:dyDescent="0.25">
      <c r="A103" s="555"/>
      <c r="B103" s="555"/>
    </row>
    <row r="104" spans="1:2" x14ac:dyDescent="0.25">
      <c r="A104" s="555"/>
      <c r="B104" s="555"/>
    </row>
    <row r="105" spans="1:2" x14ac:dyDescent="0.25">
      <c r="A105" s="555"/>
      <c r="B105" s="555"/>
    </row>
    <row r="106" spans="1:2" x14ac:dyDescent="0.25">
      <c r="A106" s="555"/>
      <c r="B106" s="555"/>
    </row>
    <row r="107" spans="1:2" x14ac:dyDescent="0.25">
      <c r="A107" s="555"/>
      <c r="B107" s="555"/>
    </row>
    <row r="108" spans="1:2" x14ac:dyDescent="0.25">
      <c r="A108" s="555"/>
      <c r="B108" s="555"/>
    </row>
    <row r="109" spans="1:2" x14ac:dyDescent="0.25">
      <c r="A109" s="555"/>
      <c r="B109" s="555"/>
    </row>
    <row r="110" spans="1:2" x14ac:dyDescent="0.25">
      <c r="A110" s="555"/>
      <c r="B110" s="555"/>
    </row>
    <row r="111" spans="1:2" x14ac:dyDescent="0.25">
      <c r="A111" s="555"/>
      <c r="B111" s="555"/>
    </row>
    <row r="112" spans="1:2" x14ac:dyDescent="0.25">
      <c r="A112" s="555"/>
      <c r="B112" s="555"/>
    </row>
    <row r="113" spans="1:2" x14ac:dyDescent="0.25">
      <c r="A113" s="555"/>
      <c r="B113" s="555"/>
    </row>
    <row r="114" spans="1:2" x14ac:dyDescent="0.25">
      <c r="A114" s="555"/>
      <c r="B114" s="555"/>
    </row>
    <row r="115" spans="1:2" x14ac:dyDescent="0.25">
      <c r="A115" s="555"/>
      <c r="B115" s="555"/>
    </row>
    <row r="116" spans="1:2" x14ac:dyDescent="0.25">
      <c r="A116" s="555"/>
      <c r="B116" s="555"/>
    </row>
    <row r="117" spans="1:2" x14ac:dyDescent="0.25">
      <c r="A117" s="555"/>
      <c r="B117" s="555"/>
    </row>
    <row r="118" spans="1:2" x14ac:dyDescent="0.25">
      <c r="A118" s="555"/>
      <c r="B118" s="555"/>
    </row>
    <row r="119" spans="1:2" x14ac:dyDescent="0.25">
      <c r="A119" s="555"/>
      <c r="B119" s="555"/>
    </row>
    <row r="120" spans="1:2" x14ac:dyDescent="0.25">
      <c r="A120" s="555"/>
      <c r="B120" s="555"/>
    </row>
    <row r="121" spans="1:2" x14ac:dyDescent="0.25">
      <c r="A121" s="555"/>
      <c r="B121" s="555"/>
    </row>
    <row r="122" spans="1:2" x14ac:dyDescent="0.25">
      <c r="A122" s="555"/>
      <c r="B122" s="555"/>
    </row>
    <row r="123" spans="1:2" x14ac:dyDescent="0.25">
      <c r="A123" s="555"/>
      <c r="B123" s="555"/>
    </row>
    <row r="124" spans="1:2" x14ac:dyDescent="0.25">
      <c r="A124" s="555"/>
      <c r="B124" s="555"/>
    </row>
    <row r="125" spans="1:2" x14ac:dyDescent="0.25">
      <c r="A125" s="555"/>
      <c r="B125" s="555"/>
    </row>
    <row r="126" spans="1:2" x14ac:dyDescent="0.25">
      <c r="A126" s="555"/>
      <c r="B126" s="555"/>
    </row>
    <row r="127" spans="1:2" x14ac:dyDescent="0.25">
      <c r="A127" s="555"/>
      <c r="B127" s="555"/>
    </row>
    <row r="128" spans="1:2" x14ac:dyDescent="0.25">
      <c r="A128" s="555"/>
      <c r="B128" s="555"/>
    </row>
    <row r="129" spans="1:2" x14ac:dyDescent="0.25">
      <c r="A129" s="555"/>
      <c r="B129" s="555"/>
    </row>
    <row r="130" spans="1:2" x14ac:dyDescent="0.25">
      <c r="A130" s="555"/>
      <c r="B130" s="555"/>
    </row>
    <row r="131" spans="1:2" x14ac:dyDescent="0.25">
      <c r="A131" s="555"/>
      <c r="B131" s="555"/>
    </row>
    <row r="132" spans="1:2" x14ac:dyDescent="0.25">
      <c r="A132" s="555"/>
      <c r="B132" s="555"/>
    </row>
    <row r="133" spans="1:2" x14ac:dyDescent="0.25">
      <c r="A133" s="555"/>
      <c r="B133" s="555"/>
    </row>
    <row r="134" spans="1:2" x14ac:dyDescent="0.25">
      <c r="A134" s="555"/>
      <c r="B134" s="555"/>
    </row>
    <row r="135" spans="1:2" x14ac:dyDescent="0.25">
      <c r="A135" s="555"/>
      <c r="B135" s="555"/>
    </row>
    <row r="136" spans="1:2" x14ac:dyDescent="0.25">
      <c r="A136" s="555"/>
      <c r="B136" s="555"/>
    </row>
    <row r="137" spans="1:2" x14ac:dyDescent="0.25">
      <c r="A137" s="555"/>
      <c r="B137" s="555"/>
    </row>
    <row r="138" spans="1:2" x14ac:dyDescent="0.25">
      <c r="A138" s="555"/>
      <c r="B138" s="555"/>
    </row>
    <row r="139" spans="1:2" x14ac:dyDescent="0.25">
      <c r="A139" s="555"/>
      <c r="B139" s="555"/>
    </row>
    <row r="140" spans="1:2" x14ac:dyDescent="0.25">
      <c r="A140" s="555"/>
      <c r="B140" s="555"/>
    </row>
    <row r="141" spans="1:2" x14ac:dyDescent="0.25">
      <c r="A141" s="555"/>
      <c r="B141" s="555"/>
    </row>
    <row r="142" spans="1:2" x14ac:dyDescent="0.25">
      <c r="A142" s="555"/>
      <c r="B142" s="555"/>
    </row>
    <row r="143" spans="1:2" x14ac:dyDescent="0.25">
      <c r="A143" s="555"/>
      <c r="B143" s="555"/>
    </row>
    <row r="144" spans="1:2" x14ac:dyDescent="0.25">
      <c r="A144" s="555"/>
      <c r="B144" s="555"/>
    </row>
    <row r="145" spans="1:2" x14ac:dyDescent="0.25">
      <c r="A145" s="555"/>
      <c r="B145" s="555"/>
    </row>
    <row r="146" spans="1:2" x14ac:dyDescent="0.25">
      <c r="A146" s="555"/>
      <c r="B146" s="555"/>
    </row>
    <row r="147" spans="1:2" x14ac:dyDescent="0.25">
      <c r="A147" s="555"/>
      <c r="B147" s="555"/>
    </row>
    <row r="148" spans="1:2" x14ac:dyDescent="0.25">
      <c r="A148" s="555"/>
      <c r="B148" s="555"/>
    </row>
    <row r="149" spans="1:2" x14ac:dyDescent="0.25">
      <c r="A149" s="555"/>
      <c r="B149" s="555"/>
    </row>
    <row r="150" spans="1:2" x14ac:dyDescent="0.25">
      <c r="A150" s="555"/>
      <c r="B150" s="555"/>
    </row>
    <row r="151" spans="1:2" x14ac:dyDescent="0.25">
      <c r="A151" s="555"/>
      <c r="B151" s="555"/>
    </row>
    <row r="152" spans="1:2" x14ac:dyDescent="0.25">
      <c r="A152" s="555"/>
      <c r="B152" s="555"/>
    </row>
    <row r="153" spans="1:2" x14ac:dyDescent="0.25">
      <c r="A153" s="555"/>
      <c r="B153" s="555"/>
    </row>
    <row r="154" spans="1:2" x14ac:dyDescent="0.25">
      <c r="A154" s="555"/>
      <c r="B154" s="555"/>
    </row>
    <row r="155" spans="1:2" x14ac:dyDescent="0.25">
      <c r="A155" s="555"/>
      <c r="B155" s="555"/>
    </row>
    <row r="156" spans="1:2" x14ac:dyDescent="0.25">
      <c r="A156" s="555"/>
      <c r="B156" s="555"/>
    </row>
    <row r="157" spans="1:2" x14ac:dyDescent="0.25">
      <c r="A157" s="555"/>
      <c r="B157" s="555"/>
    </row>
    <row r="158" spans="1:2" x14ac:dyDescent="0.25">
      <c r="A158" s="555"/>
      <c r="B158" s="555"/>
    </row>
    <row r="159" spans="1:2" x14ac:dyDescent="0.25">
      <c r="A159" s="555"/>
      <c r="B159" s="555"/>
    </row>
    <row r="160" spans="1:2" x14ac:dyDescent="0.25">
      <c r="A160" s="555"/>
      <c r="B160" s="555"/>
    </row>
    <row r="161" spans="1:2" x14ac:dyDescent="0.25">
      <c r="A161" s="555"/>
      <c r="B161" s="555"/>
    </row>
    <row r="162" spans="1:2" x14ac:dyDescent="0.25">
      <c r="A162" s="555"/>
      <c r="B162" s="555"/>
    </row>
    <row r="163" spans="1:2" x14ac:dyDescent="0.25">
      <c r="A163" s="555"/>
      <c r="B163" s="555"/>
    </row>
    <row r="164" spans="1:2" x14ac:dyDescent="0.25">
      <c r="A164" s="555"/>
      <c r="B164" s="555"/>
    </row>
    <row r="165" spans="1:2" x14ac:dyDescent="0.25">
      <c r="A165" s="555"/>
      <c r="B165" s="555"/>
    </row>
    <row r="166" spans="1:2" x14ac:dyDescent="0.25">
      <c r="A166" s="555"/>
      <c r="B166" s="555"/>
    </row>
    <row r="167" spans="1:2" x14ac:dyDescent="0.25">
      <c r="A167" s="555"/>
      <c r="B167" s="555"/>
    </row>
    <row r="168" spans="1:2" x14ac:dyDescent="0.25">
      <c r="A168" s="555"/>
      <c r="B168" s="555"/>
    </row>
    <row r="169" spans="1:2" x14ac:dyDescent="0.25">
      <c r="A169" s="555"/>
      <c r="B169" s="555"/>
    </row>
    <row r="170" spans="1:2" x14ac:dyDescent="0.25">
      <c r="A170" s="555"/>
      <c r="B170" s="555"/>
    </row>
    <row r="171" spans="1:2" x14ac:dyDescent="0.25">
      <c r="A171" s="555"/>
      <c r="B171" s="555"/>
    </row>
    <row r="172" spans="1:2" x14ac:dyDescent="0.25">
      <c r="A172" s="555"/>
      <c r="B172" s="555"/>
    </row>
    <row r="173" spans="1:2" x14ac:dyDescent="0.25">
      <c r="A173" s="555"/>
      <c r="B173" s="555"/>
    </row>
    <row r="174" spans="1:2" x14ac:dyDescent="0.25">
      <c r="A174" s="555"/>
      <c r="B174" s="555"/>
    </row>
    <row r="175" spans="1:2" x14ac:dyDescent="0.25">
      <c r="A175" s="555"/>
      <c r="B175" s="555"/>
    </row>
    <row r="176" spans="1:2" x14ac:dyDescent="0.25">
      <c r="A176" s="555"/>
      <c r="B176" s="555"/>
    </row>
    <row r="177" spans="1:2" x14ac:dyDescent="0.25">
      <c r="A177" s="555"/>
      <c r="B177" s="555"/>
    </row>
    <row r="178" spans="1:2" x14ac:dyDescent="0.25">
      <c r="A178" s="555"/>
      <c r="B178" s="555"/>
    </row>
    <row r="179" spans="1:2" x14ac:dyDescent="0.25">
      <c r="A179" s="555"/>
      <c r="B179" s="555"/>
    </row>
    <row r="180" spans="1:2" x14ac:dyDescent="0.25">
      <c r="A180" s="555"/>
      <c r="B180" s="555"/>
    </row>
    <row r="181" spans="1:2" x14ac:dyDescent="0.25">
      <c r="A181" s="555"/>
      <c r="B181" s="555"/>
    </row>
    <row r="182" spans="1:2" x14ac:dyDescent="0.25">
      <c r="A182" s="555"/>
      <c r="B182" s="555"/>
    </row>
    <row r="183" spans="1:2" x14ac:dyDescent="0.25">
      <c r="A183" s="555"/>
      <c r="B183" s="555"/>
    </row>
    <row r="184" spans="1:2" x14ac:dyDescent="0.25">
      <c r="A184" s="555"/>
      <c r="B184" s="555"/>
    </row>
    <row r="185" spans="1:2" x14ac:dyDescent="0.25">
      <c r="A185" s="555"/>
      <c r="B185" s="555"/>
    </row>
    <row r="186" spans="1:2" x14ac:dyDescent="0.25">
      <c r="A186" s="555"/>
      <c r="B186" s="555"/>
    </row>
    <row r="187" spans="1:2" x14ac:dyDescent="0.25">
      <c r="A187" s="555"/>
      <c r="B187" s="555"/>
    </row>
    <row r="188" spans="1:2" x14ac:dyDescent="0.25">
      <c r="A188" s="555"/>
      <c r="B188" s="555"/>
    </row>
    <row r="189" spans="1:2" x14ac:dyDescent="0.25">
      <c r="A189" s="555"/>
      <c r="B189" s="555"/>
    </row>
    <row r="190" spans="1:2" x14ac:dyDescent="0.25">
      <c r="A190" s="555"/>
      <c r="B190" s="555"/>
    </row>
    <row r="191" spans="1:2" x14ac:dyDescent="0.25">
      <c r="A191" s="555"/>
      <c r="B191" s="555"/>
    </row>
    <row r="192" spans="1:2" x14ac:dyDescent="0.25">
      <c r="A192" s="555"/>
      <c r="B192" s="555"/>
    </row>
    <row r="193" spans="1:2" x14ac:dyDescent="0.25">
      <c r="A193" s="555"/>
      <c r="B193" s="555"/>
    </row>
    <row r="194" spans="1:2" x14ac:dyDescent="0.25">
      <c r="A194" s="555"/>
      <c r="B194" s="555"/>
    </row>
    <row r="195" spans="1:2" x14ac:dyDescent="0.25">
      <c r="A195" s="555"/>
      <c r="B195" s="555"/>
    </row>
    <row r="196" spans="1:2" x14ac:dyDescent="0.25">
      <c r="A196" s="555"/>
      <c r="B196" s="555"/>
    </row>
    <row r="197" spans="1:2" x14ac:dyDescent="0.25">
      <c r="A197" s="555"/>
      <c r="B197" s="555"/>
    </row>
    <row r="198" spans="1:2" x14ac:dyDescent="0.25">
      <c r="A198" s="555"/>
      <c r="B198" s="555"/>
    </row>
    <row r="199" spans="1:2" x14ac:dyDescent="0.25">
      <c r="A199" s="555"/>
      <c r="B199" s="555"/>
    </row>
    <row r="200" spans="1:2" x14ac:dyDescent="0.25">
      <c r="A200" s="555"/>
      <c r="B200" s="555"/>
    </row>
    <row r="201" spans="1:2" x14ac:dyDescent="0.25">
      <c r="A201" s="555"/>
      <c r="B201" s="555"/>
    </row>
    <row r="202" spans="1:2" x14ac:dyDescent="0.25">
      <c r="A202" s="555"/>
      <c r="B202" s="555"/>
    </row>
    <row r="203" spans="1:2" x14ac:dyDescent="0.25">
      <c r="A203" s="555"/>
      <c r="B203" s="555"/>
    </row>
    <row r="204" spans="1:2" x14ac:dyDescent="0.25">
      <c r="A204" s="555"/>
      <c r="B204" s="555"/>
    </row>
    <row r="205" spans="1:2" x14ac:dyDescent="0.25">
      <c r="A205" s="555"/>
      <c r="B205" s="555"/>
    </row>
    <row r="206" spans="1:2" x14ac:dyDescent="0.25">
      <c r="A206" s="555"/>
      <c r="B206" s="555"/>
    </row>
    <row r="207" spans="1:2" x14ac:dyDescent="0.25">
      <c r="A207" s="555"/>
      <c r="B207" s="555"/>
    </row>
    <row r="208" spans="1:2" x14ac:dyDescent="0.25">
      <c r="A208" s="555"/>
      <c r="B208" s="555"/>
    </row>
    <row r="209" spans="1:2" x14ac:dyDescent="0.25">
      <c r="A209" s="555"/>
      <c r="B209" s="555"/>
    </row>
    <row r="210" spans="1:2" x14ac:dyDescent="0.25">
      <c r="A210" s="555"/>
      <c r="B210" s="555"/>
    </row>
    <row r="211" spans="1:2" x14ac:dyDescent="0.25">
      <c r="A211" s="555"/>
      <c r="B211" s="555"/>
    </row>
    <row r="212" spans="1:2" x14ac:dyDescent="0.25">
      <c r="A212" s="555"/>
      <c r="B212" s="555"/>
    </row>
    <row r="213" spans="1:2" x14ac:dyDescent="0.25">
      <c r="A213" s="555"/>
      <c r="B213" s="555"/>
    </row>
    <row r="214" spans="1:2" x14ac:dyDescent="0.25">
      <c r="A214" s="555"/>
      <c r="B214" s="555"/>
    </row>
    <row r="215" spans="1:2" x14ac:dyDescent="0.25">
      <c r="A215" s="555"/>
      <c r="B215" s="555"/>
    </row>
    <row r="216" spans="1:2" x14ac:dyDescent="0.25">
      <c r="A216" s="555"/>
      <c r="B216" s="555"/>
    </row>
    <row r="217" spans="1:2" x14ac:dyDescent="0.25">
      <c r="A217" s="555"/>
      <c r="B217" s="555"/>
    </row>
    <row r="218" spans="1:2" x14ac:dyDescent="0.25">
      <c r="A218" s="555"/>
      <c r="B218" s="555"/>
    </row>
    <row r="219" spans="1:2" x14ac:dyDescent="0.25">
      <c r="A219" s="555"/>
      <c r="B219" s="555"/>
    </row>
    <row r="220" spans="1:2" x14ac:dyDescent="0.25">
      <c r="A220" s="555"/>
      <c r="B220" s="555"/>
    </row>
    <row r="221" spans="1:2" x14ac:dyDescent="0.25">
      <c r="A221" s="555"/>
      <c r="B221" s="555"/>
    </row>
    <row r="222" spans="1:2" x14ac:dyDescent="0.25">
      <c r="A222" s="555"/>
      <c r="B222" s="555"/>
    </row>
    <row r="223" spans="1:2" x14ac:dyDescent="0.25">
      <c r="A223" s="555"/>
      <c r="B223" s="555"/>
    </row>
    <row r="224" spans="1:2" x14ac:dyDescent="0.25">
      <c r="A224" s="555"/>
      <c r="B224" s="555"/>
    </row>
    <row r="225" spans="1:2" x14ac:dyDescent="0.25">
      <c r="A225" s="555"/>
      <c r="B225" s="555"/>
    </row>
    <row r="226" spans="1:2" x14ac:dyDescent="0.25">
      <c r="A226" s="555"/>
      <c r="B226" s="555"/>
    </row>
    <row r="227" spans="1:2" x14ac:dyDescent="0.25">
      <c r="A227" s="555"/>
      <c r="B227" s="555"/>
    </row>
    <row r="228" spans="1:2" x14ac:dyDescent="0.25">
      <c r="A228" s="555"/>
      <c r="B228" s="555"/>
    </row>
    <row r="229" spans="1:2" x14ac:dyDescent="0.25">
      <c r="A229" s="555"/>
      <c r="B229" s="555"/>
    </row>
    <row r="230" spans="1:2" x14ac:dyDescent="0.25">
      <c r="A230" s="555"/>
      <c r="B230" s="555"/>
    </row>
    <row r="231" spans="1:2" x14ac:dyDescent="0.25">
      <c r="A231" s="555"/>
      <c r="B231" s="555"/>
    </row>
    <row r="232" spans="1:2" x14ac:dyDescent="0.25">
      <c r="A232" s="555"/>
      <c r="B232" s="555"/>
    </row>
    <row r="233" spans="1:2" x14ac:dyDescent="0.25">
      <c r="A233" s="555"/>
      <c r="B233" s="555"/>
    </row>
    <row r="234" spans="1:2" x14ac:dyDescent="0.25">
      <c r="A234" s="555"/>
      <c r="B234" s="555"/>
    </row>
    <row r="235" spans="1:2" x14ac:dyDescent="0.25">
      <c r="A235" s="555"/>
      <c r="B235" s="555"/>
    </row>
    <row r="236" spans="1:2" x14ac:dyDescent="0.25">
      <c r="A236" s="555"/>
      <c r="B236" s="555"/>
    </row>
    <row r="237" spans="1:2" x14ac:dyDescent="0.25">
      <c r="A237" s="555"/>
      <c r="B237" s="555"/>
    </row>
    <row r="238" spans="1:2" x14ac:dyDescent="0.25">
      <c r="A238" s="555"/>
      <c r="B238" s="555"/>
    </row>
    <row r="239" spans="1:2" x14ac:dyDescent="0.25">
      <c r="A239" s="555"/>
      <c r="B239" s="555"/>
    </row>
    <row r="240" spans="1:2" x14ac:dyDescent="0.25">
      <c r="A240" s="555"/>
      <c r="B240" s="555"/>
    </row>
    <row r="241" spans="1:2" x14ac:dyDescent="0.25">
      <c r="A241" s="555"/>
      <c r="B241" s="555"/>
    </row>
    <row r="242" spans="1:2" x14ac:dyDescent="0.25">
      <c r="A242" s="555"/>
      <c r="B242" s="555"/>
    </row>
    <row r="243" spans="1:2" x14ac:dyDescent="0.25">
      <c r="A243" s="555"/>
      <c r="B243" s="555"/>
    </row>
    <row r="244" spans="1:2" x14ac:dyDescent="0.25">
      <c r="A244" s="555"/>
      <c r="B244" s="555"/>
    </row>
    <row r="245" spans="1:2" x14ac:dyDescent="0.25">
      <c r="A245" s="555"/>
      <c r="B245" s="555"/>
    </row>
    <row r="246" spans="1:2" x14ac:dyDescent="0.25">
      <c r="A246" s="555"/>
      <c r="B246" s="555"/>
    </row>
    <row r="247" spans="1:2" x14ac:dyDescent="0.25">
      <c r="A247" s="555"/>
      <c r="B247" s="555"/>
    </row>
    <row r="248" spans="1:2" x14ac:dyDescent="0.25">
      <c r="A248" s="555"/>
      <c r="B248" s="555"/>
    </row>
    <row r="249" spans="1:2" x14ac:dyDescent="0.25">
      <c r="A249" s="555"/>
      <c r="B249" s="555"/>
    </row>
    <row r="250" spans="1:2" x14ac:dyDescent="0.25">
      <c r="A250" s="555"/>
      <c r="B250" s="555"/>
    </row>
    <row r="251" spans="1:2" x14ac:dyDescent="0.25">
      <c r="A251" s="555"/>
      <c r="B251" s="555"/>
    </row>
    <row r="252" spans="1:2" x14ac:dyDescent="0.25">
      <c r="A252" s="555"/>
      <c r="B252" s="555"/>
    </row>
    <row r="253" spans="1:2" x14ac:dyDescent="0.25">
      <c r="A253" s="555"/>
      <c r="B253" s="555"/>
    </row>
    <row r="254" spans="1:2" x14ac:dyDescent="0.25">
      <c r="A254" s="555"/>
      <c r="B254" s="555"/>
    </row>
    <row r="255" spans="1:2" x14ac:dyDescent="0.25">
      <c r="A255" s="555"/>
      <c r="B255" s="555"/>
    </row>
    <row r="256" spans="1:2" x14ac:dyDescent="0.25">
      <c r="A256" s="555"/>
      <c r="B256" s="555"/>
    </row>
    <row r="257" spans="1:2" x14ac:dyDescent="0.25">
      <c r="A257" s="555"/>
      <c r="B257" s="555"/>
    </row>
    <row r="258" spans="1:2" x14ac:dyDescent="0.25">
      <c r="A258" s="555"/>
      <c r="B258" s="555"/>
    </row>
    <row r="259" spans="1:2" x14ac:dyDescent="0.25">
      <c r="A259" s="555"/>
      <c r="B259" s="555"/>
    </row>
    <row r="260" spans="1:2" x14ac:dyDescent="0.25">
      <c r="A260" s="555"/>
      <c r="B260" s="555"/>
    </row>
    <row r="261" spans="1:2" x14ac:dyDescent="0.25">
      <c r="A261" s="555"/>
      <c r="B261" s="555"/>
    </row>
    <row r="262" spans="1:2" x14ac:dyDescent="0.25">
      <c r="A262" s="555"/>
      <c r="B262" s="555"/>
    </row>
    <row r="263" spans="1:2" x14ac:dyDescent="0.25">
      <c r="A263" s="555"/>
      <c r="B263" s="555"/>
    </row>
    <row r="264" spans="1:2" x14ac:dyDescent="0.25">
      <c r="A264" s="555"/>
      <c r="B264" s="555"/>
    </row>
    <row r="265" spans="1:2" x14ac:dyDescent="0.25">
      <c r="A265" s="555"/>
      <c r="B265" s="555"/>
    </row>
    <row r="266" spans="1:2" x14ac:dyDescent="0.25">
      <c r="A266" s="555"/>
      <c r="B266" s="555"/>
    </row>
    <row r="267" spans="1:2" x14ac:dyDescent="0.25">
      <c r="A267" s="555"/>
      <c r="B267" s="555"/>
    </row>
    <row r="268" spans="1:2" x14ac:dyDescent="0.25">
      <c r="A268" s="555"/>
      <c r="B268" s="555"/>
    </row>
    <row r="269" spans="1:2" x14ac:dyDescent="0.25">
      <c r="A269" s="555"/>
      <c r="B269" s="555"/>
    </row>
    <row r="270" spans="1:2" x14ac:dyDescent="0.25">
      <c r="A270" s="555"/>
      <c r="B270" s="555"/>
    </row>
    <row r="271" spans="1:2" x14ac:dyDescent="0.25">
      <c r="A271" s="555"/>
      <c r="B271" s="555"/>
    </row>
    <row r="272" spans="1:2" x14ac:dyDescent="0.25">
      <c r="A272" s="555"/>
      <c r="B272" s="555"/>
    </row>
    <row r="273" spans="1:2" x14ac:dyDescent="0.25">
      <c r="A273" s="555"/>
      <c r="B273" s="555"/>
    </row>
    <row r="274" spans="1:2" x14ac:dyDescent="0.25">
      <c r="A274" s="555"/>
      <c r="B274" s="555"/>
    </row>
    <row r="275" spans="1:2" x14ac:dyDescent="0.25">
      <c r="A275" s="555"/>
      <c r="B275" s="555"/>
    </row>
    <row r="276" spans="1:2" x14ac:dyDescent="0.25">
      <c r="A276" s="555"/>
      <c r="B276" s="555"/>
    </row>
    <row r="277" spans="1:2" x14ac:dyDescent="0.25">
      <c r="A277" s="555"/>
      <c r="B277" s="555"/>
    </row>
    <row r="278" spans="1:2" x14ac:dyDescent="0.25">
      <c r="A278" s="555"/>
      <c r="B278" s="555"/>
    </row>
    <row r="279" spans="1:2" x14ac:dyDescent="0.25">
      <c r="A279" s="555"/>
      <c r="B279" s="555"/>
    </row>
    <row r="280" spans="1:2" x14ac:dyDescent="0.25">
      <c r="A280" s="555"/>
      <c r="B280" s="555"/>
    </row>
    <row r="281" spans="1:2" x14ac:dyDescent="0.25">
      <c r="A281" s="555"/>
      <c r="B281" s="555"/>
    </row>
    <row r="282" spans="1:2" x14ac:dyDescent="0.25">
      <c r="A282" s="555"/>
      <c r="B282" s="555"/>
    </row>
    <row r="283" spans="1:2" x14ac:dyDescent="0.25">
      <c r="A283" s="555"/>
      <c r="B283" s="555"/>
    </row>
    <row r="284" spans="1:2" x14ac:dyDescent="0.25">
      <c r="A284" s="555"/>
      <c r="B284" s="555"/>
    </row>
    <row r="285" spans="1:2" x14ac:dyDescent="0.25">
      <c r="A285" s="555"/>
      <c r="B285" s="555"/>
    </row>
    <row r="286" spans="1:2" x14ac:dyDescent="0.25">
      <c r="A286" s="555"/>
      <c r="B286" s="555"/>
    </row>
    <row r="287" spans="1:2" x14ac:dyDescent="0.25">
      <c r="A287" s="555"/>
      <c r="B287" s="555"/>
    </row>
    <row r="288" spans="1:2" x14ac:dyDescent="0.25">
      <c r="A288" s="555"/>
      <c r="B288" s="555"/>
    </row>
    <row r="289" spans="1:2" x14ac:dyDescent="0.25">
      <c r="A289" s="555"/>
      <c r="B289" s="555"/>
    </row>
    <row r="290" spans="1:2" x14ac:dyDescent="0.25">
      <c r="A290" s="555"/>
      <c r="B290" s="555"/>
    </row>
    <row r="291" spans="1:2" x14ac:dyDescent="0.25">
      <c r="A291" s="555"/>
      <c r="B291" s="555"/>
    </row>
    <row r="292" spans="1:2" x14ac:dyDescent="0.25">
      <c r="A292" s="555"/>
      <c r="B292" s="555"/>
    </row>
    <row r="293" spans="1:2" x14ac:dyDescent="0.25">
      <c r="A293" s="555"/>
      <c r="B293" s="555"/>
    </row>
    <row r="294" spans="1:2" x14ac:dyDescent="0.25">
      <c r="A294" s="555"/>
      <c r="B294" s="555"/>
    </row>
    <row r="295" spans="1:2" x14ac:dyDescent="0.25">
      <c r="A295" s="555"/>
      <c r="B295" s="555"/>
    </row>
    <row r="296" spans="1:2" x14ac:dyDescent="0.25">
      <c r="A296" s="555"/>
      <c r="B296" s="555"/>
    </row>
    <row r="297" spans="1:2" x14ac:dyDescent="0.25">
      <c r="A297" s="555"/>
      <c r="B297" s="555"/>
    </row>
    <row r="298" spans="1:2" x14ac:dyDescent="0.25">
      <c r="A298" s="555"/>
      <c r="B298" s="555"/>
    </row>
    <row r="299" spans="1:2" x14ac:dyDescent="0.25">
      <c r="A299" s="555"/>
      <c r="B299" s="555"/>
    </row>
    <row r="300" spans="1:2" x14ac:dyDescent="0.25">
      <c r="A300" s="555"/>
      <c r="B300" s="555"/>
    </row>
    <row r="301" spans="1:2" x14ac:dyDescent="0.25">
      <c r="A301" s="555"/>
      <c r="B301" s="555"/>
    </row>
    <row r="302" spans="1:2" x14ac:dyDescent="0.25">
      <c r="A302" s="555"/>
      <c r="B302" s="555"/>
    </row>
    <row r="303" spans="1:2" x14ac:dyDescent="0.25">
      <c r="A303" s="555"/>
      <c r="B303" s="555"/>
    </row>
    <row r="304" spans="1:2" x14ac:dyDescent="0.25">
      <c r="A304" s="555"/>
      <c r="B304" s="555"/>
    </row>
    <row r="305" spans="1:2" x14ac:dyDescent="0.25">
      <c r="A305" s="555"/>
      <c r="B305" s="555"/>
    </row>
    <row r="306" spans="1:2" x14ac:dyDescent="0.25">
      <c r="A306" s="555"/>
      <c r="B306" s="555"/>
    </row>
    <row r="307" spans="1:2" x14ac:dyDescent="0.25">
      <c r="A307" s="555"/>
      <c r="B307" s="555"/>
    </row>
    <row r="308" spans="1:2" x14ac:dyDescent="0.25">
      <c r="A308" s="555"/>
      <c r="B308" s="555"/>
    </row>
    <row r="309" spans="1:2" x14ac:dyDescent="0.25">
      <c r="A309" s="555"/>
      <c r="B309" s="555"/>
    </row>
    <row r="310" spans="1:2" x14ac:dyDescent="0.25">
      <c r="A310" s="555"/>
      <c r="B310" s="555"/>
    </row>
    <row r="311" spans="1:2" x14ac:dyDescent="0.25">
      <c r="A311" s="555"/>
      <c r="B311" s="555"/>
    </row>
    <row r="312" spans="1:2" x14ac:dyDescent="0.25">
      <c r="A312" s="555"/>
      <c r="B312" s="555"/>
    </row>
    <row r="313" spans="1:2" x14ac:dyDescent="0.25">
      <c r="A313" s="555"/>
      <c r="B313" s="555"/>
    </row>
    <row r="314" spans="1:2" x14ac:dyDescent="0.25">
      <c r="A314" s="555"/>
      <c r="B314" s="555"/>
    </row>
    <row r="315" spans="1:2" x14ac:dyDescent="0.25">
      <c r="A315" s="555"/>
      <c r="B315" s="555"/>
    </row>
    <row r="316" spans="1:2" x14ac:dyDescent="0.25">
      <c r="A316" s="555"/>
      <c r="B316" s="555"/>
    </row>
    <row r="317" spans="1:2" x14ac:dyDescent="0.25">
      <c r="A317" s="555"/>
      <c r="B317" s="555"/>
    </row>
    <row r="318" spans="1:2" x14ac:dyDescent="0.25">
      <c r="A318" s="555"/>
      <c r="B318" s="555"/>
    </row>
    <row r="319" spans="1:2" x14ac:dyDescent="0.25">
      <c r="A319" s="555"/>
      <c r="B319" s="555"/>
    </row>
    <row r="320" spans="1:2" x14ac:dyDescent="0.25">
      <c r="A320" s="555"/>
      <c r="B320" s="555"/>
    </row>
    <row r="321" spans="1:2" x14ac:dyDescent="0.25">
      <c r="A321" s="555"/>
      <c r="B321" s="555"/>
    </row>
    <row r="322" spans="1:2" x14ac:dyDescent="0.25">
      <c r="A322" s="555"/>
      <c r="B322" s="555"/>
    </row>
    <row r="323" spans="1:2" x14ac:dyDescent="0.25">
      <c r="A323" s="555"/>
      <c r="B323" s="555"/>
    </row>
    <row r="324" spans="1:2" x14ac:dyDescent="0.25">
      <c r="A324" s="555"/>
      <c r="B324" s="555"/>
    </row>
    <row r="325" spans="1:2" x14ac:dyDescent="0.25">
      <c r="A325" s="555"/>
      <c r="B325" s="555"/>
    </row>
    <row r="326" spans="1:2" x14ac:dyDescent="0.25">
      <c r="A326" s="555"/>
      <c r="B326" s="555"/>
    </row>
    <row r="327" spans="1:2" x14ac:dyDescent="0.25">
      <c r="A327" s="555"/>
      <c r="B327" s="555"/>
    </row>
    <row r="328" spans="1:2" x14ac:dyDescent="0.25">
      <c r="A328" s="555"/>
      <c r="B328" s="555"/>
    </row>
    <row r="329" spans="1:2" x14ac:dyDescent="0.25">
      <c r="A329" s="555"/>
      <c r="B329" s="555"/>
    </row>
    <row r="330" spans="1:2" x14ac:dyDescent="0.25">
      <c r="A330" s="555"/>
      <c r="B330" s="555"/>
    </row>
    <row r="331" spans="1:2" x14ac:dyDescent="0.25">
      <c r="A331" s="555"/>
      <c r="B331" s="555"/>
    </row>
    <row r="332" spans="1:2" x14ac:dyDescent="0.25">
      <c r="A332" s="555"/>
      <c r="B332" s="555"/>
    </row>
    <row r="333" spans="1:2" x14ac:dyDescent="0.25">
      <c r="A333" s="555"/>
      <c r="B333" s="555"/>
    </row>
    <row r="334" spans="1:2" x14ac:dyDescent="0.25">
      <c r="A334" s="555"/>
      <c r="B334" s="555"/>
    </row>
    <row r="335" spans="1:2" x14ac:dyDescent="0.25">
      <c r="A335" s="555"/>
      <c r="B335" s="555"/>
    </row>
    <row r="336" spans="1:2" x14ac:dyDescent="0.25">
      <c r="A336" s="555"/>
      <c r="B336" s="555"/>
    </row>
    <row r="337" spans="1:2" x14ac:dyDescent="0.25">
      <c r="A337" s="555"/>
      <c r="B337" s="555"/>
    </row>
    <row r="338" spans="1:2" x14ac:dyDescent="0.25">
      <c r="A338" s="555"/>
      <c r="B338" s="555"/>
    </row>
    <row r="339" spans="1:2" x14ac:dyDescent="0.25">
      <c r="A339" s="555"/>
      <c r="B339" s="555"/>
    </row>
    <row r="340" spans="1:2" x14ac:dyDescent="0.25">
      <c r="A340" s="555"/>
      <c r="B340" s="555"/>
    </row>
    <row r="341" spans="1:2" x14ac:dyDescent="0.25">
      <c r="A341" s="555"/>
      <c r="B341" s="555"/>
    </row>
    <row r="342" spans="1:2" x14ac:dyDescent="0.25">
      <c r="A342" s="555"/>
      <c r="B342" s="555"/>
    </row>
    <row r="343" spans="1:2" x14ac:dyDescent="0.25">
      <c r="A343" s="555"/>
      <c r="B343" s="555"/>
    </row>
    <row r="344" spans="1:2" x14ac:dyDescent="0.25">
      <c r="A344" s="555"/>
      <c r="B344" s="555"/>
    </row>
    <row r="345" spans="1:2" x14ac:dyDescent="0.25">
      <c r="A345" s="555"/>
      <c r="B345" s="555"/>
    </row>
    <row r="346" spans="1:2" x14ac:dyDescent="0.25">
      <c r="A346" s="555"/>
      <c r="B346" s="555"/>
    </row>
    <row r="347" spans="1:2" x14ac:dyDescent="0.25">
      <c r="A347" s="555"/>
      <c r="B347" s="555"/>
    </row>
    <row r="348" spans="1:2" x14ac:dyDescent="0.25">
      <c r="A348" s="555"/>
      <c r="B348" s="555"/>
    </row>
    <row r="349" spans="1:2" x14ac:dyDescent="0.25">
      <c r="A349" s="555"/>
      <c r="B349" s="555"/>
    </row>
    <row r="350" spans="1:2" x14ac:dyDescent="0.25">
      <c r="A350" s="555"/>
      <c r="B350" s="555"/>
    </row>
    <row r="351" spans="1:2" x14ac:dyDescent="0.25">
      <c r="A351" s="555"/>
      <c r="B351" s="555"/>
    </row>
    <row r="352" spans="1:2" x14ac:dyDescent="0.25">
      <c r="A352" s="555"/>
      <c r="B352" s="555"/>
    </row>
    <row r="353" spans="1:2" x14ac:dyDescent="0.25">
      <c r="A353" s="555"/>
      <c r="B353" s="555"/>
    </row>
    <row r="354" spans="1:2" x14ac:dyDescent="0.25">
      <c r="A354" s="555"/>
      <c r="B354" s="555"/>
    </row>
    <row r="355" spans="1:2" x14ac:dyDescent="0.25">
      <c r="A355" s="555"/>
      <c r="B355" s="555"/>
    </row>
    <row r="356" spans="1:2" x14ac:dyDescent="0.25">
      <c r="A356" s="555"/>
      <c r="B356" s="555"/>
    </row>
    <row r="357" spans="1:2" x14ac:dyDescent="0.25">
      <c r="A357" s="555"/>
      <c r="B357" s="555"/>
    </row>
    <row r="358" spans="1:2" x14ac:dyDescent="0.25">
      <c r="A358" s="555"/>
      <c r="B358" s="555"/>
    </row>
    <row r="359" spans="1:2" x14ac:dyDescent="0.25">
      <c r="A359" s="555"/>
      <c r="B359" s="555"/>
    </row>
    <row r="360" spans="1:2" x14ac:dyDescent="0.25">
      <c r="A360" s="555"/>
      <c r="B360" s="555"/>
    </row>
    <row r="361" spans="1:2" x14ac:dyDescent="0.25">
      <c r="A361" s="555"/>
      <c r="B361" s="555"/>
    </row>
    <row r="362" spans="1:2" x14ac:dyDescent="0.25">
      <c r="A362" s="555"/>
      <c r="B362" s="555"/>
    </row>
    <row r="363" spans="1:2" x14ac:dyDescent="0.25">
      <c r="A363" s="555"/>
      <c r="B363" s="555"/>
    </row>
    <row r="364" spans="1:2" x14ac:dyDescent="0.25">
      <c r="A364" s="555"/>
      <c r="B364" s="555"/>
    </row>
    <row r="365" spans="1:2" x14ac:dyDescent="0.25">
      <c r="A365" s="555"/>
      <c r="B365" s="555"/>
    </row>
    <row r="366" spans="1:2" x14ac:dyDescent="0.25">
      <c r="A366" s="555"/>
      <c r="B366" s="555"/>
    </row>
    <row r="367" spans="1:2" x14ac:dyDescent="0.25">
      <c r="A367" s="555"/>
      <c r="B367" s="555"/>
    </row>
    <row r="368" spans="1:2" x14ac:dyDescent="0.25">
      <c r="A368" s="555"/>
      <c r="B368" s="555"/>
    </row>
    <row r="369" spans="1:2" x14ac:dyDescent="0.25">
      <c r="A369" s="555"/>
      <c r="B369" s="555"/>
    </row>
    <row r="370" spans="1:2" x14ac:dyDescent="0.25">
      <c r="A370" s="555"/>
      <c r="B370" s="555"/>
    </row>
    <row r="371" spans="1:2" x14ac:dyDescent="0.25">
      <c r="A371" s="555"/>
      <c r="B371" s="555"/>
    </row>
    <row r="372" spans="1:2" x14ac:dyDescent="0.25">
      <c r="A372" s="555"/>
      <c r="B372" s="555"/>
    </row>
    <row r="373" spans="1:2" x14ac:dyDescent="0.25">
      <c r="A373" s="555"/>
      <c r="B373" s="555"/>
    </row>
    <row r="374" spans="1:2" x14ac:dyDescent="0.25">
      <c r="A374" s="555"/>
      <c r="B374" s="555"/>
    </row>
    <row r="375" spans="1:2" x14ac:dyDescent="0.25">
      <c r="A375" s="555"/>
      <c r="B375" s="555"/>
    </row>
    <row r="376" spans="1:2" x14ac:dyDescent="0.25">
      <c r="A376" s="555"/>
      <c r="B376" s="555"/>
    </row>
    <row r="377" spans="1:2" x14ac:dyDescent="0.25">
      <c r="A377" s="555"/>
      <c r="B377" s="555"/>
    </row>
    <row r="378" spans="1:2" x14ac:dyDescent="0.25">
      <c r="A378" s="555"/>
      <c r="B378" s="555"/>
    </row>
    <row r="379" spans="1:2" x14ac:dyDescent="0.25">
      <c r="A379" s="555"/>
      <c r="B379" s="555"/>
    </row>
    <row r="380" spans="1:2" x14ac:dyDescent="0.25">
      <c r="A380" s="555"/>
      <c r="B380" s="555"/>
    </row>
    <row r="381" spans="1:2" x14ac:dyDescent="0.25">
      <c r="A381" s="555"/>
      <c r="B381" s="555"/>
    </row>
    <row r="382" spans="1:2" x14ac:dyDescent="0.25">
      <c r="A382" s="555"/>
      <c r="B382" s="555"/>
    </row>
    <row r="383" spans="1:2" x14ac:dyDescent="0.25">
      <c r="A383" s="555"/>
      <c r="B383" s="555"/>
    </row>
    <row r="384" spans="1:2" x14ac:dyDescent="0.25">
      <c r="A384" s="555"/>
      <c r="B384" s="555"/>
    </row>
    <row r="385" spans="1:2" x14ac:dyDescent="0.25">
      <c r="A385" s="555"/>
      <c r="B385" s="555"/>
    </row>
    <row r="386" spans="1:2" x14ac:dyDescent="0.25">
      <c r="A386" s="555"/>
      <c r="B386" s="555"/>
    </row>
    <row r="387" spans="1:2" x14ac:dyDescent="0.25">
      <c r="A387" s="555"/>
      <c r="B387" s="555"/>
    </row>
    <row r="388" spans="1:2" x14ac:dyDescent="0.25">
      <c r="A388" s="555"/>
      <c r="B388" s="555"/>
    </row>
    <row r="389" spans="1:2" x14ac:dyDescent="0.25">
      <c r="A389" s="555"/>
      <c r="B389" s="555"/>
    </row>
    <row r="390" spans="1:2" x14ac:dyDescent="0.25">
      <c r="A390" s="555"/>
      <c r="B390" s="555"/>
    </row>
    <row r="391" spans="1:2" x14ac:dyDescent="0.25">
      <c r="A391" s="555"/>
      <c r="B391" s="555"/>
    </row>
    <row r="392" spans="1:2" x14ac:dyDescent="0.25">
      <c r="A392" s="555"/>
      <c r="B392" s="555"/>
    </row>
    <row r="393" spans="1:2" x14ac:dyDescent="0.25">
      <c r="A393" s="555"/>
      <c r="B393" s="555"/>
    </row>
    <row r="394" spans="1:2" x14ac:dyDescent="0.25">
      <c r="A394" s="555"/>
      <c r="B394" s="555"/>
    </row>
    <row r="395" spans="1:2" x14ac:dyDescent="0.25">
      <c r="A395" s="555"/>
      <c r="B395" s="555"/>
    </row>
    <row r="396" spans="1:2" x14ac:dyDescent="0.25">
      <c r="A396" s="555"/>
      <c r="B396" s="555"/>
    </row>
    <row r="397" spans="1:2" x14ac:dyDescent="0.25">
      <c r="A397" s="555"/>
      <c r="B397" s="555"/>
    </row>
    <row r="398" spans="1:2" x14ac:dyDescent="0.25">
      <c r="A398" s="555"/>
      <c r="B398" s="555"/>
    </row>
    <row r="399" spans="1:2" x14ac:dyDescent="0.25">
      <c r="A399" s="555"/>
      <c r="B399" s="555"/>
    </row>
    <row r="400" spans="1:2" x14ac:dyDescent="0.25">
      <c r="A400" s="555"/>
      <c r="B400" s="555"/>
    </row>
    <row r="401" spans="1:2" x14ac:dyDescent="0.25">
      <c r="A401" s="555"/>
      <c r="B401" s="555"/>
    </row>
    <row r="402" spans="1:2" x14ac:dyDescent="0.25">
      <c r="A402" s="555"/>
      <c r="B402" s="555"/>
    </row>
    <row r="403" spans="1:2" x14ac:dyDescent="0.25">
      <c r="A403" s="555"/>
      <c r="B403" s="555"/>
    </row>
    <row r="404" spans="1:2" x14ac:dyDescent="0.25">
      <c r="A404" s="555"/>
      <c r="B404" s="555"/>
    </row>
    <row r="405" spans="1:2" x14ac:dyDescent="0.25">
      <c r="A405" s="555"/>
      <c r="B405" s="555"/>
    </row>
    <row r="406" spans="1:2" x14ac:dyDescent="0.25">
      <c r="A406" s="555"/>
      <c r="B406" s="555"/>
    </row>
    <row r="407" spans="1:2" x14ac:dyDescent="0.25">
      <c r="A407" s="555"/>
      <c r="B407" s="555"/>
    </row>
    <row r="408" spans="1:2" x14ac:dyDescent="0.25">
      <c r="A408" s="555"/>
      <c r="B408" s="555"/>
    </row>
    <row r="409" spans="1:2" x14ac:dyDescent="0.25">
      <c r="A409" s="555"/>
      <c r="B409" s="555"/>
    </row>
    <row r="410" spans="1:2" x14ac:dyDescent="0.25">
      <c r="A410" s="555"/>
      <c r="B410" s="555"/>
    </row>
    <row r="411" spans="1:2" x14ac:dyDescent="0.25">
      <c r="A411" s="555"/>
      <c r="B411" s="555"/>
    </row>
    <row r="412" spans="1:2" x14ac:dyDescent="0.25">
      <c r="A412" s="555"/>
      <c r="B412" s="555"/>
    </row>
    <row r="413" spans="1:2" x14ac:dyDescent="0.25">
      <c r="A413" s="555"/>
      <c r="B413" s="555"/>
    </row>
    <row r="414" spans="1:2" x14ac:dyDescent="0.25">
      <c r="A414" s="555"/>
      <c r="B414" s="555"/>
    </row>
    <row r="415" spans="1:2" x14ac:dyDescent="0.25">
      <c r="A415" s="555"/>
      <c r="B415" s="555"/>
    </row>
    <row r="416" spans="1:2" x14ac:dyDescent="0.25">
      <c r="A416" s="555"/>
      <c r="B416" s="555"/>
    </row>
    <row r="417" spans="1:2" x14ac:dyDescent="0.25">
      <c r="A417" s="555"/>
      <c r="B417" s="555"/>
    </row>
    <row r="418" spans="1:2" x14ac:dyDescent="0.25">
      <c r="A418" s="555"/>
      <c r="B418" s="555"/>
    </row>
    <row r="419" spans="1:2" x14ac:dyDescent="0.25">
      <c r="A419" s="555"/>
      <c r="B419" s="555"/>
    </row>
    <row r="420" spans="1:2" x14ac:dyDescent="0.25">
      <c r="A420" s="555"/>
      <c r="B420" s="555"/>
    </row>
    <row r="421" spans="1:2" x14ac:dyDescent="0.25">
      <c r="A421" s="555"/>
      <c r="B421" s="555"/>
    </row>
    <row r="422" spans="1:2" x14ac:dyDescent="0.25">
      <c r="A422" s="555"/>
      <c r="B422" s="555"/>
    </row>
    <row r="423" spans="1:2" x14ac:dyDescent="0.25">
      <c r="A423" s="555"/>
      <c r="B423" s="555"/>
    </row>
    <row r="424" spans="1:2" x14ac:dyDescent="0.25">
      <c r="A424" s="555"/>
      <c r="B424" s="555"/>
    </row>
    <row r="425" spans="1:2" x14ac:dyDescent="0.25">
      <c r="A425" s="555"/>
      <c r="B425" s="555"/>
    </row>
    <row r="426" spans="1:2" x14ac:dyDescent="0.25">
      <c r="A426" s="555"/>
      <c r="B426" s="555"/>
    </row>
    <row r="427" spans="1:2" x14ac:dyDescent="0.25">
      <c r="A427" s="555"/>
      <c r="B427" s="555"/>
    </row>
    <row r="428" spans="1:2" x14ac:dyDescent="0.25">
      <c r="A428" s="555"/>
      <c r="B428" s="555"/>
    </row>
    <row r="429" spans="1:2" x14ac:dyDescent="0.25">
      <c r="A429" s="555"/>
      <c r="B429" s="555"/>
    </row>
    <row r="430" spans="1:2" x14ac:dyDescent="0.25">
      <c r="A430" s="555"/>
      <c r="B430" s="555"/>
    </row>
    <row r="431" spans="1:2" x14ac:dyDescent="0.25">
      <c r="A431" s="555"/>
      <c r="B431" s="555"/>
    </row>
    <row r="432" spans="1:2" x14ac:dyDescent="0.25">
      <c r="A432" s="555"/>
      <c r="B432" s="555"/>
    </row>
    <row r="433" spans="1:2" x14ac:dyDescent="0.25">
      <c r="A433" s="555"/>
      <c r="B433" s="555"/>
    </row>
    <row r="434" spans="1:2" x14ac:dyDescent="0.25">
      <c r="A434" s="555"/>
      <c r="B434" s="555"/>
    </row>
    <row r="435" spans="1:2" x14ac:dyDescent="0.25">
      <c r="A435" s="555"/>
      <c r="B435" s="555"/>
    </row>
    <row r="436" spans="1:2" x14ac:dyDescent="0.25">
      <c r="A436" s="555"/>
      <c r="B436" s="555"/>
    </row>
    <row r="437" spans="1:2" x14ac:dyDescent="0.25">
      <c r="A437" s="555"/>
      <c r="B437" s="555"/>
    </row>
    <row r="438" spans="1:2" x14ac:dyDescent="0.25">
      <c r="A438" s="555"/>
      <c r="B438" s="555"/>
    </row>
    <row r="439" spans="1:2" x14ac:dyDescent="0.25">
      <c r="A439" s="555"/>
      <c r="B439" s="555"/>
    </row>
    <row r="440" spans="1:2" x14ac:dyDescent="0.25">
      <c r="A440" s="555"/>
      <c r="B440" s="555"/>
    </row>
    <row r="441" spans="1:2" x14ac:dyDescent="0.25">
      <c r="A441" s="555"/>
      <c r="B441" s="555"/>
    </row>
    <row r="442" spans="1:2" x14ac:dyDescent="0.25">
      <c r="A442" s="555"/>
      <c r="B442" s="555"/>
    </row>
    <row r="443" spans="1:2" x14ac:dyDescent="0.25">
      <c r="A443" s="555"/>
      <c r="B443" s="555"/>
    </row>
    <row r="444" spans="1:2" x14ac:dyDescent="0.25">
      <c r="A444" s="555"/>
      <c r="B444" s="555"/>
    </row>
    <row r="445" spans="1:2" x14ac:dyDescent="0.25">
      <c r="A445" s="555"/>
      <c r="B445" s="555"/>
    </row>
    <row r="446" spans="1:2" x14ac:dyDescent="0.25">
      <c r="A446" s="555"/>
      <c r="B446" s="555"/>
    </row>
    <row r="447" spans="1:2" x14ac:dyDescent="0.25">
      <c r="A447" s="555"/>
      <c r="B447" s="555"/>
    </row>
    <row r="448" spans="1:2" x14ac:dyDescent="0.25">
      <c r="A448" s="555"/>
      <c r="B448" s="555"/>
    </row>
    <row r="449" spans="1:2" x14ac:dyDescent="0.25">
      <c r="A449" s="555"/>
      <c r="B449" s="555"/>
    </row>
    <row r="450" spans="1:2" x14ac:dyDescent="0.25">
      <c r="A450" s="555"/>
      <c r="B450" s="555"/>
    </row>
    <row r="451" spans="1:2" x14ac:dyDescent="0.25">
      <c r="A451" s="555"/>
      <c r="B451" s="555"/>
    </row>
    <row r="452" spans="1:2" x14ac:dyDescent="0.25">
      <c r="A452" s="555"/>
      <c r="B452" s="555"/>
    </row>
    <row r="453" spans="1:2" x14ac:dyDescent="0.25">
      <c r="A453" s="555"/>
      <c r="B453" s="555"/>
    </row>
    <row r="454" spans="1:2" x14ac:dyDescent="0.25">
      <c r="A454" s="555"/>
      <c r="B454" s="555"/>
    </row>
    <row r="455" spans="1:2" x14ac:dyDescent="0.25">
      <c r="A455" s="555"/>
      <c r="B455" s="555"/>
    </row>
    <row r="456" spans="1:2" x14ac:dyDescent="0.25">
      <c r="A456" s="555"/>
      <c r="B456" s="555"/>
    </row>
    <row r="457" spans="1:2" x14ac:dyDescent="0.25">
      <c r="A457" s="555"/>
      <c r="B457" s="555"/>
    </row>
    <row r="458" spans="1:2" x14ac:dyDescent="0.25">
      <c r="A458" s="555"/>
      <c r="B458" s="555"/>
    </row>
    <row r="459" spans="1:2" x14ac:dyDescent="0.25">
      <c r="A459" s="555"/>
      <c r="B459" s="555"/>
    </row>
    <row r="460" spans="1:2" x14ac:dyDescent="0.25">
      <c r="A460" s="555"/>
      <c r="B460" s="555"/>
    </row>
    <row r="461" spans="1:2" x14ac:dyDescent="0.25">
      <c r="A461" s="555"/>
      <c r="B461" s="555"/>
    </row>
    <row r="462" spans="1:2" x14ac:dyDescent="0.25">
      <c r="A462" s="555"/>
      <c r="B462" s="555"/>
    </row>
    <row r="463" spans="1:2" x14ac:dyDescent="0.25">
      <c r="A463" s="555"/>
      <c r="B463" s="555"/>
    </row>
    <row r="464" spans="1:2" x14ac:dyDescent="0.25">
      <c r="A464" s="555"/>
      <c r="B464" s="555"/>
    </row>
    <row r="465" spans="1:2" x14ac:dyDescent="0.25">
      <c r="A465" s="555"/>
      <c r="B465" s="555"/>
    </row>
    <row r="466" spans="1:2" x14ac:dyDescent="0.25">
      <c r="A466" s="555"/>
      <c r="B466" s="555"/>
    </row>
    <row r="467" spans="1:2" x14ac:dyDescent="0.25">
      <c r="A467" s="555"/>
      <c r="B467" s="555"/>
    </row>
    <row r="468" spans="1:2" x14ac:dyDescent="0.25">
      <c r="A468" s="555"/>
      <c r="B468" s="555"/>
    </row>
    <row r="469" spans="1:2" x14ac:dyDescent="0.25">
      <c r="A469" s="555"/>
      <c r="B469" s="555"/>
    </row>
    <row r="470" spans="1:2" x14ac:dyDescent="0.25">
      <c r="A470" s="555"/>
      <c r="B470" s="555"/>
    </row>
    <row r="471" spans="1:2" x14ac:dyDescent="0.25">
      <c r="A471" s="555"/>
      <c r="B471" s="555"/>
    </row>
    <row r="472" spans="1:2" x14ac:dyDescent="0.25">
      <c r="A472" s="555"/>
      <c r="B472" s="555"/>
    </row>
    <row r="473" spans="1:2" x14ac:dyDescent="0.25">
      <c r="A473" s="555"/>
      <c r="B473" s="555"/>
    </row>
    <row r="474" spans="1:2" x14ac:dyDescent="0.25">
      <c r="A474" s="555"/>
      <c r="B474" s="555"/>
    </row>
    <row r="475" spans="1:2" x14ac:dyDescent="0.25">
      <c r="A475" s="555"/>
      <c r="B475" s="555"/>
    </row>
    <row r="476" spans="1:2" x14ac:dyDescent="0.25">
      <c r="A476" s="555"/>
      <c r="B476" s="555"/>
    </row>
    <row r="477" spans="1:2" x14ac:dyDescent="0.25">
      <c r="A477" s="555"/>
      <c r="B477" s="555"/>
    </row>
    <row r="478" spans="1:2" x14ac:dyDescent="0.25">
      <c r="A478" s="555"/>
      <c r="B478" s="555"/>
    </row>
    <row r="479" spans="1:2" x14ac:dyDescent="0.25">
      <c r="A479" s="555"/>
      <c r="B479" s="555"/>
    </row>
    <row r="480" spans="1:2" x14ac:dyDescent="0.25">
      <c r="A480" s="555"/>
      <c r="B480" s="555"/>
    </row>
    <row r="481" spans="1:2" x14ac:dyDescent="0.25">
      <c r="A481" s="555"/>
      <c r="B481" s="555"/>
    </row>
    <row r="482" spans="1:2" x14ac:dyDescent="0.25">
      <c r="A482" s="555"/>
      <c r="B482" s="555"/>
    </row>
    <row r="483" spans="1:2" x14ac:dyDescent="0.25">
      <c r="A483" s="555"/>
      <c r="B483" s="555"/>
    </row>
    <row r="484" spans="1:2" x14ac:dyDescent="0.25">
      <c r="A484" s="555"/>
      <c r="B484" s="555"/>
    </row>
    <row r="485" spans="1:2" x14ac:dyDescent="0.25">
      <c r="A485" s="555"/>
      <c r="B485" s="555"/>
    </row>
    <row r="486" spans="1:2" x14ac:dyDescent="0.25">
      <c r="A486" s="555"/>
      <c r="B486" s="555"/>
    </row>
    <row r="487" spans="1:2" x14ac:dyDescent="0.25">
      <c r="A487" s="555"/>
      <c r="B487" s="555"/>
    </row>
    <row r="488" spans="1:2" x14ac:dyDescent="0.25">
      <c r="A488" s="555"/>
      <c r="B488" s="555"/>
    </row>
    <row r="489" spans="1:2" x14ac:dyDescent="0.25">
      <c r="A489" s="555"/>
      <c r="B489" s="555"/>
    </row>
    <row r="490" spans="1:2" x14ac:dyDescent="0.25">
      <c r="A490" s="555"/>
      <c r="B490" s="555"/>
    </row>
    <row r="491" spans="1:2" x14ac:dyDescent="0.25">
      <c r="A491" s="555"/>
      <c r="B491" s="555"/>
    </row>
    <row r="492" spans="1:2" x14ac:dyDescent="0.25">
      <c r="A492" s="555"/>
      <c r="B492" s="555"/>
    </row>
    <row r="493" spans="1:2" x14ac:dyDescent="0.25">
      <c r="A493" s="555"/>
      <c r="B493" s="555"/>
    </row>
    <row r="494" spans="1:2" x14ac:dyDescent="0.25">
      <c r="A494" s="555"/>
      <c r="B494" s="555"/>
    </row>
    <row r="495" spans="1:2" x14ac:dyDescent="0.25">
      <c r="A495" s="555"/>
      <c r="B495" s="555"/>
    </row>
    <row r="496" spans="1:2" x14ac:dyDescent="0.25">
      <c r="A496" s="555"/>
      <c r="B496" s="555"/>
    </row>
    <row r="497" spans="1:2" x14ac:dyDescent="0.25">
      <c r="A497" s="555"/>
      <c r="B497" s="555"/>
    </row>
    <row r="498" spans="1:2" x14ac:dyDescent="0.25">
      <c r="A498" s="555"/>
      <c r="B498" s="555"/>
    </row>
    <row r="499" spans="1:2" x14ac:dyDescent="0.25">
      <c r="A499" s="555"/>
      <c r="B499" s="555"/>
    </row>
    <row r="500" spans="1:2" x14ac:dyDescent="0.25">
      <c r="A500" s="555"/>
      <c r="B500" s="555"/>
    </row>
    <row r="501" spans="1:2" x14ac:dyDescent="0.25">
      <c r="A501" s="555"/>
      <c r="B501" s="555"/>
    </row>
    <row r="502" spans="1:2" x14ac:dyDescent="0.25">
      <c r="A502" s="555"/>
      <c r="B502" s="555"/>
    </row>
    <row r="503" spans="1:2" x14ac:dyDescent="0.25">
      <c r="A503" s="555"/>
      <c r="B503" s="555"/>
    </row>
    <row r="504" spans="1:2" x14ac:dyDescent="0.25">
      <c r="A504" s="555"/>
      <c r="B504" s="555"/>
    </row>
    <row r="505" spans="1:2" x14ac:dyDescent="0.25">
      <c r="A505" s="555"/>
      <c r="B505" s="555"/>
    </row>
    <row r="506" spans="1:2" x14ac:dyDescent="0.25">
      <c r="A506" s="555"/>
      <c r="B506" s="555"/>
    </row>
    <row r="507" spans="1:2" x14ac:dyDescent="0.25">
      <c r="A507" s="555"/>
      <c r="B507" s="555"/>
    </row>
    <row r="508" spans="1:2" x14ac:dyDescent="0.25">
      <c r="A508" s="555"/>
      <c r="B508" s="555"/>
    </row>
    <row r="509" spans="1:2" x14ac:dyDescent="0.25">
      <c r="A509" s="555"/>
      <c r="B509" s="555"/>
    </row>
    <row r="510" spans="1:2" x14ac:dyDescent="0.25">
      <c r="A510" s="555"/>
      <c r="B510" s="555"/>
    </row>
    <row r="511" spans="1:2" x14ac:dyDescent="0.25">
      <c r="A511" s="555"/>
      <c r="B511" s="555"/>
    </row>
    <row r="512" spans="1:2" x14ac:dyDescent="0.25">
      <c r="A512" s="555"/>
      <c r="B512" s="555"/>
    </row>
    <row r="513" spans="1:2" x14ac:dyDescent="0.25">
      <c r="A513" s="555"/>
      <c r="B513" s="555"/>
    </row>
    <row r="514" spans="1:2" x14ac:dyDescent="0.25">
      <c r="A514" s="555"/>
      <c r="B514" s="555"/>
    </row>
    <row r="515" spans="1:2" x14ac:dyDescent="0.25">
      <c r="A515" s="555"/>
      <c r="B515" s="555"/>
    </row>
    <row r="516" spans="1:2" x14ac:dyDescent="0.25">
      <c r="A516" s="555"/>
      <c r="B516" s="555"/>
    </row>
    <row r="517" spans="1:2" x14ac:dyDescent="0.25">
      <c r="A517" s="555"/>
      <c r="B517" s="555"/>
    </row>
    <row r="518" spans="1:2" x14ac:dyDescent="0.25">
      <c r="A518" s="555"/>
      <c r="B518" s="555"/>
    </row>
    <row r="519" spans="1:2" x14ac:dyDescent="0.25">
      <c r="A519" s="555"/>
      <c r="B519" s="555"/>
    </row>
    <row r="520" spans="1:2" x14ac:dyDescent="0.25">
      <c r="A520" s="555"/>
      <c r="B520" s="555"/>
    </row>
    <row r="521" spans="1:2" x14ac:dyDescent="0.25">
      <c r="A521" s="555"/>
      <c r="B521" s="555"/>
    </row>
    <row r="522" spans="1:2" x14ac:dyDescent="0.25">
      <c r="A522" s="555"/>
      <c r="B522" s="555"/>
    </row>
    <row r="523" spans="1:2" x14ac:dyDescent="0.25">
      <c r="A523" s="555"/>
      <c r="B523" s="555"/>
    </row>
    <row r="524" spans="1:2" x14ac:dyDescent="0.25">
      <c r="A524" s="555"/>
      <c r="B524" s="555"/>
    </row>
  </sheetData>
  <pageMargins left="0.43307086614173229" right="0.43307086614173229" top="0.74803149606299213" bottom="0.74803149606299213" header="0.31496062992125984" footer="0.31496062992125984"/>
  <pageSetup paperSize="9" scale="78" firstPageNumber="3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5A8C7-66C1-4754-8941-6373A89F2355}">
  <sheetPr>
    <tabColor rgb="FFCC00CC"/>
    <pageSetUpPr fitToPage="1"/>
  </sheetPr>
  <dimension ref="A1:H54"/>
  <sheetViews>
    <sheetView zoomScale="130" zoomScaleNormal="130" workbookViewId="0"/>
  </sheetViews>
  <sheetFormatPr defaultRowHeight="13.5" x14ac:dyDescent="0.25"/>
  <cols>
    <col min="1" max="1" width="4" style="9" customWidth="1"/>
    <col min="2" max="2" width="5.28515625" style="9" customWidth="1"/>
    <col min="3" max="3" width="8.42578125" style="9" customWidth="1"/>
    <col min="4" max="4" width="8" style="263" customWidth="1"/>
    <col min="5" max="5" width="49.7109375" style="9" customWidth="1"/>
    <col min="6" max="6" width="23" style="9" customWidth="1"/>
    <col min="7" max="7" width="13" style="9" customWidth="1"/>
    <col min="8" max="8" width="10.7109375" style="9" customWidth="1"/>
    <col min="9" max="256" width="9.140625" style="9"/>
    <col min="257" max="257" width="4" style="9" customWidth="1"/>
    <col min="258" max="258" width="5.28515625" style="9" customWidth="1"/>
    <col min="259" max="259" width="8.42578125" style="9" customWidth="1"/>
    <col min="260" max="260" width="8" style="9" customWidth="1"/>
    <col min="261" max="261" width="49.7109375" style="9" customWidth="1"/>
    <col min="262" max="262" width="23" style="9" customWidth="1"/>
    <col min="263" max="263" width="13" style="9" customWidth="1"/>
    <col min="264" max="264" width="10.7109375" style="9" customWidth="1"/>
    <col min="265" max="512" width="9.140625" style="9"/>
    <col min="513" max="513" width="4" style="9" customWidth="1"/>
    <col min="514" max="514" width="5.28515625" style="9" customWidth="1"/>
    <col min="515" max="515" width="8.42578125" style="9" customWidth="1"/>
    <col min="516" max="516" width="8" style="9" customWidth="1"/>
    <col min="517" max="517" width="49.7109375" style="9" customWidth="1"/>
    <col min="518" max="518" width="23" style="9" customWidth="1"/>
    <col min="519" max="519" width="13" style="9" customWidth="1"/>
    <col min="520" max="520" width="10.7109375" style="9" customWidth="1"/>
    <col min="521" max="768" width="9.140625" style="9"/>
    <col min="769" max="769" width="4" style="9" customWidth="1"/>
    <col min="770" max="770" width="5.28515625" style="9" customWidth="1"/>
    <col min="771" max="771" width="8.42578125" style="9" customWidth="1"/>
    <col min="772" max="772" width="8" style="9" customWidth="1"/>
    <col min="773" max="773" width="49.7109375" style="9" customWidth="1"/>
    <col min="774" max="774" width="23" style="9" customWidth="1"/>
    <col min="775" max="775" width="13" style="9" customWidth="1"/>
    <col min="776" max="776" width="10.7109375" style="9" customWidth="1"/>
    <col min="777" max="1024" width="9.140625" style="9"/>
    <col min="1025" max="1025" width="4" style="9" customWidth="1"/>
    <col min="1026" max="1026" width="5.28515625" style="9" customWidth="1"/>
    <col min="1027" max="1027" width="8.42578125" style="9" customWidth="1"/>
    <col min="1028" max="1028" width="8" style="9" customWidth="1"/>
    <col min="1029" max="1029" width="49.7109375" style="9" customWidth="1"/>
    <col min="1030" max="1030" width="23" style="9" customWidth="1"/>
    <col min="1031" max="1031" width="13" style="9" customWidth="1"/>
    <col min="1032" max="1032" width="10.7109375" style="9" customWidth="1"/>
    <col min="1033" max="1280" width="9.140625" style="9"/>
    <col min="1281" max="1281" width="4" style="9" customWidth="1"/>
    <col min="1282" max="1282" width="5.28515625" style="9" customWidth="1"/>
    <col min="1283" max="1283" width="8.42578125" style="9" customWidth="1"/>
    <col min="1284" max="1284" width="8" style="9" customWidth="1"/>
    <col min="1285" max="1285" width="49.7109375" style="9" customWidth="1"/>
    <col min="1286" max="1286" width="23" style="9" customWidth="1"/>
    <col min="1287" max="1287" width="13" style="9" customWidth="1"/>
    <col min="1288" max="1288" width="10.7109375" style="9" customWidth="1"/>
    <col min="1289" max="1536" width="9.140625" style="9"/>
    <col min="1537" max="1537" width="4" style="9" customWidth="1"/>
    <col min="1538" max="1538" width="5.28515625" style="9" customWidth="1"/>
    <col min="1539" max="1539" width="8.42578125" style="9" customWidth="1"/>
    <col min="1540" max="1540" width="8" style="9" customWidth="1"/>
    <col min="1541" max="1541" width="49.7109375" style="9" customWidth="1"/>
    <col min="1542" max="1542" width="23" style="9" customWidth="1"/>
    <col min="1543" max="1543" width="13" style="9" customWidth="1"/>
    <col min="1544" max="1544" width="10.7109375" style="9" customWidth="1"/>
    <col min="1545" max="1792" width="9.140625" style="9"/>
    <col min="1793" max="1793" width="4" style="9" customWidth="1"/>
    <col min="1794" max="1794" width="5.28515625" style="9" customWidth="1"/>
    <col min="1795" max="1795" width="8.42578125" style="9" customWidth="1"/>
    <col min="1796" max="1796" width="8" style="9" customWidth="1"/>
    <col min="1797" max="1797" width="49.7109375" style="9" customWidth="1"/>
    <col min="1798" max="1798" width="23" style="9" customWidth="1"/>
    <col min="1799" max="1799" width="13" style="9" customWidth="1"/>
    <col min="1800" max="1800" width="10.7109375" style="9" customWidth="1"/>
    <col min="1801" max="2048" width="9.140625" style="9"/>
    <col min="2049" max="2049" width="4" style="9" customWidth="1"/>
    <col min="2050" max="2050" width="5.28515625" style="9" customWidth="1"/>
    <col min="2051" max="2051" width="8.42578125" style="9" customWidth="1"/>
    <col min="2052" max="2052" width="8" style="9" customWidth="1"/>
    <col min="2053" max="2053" width="49.7109375" style="9" customWidth="1"/>
    <col min="2054" max="2054" width="23" style="9" customWidth="1"/>
    <col min="2055" max="2055" width="13" style="9" customWidth="1"/>
    <col min="2056" max="2056" width="10.7109375" style="9" customWidth="1"/>
    <col min="2057" max="2304" width="9.140625" style="9"/>
    <col min="2305" max="2305" width="4" style="9" customWidth="1"/>
    <col min="2306" max="2306" width="5.28515625" style="9" customWidth="1"/>
    <col min="2307" max="2307" width="8.42578125" style="9" customWidth="1"/>
    <col min="2308" max="2308" width="8" style="9" customWidth="1"/>
    <col min="2309" max="2309" width="49.7109375" style="9" customWidth="1"/>
    <col min="2310" max="2310" width="23" style="9" customWidth="1"/>
    <col min="2311" max="2311" width="13" style="9" customWidth="1"/>
    <col min="2312" max="2312" width="10.7109375" style="9" customWidth="1"/>
    <col min="2313" max="2560" width="9.140625" style="9"/>
    <col min="2561" max="2561" width="4" style="9" customWidth="1"/>
    <col min="2562" max="2562" width="5.28515625" style="9" customWidth="1"/>
    <col min="2563" max="2563" width="8.42578125" style="9" customWidth="1"/>
    <col min="2564" max="2564" width="8" style="9" customWidth="1"/>
    <col min="2565" max="2565" width="49.7109375" style="9" customWidth="1"/>
    <col min="2566" max="2566" width="23" style="9" customWidth="1"/>
    <col min="2567" max="2567" width="13" style="9" customWidth="1"/>
    <col min="2568" max="2568" width="10.7109375" style="9" customWidth="1"/>
    <col min="2569" max="2816" width="9.140625" style="9"/>
    <col min="2817" max="2817" width="4" style="9" customWidth="1"/>
    <col min="2818" max="2818" width="5.28515625" style="9" customWidth="1"/>
    <col min="2819" max="2819" width="8.42578125" style="9" customWidth="1"/>
    <col min="2820" max="2820" width="8" style="9" customWidth="1"/>
    <col min="2821" max="2821" width="49.7109375" style="9" customWidth="1"/>
    <col min="2822" max="2822" width="23" style="9" customWidth="1"/>
    <col min="2823" max="2823" width="13" style="9" customWidth="1"/>
    <col min="2824" max="2824" width="10.7109375" style="9" customWidth="1"/>
    <col min="2825" max="3072" width="9.140625" style="9"/>
    <col min="3073" max="3073" width="4" style="9" customWidth="1"/>
    <col min="3074" max="3074" width="5.28515625" style="9" customWidth="1"/>
    <col min="3075" max="3075" width="8.42578125" style="9" customWidth="1"/>
    <col min="3076" max="3076" width="8" style="9" customWidth="1"/>
    <col min="3077" max="3077" width="49.7109375" style="9" customWidth="1"/>
    <col min="3078" max="3078" width="23" style="9" customWidth="1"/>
    <col min="3079" max="3079" width="13" style="9" customWidth="1"/>
    <col min="3080" max="3080" width="10.7109375" style="9" customWidth="1"/>
    <col min="3081" max="3328" width="9.140625" style="9"/>
    <col min="3329" max="3329" width="4" style="9" customWidth="1"/>
    <col min="3330" max="3330" width="5.28515625" style="9" customWidth="1"/>
    <col min="3331" max="3331" width="8.42578125" style="9" customWidth="1"/>
    <col min="3332" max="3332" width="8" style="9" customWidth="1"/>
    <col min="3333" max="3333" width="49.7109375" style="9" customWidth="1"/>
    <col min="3334" max="3334" width="23" style="9" customWidth="1"/>
    <col min="3335" max="3335" width="13" style="9" customWidth="1"/>
    <col min="3336" max="3336" width="10.7109375" style="9" customWidth="1"/>
    <col min="3337" max="3584" width="9.140625" style="9"/>
    <col min="3585" max="3585" width="4" style="9" customWidth="1"/>
    <col min="3586" max="3586" width="5.28515625" style="9" customWidth="1"/>
    <col min="3587" max="3587" width="8.42578125" style="9" customWidth="1"/>
    <col min="3588" max="3588" width="8" style="9" customWidth="1"/>
    <col min="3589" max="3589" width="49.7109375" style="9" customWidth="1"/>
    <col min="3590" max="3590" width="23" style="9" customWidth="1"/>
    <col min="3591" max="3591" width="13" style="9" customWidth="1"/>
    <col min="3592" max="3592" width="10.7109375" style="9" customWidth="1"/>
    <col min="3593" max="3840" width="9.140625" style="9"/>
    <col min="3841" max="3841" width="4" style="9" customWidth="1"/>
    <col min="3842" max="3842" width="5.28515625" style="9" customWidth="1"/>
    <col min="3843" max="3843" width="8.42578125" style="9" customWidth="1"/>
    <col min="3844" max="3844" width="8" style="9" customWidth="1"/>
    <col min="3845" max="3845" width="49.7109375" style="9" customWidth="1"/>
    <col min="3846" max="3846" width="23" style="9" customWidth="1"/>
    <col min="3847" max="3847" width="13" style="9" customWidth="1"/>
    <col min="3848" max="3848" width="10.7109375" style="9" customWidth="1"/>
    <col min="3849" max="4096" width="9.140625" style="9"/>
    <col min="4097" max="4097" width="4" style="9" customWidth="1"/>
    <col min="4098" max="4098" width="5.28515625" style="9" customWidth="1"/>
    <col min="4099" max="4099" width="8.42578125" style="9" customWidth="1"/>
    <col min="4100" max="4100" width="8" style="9" customWidth="1"/>
    <col min="4101" max="4101" width="49.7109375" style="9" customWidth="1"/>
    <col min="4102" max="4102" width="23" style="9" customWidth="1"/>
    <col min="4103" max="4103" width="13" style="9" customWidth="1"/>
    <col min="4104" max="4104" width="10.7109375" style="9" customWidth="1"/>
    <col min="4105" max="4352" width="9.140625" style="9"/>
    <col min="4353" max="4353" width="4" style="9" customWidth="1"/>
    <col min="4354" max="4354" width="5.28515625" style="9" customWidth="1"/>
    <col min="4355" max="4355" width="8.42578125" style="9" customWidth="1"/>
    <col min="4356" max="4356" width="8" style="9" customWidth="1"/>
    <col min="4357" max="4357" width="49.7109375" style="9" customWidth="1"/>
    <col min="4358" max="4358" width="23" style="9" customWidth="1"/>
    <col min="4359" max="4359" width="13" style="9" customWidth="1"/>
    <col min="4360" max="4360" width="10.7109375" style="9" customWidth="1"/>
    <col min="4361" max="4608" width="9.140625" style="9"/>
    <col min="4609" max="4609" width="4" style="9" customWidth="1"/>
    <col min="4610" max="4610" width="5.28515625" style="9" customWidth="1"/>
    <col min="4611" max="4611" width="8.42578125" style="9" customWidth="1"/>
    <col min="4612" max="4612" width="8" style="9" customWidth="1"/>
    <col min="4613" max="4613" width="49.7109375" style="9" customWidth="1"/>
    <col min="4614" max="4614" width="23" style="9" customWidth="1"/>
    <col min="4615" max="4615" width="13" style="9" customWidth="1"/>
    <col min="4616" max="4616" width="10.7109375" style="9" customWidth="1"/>
    <col min="4617" max="4864" width="9.140625" style="9"/>
    <col min="4865" max="4865" width="4" style="9" customWidth="1"/>
    <col min="4866" max="4866" width="5.28515625" style="9" customWidth="1"/>
    <col min="4867" max="4867" width="8.42578125" style="9" customWidth="1"/>
    <col min="4868" max="4868" width="8" style="9" customWidth="1"/>
    <col min="4869" max="4869" width="49.7109375" style="9" customWidth="1"/>
    <col min="4870" max="4870" width="23" style="9" customWidth="1"/>
    <col min="4871" max="4871" width="13" style="9" customWidth="1"/>
    <col min="4872" max="4872" width="10.7109375" style="9" customWidth="1"/>
    <col min="4873" max="5120" width="9.140625" style="9"/>
    <col min="5121" max="5121" width="4" style="9" customWidth="1"/>
    <col min="5122" max="5122" width="5.28515625" style="9" customWidth="1"/>
    <col min="5123" max="5123" width="8.42578125" style="9" customWidth="1"/>
    <col min="5124" max="5124" width="8" style="9" customWidth="1"/>
    <col min="5125" max="5125" width="49.7109375" style="9" customWidth="1"/>
    <col min="5126" max="5126" width="23" style="9" customWidth="1"/>
    <col min="5127" max="5127" width="13" style="9" customWidth="1"/>
    <col min="5128" max="5128" width="10.7109375" style="9" customWidth="1"/>
    <col min="5129" max="5376" width="9.140625" style="9"/>
    <col min="5377" max="5377" width="4" style="9" customWidth="1"/>
    <col min="5378" max="5378" width="5.28515625" style="9" customWidth="1"/>
    <col min="5379" max="5379" width="8.42578125" style="9" customWidth="1"/>
    <col min="5380" max="5380" width="8" style="9" customWidth="1"/>
    <col min="5381" max="5381" width="49.7109375" style="9" customWidth="1"/>
    <col min="5382" max="5382" width="23" style="9" customWidth="1"/>
    <col min="5383" max="5383" width="13" style="9" customWidth="1"/>
    <col min="5384" max="5384" width="10.7109375" style="9" customWidth="1"/>
    <col min="5385" max="5632" width="9.140625" style="9"/>
    <col min="5633" max="5633" width="4" style="9" customWidth="1"/>
    <col min="5634" max="5634" width="5.28515625" style="9" customWidth="1"/>
    <col min="5635" max="5635" width="8.42578125" style="9" customWidth="1"/>
    <col min="5636" max="5636" width="8" style="9" customWidth="1"/>
    <col min="5637" max="5637" width="49.7109375" style="9" customWidth="1"/>
    <col min="5638" max="5638" width="23" style="9" customWidth="1"/>
    <col min="5639" max="5639" width="13" style="9" customWidth="1"/>
    <col min="5640" max="5640" width="10.7109375" style="9" customWidth="1"/>
    <col min="5641" max="5888" width="9.140625" style="9"/>
    <col min="5889" max="5889" width="4" style="9" customWidth="1"/>
    <col min="5890" max="5890" width="5.28515625" style="9" customWidth="1"/>
    <col min="5891" max="5891" width="8.42578125" style="9" customWidth="1"/>
    <col min="5892" max="5892" width="8" style="9" customWidth="1"/>
    <col min="5893" max="5893" width="49.7109375" style="9" customWidth="1"/>
    <col min="5894" max="5894" width="23" style="9" customWidth="1"/>
    <col min="5895" max="5895" width="13" style="9" customWidth="1"/>
    <col min="5896" max="5896" width="10.7109375" style="9" customWidth="1"/>
    <col min="5897" max="6144" width="9.140625" style="9"/>
    <col min="6145" max="6145" width="4" style="9" customWidth="1"/>
    <col min="6146" max="6146" width="5.28515625" style="9" customWidth="1"/>
    <col min="6147" max="6147" width="8.42578125" style="9" customWidth="1"/>
    <col min="6148" max="6148" width="8" style="9" customWidth="1"/>
    <col min="6149" max="6149" width="49.7109375" style="9" customWidth="1"/>
    <col min="6150" max="6150" width="23" style="9" customWidth="1"/>
    <col min="6151" max="6151" width="13" style="9" customWidth="1"/>
    <col min="6152" max="6152" width="10.7109375" style="9" customWidth="1"/>
    <col min="6153" max="6400" width="9.140625" style="9"/>
    <col min="6401" max="6401" width="4" style="9" customWidth="1"/>
    <col min="6402" max="6402" width="5.28515625" style="9" customWidth="1"/>
    <col min="6403" max="6403" width="8.42578125" style="9" customWidth="1"/>
    <col min="6404" max="6404" width="8" style="9" customWidth="1"/>
    <col min="6405" max="6405" width="49.7109375" style="9" customWidth="1"/>
    <col min="6406" max="6406" width="23" style="9" customWidth="1"/>
    <col min="6407" max="6407" width="13" style="9" customWidth="1"/>
    <col min="6408" max="6408" width="10.7109375" style="9" customWidth="1"/>
    <col min="6409" max="6656" width="9.140625" style="9"/>
    <col min="6657" max="6657" width="4" style="9" customWidth="1"/>
    <col min="6658" max="6658" width="5.28515625" style="9" customWidth="1"/>
    <col min="6659" max="6659" width="8.42578125" style="9" customWidth="1"/>
    <col min="6660" max="6660" width="8" style="9" customWidth="1"/>
    <col min="6661" max="6661" width="49.7109375" style="9" customWidth="1"/>
    <col min="6662" max="6662" width="23" style="9" customWidth="1"/>
    <col min="6663" max="6663" width="13" style="9" customWidth="1"/>
    <col min="6664" max="6664" width="10.7109375" style="9" customWidth="1"/>
    <col min="6665" max="6912" width="9.140625" style="9"/>
    <col min="6913" max="6913" width="4" style="9" customWidth="1"/>
    <col min="6914" max="6914" width="5.28515625" style="9" customWidth="1"/>
    <col min="6915" max="6915" width="8.42578125" style="9" customWidth="1"/>
    <col min="6916" max="6916" width="8" style="9" customWidth="1"/>
    <col min="6917" max="6917" width="49.7109375" style="9" customWidth="1"/>
    <col min="6918" max="6918" width="23" style="9" customWidth="1"/>
    <col min="6919" max="6919" width="13" style="9" customWidth="1"/>
    <col min="6920" max="6920" width="10.7109375" style="9" customWidth="1"/>
    <col min="6921" max="7168" width="9.140625" style="9"/>
    <col min="7169" max="7169" width="4" style="9" customWidth="1"/>
    <col min="7170" max="7170" width="5.28515625" style="9" customWidth="1"/>
    <col min="7171" max="7171" width="8.42578125" style="9" customWidth="1"/>
    <col min="7172" max="7172" width="8" style="9" customWidth="1"/>
    <col min="7173" max="7173" width="49.7109375" style="9" customWidth="1"/>
    <col min="7174" max="7174" width="23" style="9" customWidth="1"/>
    <col min="7175" max="7175" width="13" style="9" customWidth="1"/>
    <col min="7176" max="7176" width="10.7109375" style="9" customWidth="1"/>
    <col min="7177" max="7424" width="9.140625" style="9"/>
    <col min="7425" max="7425" width="4" style="9" customWidth="1"/>
    <col min="7426" max="7426" width="5.28515625" style="9" customWidth="1"/>
    <col min="7427" max="7427" width="8.42578125" style="9" customWidth="1"/>
    <col min="7428" max="7428" width="8" style="9" customWidth="1"/>
    <col min="7429" max="7429" width="49.7109375" style="9" customWidth="1"/>
    <col min="7430" max="7430" width="23" style="9" customWidth="1"/>
    <col min="7431" max="7431" width="13" style="9" customWidth="1"/>
    <col min="7432" max="7432" width="10.7109375" style="9" customWidth="1"/>
    <col min="7433" max="7680" width="9.140625" style="9"/>
    <col min="7681" max="7681" width="4" style="9" customWidth="1"/>
    <col min="7682" max="7682" width="5.28515625" style="9" customWidth="1"/>
    <col min="7683" max="7683" width="8.42578125" style="9" customWidth="1"/>
    <col min="7684" max="7684" width="8" style="9" customWidth="1"/>
    <col min="7685" max="7685" width="49.7109375" style="9" customWidth="1"/>
    <col min="7686" max="7686" width="23" style="9" customWidth="1"/>
    <col min="7687" max="7687" width="13" style="9" customWidth="1"/>
    <col min="7688" max="7688" width="10.7109375" style="9" customWidth="1"/>
    <col min="7689" max="7936" width="9.140625" style="9"/>
    <col min="7937" max="7937" width="4" style="9" customWidth="1"/>
    <col min="7938" max="7938" width="5.28515625" style="9" customWidth="1"/>
    <col min="7939" max="7939" width="8.42578125" style="9" customWidth="1"/>
    <col min="7940" max="7940" width="8" style="9" customWidth="1"/>
    <col min="7941" max="7941" width="49.7109375" style="9" customWidth="1"/>
    <col min="7942" max="7942" width="23" style="9" customWidth="1"/>
    <col min="7943" max="7943" width="13" style="9" customWidth="1"/>
    <col min="7944" max="7944" width="10.7109375" style="9" customWidth="1"/>
    <col min="7945" max="8192" width="9.140625" style="9"/>
    <col min="8193" max="8193" width="4" style="9" customWidth="1"/>
    <col min="8194" max="8194" width="5.28515625" style="9" customWidth="1"/>
    <col min="8195" max="8195" width="8.42578125" style="9" customWidth="1"/>
    <col min="8196" max="8196" width="8" style="9" customWidth="1"/>
    <col min="8197" max="8197" width="49.7109375" style="9" customWidth="1"/>
    <col min="8198" max="8198" width="23" style="9" customWidth="1"/>
    <col min="8199" max="8199" width="13" style="9" customWidth="1"/>
    <col min="8200" max="8200" width="10.7109375" style="9" customWidth="1"/>
    <col min="8201" max="8448" width="9.140625" style="9"/>
    <col min="8449" max="8449" width="4" style="9" customWidth="1"/>
    <col min="8450" max="8450" width="5.28515625" style="9" customWidth="1"/>
    <col min="8451" max="8451" width="8.42578125" style="9" customWidth="1"/>
    <col min="8452" max="8452" width="8" style="9" customWidth="1"/>
    <col min="8453" max="8453" width="49.7109375" style="9" customWidth="1"/>
    <col min="8454" max="8454" width="23" style="9" customWidth="1"/>
    <col min="8455" max="8455" width="13" style="9" customWidth="1"/>
    <col min="8456" max="8456" width="10.7109375" style="9" customWidth="1"/>
    <col min="8457" max="8704" width="9.140625" style="9"/>
    <col min="8705" max="8705" width="4" style="9" customWidth="1"/>
    <col min="8706" max="8706" width="5.28515625" style="9" customWidth="1"/>
    <col min="8707" max="8707" width="8.42578125" style="9" customWidth="1"/>
    <col min="8708" max="8708" width="8" style="9" customWidth="1"/>
    <col min="8709" max="8709" width="49.7109375" style="9" customWidth="1"/>
    <col min="8710" max="8710" width="23" style="9" customWidth="1"/>
    <col min="8711" max="8711" width="13" style="9" customWidth="1"/>
    <col min="8712" max="8712" width="10.7109375" style="9" customWidth="1"/>
    <col min="8713" max="8960" width="9.140625" style="9"/>
    <col min="8961" max="8961" width="4" style="9" customWidth="1"/>
    <col min="8962" max="8962" width="5.28515625" style="9" customWidth="1"/>
    <col min="8963" max="8963" width="8.42578125" style="9" customWidth="1"/>
    <col min="8964" max="8964" width="8" style="9" customWidth="1"/>
    <col min="8965" max="8965" width="49.7109375" style="9" customWidth="1"/>
    <col min="8966" max="8966" width="23" style="9" customWidth="1"/>
    <col min="8967" max="8967" width="13" style="9" customWidth="1"/>
    <col min="8968" max="8968" width="10.7109375" style="9" customWidth="1"/>
    <col min="8969" max="9216" width="9.140625" style="9"/>
    <col min="9217" max="9217" width="4" style="9" customWidth="1"/>
    <col min="9218" max="9218" width="5.28515625" style="9" customWidth="1"/>
    <col min="9219" max="9219" width="8.42578125" style="9" customWidth="1"/>
    <col min="9220" max="9220" width="8" style="9" customWidth="1"/>
    <col min="9221" max="9221" width="49.7109375" style="9" customWidth="1"/>
    <col min="9222" max="9222" width="23" style="9" customWidth="1"/>
    <col min="9223" max="9223" width="13" style="9" customWidth="1"/>
    <col min="9224" max="9224" width="10.7109375" style="9" customWidth="1"/>
    <col min="9225" max="9472" width="9.140625" style="9"/>
    <col min="9473" max="9473" width="4" style="9" customWidth="1"/>
    <col min="9474" max="9474" width="5.28515625" style="9" customWidth="1"/>
    <col min="9475" max="9475" width="8.42578125" style="9" customWidth="1"/>
    <col min="9476" max="9476" width="8" style="9" customWidth="1"/>
    <col min="9477" max="9477" width="49.7109375" style="9" customWidth="1"/>
    <col min="9478" max="9478" width="23" style="9" customWidth="1"/>
    <col min="9479" max="9479" width="13" style="9" customWidth="1"/>
    <col min="9480" max="9480" width="10.7109375" style="9" customWidth="1"/>
    <col min="9481" max="9728" width="9.140625" style="9"/>
    <col min="9729" max="9729" width="4" style="9" customWidth="1"/>
    <col min="9730" max="9730" width="5.28515625" style="9" customWidth="1"/>
    <col min="9731" max="9731" width="8.42578125" style="9" customWidth="1"/>
    <col min="9732" max="9732" width="8" style="9" customWidth="1"/>
    <col min="9733" max="9733" width="49.7109375" style="9" customWidth="1"/>
    <col min="9734" max="9734" width="23" style="9" customWidth="1"/>
    <col min="9735" max="9735" width="13" style="9" customWidth="1"/>
    <col min="9736" max="9736" width="10.7109375" style="9" customWidth="1"/>
    <col min="9737" max="9984" width="9.140625" style="9"/>
    <col min="9985" max="9985" width="4" style="9" customWidth="1"/>
    <col min="9986" max="9986" width="5.28515625" style="9" customWidth="1"/>
    <col min="9987" max="9987" width="8.42578125" style="9" customWidth="1"/>
    <col min="9988" max="9988" width="8" style="9" customWidth="1"/>
    <col min="9989" max="9989" width="49.7109375" style="9" customWidth="1"/>
    <col min="9990" max="9990" width="23" style="9" customWidth="1"/>
    <col min="9991" max="9991" width="13" style="9" customWidth="1"/>
    <col min="9992" max="9992" width="10.7109375" style="9" customWidth="1"/>
    <col min="9993" max="10240" width="9.140625" style="9"/>
    <col min="10241" max="10241" width="4" style="9" customWidth="1"/>
    <col min="10242" max="10242" width="5.28515625" style="9" customWidth="1"/>
    <col min="10243" max="10243" width="8.42578125" style="9" customWidth="1"/>
    <col min="10244" max="10244" width="8" style="9" customWidth="1"/>
    <col min="10245" max="10245" width="49.7109375" style="9" customWidth="1"/>
    <col min="10246" max="10246" width="23" style="9" customWidth="1"/>
    <col min="10247" max="10247" width="13" style="9" customWidth="1"/>
    <col min="10248" max="10248" width="10.7109375" style="9" customWidth="1"/>
    <col min="10249" max="10496" width="9.140625" style="9"/>
    <col min="10497" max="10497" width="4" style="9" customWidth="1"/>
    <col min="10498" max="10498" width="5.28515625" style="9" customWidth="1"/>
    <col min="10499" max="10499" width="8.42578125" style="9" customWidth="1"/>
    <col min="10500" max="10500" width="8" style="9" customWidth="1"/>
    <col min="10501" max="10501" width="49.7109375" style="9" customWidth="1"/>
    <col min="10502" max="10502" width="23" style="9" customWidth="1"/>
    <col min="10503" max="10503" width="13" style="9" customWidth="1"/>
    <col min="10504" max="10504" width="10.7109375" style="9" customWidth="1"/>
    <col min="10505" max="10752" width="9.140625" style="9"/>
    <col min="10753" max="10753" width="4" style="9" customWidth="1"/>
    <col min="10754" max="10754" width="5.28515625" style="9" customWidth="1"/>
    <col min="10755" max="10755" width="8.42578125" style="9" customWidth="1"/>
    <col min="10756" max="10756" width="8" style="9" customWidth="1"/>
    <col min="10757" max="10757" width="49.7109375" style="9" customWidth="1"/>
    <col min="10758" max="10758" width="23" style="9" customWidth="1"/>
    <col min="10759" max="10759" width="13" style="9" customWidth="1"/>
    <col min="10760" max="10760" width="10.7109375" style="9" customWidth="1"/>
    <col min="10761" max="11008" width="9.140625" style="9"/>
    <col min="11009" max="11009" width="4" style="9" customWidth="1"/>
    <col min="11010" max="11010" width="5.28515625" style="9" customWidth="1"/>
    <col min="11011" max="11011" width="8.42578125" style="9" customWidth="1"/>
    <col min="11012" max="11012" width="8" style="9" customWidth="1"/>
    <col min="11013" max="11013" width="49.7109375" style="9" customWidth="1"/>
    <col min="11014" max="11014" width="23" style="9" customWidth="1"/>
    <col min="11015" max="11015" width="13" style="9" customWidth="1"/>
    <col min="11016" max="11016" width="10.7109375" style="9" customWidth="1"/>
    <col min="11017" max="11264" width="9.140625" style="9"/>
    <col min="11265" max="11265" width="4" style="9" customWidth="1"/>
    <col min="11266" max="11266" width="5.28515625" style="9" customWidth="1"/>
    <col min="11267" max="11267" width="8.42578125" style="9" customWidth="1"/>
    <col min="11268" max="11268" width="8" style="9" customWidth="1"/>
    <col min="11269" max="11269" width="49.7109375" style="9" customWidth="1"/>
    <col min="11270" max="11270" width="23" style="9" customWidth="1"/>
    <col min="11271" max="11271" width="13" style="9" customWidth="1"/>
    <col min="11272" max="11272" width="10.7109375" style="9" customWidth="1"/>
    <col min="11273" max="11520" width="9.140625" style="9"/>
    <col min="11521" max="11521" width="4" style="9" customWidth="1"/>
    <col min="11522" max="11522" width="5.28515625" style="9" customWidth="1"/>
    <col min="11523" max="11523" width="8.42578125" style="9" customWidth="1"/>
    <col min="11524" max="11524" width="8" style="9" customWidth="1"/>
    <col min="11525" max="11525" width="49.7109375" style="9" customWidth="1"/>
    <col min="11526" max="11526" width="23" style="9" customWidth="1"/>
    <col min="11527" max="11527" width="13" style="9" customWidth="1"/>
    <col min="11528" max="11528" width="10.7109375" style="9" customWidth="1"/>
    <col min="11529" max="11776" width="9.140625" style="9"/>
    <col min="11777" max="11777" width="4" style="9" customWidth="1"/>
    <col min="11778" max="11778" width="5.28515625" style="9" customWidth="1"/>
    <col min="11779" max="11779" width="8.42578125" style="9" customWidth="1"/>
    <col min="11780" max="11780" width="8" style="9" customWidth="1"/>
    <col min="11781" max="11781" width="49.7109375" style="9" customWidth="1"/>
    <col min="11782" max="11782" width="23" style="9" customWidth="1"/>
    <col min="11783" max="11783" width="13" style="9" customWidth="1"/>
    <col min="11784" max="11784" width="10.7109375" style="9" customWidth="1"/>
    <col min="11785" max="12032" width="9.140625" style="9"/>
    <col min="12033" max="12033" width="4" style="9" customWidth="1"/>
    <col min="12034" max="12034" width="5.28515625" style="9" customWidth="1"/>
    <col min="12035" max="12035" width="8.42578125" style="9" customWidth="1"/>
    <col min="12036" max="12036" width="8" style="9" customWidth="1"/>
    <col min="12037" max="12037" width="49.7109375" style="9" customWidth="1"/>
    <col min="12038" max="12038" width="23" style="9" customWidth="1"/>
    <col min="12039" max="12039" width="13" style="9" customWidth="1"/>
    <col min="12040" max="12040" width="10.7109375" style="9" customWidth="1"/>
    <col min="12041" max="12288" width="9.140625" style="9"/>
    <col min="12289" max="12289" width="4" style="9" customWidth="1"/>
    <col min="12290" max="12290" width="5.28515625" style="9" customWidth="1"/>
    <col min="12291" max="12291" width="8.42578125" style="9" customWidth="1"/>
    <col min="12292" max="12292" width="8" style="9" customWidth="1"/>
    <col min="12293" max="12293" width="49.7109375" style="9" customWidth="1"/>
    <col min="12294" max="12294" width="23" style="9" customWidth="1"/>
    <col min="12295" max="12295" width="13" style="9" customWidth="1"/>
    <col min="12296" max="12296" width="10.7109375" style="9" customWidth="1"/>
    <col min="12297" max="12544" width="9.140625" style="9"/>
    <col min="12545" max="12545" width="4" style="9" customWidth="1"/>
    <col min="12546" max="12546" width="5.28515625" style="9" customWidth="1"/>
    <col min="12547" max="12547" width="8.42578125" style="9" customWidth="1"/>
    <col min="12548" max="12548" width="8" style="9" customWidth="1"/>
    <col min="12549" max="12549" width="49.7109375" style="9" customWidth="1"/>
    <col min="12550" max="12550" width="23" style="9" customWidth="1"/>
    <col min="12551" max="12551" width="13" style="9" customWidth="1"/>
    <col min="12552" max="12552" width="10.7109375" style="9" customWidth="1"/>
    <col min="12553" max="12800" width="9.140625" style="9"/>
    <col min="12801" max="12801" width="4" style="9" customWidth="1"/>
    <col min="12802" max="12802" width="5.28515625" style="9" customWidth="1"/>
    <col min="12803" max="12803" width="8.42578125" style="9" customWidth="1"/>
    <col min="12804" max="12804" width="8" style="9" customWidth="1"/>
    <col min="12805" max="12805" width="49.7109375" style="9" customWidth="1"/>
    <col min="12806" max="12806" width="23" style="9" customWidth="1"/>
    <col min="12807" max="12807" width="13" style="9" customWidth="1"/>
    <col min="12808" max="12808" width="10.7109375" style="9" customWidth="1"/>
    <col min="12809" max="13056" width="9.140625" style="9"/>
    <col min="13057" max="13057" width="4" style="9" customWidth="1"/>
    <col min="13058" max="13058" width="5.28515625" style="9" customWidth="1"/>
    <col min="13059" max="13059" width="8.42578125" style="9" customWidth="1"/>
    <col min="13060" max="13060" width="8" style="9" customWidth="1"/>
    <col min="13061" max="13061" width="49.7109375" style="9" customWidth="1"/>
    <col min="13062" max="13062" width="23" style="9" customWidth="1"/>
    <col min="13063" max="13063" width="13" style="9" customWidth="1"/>
    <col min="13064" max="13064" width="10.7109375" style="9" customWidth="1"/>
    <col min="13065" max="13312" width="9.140625" style="9"/>
    <col min="13313" max="13313" width="4" style="9" customWidth="1"/>
    <col min="13314" max="13314" width="5.28515625" style="9" customWidth="1"/>
    <col min="13315" max="13315" width="8.42578125" style="9" customWidth="1"/>
    <col min="13316" max="13316" width="8" style="9" customWidth="1"/>
    <col min="13317" max="13317" width="49.7109375" style="9" customWidth="1"/>
    <col min="13318" max="13318" width="23" style="9" customWidth="1"/>
    <col min="13319" max="13319" width="13" style="9" customWidth="1"/>
    <col min="13320" max="13320" width="10.7109375" style="9" customWidth="1"/>
    <col min="13321" max="13568" width="9.140625" style="9"/>
    <col min="13569" max="13569" width="4" style="9" customWidth="1"/>
    <col min="13570" max="13570" width="5.28515625" style="9" customWidth="1"/>
    <col min="13571" max="13571" width="8.42578125" style="9" customWidth="1"/>
    <col min="13572" max="13572" width="8" style="9" customWidth="1"/>
    <col min="13573" max="13573" width="49.7109375" style="9" customWidth="1"/>
    <col min="13574" max="13574" width="23" style="9" customWidth="1"/>
    <col min="13575" max="13575" width="13" style="9" customWidth="1"/>
    <col min="13576" max="13576" width="10.7109375" style="9" customWidth="1"/>
    <col min="13577" max="13824" width="9.140625" style="9"/>
    <col min="13825" max="13825" width="4" style="9" customWidth="1"/>
    <col min="13826" max="13826" width="5.28515625" style="9" customWidth="1"/>
    <col min="13827" max="13827" width="8.42578125" style="9" customWidth="1"/>
    <col min="13828" max="13828" width="8" style="9" customWidth="1"/>
    <col min="13829" max="13829" width="49.7109375" style="9" customWidth="1"/>
    <col min="13830" max="13830" width="23" style="9" customWidth="1"/>
    <col min="13831" max="13831" width="13" style="9" customWidth="1"/>
    <col min="13832" max="13832" width="10.7109375" style="9" customWidth="1"/>
    <col min="13833" max="14080" width="9.140625" style="9"/>
    <col min="14081" max="14081" width="4" style="9" customWidth="1"/>
    <col min="14082" max="14082" width="5.28515625" style="9" customWidth="1"/>
    <col min="14083" max="14083" width="8.42578125" style="9" customWidth="1"/>
    <col min="14084" max="14084" width="8" style="9" customWidth="1"/>
    <col min="14085" max="14085" width="49.7109375" style="9" customWidth="1"/>
    <col min="14086" max="14086" width="23" style="9" customWidth="1"/>
    <col min="14087" max="14087" width="13" style="9" customWidth="1"/>
    <col min="14088" max="14088" width="10.7109375" style="9" customWidth="1"/>
    <col min="14089" max="14336" width="9.140625" style="9"/>
    <col min="14337" max="14337" width="4" style="9" customWidth="1"/>
    <col min="14338" max="14338" width="5.28515625" style="9" customWidth="1"/>
    <col min="14339" max="14339" width="8.42578125" style="9" customWidth="1"/>
    <col min="14340" max="14340" width="8" style="9" customWidth="1"/>
    <col min="14341" max="14341" width="49.7109375" style="9" customWidth="1"/>
    <col min="14342" max="14342" width="23" style="9" customWidth="1"/>
    <col min="14343" max="14343" width="13" style="9" customWidth="1"/>
    <col min="14344" max="14344" width="10.7109375" style="9" customWidth="1"/>
    <col min="14345" max="14592" width="9.140625" style="9"/>
    <col min="14593" max="14593" width="4" style="9" customWidth="1"/>
    <col min="14594" max="14594" width="5.28515625" style="9" customWidth="1"/>
    <col min="14595" max="14595" width="8.42578125" style="9" customWidth="1"/>
    <col min="14596" max="14596" width="8" style="9" customWidth="1"/>
    <col min="14597" max="14597" width="49.7109375" style="9" customWidth="1"/>
    <col min="14598" max="14598" width="23" style="9" customWidth="1"/>
    <col min="14599" max="14599" width="13" style="9" customWidth="1"/>
    <col min="14600" max="14600" width="10.7109375" style="9" customWidth="1"/>
    <col min="14601" max="14848" width="9.140625" style="9"/>
    <col min="14849" max="14849" width="4" style="9" customWidth="1"/>
    <col min="14850" max="14850" width="5.28515625" style="9" customWidth="1"/>
    <col min="14851" max="14851" width="8.42578125" style="9" customWidth="1"/>
    <col min="14852" max="14852" width="8" style="9" customWidth="1"/>
    <col min="14853" max="14853" width="49.7109375" style="9" customWidth="1"/>
    <col min="14854" max="14854" width="23" style="9" customWidth="1"/>
    <col min="14855" max="14855" width="13" style="9" customWidth="1"/>
    <col min="14856" max="14856" width="10.7109375" style="9" customWidth="1"/>
    <col min="14857" max="15104" width="9.140625" style="9"/>
    <col min="15105" max="15105" width="4" style="9" customWidth="1"/>
    <col min="15106" max="15106" width="5.28515625" style="9" customWidth="1"/>
    <col min="15107" max="15107" width="8.42578125" style="9" customWidth="1"/>
    <col min="15108" max="15108" width="8" style="9" customWidth="1"/>
    <col min="15109" max="15109" width="49.7109375" style="9" customWidth="1"/>
    <col min="15110" max="15110" width="23" style="9" customWidth="1"/>
    <col min="15111" max="15111" width="13" style="9" customWidth="1"/>
    <col min="15112" max="15112" width="10.7109375" style="9" customWidth="1"/>
    <col min="15113" max="15360" width="9.140625" style="9"/>
    <col min="15361" max="15361" width="4" style="9" customWidth="1"/>
    <col min="15362" max="15362" width="5.28515625" style="9" customWidth="1"/>
    <col min="15363" max="15363" width="8.42578125" style="9" customWidth="1"/>
    <col min="15364" max="15364" width="8" style="9" customWidth="1"/>
    <col min="15365" max="15365" width="49.7109375" style="9" customWidth="1"/>
    <col min="15366" max="15366" width="23" style="9" customWidth="1"/>
    <col min="15367" max="15367" width="13" style="9" customWidth="1"/>
    <col min="15368" max="15368" width="10.7109375" style="9" customWidth="1"/>
    <col min="15369" max="15616" width="9.140625" style="9"/>
    <col min="15617" max="15617" width="4" style="9" customWidth="1"/>
    <col min="15618" max="15618" width="5.28515625" style="9" customWidth="1"/>
    <col min="15619" max="15619" width="8.42578125" style="9" customWidth="1"/>
    <col min="15620" max="15620" width="8" style="9" customWidth="1"/>
    <col min="15621" max="15621" width="49.7109375" style="9" customWidth="1"/>
    <col min="15622" max="15622" width="23" style="9" customWidth="1"/>
    <col min="15623" max="15623" width="13" style="9" customWidth="1"/>
    <col min="15624" max="15624" width="10.7109375" style="9" customWidth="1"/>
    <col min="15625" max="15872" width="9.140625" style="9"/>
    <col min="15873" max="15873" width="4" style="9" customWidth="1"/>
    <col min="15874" max="15874" width="5.28515625" style="9" customWidth="1"/>
    <col min="15875" max="15875" width="8.42578125" style="9" customWidth="1"/>
    <col min="15876" max="15876" width="8" style="9" customWidth="1"/>
    <col min="15877" max="15877" width="49.7109375" style="9" customWidth="1"/>
    <col min="15878" max="15878" width="23" style="9" customWidth="1"/>
    <col min="15879" max="15879" width="13" style="9" customWidth="1"/>
    <col min="15880" max="15880" width="10.7109375" style="9" customWidth="1"/>
    <col min="15881" max="16128" width="9.140625" style="9"/>
    <col min="16129" max="16129" width="4" style="9" customWidth="1"/>
    <col min="16130" max="16130" width="5.28515625" style="9" customWidth="1"/>
    <col min="16131" max="16131" width="8.42578125" style="9" customWidth="1"/>
    <col min="16132" max="16132" width="8" style="9" customWidth="1"/>
    <col min="16133" max="16133" width="49.7109375" style="9" customWidth="1"/>
    <col min="16134" max="16134" width="23" style="9" customWidth="1"/>
    <col min="16135" max="16135" width="13" style="9" customWidth="1"/>
    <col min="16136" max="16136" width="10.7109375" style="9" customWidth="1"/>
    <col min="16137" max="16384" width="9.140625" style="9"/>
  </cols>
  <sheetData>
    <row r="1" spans="1:8" ht="12" customHeight="1" x14ac:dyDescent="0.25">
      <c r="F1" s="11" t="s">
        <v>198</v>
      </c>
    </row>
    <row r="2" spans="1:8" ht="12" customHeight="1" x14ac:dyDescent="0.25">
      <c r="E2" s="264"/>
      <c r="F2" s="11" t="s">
        <v>353</v>
      </c>
    </row>
    <row r="3" spans="1:8" ht="12" customHeight="1" x14ac:dyDescent="0.25">
      <c r="E3" s="264"/>
      <c r="F3" s="10" t="s">
        <v>0</v>
      </c>
    </row>
    <row r="4" spans="1:8" ht="12" customHeight="1" x14ac:dyDescent="0.25">
      <c r="E4" s="264"/>
      <c r="F4" s="11" t="s">
        <v>354</v>
      </c>
    </row>
    <row r="5" spans="1:8" x14ac:dyDescent="0.25">
      <c r="E5" s="264"/>
      <c r="F5" s="264"/>
    </row>
    <row r="6" spans="1:8" ht="15" customHeight="1" x14ac:dyDescent="0.25">
      <c r="A6" s="557" t="s">
        <v>84</v>
      </c>
      <c r="B6" s="557"/>
      <c r="C6" s="557"/>
      <c r="D6" s="557"/>
      <c r="E6" s="557"/>
      <c r="F6" s="557"/>
    </row>
    <row r="7" spans="1:8" ht="15" customHeight="1" x14ac:dyDescent="0.25">
      <c r="A7" s="557" t="s">
        <v>355</v>
      </c>
      <c r="B7" s="557"/>
      <c r="C7" s="557"/>
      <c r="D7" s="557"/>
      <c r="E7" s="557"/>
      <c r="F7" s="557"/>
    </row>
    <row r="8" spans="1:8" ht="13.9" customHeight="1" x14ac:dyDescent="0.25">
      <c r="E8" s="265"/>
      <c r="F8" s="265"/>
    </row>
    <row r="9" spans="1:8" ht="12" customHeight="1" x14ac:dyDescent="0.25">
      <c r="E9" s="43"/>
      <c r="F9" s="12" t="s">
        <v>1</v>
      </c>
    </row>
    <row r="10" spans="1:8" ht="19.5" customHeight="1" x14ac:dyDescent="0.25">
      <c r="A10" s="44" t="s">
        <v>86</v>
      </c>
      <c r="B10" s="266" t="s">
        <v>87</v>
      </c>
      <c r="C10" s="266" t="s">
        <v>88</v>
      </c>
      <c r="D10" s="44" t="s">
        <v>89</v>
      </c>
      <c r="E10" s="266" t="s">
        <v>90</v>
      </c>
      <c r="F10" s="266" t="s">
        <v>91</v>
      </c>
    </row>
    <row r="11" spans="1:8" s="269" customFormat="1" ht="9.75" customHeight="1" x14ac:dyDescent="0.25">
      <c r="A11" s="267">
        <v>1</v>
      </c>
      <c r="B11" s="267">
        <v>2</v>
      </c>
      <c r="C11" s="267">
        <v>3</v>
      </c>
      <c r="D11" s="268">
        <v>4</v>
      </c>
      <c r="E11" s="267">
        <v>5</v>
      </c>
      <c r="F11" s="267">
        <v>6</v>
      </c>
    </row>
    <row r="12" spans="1:8" ht="18" customHeight="1" x14ac:dyDescent="0.25">
      <c r="A12" s="65" t="s">
        <v>92</v>
      </c>
      <c r="B12" s="66"/>
      <c r="C12" s="66"/>
      <c r="D12" s="270"/>
      <c r="E12" s="66"/>
      <c r="F12" s="67"/>
    </row>
    <row r="13" spans="1:8" ht="15" customHeight="1" x14ac:dyDescent="0.25">
      <c r="A13" s="271">
        <v>1</v>
      </c>
      <c r="B13" s="271">
        <v>801</v>
      </c>
      <c r="C13" s="271">
        <v>80104</v>
      </c>
      <c r="D13" s="271">
        <v>2310</v>
      </c>
      <c r="E13" s="17" t="s">
        <v>38</v>
      </c>
      <c r="F13" s="18">
        <v>500000</v>
      </c>
      <c r="H13" s="20"/>
    </row>
    <row r="14" spans="1:8" ht="16.5" customHeight="1" x14ac:dyDescent="0.25">
      <c r="A14" s="271">
        <v>2</v>
      </c>
      <c r="B14" s="272">
        <v>851</v>
      </c>
      <c r="C14" s="272">
        <v>85149</v>
      </c>
      <c r="D14" s="272">
        <v>2780</v>
      </c>
      <c r="E14" s="17" t="s">
        <v>356</v>
      </c>
      <c r="F14" s="18">
        <v>21000</v>
      </c>
      <c r="G14" s="19"/>
      <c r="H14" s="20"/>
    </row>
    <row r="15" spans="1:8" ht="17.25" customHeight="1" x14ac:dyDescent="0.25">
      <c r="A15" s="272">
        <v>3</v>
      </c>
      <c r="B15" s="271">
        <v>851</v>
      </c>
      <c r="C15" s="271">
        <v>85154</v>
      </c>
      <c r="D15" s="271">
        <v>2330</v>
      </c>
      <c r="E15" s="17" t="s">
        <v>357</v>
      </c>
      <c r="F15" s="18">
        <v>5000</v>
      </c>
    </row>
    <row r="16" spans="1:8" ht="24" customHeight="1" x14ac:dyDescent="0.25">
      <c r="A16" s="272">
        <v>4</v>
      </c>
      <c r="B16" s="271">
        <v>851</v>
      </c>
      <c r="C16" s="271">
        <v>85154</v>
      </c>
      <c r="D16" s="271">
        <v>2800</v>
      </c>
      <c r="E16" s="17" t="s">
        <v>358</v>
      </c>
      <c r="F16" s="18">
        <f>0+100000+20000+20000</f>
        <v>140000</v>
      </c>
    </row>
    <row r="17" spans="1:6" ht="38.25" customHeight="1" x14ac:dyDescent="0.25">
      <c r="A17" s="272">
        <v>5</v>
      </c>
      <c r="B17" s="272">
        <v>851</v>
      </c>
      <c r="C17" s="272">
        <v>85195</v>
      </c>
      <c r="D17" s="273" t="s">
        <v>359</v>
      </c>
      <c r="E17" s="17" t="s">
        <v>360</v>
      </c>
      <c r="F17" s="18">
        <f>689557.5+3907492.5</f>
        <v>4597050</v>
      </c>
    </row>
    <row r="18" spans="1:6" ht="14.25" customHeight="1" x14ac:dyDescent="0.25">
      <c r="A18" s="272">
        <v>6</v>
      </c>
      <c r="B18" s="272">
        <v>852</v>
      </c>
      <c r="C18" s="272">
        <v>85203</v>
      </c>
      <c r="D18" s="272">
        <v>2320</v>
      </c>
      <c r="E18" s="15" t="s">
        <v>276</v>
      </c>
      <c r="F18" s="18">
        <v>12000</v>
      </c>
    </row>
    <row r="19" spans="1:6" ht="14.25" customHeight="1" x14ac:dyDescent="0.25">
      <c r="A19" s="272">
        <v>7</v>
      </c>
      <c r="B19" s="272">
        <v>853</v>
      </c>
      <c r="C19" s="272">
        <v>85333</v>
      </c>
      <c r="D19" s="272">
        <v>2320</v>
      </c>
      <c r="E19" s="15" t="s">
        <v>361</v>
      </c>
      <c r="F19" s="18">
        <f>5090084</f>
        <v>5090084</v>
      </c>
    </row>
    <row r="20" spans="1:6" ht="25.5" customHeight="1" x14ac:dyDescent="0.25">
      <c r="A20" s="274">
        <v>8</v>
      </c>
      <c r="B20" s="275">
        <v>853</v>
      </c>
      <c r="C20" s="275">
        <v>85395</v>
      </c>
      <c r="D20" s="13">
        <v>2800</v>
      </c>
      <c r="E20" s="276" t="s">
        <v>362</v>
      </c>
      <c r="F20" s="18">
        <v>90000</v>
      </c>
    </row>
    <row r="21" spans="1:6" ht="16.899999999999999" customHeight="1" x14ac:dyDescent="0.25">
      <c r="A21" s="272">
        <v>9</v>
      </c>
      <c r="B21" s="271">
        <v>921</v>
      </c>
      <c r="C21" s="271">
        <v>92110</v>
      </c>
      <c r="D21" s="271">
        <v>6229</v>
      </c>
      <c r="E21" s="15" t="s">
        <v>363</v>
      </c>
      <c r="F21" s="18">
        <f>F22</f>
        <v>5156.78</v>
      </c>
    </row>
    <row r="22" spans="1:6" s="10" customFormat="1" ht="12.75" customHeight="1" x14ac:dyDescent="0.25">
      <c r="A22" s="277"/>
      <c r="B22" s="278"/>
      <c r="C22" s="279"/>
      <c r="D22" s="280"/>
      <c r="E22" s="281" t="s">
        <v>364</v>
      </c>
      <c r="F22" s="39">
        <v>5156.78</v>
      </c>
    </row>
    <row r="23" spans="1:6" s="10" customFormat="1" ht="16.5" customHeight="1" x14ac:dyDescent="0.25">
      <c r="A23" s="272">
        <v>10</v>
      </c>
      <c r="B23" s="271">
        <v>921</v>
      </c>
      <c r="C23" s="271">
        <v>92110</v>
      </c>
      <c r="D23" s="271">
        <v>2800</v>
      </c>
      <c r="E23" s="15" t="s">
        <v>365</v>
      </c>
      <c r="F23" s="18">
        <f>F24</f>
        <v>28000</v>
      </c>
    </row>
    <row r="24" spans="1:6" s="10" customFormat="1" ht="12.75" customHeight="1" x14ac:dyDescent="0.25">
      <c r="A24" s="277"/>
      <c r="B24" s="278"/>
      <c r="C24" s="279"/>
      <c r="D24" s="280"/>
      <c r="E24" s="281" t="s">
        <v>364</v>
      </c>
      <c r="F24" s="39">
        <v>28000</v>
      </c>
    </row>
    <row r="25" spans="1:6" ht="16.5" customHeight="1" x14ac:dyDescent="0.25">
      <c r="A25" s="271">
        <v>11</v>
      </c>
      <c r="B25" s="271">
        <v>921</v>
      </c>
      <c r="C25" s="271">
        <v>92113</v>
      </c>
      <c r="D25" s="271">
        <v>2800</v>
      </c>
      <c r="E25" s="282" t="s">
        <v>366</v>
      </c>
      <c r="F25" s="41">
        <f>F26</f>
        <v>413000</v>
      </c>
    </row>
    <row r="26" spans="1:6" s="10" customFormat="1" ht="12.75" customHeight="1" x14ac:dyDescent="0.25">
      <c r="A26" s="283"/>
      <c r="B26" s="284"/>
      <c r="C26" s="285"/>
      <c r="D26" s="286"/>
      <c r="E26" s="287" t="s">
        <v>367</v>
      </c>
      <c r="F26" s="288">
        <f>240000+23000+150000</f>
        <v>413000</v>
      </c>
    </row>
    <row r="27" spans="1:6" s="10" customFormat="1" ht="16.5" customHeight="1" x14ac:dyDescent="0.25">
      <c r="A27" s="271">
        <v>12</v>
      </c>
      <c r="B27" s="271">
        <v>921</v>
      </c>
      <c r="C27" s="271">
        <v>92113</v>
      </c>
      <c r="D27" s="271">
        <v>6229</v>
      </c>
      <c r="E27" s="282" t="s">
        <v>368</v>
      </c>
      <c r="F27" s="41">
        <f>F28</f>
        <v>6750</v>
      </c>
    </row>
    <row r="28" spans="1:6" s="10" customFormat="1" ht="12.75" customHeight="1" x14ac:dyDescent="0.25">
      <c r="A28" s="283"/>
      <c r="B28" s="284"/>
      <c r="C28" s="285"/>
      <c r="D28" s="286"/>
      <c r="E28" s="287" t="s">
        <v>367</v>
      </c>
      <c r="F28" s="288">
        <f>25880.37-19130.37</f>
        <v>6750</v>
      </c>
    </row>
    <row r="29" spans="1:6" s="10" customFormat="1" ht="16.5" customHeight="1" x14ac:dyDescent="0.25">
      <c r="A29" s="271">
        <v>13</v>
      </c>
      <c r="B29" s="271">
        <v>921</v>
      </c>
      <c r="C29" s="271">
        <v>92114</v>
      </c>
      <c r="D29" s="271">
        <v>2800</v>
      </c>
      <c r="E29" s="15" t="s">
        <v>369</v>
      </c>
      <c r="F29" s="18">
        <f>F30</f>
        <v>40000</v>
      </c>
    </row>
    <row r="30" spans="1:6" s="10" customFormat="1" ht="12.75" customHeight="1" x14ac:dyDescent="0.25">
      <c r="A30" s="283"/>
      <c r="B30" s="284"/>
      <c r="C30" s="284"/>
      <c r="D30" s="289"/>
      <c r="E30" s="290" t="s">
        <v>370</v>
      </c>
      <c r="F30" s="291">
        <v>40000</v>
      </c>
    </row>
    <row r="31" spans="1:6" s="10" customFormat="1" ht="16.5" customHeight="1" x14ac:dyDescent="0.25">
      <c r="A31" s="271">
        <v>14</v>
      </c>
      <c r="B31" s="271">
        <v>921</v>
      </c>
      <c r="C31" s="271">
        <v>92114</v>
      </c>
      <c r="D31" s="271">
        <v>6229</v>
      </c>
      <c r="E31" s="15" t="s">
        <v>371</v>
      </c>
      <c r="F31" s="18">
        <f>F32</f>
        <v>8856.59</v>
      </c>
    </row>
    <row r="32" spans="1:6" s="10" customFormat="1" ht="12.75" customHeight="1" x14ac:dyDescent="0.25">
      <c r="A32" s="283"/>
      <c r="B32" s="284"/>
      <c r="C32" s="284"/>
      <c r="D32" s="289"/>
      <c r="E32" s="290" t="s">
        <v>370</v>
      </c>
      <c r="F32" s="291">
        <v>8856.59</v>
      </c>
    </row>
    <row r="33" spans="1:6" ht="16.899999999999999" customHeight="1" x14ac:dyDescent="0.25">
      <c r="A33" s="271">
        <v>15</v>
      </c>
      <c r="B33" s="271">
        <v>921</v>
      </c>
      <c r="C33" s="271">
        <v>92116</v>
      </c>
      <c r="D33" s="271">
        <v>2800</v>
      </c>
      <c r="E33" s="15" t="s">
        <v>372</v>
      </c>
      <c r="F33" s="18">
        <f>F34</f>
        <v>50000</v>
      </c>
    </row>
    <row r="34" spans="1:6" s="10" customFormat="1" ht="12.75" customHeight="1" x14ac:dyDescent="0.25">
      <c r="A34" s="283"/>
      <c r="B34" s="284"/>
      <c r="C34" s="284"/>
      <c r="D34" s="289"/>
      <c r="E34" s="292" t="s">
        <v>373</v>
      </c>
      <c r="F34" s="291">
        <v>50000</v>
      </c>
    </row>
    <row r="35" spans="1:6" s="10" customFormat="1" ht="16.5" customHeight="1" x14ac:dyDescent="0.25">
      <c r="A35" s="271">
        <v>16</v>
      </c>
      <c r="B35" s="271">
        <v>921</v>
      </c>
      <c r="C35" s="271">
        <v>92116</v>
      </c>
      <c r="D35" s="271">
        <v>6229</v>
      </c>
      <c r="E35" s="15" t="s">
        <v>374</v>
      </c>
      <c r="F35" s="18">
        <f>F36</f>
        <v>37139.85</v>
      </c>
    </row>
    <row r="36" spans="1:6" s="10" customFormat="1" ht="12.75" customHeight="1" x14ac:dyDescent="0.25">
      <c r="A36" s="283"/>
      <c r="B36" s="284"/>
      <c r="C36" s="284"/>
      <c r="D36" s="289"/>
      <c r="E36" s="292" t="s">
        <v>373</v>
      </c>
      <c r="F36" s="291">
        <v>37139.85</v>
      </c>
    </row>
    <row r="37" spans="1:6" s="298" customFormat="1" ht="17.25" customHeight="1" x14ac:dyDescent="0.25">
      <c r="A37" s="293"/>
      <c r="B37" s="294"/>
      <c r="C37" s="294"/>
      <c r="D37" s="295"/>
      <c r="E37" s="296" t="s">
        <v>375</v>
      </c>
      <c r="F37" s="297">
        <f>SUM(F13,F14,F15,F16,F17,F18,F19,F20,F21,F23,F25,F27,F29,F31,F33,F35)</f>
        <v>11044037.219999999</v>
      </c>
    </row>
    <row r="38" spans="1:6" ht="15.75" customHeight="1" x14ac:dyDescent="0.25">
      <c r="A38" s="65" t="s">
        <v>127</v>
      </c>
      <c r="B38" s="66"/>
      <c r="C38" s="66"/>
      <c r="D38" s="270"/>
      <c r="E38" s="66"/>
      <c r="F38" s="67"/>
    </row>
    <row r="39" spans="1:6" ht="16.899999999999999" customHeight="1" x14ac:dyDescent="0.25">
      <c r="A39" s="271">
        <v>1</v>
      </c>
      <c r="B39" s="271">
        <v>853</v>
      </c>
      <c r="C39" s="271">
        <v>85395</v>
      </c>
      <c r="D39" s="271">
        <v>2510</v>
      </c>
      <c r="E39" s="15" t="s">
        <v>73</v>
      </c>
      <c r="F39" s="18">
        <f>F40</f>
        <v>1560581.3699999999</v>
      </c>
    </row>
    <row r="40" spans="1:6" s="10" customFormat="1" ht="12.75" customHeight="1" x14ac:dyDescent="0.25">
      <c r="A40" s="283"/>
      <c r="B40" s="284"/>
      <c r="C40" s="285"/>
      <c r="D40" s="286"/>
      <c r="E40" s="45" t="s">
        <v>376</v>
      </c>
      <c r="F40" s="299">
        <f>1186180+175684.22+198717.15</f>
        <v>1560581.3699999999</v>
      </c>
    </row>
    <row r="41" spans="1:6" ht="16.899999999999999" customHeight="1" x14ac:dyDescent="0.25">
      <c r="A41" s="271">
        <v>2</v>
      </c>
      <c r="B41" s="271">
        <v>921</v>
      </c>
      <c r="C41" s="271">
        <v>92110</v>
      </c>
      <c r="D41" s="271">
        <v>2480</v>
      </c>
      <c r="E41" s="15" t="s">
        <v>377</v>
      </c>
      <c r="F41" s="300">
        <f>F42</f>
        <v>1433385.72</v>
      </c>
    </row>
    <row r="42" spans="1:6" s="10" customFormat="1" ht="12.75" customHeight="1" x14ac:dyDescent="0.25">
      <c r="A42" s="283"/>
      <c r="B42" s="284"/>
      <c r="C42" s="285"/>
      <c r="D42" s="301"/>
      <c r="E42" s="50" t="s">
        <v>364</v>
      </c>
      <c r="F42" s="299">
        <f>1380000+53385.72</f>
        <v>1433385.72</v>
      </c>
    </row>
    <row r="43" spans="1:6" ht="16.899999999999999" customHeight="1" x14ac:dyDescent="0.25">
      <c r="A43" s="271">
        <v>3</v>
      </c>
      <c r="B43" s="271">
        <v>921</v>
      </c>
      <c r="C43" s="271">
        <v>92113</v>
      </c>
      <c r="D43" s="271">
        <v>2480</v>
      </c>
      <c r="E43" s="15" t="s">
        <v>366</v>
      </c>
      <c r="F43" s="300">
        <f>F44</f>
        <v>10740385.220000001</v>
      </c>
    </row>
    <row r="44" spans="1:6" s="10" customFormat="1" ht="12" customHeight="1" x14ac:dyDescent="0.25">
      <c r="A44" s="302"/>
      <c r="B44" s="285"/>
      <c r="C44" s="285"/>
      <c r="D44" s="285"/>
      <c r="E44" s="290" t="s">
        <v>378</v>
      </c>
      <c r="F44" s="303">
        <f>10500000+240385.22</f>
        <v>10740385.220000001</v>
      </c>
    </row>
    <row r="45" spans="1:6" ht="16.899999999999999" customHeight="1" x14ac:dyDescent="0.25">
      <c r="A45" s="271">
        <v>4</v>
      </c>
      <c r="B45" s="271">
        <v>921</v>
      </c>
      <c r="C45" s="271">
        <v>92114</v>
      </c>
      <c r="D45" s="271">
        <v>2480</v>
      </c>
      <c r="E45" s="15" t="s">
        <v>309</v>
      </c>
      <c r="F45" s="300">
        <f>F46</f>
        <v>2279414.83</v>
      </c>
    </row>
    <row r="46" spans="1:6" s="10" customFormat="1" ht="12.75" customHeight="1" x14ac:dyDescent="0.25">
      <c r="A46" s="283"/>
      <c r="B46" s="284"/>
      <c r="C46" s="284"/>
      <c r="D46" s="284"/>
      <c r="E46" s="290" t="s">
        <v>370</v>
      </c>
      <c r="F46" s="299">
        <f>2220000+59414.83</f>
        <v>2279414.83</v>
      </c>
    </row>
    <row r="47" spans="1:6" ht="16.899999999999999" customHeight="1" x14ac:dyDescent="0.25">
      <c r="A47" s="271">
        <v>5</v>
      </c>
      <c r="B47" s="271">
        <v>921</v>
      </c>
      <c r="C47" s="271">
        <v>92116</v>
      </c>
      <c r="D47" s="271">
        <v>2480</v>
      </c>
      <c r="E47" s="15" t="s">
        <v>372</v>
      </c>
      <c r="F47" s="18">
        <f>F48</f>
        <v>6622578.7199999997</v>
      </c>
    </row>
    <row r="48" spans="1:6" s="10" customFormat="1" ht="12.75" customHeight="1" x14ac:dyDescent="0.25">
      <c r="A48" s="283"/>
      <c r="B48" s="49"/>
      <c r="C48" s="49"/>
      <c r="D48" s="289"/>
      <c r="E48" s="290" t="s">
        <v>373</v>
      </c>
      <c r="F48" s="299">
        <f>6400000+222578.72</f>
        <v>6622578.7199999997</v>
      </c>
    </row>
    <row r="49" spans="1:6" s="298" customFormat="1" ht="18" customHeight="1" x14ac:dyDescent="0.25">
      <c r="A49" s="293"/>
      <c r="B49" s="294"/>
      <c r="C49" s="294"/>
      <c r="D49" s="295"/>
      <c r="E49" s="296" t="s">
        <v>375</v>
      </c>
      <c r="F49" s="297">
        <f>SUM(F39,F41,F43,F45,F47)</f>
        <v>22636345.859999999</v>
      </c>
    </row>
    <row r="50" spans="1:6" s="298" customFormat="1" ht="22.5" customHeight="1" x14ac:dyDescent="0.25">
      <c r="A50" s="304"/>
      <c r="B50" s="305"/>
      <c r="C50" s="305"/>
      <c r="D50" s="306"/>
      <c r="E50" s="307" t="s">
        <v>197</v>
      </c>
      <c r="F50" s="308">
        <f>SUM(F37,F49)</f>
        <v>33680383.079999998</v>
      </c>
    </row>
    <row r="52" spans="1:6" x14ac:dyDescent="0.25">
      <c r="A52" s="309"/>
      <c r="F52" s="20"/>
    </row>
    <row r="53" spans="1:6" x14ac:dyDescent="0.25">
      <c r="A53" s="269"/>
      <c r="F53" s="20"/>
    </row>
    <row r="54" spans="1:6" x14ac:dyDescent="0.25">
      <c r="A54" s="269"/>
    </row>
  </sheetData>
  <mergeCells count="2">
    <mergeCell ref="A6:F6"/>
    <mergeCell ref="A7:F7"/>
  </mergeCells>
  <printOptions horizontalCentered="1"/>
  <pageMargins left="0.59055118110236227" right="0.59055118110236227" top="0.74803149606299213" bottom="0.62992125984251968" header="0.31496062992125984" footer="0.31496062992125984"/>
  <pageSetup paperSize="9" scale="91" firstPageNumber="65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E735E-66FC-4EEF-9EF3-166AB8BC3410}">
  <sheetPr>
    <tabColor rgb="FFFF99FF"/>
  </sheetPr>
  <dimension ref="A1:H156"/>
  <sheetViews>
    <sheetView topLeftCell="A142" zoomScale="130" zoomScaleNormal="130" workbookViewId="0"/>
  </sheetViews>
  <sheetFormatPr defaultRowHeight="13.5" x14ac:dyDescent="0.25"/>
  <cols>
    <col min="1" max="1" width="4.42578125" style="321" customWidth="1"/>
    <col min="2" max="2" width="5.7109375" style="321" customWidth="1"/>
    <col min="3" max="3" width="6.5703125" style="321" customWidth="1"/>
    <col min="4" max="4" width="5.5703125" style="322" customWidth="1"/>
    <col min="5" max="5" width="47.42578125" style="321" customWidth="1"/>
    <col min="6" max="6" width="22.28515625" style="321" customWidth="1"/>
    <col min="7" max="7" width="9.140625" style="321" customWidth="1"/>
    <col min="8" max="8" width="12.28515625" style="321" customWidth="1"/>
    <col min="9" max="256" width="9.140625" style="321"/>
    <col min="257" max="257" width="4.42578125" style="321" customWidth="1"/>
    <col min="258" max="258" width="5.7109375" style="321" customWidth="1"/>
    <col min="259" max="259" width="7.5703125" style="321" customWidth="1"/>
    <col min="260" max="260" width="6.5703125" style="321" customWidth="1"/>
    <col min="261" max="261" width="47.42578125" style="321" customWidth="1"/>
    <col min="262" max="262" width="22.28515625" style="321" customWidth="1"/>
    <col min="263" max="263" width="9.140625" style="321"/>
    <col min="264" max="264" width="12.28515625" style="321" customWidth="1"/>
    <col min="265" max="512" width="9.140625" style="321"/>
    <col min="513" max="513" width="4.42578125" style="321" customWidth="1"/>
    <col min="514" max="514" width="5.7109375" style="321" customWidth="1"/>
    <col min="515" max="515" width="7.5703125" style="321" customWidth="1"/>
    <col min="516" max="516" width="6.5703125" style="321" customWidth="1"/>
    <col min="517" max="517" width="47.42578125" style="321" customWidth="1"/>
    <col min="518" max="518" width="22.28515625" style="321" customWidth="1"/>
    <col min="519" max="519" width="9.140625" style="321"/>
    <col min="520" max="520" width="12.28515625" style="321" customWidth="1"/>
    <col min="521" max="768" width="9.140625" style="321"/>
    <col min="769" max="769" width="4.42578125" style="321" customWidth="1"/>
    <col min="770" max="770" width="5.7109375" style="321" customWidth="1"/>
    <col min="771" max="771" width="7.5703125" style="321" customWidth="1"/>
    <col min="772" max="772" width="6.5703125" style="321" customWidth="1"/>
    <col min="773" max="773" width="47.42578125" style="321" customWidth="1"/>
    <col min="774" max="774" width="22.28515625" style="321" customWidth="1"/>
    <col min="775" max="775" width="9.140625" style="321"/>
    <col min="776" max="776" width="12.28515625" style="321" customWidth="1"/>
    <col min="777" max="1024" width="9.140625" style="321"/>
    <col min="1025" max="1025" width="4.42578125" style="321" customWidth="1"/>
    <col min="1026" max="1026" width="5.7109375" style="321" customWidth="1"/>
    <col min="1027" max="1027" width="7.5703125" style="321" customWidth="1"/>
    <col min="1028" max="1028" width="6.5703125" style="321" customWidth="1"/>
    <col min="1029" max="1029" width="47.42578125" style="321" customWidth="1"/>
    <col min="1030" max="1030" width="22.28515625" style="321" customWidth="1"/>
    <col min="1031" max="1031" width="9.140625" style="321"/>
    <col min="1032" max="1032" width="12.28515625" style="321" customWidth="1"/>
    <col min="1033" max="1280" width="9.140625" style="321"/>
    <col min="1281" max="1281" width="4.42578125" style="321" customWidth="1"/>
    <col min="1282" max="1282" width="5.7109375" style="321" customWidth="1"/>
    <col min="1283" max="1283" width="7.5703125" style="321" customWidth="1"/>
    <col min="1284" max="1284" width="6.5703125" style="321" customWidth="1"/>
    <col min="1285" max="1285" width="47.42578125" style="321" customWidth="1"/>
    <col min="1286" max="1286" width="22.28515625" style="321" customWidth="1"/>
    <col min="1287" max="1287" width="9.140625" style="321"/>
    <col min="1288" max="1288" width="12.28515625" style="321" customWidth="1"/>
    <col min="1289" max="1536" width="9.140625" style="321"/>
    <col min="1537" max="1537" width="4.42578125" style="321" customWidth="1"/>
    <col min="1538" max="1538" width="5.7109375" style="321" customWidth="1"/>
    <col min="1539" max="1539" width="7.5703125" style="321" customWidth="1"/>
    <col min="1540" max="1540" width="6.5703125" style="321" customWidth="1"/>
    <col min="1541" max="1541" width="47.42578125" style="321" customWidth="1"/>
    <col min="1542" max="1542" width="22.28515625" style="321" customWidth="1"/>
    <col min="1543" max="1543" width="9.140625" style="321"/>
    <col min="1544" max="1544" width="12.28515625" style="321" customWidth="1"/>
    <col min="1545" max="1792" width="9.140625" style="321"/>
    <col min="1793" max="1793" width="4.42578125" style="321" customWidth="1"/>
    <col min="1794" max="1794" width="5.7109375" style="321" customWidth="1"/>
    <col min="1795" max="1795" width="7.5703125" style="321" customWidth="1"/>
    <col min="1796" max="1796" width="6.5703125" style="321" customWidth="1"/>
    <col min="1797" max="1797" width="47.42578125" style="321" customWidth="1"/>
    <col min="1798" max="1798" width="22.28515625" style="321" customWidth="1"/>
    <col min="1799" max="1799" width="9.140625" style="321"/>
    <col min="1800" max="1800" width="12.28515625" style="321" customWidth="1"/>
    <col min="1801" max="2048" width="9.140625" style="321"/>
    <col min="2049" max="2049" width="4.42578125" style="321" customWidth="1"/>
    <col min="2050" max="2050" width="5.7109375" style="321" customWidth="1"/>
    <col min="2051" max="2051" width="7.5703125" style="321" customWidth="1"/>
    <col min="2052" max="2052" width="6.5703125" style="321" customWidth="1"/>
    <col min="2053" max="2053" width="47.42578125" style="321" customWidth="1"/>
    <col min="2054" max="2054" width="22.28515625" style="321" customWidth="1"/>
    <col min="2055" max="2055" width="9.140625" style="321"/>
    <col min="2056" max="2056" width="12.28515625" style="321" customWidth="1"/>
    <col min="2057" max="2304" width="9.140625" style="321"/>
    <col min="2305" max="2305" width="4.42578125" style="321" customWidth="1"/>
    <col min="2306" max="2306" width="5.7109375" style="321" customWidth="1"/>
    <col min="2307" max="2307" width="7.5703125" style="321" customWidth="1"/>
    <col min="2308" max="2308" width="6.5703125" style="321" customWidth="1"/>
    <col min="2309" max="2309" width="47.42578125" style="321" customWidth="1"/>
    <col min="2310" max="2310" width="22.28515625" style="321" customWidth="1"/>
    <col min="2311" max="2311" width="9.140625" style="321"/>
    <col min="2312" max="2312" width="12.28515625" style="321" customWidth="1"/>
    <col min="2313" max="2560" width="9.140625" style="321"/>
    <col min="2561" max="2561" width="4.42578125" style="321" customWidth="1"/>
    <col min="2562" max="2562" width="5.7109375" style="321" customWidth="1"/>
    <col min="2563" max="2563" width="7.5703125" style="321" customWidth="1"/>
    <col min="2564" max="2564" width="6.5703125" style="321" customWidth="1"/>
    <col min="2565" max="2565" width="47.42578125" style="321" customWidth="1"/>
    <col min="2566" max="2566" width="22.28515625" style="321" customWidth="1"/>
    <col min="2567" max="2567" width="9.140625" style="321"/>
    <col min="2568" max="2568" width="12.28515625" style="321" customWidth="1"/>
    <col min="2569" max="2816" width="9.140625" style="321"/>
    <col min="2817" max="2817" width="4.42578125" style="321" customWidth="1"/>
    <col min="2818" max="2818" width="5.7109375" style="321" customWidth="1"/>
    <col min="2819" max="2819" width="7.5703125" style="321" customWidth="1"/>
    <col min="2820" max="2820" width="6.5703125" style="321" customWidth="1"/>
    <col min="2821" max="2821" width="47.42578125" style="321" customWidth="1"/>
    <col min="2822" max="2822" width="22.28515625" style="321" customWidth="1"/>
    <col min="2823" max="2823" width="9.140625" style="321"/>
    <col min="2824" max="2824" width="12.28515625" style="321" customWidth="1"/>
    <col min="2825" max="3072" width="9.140625" style="321"/>
    <col min="3073" max="3073" width="4.42578125" style="321" customWidth="1"/>
    <col min="3074" max="3074" width="5.7109375" style="321" customWidth="1"/>
    <col min="3075" max="3075" width="7.5703125" style="321" customWidth="1"/>
    <col min="3076" max="3076" width="6.5703125" style="321" customWidth="1"/>
    <col min="3077" max="3077" width="47.42578125" style="321" customWidth="1"/>
    <col min="3078" max="3078" width="22.28515625" style="321" customWidth="1"/>
    <col min="3079" max="3079" width="9.140625" style="321"/>
    <col min="3080" max="3080" width="12.28515625" style="321" customWidth="1"/>
    <col min="3081" max="3328" width="9.140625" style="321"/>
    <col min="3329" max="3329" width="4.42578125" style="321" customWidth="1"/>
    <col min="3330" max="3330" width="5.7109375" style="321" customWidth="1"/>
    <col min="3331" max="3331" width="7.5703125" style="321" customWidth="1"/>
    <col min="3332" max="3332" width="6.5703125" style="321" customWidth="1"/>
    <col min="3333" max="3333" width="47.42578125" style="321" customWidth="1"/>
    <col min="3334" max="3334" width="22.28515625" style="321" customWidth="1"/>
    <col min="3335" max="3335" width="9.140625" style="321"/>
    <col min="3336" max="3336" width="12.28515625" style="321" customWidth="1"/>
    <col min="3337" max="3584" width="9.140625" style="321"/>
    <col min="3585" max="3585" width="4.42578125" style="321" customWidth="1"/>
    <col min="3586" max="3586" width="5.7109375" style="321" customWidth="1"/>
    <col min="3587" max="3587" width="7.5703125" style="321" customWidth="1"/>
    <col min="3588" max="3588" width="6.5703125" style="321" customWidth="1"/>
    <col min="3589" max="3589" width="47.42578125" style="321" customWidth="1"/>
    <col min="3590" max="3590" width="22.28515625" style="321" customWidth="1"/>
    <col min="3591" max="3591" width="9.140625" style="321"/>
    <col min="3592" max="3592" width="12.28515625" style="321" customWidth="1"/>
    <col min="3593" max="3840" width="9.140625" style="321"/>
    <col min="3841" max="3841" width="4.42578125" style="321" customWidth="1"/>
    <col min="3842" max="3842" width="5.7109375" style="321" customWidth="1"/>
    <col min="3843" max="3843" width="7.5703125" style="321" customWidth="1"/>
    <col min="3844" max="3844" width="6.5703125" style="321" customWidth="1"/>
    <col min="3845" max="3845" width="47.42578125" style="321" customWidth="1"/>
    <col min="3846" max="3846" width="22.28515625" style="321" customWidth="1"/>
    <col min="3847" max="3847" width="9.140625" style="321"/>
    <col min="3848" max="3848" width="12.28515625" style="321" customWidth="1"/>
    <col min="3849" max="4096" width="9.140625" style="321"/>
    <col min="4097" max="4097" width="4.42578125" style="321" customWidth="1"/>
    <col min="4098" max="4098" width="5.7109375" style="321" customWidth="1"/>
    <col min="4099" max="4099" width="7.5703125" style="321" customWidth="1"/>
    <col min="4100" max="4100" width="6.5703125" style="321" customWidth="1"/>
    <col min="4101" max="4101" width="47.42578125" style="321" customWidth="1"/>
    <col min="4102" max="4102" width="22.28515625" style="321" customWidth="1"/>
    <col min="4103" max="4103" width="9.140625" style="321"/>
    <col min="4104" max="4104" width="12.28515625" style="321" customWidth="1"/>
    <col min="4105" max="4352" width="9.140625" style="321"/>
    <col min="4353" max="4353" width="4.42578125" style="321" customWidth="1"/>
    <col min="4354" max="4354" width="5.7109375" style="321" customWidth="1"/>
    <col min="4355" max="4355" width="7.5703125" style="321" customWidth="1"/>
    <col min="4356" max="4356" width="6.5703125" style="321" customWidth="1"/>
    <col min="4357" max="4357" width="47.42578125" style="321" customWidth="1"/>
    <col min="4358" max="4358" width="22.28515625" style="321" customWidth="1"/>
    <col min="4359" max="4359" width="9.140625" style="321"/>
    <col min="4360" max="4360" width="12.28515625" style="321" customWidth="1"/>
    <col min="4361" max="4608" width="9.140625" style="321"/>
    <col min="4609" max="4609" width="4.42578125" style="321" customWidth="1"/>
    <col min="4610" max="4610" width="5.7109375" style="321" customWidth="1"/>
    <col min="4611" max="4611" width="7.5703125" style="321" customWidth="1"/>
    <col min="4612" max="4612" width="6.5703125" style="321" customWidth="1"/>
    <col min="4613" max="4613" width="47.42578125" style="321" customWidth="1"/>
    <col min="4614" max="4614" width="22.28515625" style="321" customWidth="1"/>
    <col min="4615" max="4615" width="9.140625" style="321"/>
    <col min="4616" max="4616" width="12.28515625" style="321" customWidth="1"/>
    <col min="4617" max="4864" width="9.140625" style="321"/>
    <col min="4865" max="4865" width="4.42578125" style="321" customWidth="1"/>
    <col min="4866" max="4866" width="5.7109375" style="321" customWidth="1"/>
    <col min="4867" max="4867" width="7.5703125" style="321" customWidth="1"/>
    <col min="4868" max="4868" width="6.5703125" style="321" customWidth="1"/>
    <col min="4869" max="4869" width="47.42578125" style="321" customWidth="1"/>
    <col min="4870" max="4870" width="22.28515625" style="321" customWidth="1"/>
    <col min="4871" max="4871" width="9.140625" style="321"/>
    <col min="4872" max="4872" width="12.28515625" style="321" customWidth="1"/>
    <col min="4873" max="5120" width="9.140625" style="321"/>
    <col min="5121" max="5121" width="4.42578125" style="321" customWidth="1"/>
    <col min="5122" max="5122" width="5.7109375" style="321" customWidth="1"/>
    <col min="5123" max="5123" width="7.5703125" style="321" customWidth="1"/>
    <col min="5124" max="5124" width="6.5703125" style="321" customWidth="1"/>
    <col min="5125" max="5125" width="47.42578125" style="321" customWidth="1"/>
    <col min="5126" max="5126" width="22.28515625" style="321" customWidth="1"/>
    <col min="5127" max="5127" width="9.140625" style="321"/>
    <col min="5128" max="5128" width="12.28515625" style="321" customWidth="1"/>
    <col min="5129" max="5376" width="9.140625" style="321"/>
    <col min="5377" max="5377" width="4.42578125" style="321" customWidth="1"/>
    <col min="5378" max="5378" width="5.7109375" style="321" customWidth="1"/>
    <col min="5379" max="5379" width="7.5703125" style="321" customWidth="1"/>
    <col min="5380" max="5380" width="6.5703125" style="321" customWidth="1"/>
    <col min="5381" max="5381" width="47.42578125" style="321" customWidth="1"/>
    <col min="5382" max="5382" width="22.28515625" style="321" customWidth="1"/>
    <col min="5383" max="5383" width="9.140625" style="321"/>
    <col min="5384" max="5384" width="12.28515625" style="321" customWidth="1"/>
    <col min="5385" max="5632" width="9.140625" style="321"/>
    <col min="5633" max="5633" width="4.42578125" style="321" customWidth="1"/>
    <col min="5634" max="5634" width="5.7109375" style="321" customWidth="1"/>
    <col min="5635" max="5635" width="7.5703125" style="321" customWidth="1"/>
    <col min="5636" max="5636" width="6.5703125" style="321" customWidth="1"/>
    <col min="5637" max="5637" width="47.42578125" style="321" customWidth="1"/>
    <col min="5638" max="5638" width="22.28515625" style="321" customWidth="1"/>
    <col min="5639" max="5639" width="9.140625" style="321"/>
    <col min="5640" max="5640" width="12.28515625" style="321" customWidth="1"/>
    <col min="5641" max="5888" width="9.140625" style="321"/>
    <col min="5889" max="5889" width="4.42578125" style="321" customWidth="1"/>
    <col min="5890" max="5890" width="5.7109375" style="321" customWidth="1"/>
    <col min="5891" max="5891" width="7.5703125" style="321" customWidth="1"/>
    <col min="5892" max="5892" width="6.5703125" style="321" customWidth="1"/>
    <col min="5893" max="5893" width="47.42578125" style="321" customWidth="1"/>
    <col min="5894" max="5894" width="22.28515625" style="321" customWidth="1"/>
    <col min="5895" max="5895" width="9.140625" style="321"/>
    <col min="5896" max="5896" width="12.28515625" style="321" customWidth="1"/>
    <col min="5897" max="6144" width="9.140625" style="321"/>
    <col min="6145" max="6145" width="4.42578125" style="321" customWidth="1"/>
    <col min="6146" max="6146" width="5.7109375" style="321" customWidth="1"/>
    <col min="6147" max="6147" width="7.5703125" style="321" customWidth="1"/>
    <col min="6148" max="6148" width="6.5703125" style="321" customWidth="1"/>
    <col min="6149" max="6149" width="47.42578125" style="321" customWidth="1"/>
    <col min="6150" max="6150" width="22.28515625" style="321" customWidth="1"/>
    <col min="6151" max="6151" width="9.140625" style="321"/>
    <col min="6152" max="6152" width="12.28515625" style="321" customWidth="1"/>
    <col min="6153" max="6400" width="9.140625" style="321"/>
    <col min="6401" max="6401" width="4.42578125" style="321" customWidth="1"/>
    <col min="6402" max="6402" width="5.7109375" style="321" customWidth="1"/>
    <col min="6403" max="6403" width="7.5703125" style="321" customWidth="1"/>
    <col min="6404" max="6404" width="6.5703125" style="321" customWidth="1"/>
    <col min="6405" max="6405" width="47.42578125" style="321" customWidth="1"/>
    <col min="6406" max="6406" width="22.28515625" style="321" customWidth="1"/>
    <col min="6407" max="6407" width="9.140625" style="321"/>
    <col min="6408" max="6408" width="12.28515625" style="321" customWidth="1"/>
    <col min="6409" max="6656" width="9.140625" style="321"/>
    <col min="6657" max="6657" width="4.42578125" style="321" customWidth="1"/>
    <col min="6658" max="6658" width="5.7109375" style="321" customWidth="1"/>
    <col min="6659" max="6659" width="7.5703125" style="321" customWidth="1"/>
    <col min="6660" max="6660" width="6.5703125" style="321" customWidth="1"/>
    <col min="6661" max="6661" width="47.42578125" style="321" customWidth="1"/>
    <col min="6662" max="6662" width="22.28515625" style="321" customWidth="1"/>
    <col min="6663" max="6663" width="9.140625" style="321"/>
    <col min="6664" max="6664" width="12.28515625" style="321" customWidth="1"/>
    <col min="6665" max="6912" width="9.140625" style="321"/>
    <col min="6913" max="6913" width="4.42578125" style="321" customWidth="1"/>
    <col min="6914" max="6914" width="5.7109375" style="321" customWidth="1"/>
    <col min="6915" max="6915" width="7.5703125" style="321" customWidth="1"/>
    <col min="6916" max="6916" width="6.5703125" style="321" customWidth="1"/>
    <col min="6917" max="6917" width="47.42578125" style="321" customWidth="1"/>
    <col min="6918" max="6918" width="22.28515625" style="321" customWidth="1"/>
    <col min="6919" max="6919" width="9.140625" style="321"/>
    <col min="6920" max="6920" width="12.28515625" style="321" customWidth="1"/>
    <col min="6921" max="7168" width="9.140625" style="321"/>
    <col min="7169" max="7169" width="4.42578125" style="321" customWidth="1"/>
    <col min="7170" max="7170" width="5.7109375" style="321" customWidth="1"/>
    <col min="7171" max="7171" width="7.5703125" style="321" customWidth="1"/>
    <col min="7172" max="7172" width="6.5703125" style="321" customWidth="1"/>
    <col min="7173" max="7173" width="47.42578125" style="321" customWidth="1"/>
    <col min="7174" max="7174" width="22.28515625" style="321" customWidth="1"/>
    <col min="7175" max="7175" width="9.140625" style="321"/>
    <col min="7176" max="7176" width="12.28515625" style="321" customWidth="1"/>
    <col min="7177" max="7424" width="9.140625" style="321"/>
    <col min="7425" max="7425" width="4.42578125" style="321" customWidth="1"/>
    <col min="7426" max="7426" width="5.7109375" style="321" customWidth="1"/>
    <col min="7427" max="7427" width="7.5703125" style="321" customWidth="1"/>
    <col min="7428" max="7428" width="6.5703125" style="321" customWidth="1"/>
    <col min="7429" max="7429" width="47.42578125" style="321" customWidth="1"/>
    <col min="7430" max="7430" width="22.28515625" style="321" customWidth="1"/>
    <col min="7431" max="7431" width="9.140625" style="321"/>
    <col min="7432" max="7432" width="12.28515625" style="321" customWidth="1"/>
    <col min="7433" max="7680" width="9.140625" style="321"/>
    <col min="7681" max="7681" width="4.42578125" style="321" customWidth="1"/>
    <col min="7682" max="7682" width="5.7109375" style="321" customWidth="1"/>
    <col min="7683" max="7683" width="7.5703125" style="321" customWidth="1"/>
    <col min="7684" max="7684" width="6.5703125" style="321" customWidth="1"/>
    <col min="7685" max="7685" width="47.42578125" style="321" customWidth="1"/>
    <col min="7686" max="7686" width="22.28515625" style="321" customWidth="1"/>
    <col min="7687" max="7687" width="9.140625" style="321"/>
    <col min="7688" max="7688" width="12.28515625" style="321" customWidth="1"/>
    <col min="7689" max="7936" width="9.140625" style="321"/>
    <col min="7937" max="7937" width="4.42578125" style="321" customWidth="1"/>
    <col min="7938" max="7938" width="5.7109375" style="321" customWidth="1"/>
    <col min="7939" max="7939" width="7.5703125" style="321" customWidth="1"/>
    <col min="7940" max="7940" width="6.5703125" style="321" customWidth="1"/>
    <col min="7941" max="7941" width="47.42578125" style="321" customWidth="1"/>
    <col min="7942" max="7942" width="22.28515625" style="321" customWidth="1"/>
    <col min="7943" max="7943" width="9.140625" style="321"/>
    <col min="7944" max="7944" width="12.28515625" style="321" customWidth="1"/>
    <col min="7945" max="8192" width="9.140625" style="321"/>
    <col min="8193" max="8193" width="4.42578125" style="321" customWidth="1"/>
    <col min="8194" max="8194" width="5.7109375" style="321" customWidth="1"/>
    <col min="8195" max="8195" width="7.5703125" style="321" customWidth="1"/>
    <col min="8196" max="8196" width="6.5703125" style="321" customWidth="1"/>
    <col min="8197" max="8197" width="47.42578125" style="321" customWidth="1"/>
    <col min="8198" max="8198" width="22.28515625" style="321" customWidth="1"/>
    <col min="8199" max="8199" width="9.140625" style="321"/>
    <col min="8200" max="8200" width="12.28515625" style="321" customWidth="1"/>
    <col min="8201" max="8448" width="9.140625" style="321"/>
    <col min="8449" max="8449" width="4.42578125" style="321" customWidth="1"/>
    <col min="8450" max="8450" width="5.7109375" style="321" customWidth="1"/>
    <col min="8451" max="8451" width="7.5703125" style="321" customWidth="1"/>
    <col min="8452" max="8452" width="6.5703125" style="321" customWidth="1"/>
    <col min="8453" max="8453" width="47.42578125" style="321" customWidth="1"/>
    <col min="8454" max="8454" width="22.28515625" style="321" customWidth="1"/>
    <col min="8455" max="8455" width="9.140625" style="321"/>
    <col min="8456" max="8456" width="12.28515625" style="321" customWidth="1"/>
    <col min="8457" max="8704" width="9.140625" style="321"/>
    <col min="8705" max="8705" width="4.42578125" style="321" customWidth="1"/>
    <col min="8706" max="8706" width="5.7109375" style="321" customWidth="1"/>
    <col min="8707" max="8707" width="7.5703125" style="321" customWidth="1"/>
    <col min="8708" max="8708" width="6.5703125" style="321" customWidth="1"/>
    <col min="8709" max="8709" width="47.42578125" style="321" customWidth="1"/>
    <col min="8710" max="8710" width="22.28515625" style="321" customWidth="1"/>
    <col min="8711" max="8711" width="9.140625" style="321"/>
    <col min="8712" max="8712" width="12.28515625" style="321" customWidth="1"/>
    <col min="8713" max="8960" width="9.140625" style="321"/>
    <col min="8961" max="8961" width="4.42578125" style="321" customWidth="1"/>
    <col min="8962" max="8962" width="5.7109375" style="321" customWidth="1"/>
    <col min="8963" max="8963" width="7.5703125" style="321" customWidth="1"/>
    <col min="8964" max="8964" width="6.5703125" style="321" customWidth="1"/>
    <col min="8965" max="8965" width="47.42578125" style="321" customWidth="1"/>
    <col min="8966" max="8966" width="22.28515625" style="321" customWidth="1"/>
    <col min="8967" max="8967" width="9.140625" style="321"/>
    <col min="8968" max="8968" width="12.28515625" style="321" customWidth="1"/>
    <col min="8969" max="9216" width="9.140625" style="321"/>
    <col min="9217" max="9217" width="4.42578125" style="321" customWidth="1"/>
    <col min="9218" max="9218" width="5.7109375" style="321" customWidth="1"/>
    <col min="9219" max="9219" width="7.5703125" style="321" customWidth="1"/>
    <col min="9220" max="9220" width="6.5703125" style="321" customWidth="1"/>
    <col min="9221" max="9221" width="47.42578125" style="321" customWidth="1"/>
    <col min="9222" max="9222" width="22.28515625" style="321" customWidth="1"/>
    <col min="9223" max="9223" width="9.140625" style="321"/>
    <col min="9224" max="9224" width="12.28515625" style="321" customWidth="1"/>
    <col min="9225" max="9472" width="9.140625" style="321"/>
    <col min="9473" max="9473" width="4.42578125" style="321" customWidth="1"/>
    <col min="9474" max="9474" width="5.7109375" style="321" customWidth="1"/>
    <col min="9475" max="9475" width="7.5703125" style="321" customWidth="1"/>
    <col min="9476" max="9476" width="6.5703125" style="321" customWidth="1"/>
    <col min="9477" max="9477" width="47.42578125" style="321" customWidth="1"/>
    <col min="9478" max="9478" width="22.28515625" style="321" customWidth="1"/>
    <col min="9479" max="9479" width="9.140625" style="321"/>
    <col min="9480" max="9480" width="12.28515625" style="321" customWidth="1"/>
    <col min="9481" max="9728" width="9.140625" style="321"/>
    <col min="9729" max="9729" width="4.42578125" style="321" customWidth="1"/>
    <col min="9730" max="9730" width="5.7109375" style="321" customWidth="1"/>
    <col min="9731" max="9731" width="7.5703125" style="321" customWidth="1"/>
    <col min="9732" max="9732" width="6.5703125" style="321" customWidth="1"/>
    <col min="9733" max="9733" width="47.42578125" style="321" customWidth="1"/>
    <col min="9734" max="9734" width="22.28515625" style="321" customWidth="1"/>
    <col min="9735" max="9735" width="9.140625" style="321"/>
    <col min="9736" max="9736" width="12.28515625" style="321" customWidth="1"/>
    <col min="9737" max="9984" width="9.140625" style="321"/>
    <col min="9985" max="9985" width="4.42578125" style="321" customWidth="1"/>
    <col min="9986" max="9986" width="5.7109375" style="321" customWidth="1"/>
    <col min="9987" max="9987" width="7.5703125" style="321" customWidth="1"/>
    <col min="9988" max="9988" width="6.5703125" style="321" customWidth="1"/>
    <col min="9989" max="9989" width="47.42578125" style="321" customWidth="1"/>
    <col min="9990" max="9990" width="22.28515625" style="321" customWidth="1"/>
    <col min="9991" max="9991" width="9.140625" style="321"/>
    <col min="9992" max="9992" width="12.28515625" style="321" customWidth="1"/>
    <col min="9993" max="10240" width="9.140625" style="321"/>
    <col min="10241" max="10241" width="4.42578125" style="321" customWidth="1"/>
    <col min="10242" max="10242" width="5.7109375" style="321" customWidth="1"/>
    <col min="10243" max="10243" width="7.5703125" style="321" customWidth="1"/>
    <col min="10244" max="10244" width="6.5703125" style="321" customWidth="1"/>
    <col min="10245" max="10245" width="47.42578125" style="321" customWidth="1"/>
    <col min="10246" max="10246" width="22.28515625" style="321" customWidth="1"/>
    <col min="10247" max="10247" width="9.140625" style="321"/>
    <col min="10248" max="10248" width="12.28515625" style="321" customWidth="1"/>
    <col min="10249" max="10496" width="9.140625" style="321"/>
    <col min="10497" max="10497" width="4.42578125" style="321" customWidth="1"/>
    <col min="10498" max="10498" width="5.7109375" style="321" customWidth="1"/>
    <col min="10499" max="10499" width="7.5703125" style="321" customWidth="1"/>
    <col min="10500" max="10500" width="6.5703125" style="321" customWidth="1"/>
    <col min="10501" max="10501" width="47.42578125" style="321" customWidth="1"/>
    <col min="10502" max="10502" width="22.28515625" style="321" customWidth="1"/>
    <col min="10503" max="10503" width="9.140625" style="321"/>
    <col min="10504" max="10504" width="12.28515625" style="321" customWidth="1"/>
    <col min="10505" max="10752" width="9.140625" style="321"/>
    <col min="10753" max="10753" width="4.42578125" style="321" customWidth="1"/>
    <col min="10754" max="10754" width="5.7109375" style="321" customWidth="1"/>
    <col min="10755" max="10755" width="7.5703125" style="321" customWidth="1"/>
    <col min="10756" max="10756" width="6.5703125" style="321" customWidth="1"/>
    <col min="10757" max="10757" width="47.42578125" style="321" customWidth="1"/>
    <col min="10758" max="10758" width="22.28515625" style="321" customWidth="1"/>
    <col min="10759" max="10759" width="9.140625" style="321"/>
    <col min="10760" max="10760" width="12.28515625" style="321" customWidth="1"/>
    <col min="10761" max="11008" width="9.140625" style="321"/>
    <col min="11009" max="11009" width="4.42578125" style="321" customWidth="1"/>
    <col min="11010" max="11010" width="5.7109375" style="321" customWidth="1"/>
    <col min="11011" max="11011" width="7.5703125" style="321" customWidth="1"/>
    <col min="11012" max="11012" width="6.5703125" style="321" customWidth="1"/>
    <col min="11013" max="11013" width="47.42578125" style="321" customWidth="1"/>
    <col min="11014" max="11014" width="22.28515625" style="321" customWidth="1"/>
    <col min="11015" max="11015" width="9.140625" style="321"/>
    <col min="11016" max="11016" width="12.28515625" style="321" customWidth="1"/>
    <col min="11017" max="11264" width="9.140625" style="321"/>
    <col min="11265" max="11265" width="4.42578125" style="321" customWidth="1"/>
    <col min="11266" max="11266" width="5.7109375" style="321" customWidth="1"/>
    <col min="11267" max="11267" width="7.5703125" style="321" customWidth="1"/>
    <col min="11268" max="11268" width="6.5703125" style="321" customWidth="1"/>
    <col min="11269" max="11269" width="47.42578125" style="321" customWidth="1"/>
    <col min="11270" max="11270" width="22.28515625" style="321" customWidth="1"/>
    <col min="11271" max="11271" width="9.140625" style="321"/>
    <col min="11272" max="11272" width="12.28515625" style="321" customWidth="1"/>
    <col min="11273" max="11520" width="9.140625" style="321"/>
    <col min="11521" max="11521" width="4.42578125" style="321" customWidth="1"/>
    <col min="11522" max="11522" width="5.7109375" style="321" customWidth="1"/>
    <col min="11523" max="11523" width="7.5703125" style="321" customWidth="1"/>
    <col min="11524" max="11524" width="6.5703125" style="321" customWidth="1"/>
    <col min="11525" max="11525" width="47.42578125" style="321" customWidth="1"/>
    <col min="11526" max="11526" width="22.28515625" style="321" customWidth="1"/>
    <col min="11527" max="11527" width="9.140625" style="321"/>
    <col min="11528" max="11528" width="12.28515625" style="321" customWidth="1"/>
    <col min="11529" max="11776" width="9.140625" style="321"/>
    <col min="11777" max="11777" width="4.42578125" style="321" customWidth="1"/>
    <col min="11778" max="11778" width="5.7109375" style="321" customWidth="1"/>
    <col min="11779" max="11779" width="7.5703125" style="321" customWidth="1"/>
    <col min="11780" max="11780" width="6.5703125" style="321" customWidth="1"/>
    <col min="11781" max="11781" width="47.42578125" style="321" customWidth="1"/>
    <col min="11782" max="11782" width="22.28515625" style="321" customWidth="1"/>
    <col min="11783" max="11783" width="9.140625" style="321"/>
    <col min="11784" max="11784" width="12.28515625" style="321" customWidth="1"/>
    <col min="11785" max="12032" width="9.140625" style="321"/>
    <col min="12033" max="12033" width="4.42578125" style="321" customWidth="1"/>
    <col min="12034" max="12034" width="5.7109375" style="321" customWidth="1"/>
    <col min="12035" max="12035" width="7.5703125" style="321" customWidth="1"/>
    <col min="12036" max="12036" width="6.5703125" style="321" customWidth="1"/>
    <col min="12037" max="12037" width="47.42578125" style="321" customWidth="1"/>
    <col min="12038" max="12038" width="22.28515625" style="321" customWidth="1"/>
    <col min="12039" max="12039" width="9.140625" style="321"/>
    <col min="12040" max="12040" width="12.28515625" style="321" customWidth="1"/>
    <col min="12041" max="12288" width="9.140625" style="321"/>
    <col min="12289" max="12289" width="4.42578125" style="321" customWidth="1"/>
    <col min="12290" max="12290" width="5.7109375" style="321" customWidth="1"/>
    <col min="12291" max="12291" width="7.5703125" style="321" customWidth="1"/>
    <col min="12292" max="12292" width="6.5703125" style="321" customWidth="1"/>
    <col min="12293" max="12293" width="47.42578125" style="321" customWidth="1"/>
    <col min="12294" max="12294" width="22.28515625" style="321" customWidth="1"/>
    <col min="12295" max="12295" width="9.140625" style="321"/>
    <col min="12296" max="12296" width="12.28515625" style="321" customWidth="1"/>
    <col min="12297" max="12544" width="9.140625" style="321"/>
    <col min="12545" max="12545" width="4.42578125" style="321" customWidth="1"/>
    <col min="12546" max="12546" width="5.7109375" style="321" customWidth="1"/>
    <col min="12547" max="12547" width="7.5703125" style="321" customWidth="1"/>
    <col min="12548" max="12548" width="6.5703125" style="321" customWidth="1"/>
    <col min="12549" max="12549" width="47.42578125" style="321" customWidth="1"/>
    <col min="12550" max="12550" width="22.28515625" style="321" customWidth="1"/>
    <col min="12551" max="12551" width="9.140625" style="321"/>
    <col min="12552" max="12552" width="12.28515625" style="321" customWidth="1"/>
    <col min="12553" max="12800" width="9.140625" style="321"/>
    <col min="12801" max="12801" width="4.42578125" style="321" customWidth="1"/>
    <col min="12802" max="12802" width="5.7109375" style="321" customWidth="1"/>
    <col min="12803" max="12803" width="7.5703125" style="321" customWidth="1"/>
    <col min="12804" max="12804" width="6.5703125" style="321" customWidth="1"/>
    <col min="12805" max="12805" width="47.42578125" style="321" customWidth="1"/>
    <col min="12806" max="12806" width="22.28515625" style="321" customWidth="1"/>
    <col min="12807" max="12807" width="9.140625" style="321"/>
    <col min="12808" max="12808" width="12.28515625" style="321" customWidth="1"/>
    <col min="12809" max="13056" width="9.140625" style="321"/>
    <col min="13057" max="13057" width="4.42578125" style="321" customWidth="1"/>
    <col min="13058" max="13058" width="5.7109375" style="321" customWidth="1"/>
    <col min="13059" max="13059" width="7.5703125" style="321" customWidth="1"/>
    <col min="13060" max="13060" width="6.5703125" style="321" customWidth="1"/>
    <col min="13061" max="13061" width="47.42578125" style="321" customWidth="1"/>
    <col min="13062" max="13062" width="22.28515625" style="321" customWidth="1"/>
    <col min="13063" max="13063" width="9.140625" style="321"/>
    <col min="13064" max="13064" width="12.28515625" style="321" customWidth="1"/>
    <col min="13065" max="13312" width="9.140625" style="321"/>
    <col min="13313" max="13313" width="4.42578125" style="321" customWidth="1"/>
    <col min="13314" max="13314" width="5.7109375" style="321" customWidth="1"/>
    <col min="13315" max="13315" width="7.5703125" style="321" customWidth="1"/>
    <col min="13316" max="13316" width="6.5703125" style="321" customWidth="1"/>
    <col min="13317" max="13317" width="47.42578125" style="321" customWidth="1"/>
    <col min="13318" max="13318" width="22.28515625" style="321" customWidth="1"/>
    <col min="13319" max="13319" width="9.140625" style="321"/>
    <col min="13320" max="13320" width="12.28515625" style="321" customWidth="1"/>
    <col min="13321" max="13568" width="9.140625" style="321"/>
    <col min="13569" max="13569" width="4.42578125" style="321" customWidth="1"/>
    <col min="13570" max="13570" width="5.7109375" style="321" customWidth="1"/>
    <col min="13571" max="13571" width="7.5703125" style="321" customWidth="1"/>
    <col min="13572" max="13572" width="6.5703125" style="321" customWidth="1"/>
    <col min="13573" max="13573" width="47.42578125" style="321" customWidth="1"/>
    <col min="13574" max="13574" width="22.28515625" style="321" customWidth="1"/>
    <col min="13575" max="13575" width="9.140625" style="321"/>
    <col min="13576" max="13576" width="12.28515625" style="321" customWidth="1"/>
    <col min="13577" max="13824" width="9.140625" style="321"/>
    <col min="13825" max="13825" width="4.42578125" style="321" customWidth="1"/>
    <col min="13826" max="13826" width="5.7109375" style="321" customWidth="1"/>
    <col min="13827" max="13827" width="7.5703125" style="321" customWidth="1"/>
    <col min="13828" max="13828" width="6.5703125" style="321" customWidth="1"/>
    <col min="13829" max="13829" width="47.42578125" style="321" customWidth="1"/>
    <col min="13830" max="13830" width="22.28515625" style="321" customWidth="1"/>
    <col min="13831" max="13831" width="9.140625" style="321"/>
    <col min="13832" max="13832" width="12.28515625" style="321" customWidth="1"/>
    <col min="13833" max="14080" width="9.140625" style="321"/>
    <col min="14081" max="14081" width="4.42578125" style="321" customWidth="1"/>
    <col min="14082" max="14082" width="5.7109375" style="321" customWidth="1"/>
    <col min="14083" max="14083" width="7.5703125" style="321" customWidth="1"/>
    <col min="14084" max="14084" width="6.5703125" style="321" customWidth="1"/>
    <col min="14085" max="14085" width="47.42578125" style="321" customWidth="1"/>
    <col min="14086" max="14086" width="22.28515625" style="321" customWidth="1"/>
    <col min="14087" max="14087" width="9.140625" style="321"/>
    <col min="14088" max="14088" width="12.28515625" style="321" customWidth="1"/>
    <col min="14089" max="14336" width="9.140625" style="321"/>
    <col min="14337" max="14337" width="4.42578125" style="321" customWidth="1"/>
    <col min="14338" max="14338" width="5.7109375" style="321" customWidth="1"/>
    <col min="14339" max="14339" width="7.5703125" style="321" customWidth="1"/>
    <col min="14340" max="14340" width="6.5703125" style="321" customWidth="1"/>
    <col min="14341" max="14341" width="47.42578125" style="321" customWidth="1"/>
    <col min="14342" max="14342" width="22.28515625" style="321" customWidth="1"/>
    <col min="14343" max="14343" width="9.140625" style="321"/>
    <col min="14344" max="14344" width="12.28515625" style="321" customWidth="1"/>
    <col min="14345" max="14592" width="9.140625" style="321"/>
    <col min="14593" max="14593" width="4.42578125" style="321" customWidth="1"/>
    <col min="14594" max="14594" width="5.7109375" style="321" customWidth="1"/>
    <col min="14595" max="14595" width="7.5703125" style="321" customWidth="1"/>
    <col min="14596" max="14596" width="6.5703125" style="321" customWidth="1"/>
    <col min="14597" max="14597" width="47.42578125" style="321" customWidth="1"/>
    <col min="14598" max="14598" width="22.28515625" style="321" customWidth="1"/>
    <col min="14599" max="14599" width="9.140625" style="321"/>
    <col min="14600" max="14600" width="12.28515625" style="321" customWidth="1"/>
    <col min="14601" max="14848" width="9.140625" style="321"/>
    <col min="14849" max="14849" width="4.42578125" style="321" customWidth="1"/>
    <col min="14850" max="14850" width="5.7109375" style="321" customWidth="1"/>
    <col min="14851" max="14851" width="7.5703125" style="321" customWidth="1"/>
    <col min="14852" max="14852" width="6.5703125" style="321" customWidth="1"/>
    <col min="14853" max="14853" width="47.42578125" style="321" customWidth="1"/>
    <col min="14854" max="14854" width="22.28515625" style="321" customWidth="1"/>
    <col min="14855" max="14855" width="9.140625" style="321"/>
    <col min="14856" max="14856" width="12.28515625" style="321" customWidth="1"/>
    <col min="14857" max="15104" width="9.140625" style="321"/>
    <col min="15105" max="15105" width="4.42578125" style="321" customWidth="1"/>
    <col min="15106" max="15106" width="5.7109375" style="321" customWidth="1"/>
    <col min="15107" max="15107" width="7.5703125" style="321" customWidth="1"/>
    <col min="15108" max="15108" width="6.5703125" style="321" customWidth="1"/>
    <col min="15109" max="15109" width="47.42578125" style="321" customWidth="1"/>
    <col min="15110" max="15110" width="22.28515625" style="321" customWidth="1"/>
    <col min="15111" max="15111" width="9.140625" style="321"/>
    <col min="15112" max="15112" width="12.28515625" style="321" customWidth="1"/>
    <col min="15113" max="15360" width="9.140625" style="321"/>
    <col min="15361" max="15361" width="4.42578125" style="321" customWidth="1"/>
    <col min="15362" max="15362" width="5.7109375" style="321" customWidth="1"/>
    <col min="15363" max="15363" width="7.5703125" style="321" customWidth="1"/>
    <col min="15364" max="15364" width="6.5703125" style="321" customWidth="1"/>
    <col min="15365" max="15365" width="47.42578125" style="321" customWidth="1"/>
    <col min="15366" max="15366" width="22.28515625" style="321" customWidth="1"/>
    <col min="15367" max="15367" width="9.140625" style="321"/>
    <col min="15368" max="15368" width="12.28515625" style="321" customWidth="1"/>
    <col min="15369" max="15616" width="9.140625" style="321"/>
    <col min="15617" max="15617" width="4.42578125" style="321" customWidth="1"/>
    <col min="15618" max="15618" width="5.7109375" style="321" customWidth="1"/>
    <col min="15619" max="15619" width="7.5703125" style="321" customWidth="1"/>
    <col min="15620" max="15620" width="6.5703125" style="321" customWidth="1"/>
    <col min="15621" max="15621" width="47.42578125" style="321" customWidth="1"/>
    <col min="15622" max="15622" width="22.28515625" style="321" customWidth="1"/>
    <col min="15623" max="15623" width="9.140625" style="321"/>
    <col min="15624" max="15624" width="12.28515625" style="321" customWidth="1"/>
    <col min="15625" max="15872" width="9.140625" style="321"/>
    <col min="15873" max="15873" width="4.42578125" style="321" customWidth="1"/>
    <col min="15874" max="15874" width="5.7109375" style="321" customWidth="1"/>
    <col min="15875" max="15875" width="7.5703125" style="321" customWidth="1"/>
    <col min="15876" max="15876" width="6.5703125" style="321" customWidth="1"/>
    <col min="15877" max="15877" width="47.42578125" style="321" customWidth="1"/>
    <col min="15878" max="15878" width="22.28515625" style="321" customWidth="1"/>
    <col min="15879" max="15879" width="9.140625" style="321"/>
    <col min="15880" max="15880" width="12.28515625" style="321" customWidth="1"/>
    <col min="15881" max="16128" width="9.140625" style="321"/>
    <col min="16129" max="16129" width="4.42578125" style="321" customWidth="1"/>
    <col min="16130" max="16130" width="5.7109375" style="321" customWidth="1"/>
    <col min="16131" max="16131" width="7.5703125" style="321" customWidth="1"/>
    <col min="16132" max="16132" width="6.5703125" style="321" customWidth="1"/>
    <col min="16133" max="16133" width="47.42578125" style="321" customWidth="1"/>
    <col min="16134" max="16134" width="22.28515625" style="321" customWidth="1"/>
    <col min="16135" max="16135" width="9.140625" style="321"/>
    <col min="16136" max="16136" width="12.28515625" style="321" customWidth="1"/>
    <col min="16137" max="16384" width="9.140625" style="321"/>
  </cols>
  <sheetData>
    <row r="1" spans="1:8" ht="12.95" customHeight="1" x14ac:dyDescent="0.25">
      <c r="F1" s="323" t="s">
        <v>379</v>
      </c>
    </row>
    <row r="2" spans="1:8" ht="12.95" customHeight="1" x14ac:dyDescent="0.25">
      <c r="F2" s="324" t="s">
        <v>353</v>
      </c>
    </row>
    <row r="3" spans="1:8" ht="12.95" customHeight="1" x14ac:dyDescent="0.25">
      <c r="F3" s="323" t="s">
        <v>0</v>
      </c>
    </row>
    <row r="4" spans="1:8" ht="12.75" customHeight="1" x14ac:dyDescent="0.25">
      <c r="F4" s="324" t="s">
        <v>354</v>
      </c>
    </row>
    <row r="5" spans="1:8" ht="26.25" customHeight="1" x14ac:dyDescent="0.25">
      <c r="A5" s="325" t="s">
        <v>84</v>
      </c>
      <c r="B5" s="325"/>
      <c r="C5" s="325"/>
      <c r="D5" s="326"/>
      <c r="E5" s="325"/>
      <c r="F5" s="325"/>
    </row>
    <row r="6" spans="1:8" ht="15.75" customHeight="1" x14ac:dyDescent="0.25">
      <c r="A6" s="325" t="s">
        <v>85</v>
      </c>
      <c r="B6" s="325"/>
      <c r="C6" s="325"/>
      <c r="D6" s="326"/>
      <c r="E6" s="325"/>
      <c r="F6" s="325"/>
    </row>
    <row r="7" spans="1:8" ht="24.75" customHeight="1" x14ac:dyDescent="0.25">
      <c r="F7" s="327" t="s">
        <v>1</v>
      </c>
    </row>
    <row r="8" spans="1:8" ht="20.25" customHeight="1" x14ac:dyDescent="0.25">
      <c r="A8" s="328" t="s">
        <v>86</v>
      </c>
      <c r="B8" s="328" t="s">
        <v>87</v>
      </c>
      <c r="C8" s="328" t="s">
        <v>88</v>
      </c>
      <c r="D8" s="21" t="s">
        <v>89</v>
      </c>
      <c r="E8" s="329" t="s">
        <v>90</v>
      </c>
      <c r="F8" s="328" t="s">
        <v>91</v>
      </c>
    </row>
    <row r="9" spans="1:8" s="332" customFormat="1" ht="10.5" customHeight="1" x14ac:dyDescent="0.3">
      <c r="A9" s="330">
        <v>1</v>
      </c>
      <c r="B9" s="330">
        <v>2</v>
      </c>
      <c r="C9" s="330">
        <v>3</v>
      </c>
      <c r="D9" s="310">
        <v>4</v>
      </c>
      <c r="E9" s="331">
        <v>5</v>
      </c>
      <c r="F9" s="330">
        <v>6</v>
      </c>
    </row>
    <row r="10" spans="1:8" ht="17.25" customHeight="1" x14ac:dyDescent="0.25">
      <c r="A10" s="333" t="s">
        <v>92</v>
      </c>
      <c r="B10" s="334"/>
      <c r="C10" s="334"/>
      <c r="D10" s="14"/>
      <c r="E10" s="334"/>
      <c r="F10" s="335"/>
    </row>
    <row r="11" spans="1:8" ht="15" customHeight="1" x14ac:dyDescent="0.25">
      <c r="A11" s="336">
        <v>1</v>
      </c>
      <c r="B11" s="16">
        <v>630</v>
      </c>
      <c r="C11" s="16">
        <v>63003</v>
      </c>
      <c r="D11" s="21">
        <v>2360</v>
      </c>
      <c r="E11" s="17" t="s">
        <v>93</v>
      </c>
      <c r="F11" s="18">
        <f>35000</f>
        <v>35000</v>
      </c>
    </row>
    <row r="12" spans="1:8" ht="26.25" customHeight="1" x14ac:dyDescent="0.25">
      <c r="A12" s="336">
        <v>2</v>
      </c>
      <c r="B12" s="336">
        <v>700</v>
      </c>
      <c r="C12" s="336">
        <v>70095</v>
      </c>
      <c r="D12" s="64">
        <v>6230</v>
      </c>
      <c r="E12" s="337" t="s">
        <v>94</v>
      </c>
      <c r="F12" s="338">
        <f>1500000</f>
        <v>1500000</v>
      </c>
      <c r="G12" s="339"/>
    </row>
    <row r="13" spans="1:8" ht="26.25" customHeight="1" x14ac:dyDescent="0.25">
      <c r="A13" s="336">
        <v>3</v>
      </c>
      <c r="B13" s="336">
        <v>750</v>
      </c>
      <c r="C13" s="336">
        <v>75095</v>
      </c>
      <c r="D13" s="21">
        <v>2360</v>
      </c>
      <c r="E13" s="340" t="s">
        <v>95</v>
      </c>
      <c r="F13" s="338">
        <f>200000</f>
        <v>200000</v>
      </c>
      <c r="H13" s="341"/>
    </row>
    <row r="14" spans="1:8" ht="15" customHeight="1" x14ac:dyDescent="0.25">
      <c r="A14" s="336">
        <v>4</v>
      </c>
      <c r="B14" s="336">
        <v>755</v>
      </c>
      <c r="C14" s="336">
        <v>75515</v>
      </c>
      <c r="D14" s="21">
        <v>2360</v>
      </c>
      <c r="E14" s="342" t="s">
        <v>96</v>
      </c>
      <c r="F14" s="343">
        <f>146896.8</f>
        <v>146896.79999999999</v>
      </c>
      <c r="H14" s="341"/>
    </row>
    <row r="15" spans="1:8" ht="27.75" customHeight="1" x14ac:dyDescent="0.25">
      <c r="A15" s="311">
        <v>5</v>
      </c>
      <c r="B15" s="311">
        <v>801</v>
      </c>
      <c r="C15" s="312">
        <v>80153</v>
      </c>
      <c r="D15" s="21">
        <v>2830</v>
      </c>
      <c r="E15" s="22" t="s">
        <v>97</v>
      </c>
      <c r="F15" s="23">
        <f>101862.7</f>
        <v>101862.7</v>
      </c>
      <c r="H15" s="341"/>
    </row>
    <row r="16" spans="1:8" ht="15" customHeight="1" x14ac:dyDescent="0.25">
      <c r="A16" s="24"/>
      <c r="B16" s="25"/>
      <c r="C16" s="25"/>
      <c r="D16" s="26"/>
      <c r="E16" s="27" t="s">
        <v>98</v>
      </c>
      <c r="F16" s="28"/>
      <c r="H16" s="341"/>
    </row>
    <row r="17" spans="1:8" ht="15" customHeight="1" x14ac:dyDescent="0.25">
      <c r="A17" s="29"/>
      <c r="B17" s="30"/>
      <c r="C17" s="30"/>
      <c r="D17" s="31"/>
      <c r="E17" s="32" t="s">
        <v>99</v>
      </c>
      <c r="F17" s="33"/>
      <c r="H17" s="341"/>
    </row>
    <row r="18" spans="1:8" ht="15" customHeight="1" x14ac:dyDescent="0.25">
      <c r="A18" s="34"/>
      <c r="B18" s="35"/>
      <c r="C18" s="35"/>
      <c r="D18" s="36"/>
      <c r="E18" s="37" t="s">
        <v>100</v>
      </c>
      <c r="F18" s="38"/>
      <c r="H18" s="341"/>
    </row>
    <row r="19" spans="1:8" ht="27" customHeight="1" x14ac:dyDescent="0.25">
      <c r="A19" s="336">
        <v>6</v>
      </c>
      <c r="B19" s="336">
        <v>801</v>
      </c>
      <c r="C19" s="336">
        <v>80195</v>
      </c>
      <c r="D19" s="313" t="s">
        <v>101</v>
      </c>
      <c r="E19" s="344" t="s">
        <v>102</v>
      </c>
      <c r="F19" s="345">
        <f>18864+1109</f>
        <v>19973</v>
      </c>
      <c r="H19" s="341"/>
    </row>
    <row r="20" spans="1:8" ht="28.9" customHeight="1" x14ac:dyDescent="0.25">
      <c r="A20" s="336">
        <v>7</v>
      </c>
      <c r="B20" s="336">
        <v>801</v>
      </c>
      <c r="C20" s="336">
        <v>80195</v>
      </c>
      <c r="D20" s="313" t="s">
        <v>101</v>
      </c>
      <c r="E20" s="344" t="s">
        <v>103</v>
      </c>
      <c r="F20" s="345">
        <f>144716.29+8503.71</f>
        <v>153220</v>
      </c>
      <c r="H20" s="341"/>
    </row>
    <row r="21" spans="1:8" ht="28.9" customHeight="1" x14ac:dyDescent="0.25">
      <c r="A21" s="336">
        <v>8</v>
      </c>
      <c r="B21" s="336">
        <v>801</v>
      </c>
      <c r="C21" s="336">
        <v>80195</v>
      </c>
      <c r="D21" s="313" t="s">
        <v>101</v>
      </c>
      <c r="E21" s="344" t="s">
        <v>104</v>
      </c>
      <c r="F21" s="345">
        <f>396690+23310+2030348.9+119305.84</f>
        <v>2569654.7399999998</v>
      </c>
      <c r="H21" s="341"/>
    </row>
    <row r="22" spans="1:8" ht="15" customHeight="1" x14ac:dyDescent="0.25">
      <c r="A22" s="336">
        <v>9</v>
      </c>
      <c r="B22" s="336">
        <v>851</v>
      </c>
      <c r="C22" s="336">
        <v>85153</v>
      </c>
      <c r="D22" s="314">
        <v>2360</v>
      </c>
      <c r="E22" s="346" t="s">
        <v>105</v>
      </c>
      <c r="F22" s="345">
        <f>48765</f>
        <v>48765</v>
      </c>
      <c r="H22" s="341"/>
    </row>
    <row r="23" spans="1:8" ht="27" customHeight="1" x14ac:dyDescent="0.25">
      <c r="A23" s="336">
        <v>10</v>
      </c>
      <c r="B23" s="336">
        <v>851</v>
      </c>
      <c r="C23" s="336">
        <v>85154</v>
      </c>
      <c r="D23" s="21">
        <v>2360</v>
      </c>
      <c r="E23" s="340" t="s">
        <v>106</v>
      </c>
      <c r="F23" s="338">
        <f>615000+235000+41482+20000</f>
        <v>911482</v>
      </c>
    </row>
    <row r="24" spans="1:8" ht="24.75" customHeight="1" x14ac:dyDescent="0.25">
      <c r="A24" s="347">
        <v>11</v>
      </c>
      <c r="B24" s="347">
        <v>851</v>
      </c>
      <c r="C24" s="348">
        <v>85195</v>
      </c>
      <c r="D24" s="315">
        <v>2360</v>
      </c>
      <c r="E24" s="340" t="s">
        <v>107</v>
      </c>
      <c r="F24" s="338">
        <f>122500+20000</f>
        <v>142500</v>
      </c>
    </row>
    <row r="25" spans="1:8" ht="24.75" customHeight="1" x14ac:dyDescent="0.25">
      <c r="A25" s="347">
        <v>12</v>
      </c>
      <c r="B25" s="347">
        <v>851</v>
      </c>
      <c r="C25" s="348">
        <v>85195</v>
      </c>
      <c r="D25" s="315">
        <v>2360</v>
      </c>
      <c r="E25" s="340" t="s">
        <v>108</v>
      </c>
      <c r="F25" s="338">
        <f>125000</f>
        <v>125000</v>
      </c>
    </row>
    <row r="26" spans="1:8" ht="38.25" customHeight="1" x14ac:dyDescent="0.25">
      <c r="A26" s="347">
        <v>13</v>
      </c>
      <c r="B26" s="336">
        <v>852</v>
      </c>
      <c r="C26" s="336">
        <v>85219</v>
      </c>
      <c r="D26" s="21">
        <v>2830</v>
      </c>
      <c r="E26" s="342" t="s">
        <v>109</v>
      </c>
      <c r="F26" s="338">
        <f>171894+157203</f>
        <v>329097</v>
      </c>
    </row>
    <row r="27" spans="1:8" ht="24.75" customHeight="1" x14ac:dyDescent="0.25">
      <c r="A27" s="347">
        <v>14</v>
      </c>
      <c r="B27" s="349">
        <v>852</v>
      </c>
      <c r="C27" s="350">
        <v>85228</v>
      </c>
      <c r="D27" s="315">
        <v>2360</v>
      </c>
      <c r="E27" s="351" t="s">
        <v>110</v>
      </c>
      <c r="F27" s="338">
        <f>F28+F29</f>
        <v>16751149.119999999</v>
      </c>
    </row>
    <row r="28" spans="1:8" s="323" customFormat="1" ht="13.5" customHeight="1" x14ac:dyDescent="0.25">
      <c r="A28" s="352" t="s">
        <v>111</v>
      </c>
      <c r="B28" s="353"/>
      <c r="C28" s="354"/>
      <c r="D28" s="52"/>
      <c r="E28" s="355" t="s">
        <v>112</v>
      </c>
      <c r="F28" s="356">
        <f>8905485.52-12000+144403.6-27500-350000</f>
        <v>8660389.1199999992</v>
      </c>
    </row>
    <row r="29" spans="1:8" s="323" customFormat="1" ht="13.5" customHeight="1" x14ac:dyDescent="0.25">
      <c r="A29" s="352" t="s">
        <v>113</v>
      </c>
      <c r="B29" s="353"/>
      <c r="C29" s="354"/>
      <c r="D29" s="52"/>
      <c r="E29" s="355" t="s">
        <v>114</v>
      </c>
      <c r="F29" s="356">
        <f>4754169+627858+594592+2114141</f>
        <v>8090760</v>
      </c>
    </row>
    <row r="30" spans="1:8" ht="15" customHeight="1" x14ac:dyDescent="0.25">
      <c r="A30" s="357">
        <v>15</v>
      </c>
      <c r="B30" s="357">
        <v>852</v>
      </c>
      <c r="C30" s="357">
        <v>85295</v>
      </c>
      <c r="D30" s="316">
        <v>2360</v>
      </c>
      <c r="E30" s="351" t="s">
        <v>115</v>
      </c>
      <c r="F30" s="358">
        <f>2691864</f>
        <v>2691864</v>
      </c>
    </row>
    <row r="31" spans="1:8" ht="38.25" customHeight="1" x14ac:dyDescent="0.25">
      <c r="A31" s="336">
        <v>16</v>
      </c>
      <c r="B31" s="336">
        <v>853</v>
      </c>
      <c r="C31" s="336">
        <v>85395</v>
      </c>
      <c r="D31" s="21">
        <v>2360</v>
      </c>
      <c r="E31" s="340" t="s">
        <v>116</v>
      </c>
      <c r="F31" s="338">
        <f>19000</f>
        <v>19000</v>
      </c>
    </row>
    <row r="32" spans="1:8" ht="24.75" customHeight="1" x14ac:dyDescent="0.25">
      <c r="A32" s="336">
        <v>17</v>
      </c>
      <c r="B32" s="336">
        <v>855</v>
      </c>
      <c r="C32" s="336">
        <v>85510</v>
      </c>
      <c r="D32" s="317" t="s">
        <v>117</v>
      </c>
      <c r="E32" s="342" t="s">
        <v>118</v>
      </c>
      <c r="F32" s="338">
        <f>2830580+188620+350000</f>
        <v>3369200</v>
      </c>
    </row>
    <row r="33" spans="1:8" ht="24.75" customHeight="1" x14ac:dyDescent="0.25">
      <c r="A33" s="336">
        <v>18</v>
      </c>
      <c r="B33" s="336">
        <v>900</v>
      </c>
      <c r="C33" s="336">
        <v>90001</v>
      </c>
      <c r="D33" s="21">
        <v>6230</v>
      </c>
      <c r="E33" s="351" t="s">
        <v>119</v>
      </c>
      <c r="F33" s="338">
        <v>5000</v>
      </c>
    </row>
    <row r="34" spans="1:8" ht="26.25" customHeight="1" x14ac:dyDescent="0.25">
      <c r="A34" s="359">
        <v>19</v>
      </c>
      <c r="B34" s="336">
        <v>900</v>
      </c>
      <c r="C34" s="336">
        <v>90005</v>
      </c>
      <c r="D34" s="21">
        <v>2360</v>
      </c>
      <c r="E34" s="360" t="s">
        <v>120</v>
      </c>
      <c r="F34" s="361">
        <v>100000</v>
      </c>
      <c r="G34" s="362"/>
    </row>
    <row r="35" spans="1:8" ht="28.5" customHeight="1" x14ac:dyDescent="0.25">
      <c r="A35" s="359">
        <v>20</v>
      </c>
      <c r="B35" s="336">
        <v>900</v>
      </c>
      <c r="C35" s="336">
        <v>90095</v>
      </c>
      <c r="D35" s="313" t="s">
        <v>121</v>
      </c>
      <c r="E35" s="344" t="s">
        <v>122</v>
      </c>
      <c r="F35" s="345">
        <f>14643+82977</f>
        <v>97620</v>
      </c>
      <c r="G35" s="362"/>
    </row>
    <row r="36" spans="1:8" s="323" customFormat="1" ht="15" customHeight="1" x14ac:dyDescent="0.25">
      <c r="A36" s="336">
        <v>21</v>
      </c>
      <c r="B36" s="336">
        <v>921</v>
      </c>
      <c r="C36" s="336">
        <v>92120</v>
      </c>
      <c r="D36" s="21">
        <v>2720</v>
      </c>
      <c r="E36" s="363" t="s">
        <v>123</v>
      </c>
      <c r="F36" s="361">
        <f>750000-143117</f>
        <v>606883</v>
      </c>
    </row>
    <row r="37" spans="1:8" ht="38.25" customHeight="1" x14ac:dyDescent="0.25">
      <c r="A37" s="336">
        <v>22</v>
      </c>
      <c r="B37" s="336">
        <v>921</v>
      </c>
      <c r="C37" s="336">
        <v>92195</v>
      </c>
      <c r="D37" s="57">
        <v>2360</v>
      </c>
      <c r="E37" s="340" t="s">
        <v>124</v>
      </c>
      <c r="F37" s="361">
        <v>950000</v>
      </c>
    </row>
    <row r="38" spans="1:8" ht="15.6" customHeight="1" x14ac:dyDescent="0.25">
      <c r="A38" s="336">
        <v>23</v>
      </c>
      <c r="B38" s="336">
        <v>926</v>
      </c>
      <c r="C38" s="336">
        <v>92605</v>
      </c>
      <c r="D38" s="57">
        <v>2360</v>
      </c>
      <c r="E38" s="342" t="s">
        <v>125</v>
      </c>
      <c r="F38" s="338">
        <f>5000000</f>
        <v>5000000</v>
      </c>
    </row>
    <row r="39" spans="1:8" s="367" customFormat="1" ht="18" customHeight="1" x14ac:dyDescent="0.25">
      <c r="A39" s="364"/>
      <c r="B39" s="365"/>
      <c r="C39" s="365"/>
      <c r="D39" s="42"/>
      <c r="E39" s="365" t="s">
        <v>126</v>
      </c>
      <c r="F39" s="366">
        <f>SUM(F11,F12,F13,F14,F15,F19,F20,F21,F22,F23,F24,F25,F26,F27,F33,F30,F31,F32,F34,F35,F36,F37,F38)</f>
        <v>35874167.359999999</v>
      </c>
      <c r="H39" s="368"/>
    </row>
    <row r="40" spans="1:8" ht="17.25" customHeight="1" x14ac:dyDescent="0.25">
      <c r="A40" s="333" t="s">
        <v>127</v>
      </c>
      <c r="B40" s="334"/>
      <c r="C40" s="334"/>
      <c r="D40" s="14"/>
      <c r="E40" s="334"/>
      <c r="F40" s="335"/>
    </row>
    <row r="41" spans="1:8" ht="17.25" customHeight="1" x14ac:dyDescent="0.25">
      <c r="A41" s="328" t="s">
        <v>86</v>
      </c>
      <c r="B41" s="328" t="s">
        <v>87</v>
      </c>
      <c r="C41" s="328" t="s">
        <v>88</v>
      </c>
      <c r="D41" s="318"/>
      <c r="E41" s="329" t="s">
        <v>128</v>
      </c>
      <c r="F41" s="328" t="s">
        <v>91</v>
      </c>
    </row>
    <row r="42" spans="1:8" ht="24" customHeight="1" x14ac:dyDescent="0.25">
      <c r="A42" s="336">
        <v>1</v>
      </c>
      <c r="B42" s="336">
        <v>801</v>
      </c>
      <c r="C42" s="336">
        <v>80101</v>
      </c>
      <c r="D42" s="57" t="s">
        <v>129</v>
      </c>
      <c r="E42" s="363" t="s">
        <v>35</v>
      </c>
      <c r="F42" s="338">
        <f>3611632.2+9720952.16-550000-1100000-400000-500000</f>
        <v>10782584.359999999</v>
      </c>
    </row>
    <row r="43" spans="1:8" s="323" customFormat="1" ht="13.5" customHeight="1" x14ac:dyDescent="0.25">
      <c r="A43" s="369"/>
      <c r="B43" s="370"/>
      <c r="C43" s="371"/>
      <c r="D43" s="46"/>
      <c r="E43" s="372" t="s">
        <v>130</v>
      </c>
      <c r="F43" s="373"/>
    </row>
    <row r="44" spans="1:8" s="323" customFormat="1" ht="13.5" customHeight="1" x14ac:dyDescent="0.25">
      <c r="A44" s="374"/>
      <c r="C44" s="375"/>
      <c r="D44" s="47"/>
      <c r="E44" s="376" t="s">
        <v>131</v>
      </c>
      <c r="F44" s="377"/>
      <c r="G44" s="378"/>
    </row>
    <row r="45" spans="1:8" s="323" customFormat="1" ht="14.25" customHeight="1" x14ac:dyDescent="0.25">
      <c r="A45" s="374"/>
      <c r="C45" s="375"/>
      <c r="D45" s="48"/>
      <c r="E45" s="379" t="s">
        <v>132</v>
      </c>
      <c r="F45" s="377"/>
    </row>
    <row r="46" spans="1:8" s="323" customFormat="1" ht="25.5" customHeight="1" x14ac:dyDescent="0.25">
      <c r="A46" s="374"/>
      <c r="C46" s="375"/>
      <c r="D46" s="48"/>
      <c r="E46" s="380" t="s">
        <v>133</v>
      </c>
      <c r="F46" s="381"/>
    </row>
    <row r="47" spans="1:8" s="323" customFormat="1" ht="13.5" customHeight="1" x14ac:dyDescent="0.25">
      <c r="A47" s="382"/>
      <c r="B47" s="383"/>
      <c r="C47" s="384"/>
      <c r="D47" s="51"/>
      <c r="E47" s="385" t="s">
        <v>134</v>
      </c>
      <c r="F47" s="386"/>
    </row>
    <row r="48" spans="1:8" ht="13.9" customHeight="1" x14ac:dyDescent="0.25">
      <c r="A48" s="357">
        <v>2</v>
      </c>
      <c r="B48" s="357">
        <v>801</v>
      </c>
      <c r="C48" s="357">
        <v>80103</v>
      </c>
      <c r="D48" s="316">
        <v>2540</v>
      </c>
      <c r="E48" s="387" t="s">
        <v>61</v>
      </c>
      <c r="F48" s="358">
        <f>198379.2</f>
        <v>198379.2</v>
      </c>
    </row>
    <row r="49" spans="1:6" s="323" customFormat="1" ht="13.5" customHeight="1" x14ac:dyDescent="0.25">
      <c r="A49" s="374"/>
      <c r="C49" s="375"/>
      <c r="D49" s="48"/>
      <c r="E49" s="388" t="s">
        <v>132</v>
      </c>
      <c r="F49" s="389"/>
    </row>
    <row r="50" spans="1:6" ht="24" customHeight="1" x14ac:dyDescent="0.25">
      <c r="A50" s="336">
        <v>3</v>
      </c>
      <c r="B50" s="336">
        <v>801</v>
      </c>
      <c r="C50" s="336">
        <v>80104</v>
      </c>
      <c r="D50" s="57" t="s">
        <v>129</v>
      </c>
      <c r="E50" s="363" t="s">
        <v>38</v>
      </c>
      <c r="F50" s="338">
        <f>9183881.2+3891938.8-800000-250000</f>
        <v>12025820</v>
      </c>
    </row>
    <row r="51" spans="1:6" s="323" customFormat="1" ht="13.5" customHeight="1" x14ac:dyDescent="0.25">
      <c r="A51" s="390"/>
      <c r="B51" s="391"/>
      <c r="C51" s="392"/>
      <c r="D51" s="52"/>
      <c r="E51" s="393" t="s">
        <v>135</v>
      </c>
      <c r="F51" s="389"/>
    </row>
    <row r="52" spans="1:6" s="323" customFormat="1" ht="13.5" customHeight="1" x14ac:dyDescent="0.25">
      <c r="A52" s="374"/>
      <c r="C52" s="375"/>
      <c r="D52" s="48"/>
      <c r="E52" s="394" t="s">
        <v>136</v>
      </c>
      <c r="F52" s="381"/>
    </row>
    <row r="53" spans="1:6" s="323" customFormat="1" ht="13.5" customHeight="1" x14ac:dyDescent="0.25">
      <c r="A53" s="374"/>
      <c r="C53" s="375"/>
      <c r="D53" s="48"/>
      <c r="E53" s="394" t="s">
        <v>137</v>
      </c>
      <c r="F53" s="381"/>
    </row>
    <row r="54" spans="1:6" s="323" customFormat="1" ht="13.5" customHeight="1" x14ac:dyDescent="0.25">
      <c r="A54" s="374"/>
      <c r="C54" s="375"/>
      <c r="D54" s="48"/>
      <c r="E54" s="394" t="s">
        <v>138</v>
      </c>
      <c r="F54" s="381"/>
    </row>
    <row r="55" spans="1:6" s="323" customFormat="1" ht="13.5" customHeight="1" x14ac:dyDescent="0.25">
      <c r="A55" s="374"/>
      <c r="C55" s="375"/>
      <c r="D55" s="48"/>
      <c r="E55" s="380" t="s">
        <v>139</v>
      </c>
      <c r="F55" s="381"/>
    </row>
    <row r="56" spans="1:6" s="323" customFormat="1" ht="13.5" customHeight="1" x14ac:dyDescent="0.25">
      <c r="A56" s="374"/>
      <c r="C56" s="375"/>
      <c r="D56" s="48"/>
      <c r="E56" s="380" t="s">
        <v>140</v>
      </c>
      <c r="F56" s="381"/>
    </row>
    <row r="57" spans="1:6" s="323" customFormat="1" ht="13.5" customHeight="1" x14ac:dyDescent="0.25">
      <c r="A57" s="374"/>
      <c r="C57" s="375"/>
      <c r="D57" s="48"/>
      <c r="E57" s="394" t="s">
        <v>141</v>
      </c>
      <c r="F57" s="381"/>
    </row>
    <row r="58" spans="1:6" s="323" customFormat="1" ht="13.5" customHeight="1" x14ac:dyDescent="0.25">
      <c r="A58" s="374"/>
      <c r="C58" s="375"/>
      <c r="D58" s="48"/>
      <c r="E58" s="394" t="s">
        <v>142</v>
      </c>
      <c r="F58" s="381"/>
    </row>
    <row r="59" spans="1:6" s="323" customFormat="1" ht="13.5" customHeight="1" x14ac:dyDescent="0.25">
      <c r="A59" s="374"/>
      <c r="C59" s="375"/>
      <c r="D59" s="48"/>
      <c r="E59" s="380" t="s">
        <v>143</v>
      </c>
      <c r="F59" s="381"/>
    </row>
    <row r="60" spans="1:6" s="323" customFormat="1" ht="13.5" customHeight="1" x14ac:dyDescent="0.25">
      <c r="A60" s="374"/>
      <c r="C60" s="375"/>
      <c r="D60" s="48"/>
      <c r="E60" s="395" t="s">
        <v>144</v>
      </c>
      <c r="F60" s="381"/>
    </row>
    <row r="61" spans="1:6" s="323" customFormat="1" ht="13.5" customHeight="1" x14ac:dyDescent="0.25">
      <c r="A61" s="374"/>
      <c r="C61" s="375"/>
      <c r="D61" s="48"/>
      <c r="E61" s="380" t="s">
        <v>145</v>
      </c>
      <c r="F61" s="381"/>
    </row>
    <row r="62" spans="1:6" s="323" customFormat="1" ht="13.5" customHeight="1" x14ac:dyDescent="0.25">
      <c r="A62" s="374"/>
      <c r="C62" s="375"/>
      <c r="D62" s="48"/>
      <c r="E62" s="395" t="s">
        <v>146</v>
      </c>
      <c r="F62" s="381"/>
    </row>
    <row r="63" spans="1:6" s="323" customFormat="1" ht="13.5" customHeight="1" x14ac:dyDescent="0.25">
      <c r="A63" s="374"/>
      <c r="C63" s="375"/>
      <c r="D63" s="48"/>
      <c r="E63" s="395" t="s">
        <v>147</v>
      </c>
      <c r="F63" s="381"/>
    </row>
    <row r="64" spans="1:6" s="323" customFormat="1" ht="13.5" customHeight="1" x14ac:dyDescent="0.25">
      <c r="A64" s="382"/>
      <c r="B64" s="383"/>
      <c r="C64" s="384"/>
      <c r="D64" s="51"/>
      <c r="E64" s="396" t="s">
        <v>148</v>
      </c>
      <c r="F64" s="386"/>
    </row>
    <row r="65" spans="1:6" ht="22.5" customHeight="1" x14ac:dyDescent="0.25">
      <c r="A65" s="336">
        <v>4</v>
      </c>
      <c r="B65" s="336">
        <v>801</v>
      </c>
      <c r="C65" s="336">
        <v>80106</v>
      </c>
      <c r="D65" s="21">
        <v>2540</v>
      </c>
      <c r="E65" s="342" t="s">
        <v>149</v>
      </c>
      <c r="F65" s="338">
        <f>158564</f>
        <v>158564</v>
      </c>
    </row>
    <row r="66" spans="1:6" s="323" customFormat="1" ht="13.5" customHeight="1" x14ac:dyDescent="0.25">
      <c r="A66" s="374"/>
      <c r="C66" s="375"/>
      <c r="D66" s="53"/>
      <c r="E66" s="397" t="s">
        <v>150</v>
      </c>
      <c r="F66" s="398"/>
    </row>
    <row r="67" spans="1:6" ht="13.5" customHeight="1" x14ac:dyDescent="0.25">
      <c r="A67" s="357">
        <v>5</v>
      </c>
      <c r="B67" s="357">
        <v>801</v>
      </c>
      <c r="C67" s="357">
        <v>80115</v>
      </c>
      <c r="D67" s="61">
        <v>2540</v>
      </c>
      <c r="E67" s="399" t="s">
        <v>151</v>
      </c>
      <c r="F67" s="358">
        <f>3756329.44-100000</f>
        <v>3656329.44</v>
      </c>
    </row>
    <row r="68" spans="1:6" s="323" customFormat="1" ht="12.75" customHeight="1" x14ac:dyDescent="0.25">
      <c r="A68" s="369"/>
      <c r="B68" s="370"/>
      <c r="C68" s="371"/>
      <c r="D68" s="54"/>
      <c r="E68" s="400" t="s">
        <v>152</v>
      </c>
      <c r="F68" s="373"/>
    </row>
    <row r="69" spans="1:6" ht="23.25" customHeight="1" x14ac:dyDescent="0.25">
      <c r="A69" s="336">
        <v>6</v>
      </c>
      <c r="B69" s="336">
        <v>801</v>
      </c>
      <c r="C69" s="336">
        <v>80116</v>
      </c>
      <c r="D69" s="63" t="s">
        <v>129</v>
      </c>
      <c r="E69" s="401" t="s">
        <v>153</v>
      </c>
      <c r="F69" s="338">
        <f>9078519.3+650000+300000+400000-40000+680000</f>
        <v>11068519.300000001</v>
      </c>
    </row>
    <row r="70" spans="1:6" s="323" customFormat="1" ht="13.5" customHeight="1" x14ac:dyDescent="0.25">
      <c r="A70" s="390"/>
      <c r="B70" s="391"/>
      <c r="C70" s="392"/>
      <c r="D70" s="52"/>
      <c r="E70" s="402" t="s">
        <v>154</v>
      </c>
      <c r="F70" s="389"/>
    </row>
    <row r="71" spans="1:6" s="323" customFormat="1" ht="13.5" customHeight="1" x14ac:dyDescent="0.25">
      <c r="A71" s="374"/>
      <c r="C71" s="375"/>
      <c r="D71" s="48"/>
      <c r="E71" s="320" t="s">
        <v>186</v>
      </c>
      <c r="F71" s="377"/>
    </row>
    <row r="72" spans="1:6" s="323" customFormat="1" ht="25.5" customHeight="1" x14ac:dyDescent="0.25">
      <c r="A72" s="374"/>
      <c r="C72" s="375"/>
      <c r="D72" s="48"/>
      <c r="E72" s="403" t="s">
        <v>155</v>
      </c>
      <c r="F72" s="381"/>
    </row>
    <row r="73" spans="1:6" s="323" customFormat="1" ht="13.5" customHeight="1" x14ac:dyDescent="0.25">
      <c r="A73" s="374"/>
      <c r="C73" s="375"/>
      <c r="D73" s="48"/>
      <c r="E73" s="395" t="s">
        <v>156</v>
      </c>
      <c r="F73" s="381"/>
    </row>
    <row r="74" spans="1:6" s="323" customFormat="1" ht="13.5" customHeight="1" x14ac:dyDescent="0.25">
      <c r="A74" s="374"/>
      <c r="C74" s="375"/>
      <c r="D74" s="48"/>
      <c r="E74" s="403" t="s">
        <v>157</v>
      </c>
      <c r="F74" s="381"/>
    </row>
    <row r="75" spans="1:6" s="323" customFormat="1" ht="13.5" customHeight="1" x14ac:dyDescent="0.25">
      <c r="A75" s="374"/>
      <c r="C75" s="375"/>
      <c r="D75" s="48"/>
      <c r="E75" s="395" t="s">
        <v>158</v>
      </c>
      <c r="F75" s="381"/>
    </row>
    <row r="76" spans="1:6" s="323" customFormat="1" ht="13.5" customHeight="1" x14ac:dyDescent="0.25">
      <c r="A76" s="374"/>
      <c r="C76" s="375"/>
      <c r="D76" s="48"/>
      <c r="E76" s="395" t="s">
        <v>159</v>
      </c>
      <c r="F76" s="381"/>
    </row>
    <row r="77" spans="1:6" s="323" customFormat="1" ht="13.5" customHeight="1" x14ac:dyDescent="0.25">
      <c r="A77" s="374"/>
      <c r="C77" s="375"/>
      <c r="D77" s="55"/>
      <c r="E77" s="320" t="s">
        <v>160</v>
      </c>
      <c r="F77" s="377"/>
    </row>
    <row r="78" spans="1:6" s="323" customFormat="1" ht="13.5" customHeight="1" x14ac:dyDescent="0.25">
      <c r="A78" s="374"/>
      <c r="C78" s="375"/>
      <c r="D78" s="55"/>
      <c r="E78" s="395" t="s">
        <v>161</v>
      </c>
      <c r="F78" s="381"/>
    </row>
    <row r="79" spans="1:6" s="323" customFormat="1" ht="13.5" customHeight="1" x14ac:dyDescent="0.25">
      <c r="A79" s="374"/>
      <c r="C79" s="375"/>
      <c r="D79" s="56"/>
      <c r="E79" s="320" t="s">
        <v>162</v>
      </c>
      <c r="F79" s="377"/>
    </row>
    <row r="80" spans="1:6" s="323" customFormat="1" ht="13.5" customHeight="1" x14ac:dyDescent="0.25">
      <c r="A80" s="382"/>
      <c r="B80" s="383"/>
      <c r="C80" s="384"/>
      <c r="D80" s="51"/>
      <c r="E80" s="385" t="s">
        <v>163</v>
      </c>
      <c r="F80" s="386"/>
    </row>
    <row r="81" spans="1:7" ht="24" customHeight="1" x14ac:dyDescent="0.25">
      <c r="A81" s="336">
        <v>7</v>
      </c>
      <c r="B81" s="336">
        <v>801</v>
      </c>
      <c r="C81" s="336">
        <v>80117</v>
      </c>
      <c r="D81" s="57" t="s">
        <v>129</v>
      </c>
      <c r="E81" s="363" t="s">
        <v>164</v>
      </c>
      <c r="F81" s="338">
        <f>2677774+1983634.18-200000-1000000</f>
        <v>3461408.1799999997</v>
      </c>
    </row>
    <row r="82" spans="1:7" s="323" customFormat="1" ht="13.5" customHeight="1" x14ac:dyDescent="0.25">
      <c r="A82" s="369"/>
      <c r="B82" s="370"/>
      <c r="C82" s="371"/>
      <c r="D82" s="46"/>
      <c r="E82" s="404" t="s">
        <v>165</v>
      </c>
      <c r="F82" s="373"/>
    </row>
    <row r="83" spans="1:7" s="323" customFormat="1" ht="24" customHeight="1" x14ac:dyDescent="0.25">
      <c r="A83" s="382"/>
      <c r="B83" s="383"/>
      <c r="C83" s="384"/>
      <c r="D83" s="51"/>
      <c r="E83" s="385" t="s">
        <v>166</v>
      </c>
      <c r="F83" s="386"/>
    </row>
    <row r="84" spans="1:7" ht="24" customHeight="1" x14ac:dyDescent="0.25">
      <c r="A84" s="336">
        <v>8</v>
      </c>
      <c r="B84" s="336">
        <v>801</v>
      </c>
      <c r="C84" s="336">
        <v>80120</v>
      </c>
      <c r="D84" s="57" t="s">
        <v>129</v>
      </c>
      <c r="E84" s="363" t="s">
        <v>167</v>
      </c>
      <c r="F84" s="338">
        <f>3471265.85+4785976.45-430423+500000+400000</f>
        <v>8726819.3000000007</v>
      </c>
    </row>
    <row r="85" spans="1:7" s="323" customFormat="1" ht="25.5" customHeight="1" x14ac:dyDescent="0.25">
      <c r="A85" s="374"/>
      <c r="C85" s="375"/>
      <c r="D85" s="48"/>
      <c r="E85" s="380" t="s">
        <v>168</v>
      </c>
      <c r="F85" s="381"/>
    </row>
    <row r="86" spans="1:7" s="323" customFormat="1" ht="24.75" customHeight="1" x14ac:dyDescent="0.25">
      <c r="A86" s="382"/>
      <c r="B86" s="383"/>
      <c r="C86" s="384"/>
      <c r="D86" s="51"/>
      <c r="E86" s="405" t="s">
        <v>169</v>
      </c>
      <c r="F86" s="406"/>
    </row>
    <row r="87" spans="1:7" s="323" customFormat="1" ht="13.5" customHeight="1" x14ac:dyDescent="0.25">
      <c r="A87" s="374"/>
      <c r="C87" s="375"/>
      <c r="D87" s="48"/>
      <c r="E87" s="320" t="s">
        <v>170</v>
      </c>
      <c r="F87" s="377"/>
    </row>
    <row r="88" spans="1:7" s="323" customFormat="1" ht="13.5" customHeight="1" x14ac:dyDescent="0.25">
      <c r="A88" s="382"/>
      <c r="B88" s="383"/>
      <c r="C88" s="384"/>
      <c r="D88" s="51"/>
      <c r="E88" s="396" t="s">
        <v>171</v>
      </c>
      <c r="F88" s="386"/>
    </row>
    <row r="89" spans="1:7" ht="26.25" customHeight="1" x14ac:dyDescent="0.25">
      <c r="A89" s="336">
        <v>9</v>
      </c>
      <c r="B89" s="336">
        <v>801</v>
      </c>
      <c r="C89" s="336">
        <v>80122</v>
      </c>
      <c r="D89" s="57" t="s">
        <v>129</v>
      </c>
      <c r="E89" s="363" t="s">
        <v>172</v>
      </c>
      <c r="F89" s="338">
        <f>395800+902460-100000-260000-100000+40000+50000</f>
        <v>928260</v>
      </c>
    </row>
    <row r="90" spans="1:7" s="323" customFormat="1" ht="12.75" customHeight="1" x14ac:dyDescent="0.25">
      <c r="A90" s="390"/>
      <c r="B90" s="391"/>
      <c r="C90" s="392"/>
      <c r="D90" s="52"/>
      <c r="E90" s="407" t="s">
        <v>173</v>
      </c>
      <c r="F90" s="389"/>
    </row>
    <row r="91" spans="1:7" s="323" customFormat="1" ht="13.5" customHeight="1" x14ac:dyDescent="0.25">
      <c r="A91" s="374"/>
      <c r="C91" s="375"/>
      <c r="D91" s="55"/>
      <c r="E91" s="408" t="s">
        <v>174</v>
      </c>
      <c r="F91" s="377"/>
    </row>
    <row r="92" spans="1:7" s="323" customFormat="1" ht="13.5" customHeight="1" x14ac:dyDescent="0.25">
      <c r="A92" s="374"/>
      <c r="C92" s="375"/>
      <c r="D92" s="48"/>
      <c r="E92" s="403" t="s">
        <v>175</v>
      </c>
      <c r="F92" s="381"/>
      <c r="G92" s="409"/>
    </row>
    <row r="93" spans="1:7" s="323" customFormat="1" ht="13.5" customHeight="1" x14ac:dyDescent="0.25">
      <c r="A93" s="374"/>
      <c r="C93" s="375"/>
      <c r="D93" s="48"/>
      <c r="E93" s="394" t="s">
        <v>176</v>
      </c>
      <c r="F93" s="381"/>
    </row>
    <row r="94" spans="1:7" s="323" customFormat="1" ht="13.5" customHeight="1" x14ac:dyDescent="0.25">
      <c r="A94" s="374"/>
      <c r="C94" s="375"/>
      <c r="D94" s="48"/>
      <c r="E94" s="394" t="s">
        <v>177</v>
      </c>
      <c r="F94" s="381"/>
    </row>
    <row r="95" spans="1:7" s="323" customFormat="1" ht="13.5" customHeight="1" x14ac:dyDescent="0.25">
      <c r="A95" s="374"/>
      <c r="C95" s="375"/>
      <c r="D95" s="48"/>
      <c r="E95" s="395" t="s">
        <v>178</v>
      </c>
      <c r="F95" s="381"/>
    </row>
    <row r="96" spans="1:7" ht="51.75" customHeight="1" x14ac:dyDescent="0.25">
      <c r="A96" s="336">
        <v>10</v>
      </c>
      <c r="B96" s="336">
        <v>801</v>
      </c>
      <c r="C96" s="336">
        <v>80149</v>
      </c>
      <c r="D96" s="57" t="s">
        <v>129</v>
      </c>
      <c r="E96" s="342" t="s">
        <v>179</v>
      </c>
      <c r="F96" s="338">
        <f>5113118.41+55575.11-444408-100000+100000+800000</f>
        <v>5524285.5200000005</v>
      </c>
    </row>
    <row r="97" spans="1:6" s="323" customFormat="1" ht="13.5" customHeight="1" x14ac:dyDescent="0.25">
      <c r="A97" s="374"/>
      <c r="C97" s="375"/>
      <c r="D97" s="48"/>
      <c r="E97" s="380" t="s">
        <v>144</v>
      </c>
      <c r="F97" s="381"/>
    </row>
    <row r="98" spans="1:6" s="323" customFormat="1" ht="13.5" customHeight="1" x14ac:dyDescent="0.25">
      <c r="A98" s="374"/>
      <c r="C98" s="375"/>
      <c r="D98" s="48"/>
      <c r="E98" s="380" t="s">
        <v>180</v>
      </c>
      <c r="F98" s="381"/>
    </row>
    <row r="99" spans="1:6" s="323" customFormat="1" ht="13.5" customHeight="1" x14ac:dyDescent="0.25">
      <c r="A99" s="374"/>
      <c r="C99" s="375"/>
      <c r="D99" s="48"/>
      <c r="E99" s="410" t="s">
        <v>135</v>
      </c>
      <c r="F99" s="377"/>
    </row>
    <row r="100" spans="1:6" s="323" customFormat="1" ht="13.5" customHeight="1" x14ac:dyDescent="0.25">
      <c r="A100" s="374"/>
      <c r="C100" s="375"/>
      <c r="D100" s="48"/>
      <c r="E100" s="394" t="s">
        <v>137</v>
      </c>
      <c r="F100" s="381"/>
    </row>
    <row r="101" spans="1:6" s="323" customFormat="1" ht="13.5" customHeight="1" x14ac:dyDescent="0.25">
      <c r="A101" s="374"/>
      <c r="C101" s="375"/>
      <c r="D101" s="48"/>
      <c r="E101" s="380" t="s">
        <v>181</v>
      </c>
      <c r="F101" s="381"/>
    </row>
    <row r="102" spans="1:6" s="323" customFormat="1" ht="13.5" customHeight="1" x14ac:dyDescent="0.25">
      <c r="A102" s="374"/>
      <c r="C102" s="375"/>
      <c r="D102" s="48"/>
      <c r="E102" s="380" t="s">
        <v>182</v>
      </c>
      <c r="F102" s="381"/>
    </row>
    <row r="103" spans="1:6" s="323" customFormat="1" ht="13.5" customHeight="1" x14ac:dyDescent="0.25">
      <c r="A103" s="374"/>
      <c r="C103" s="375"/>
      <c r="D103" s="48"/>
      <c r="E103" s="380" t="s">
        <v>145</v>
      </c>
      <c r="F103" s="381"/>
    </row>
    <row r="104" spans="1:6" s="323" customFormat="1" ht="13.5" customHeight="1" x14ac:dyDescent="0.25">
      <c r="A104" s="374"/>
      <c r="C104" s="375"/>
      <c r="D104" s="48"/>
      <c r="E104" s="380" t="s">
        <v>140</v>
      </c>
      <c r="F104" s="381"/>
    </row>
    <row r="105" spans="1:6" s="323" customFormat="1" ht="13.5" customHeight="1" x14ac:dyDescent="0.25">
      <c r="A105" s="374"/>
      <c r="C105" s="375"/>
      <c r="D105" s="47"/>
      <c r="E105" s="394" t="s">
        <v>136</v>
      </c>
      <c r="F105" s="381"/>
    </row>
    <row r="106" spans="1:6" s="323" customFormat="1" ht="13.5" customHeight="1" x14ac:dyDescent="0.25">
      <c r="A106" s="374"/>
      <c r="C106" s="375"/>
      <c r="D106" s="48"/>
      <c r="E106" s="394" t="s">
        <v>143</v>
      </c>
      <c r="F106" s="381"/>
    </row>
    <row r="107" spans="1:6" s="323" customFormat="1" ht="13.5" customHeight="1" x14ac:dyDescent="0.25">
      <c r="A107" s="374"/>
      <c r="C107" s="375"/>
      <c r="D107" s="48"/>
      <c r="E107" s="394" t="s">
        <v>139</v>
      </c>
      <c r="F107" s="381"/>
    </row>
    <row r="108" spans="1:6" s="323" customFormat="1" ht="13.5" customHeight="1" x14ac:dyDescent="0.25">
      <c r="A108" s="374"/>
      <c r="C108" s="375"/>
      <c r="D108" s="48"/>
      <c r="E108" s="410" t="s">
        <v>146</v>
      </c>
      <c r="F108" s="377"/>
    </row>
    <row r="109" spans="1:6" s="323" customFormat="1" ht="13.5" customHeight="1" x14ac:dyDescent="0.25">
      <c r="A109" s="374"/>
      <c r="C109" s="375"/>
      <c r="D109" s="48"/>
      <c r="E109" s="379" t="s">
        <v>148</v>
      </c>
      <c r="F109" s="377"/>
    </row>
    <row r="110" spans="1:6" s="323" customFormat="1" ht="13.5" customHeight="1" x14ac:dyDescent="0.25">
      <c r="A110" s="382"/>
      <c r="B110" s="383"/>
      <c r="C110" s="384"/>
      <c r="D110" s="51"/>
      <c r="E110" s="411" t="s">
        <v>147</v>
      </c>
      <c r="F110" s="386"/>
    </row>
    <row r="111" spans="1:6" ht="30" customHeight="1" x14ac:dyDescent="0.25">
      <c r="A111" s="336">
        <v>11</v>
      </c>
      <c r="B111" s="336">
        <v>801</v>
      </c>
      <c r="C111" s="336">
        <v>80150</v>
      </c>
      <c r="D111" s="57" t="s">
        <v>129</v>
      </c>
      <c r="E111" s="342" t="s">
        <v>183</v>
      </c>
      <c r="F111" s="338">
        <f>434541.03+548526.98+170000+300000-130000</f>
        <v>1323068.01</v>
      </c>
    </row>
    <row r="112" spans="1:6" s="323" customFormat="1" ht="13.5" customHeight="1" x14ac:dyDescent="0.25">
      <c r="A112" s="374"/>
      <c r="C112" s="375"/>
      <c r="D112" s="48"/>
      <c r="E112" s="403" t="s">
        <v>184</v>
      </c>
      <c r="F112" s="381"/>
    </row>
    <row r="113" spans="1:7" s="323" customFormat="1" ht="25.9" customHeight="1" x14ac:dyDescent="0.25">
      <c r="A113" s="374"/>
      <c r="C113" s="375"/>
      <c r="D113" s="48"/>
      <c r="E113" s="380" t="s">
        <v>133</v>
      </c>
      <c r="F113" s="381"/>
    </row>
    <row r="114" spans="1:7" s="323" customFormat="1" ht="14.25" customHeight="1" x14ac:dyDescent="0.25">
      <c r="A114" s="374"/>
      <c r="C114" s="375"/>
      <c r="D114" s="48"/>
      <c r="E114" s="379" t="s">
        <v>132</v>
      </c>
      <c r="F114" s="381"/>
    </row>
    <row r="115" spans="1:7" s="323" customFormat="1" ht="13.5" customHeight="1" x14ac:dyDescent="0.25">
      <c r="A115" s="374"/>
      <c r="C115" s="375"/>
      <c r="D115" s="48"/>
      <c r="E115" s="380" t="s">
        <v>130</v>
      </c>
      <c r="F115" s="381"/>
    </row>
    <row r="116" spans="1:7" s="323" customFormat="1" ht="13.5" customHeight="1" x14ac:dyDescent="0.25">
      <c r="A116" s="382"/>
      <c r="B116" s="383"/>
      <c r="C116" s="384"/>
      <c r="D116" s="51"/>
      <c r="E116" s="385" t="s">
        <v>131</v>
      </c>
      <c r="F116" s="386"/>
      <c r="G116" s="378"/>
    </row>
    <row r="117" spans="1:7" ht="13.5" customHeight="1" x14ac:dyDescent="0.25">
      <c r="A117" s="357">
        <v>12</v>
      </c>
      <c r="B117" s="357">
        <v>801</v>
      </c>
      <c r="C117" s="357">
        <v>80151</v>
      </c>
      <c r="D117" s="58">
        <v>2540</v>
      </c>
      <c r="E117" s="399" t="s">
        <v>185</v>
      </c>
      <c r="F117" s="358">
        <f>54992.29</f>
        <v>54992.29</v>
      </c>
    </row>
    <row r="118" spans="1:7" s="323" customFormat="1" ht="13.5" customHeight="1" x14ac:dyDescent="0.25">
      <c r="A118" s="390"/>
      <c r="B118" s="391"/>
      <c r="C118" s="392"/>
      <c r="D118" s="59"/>
      <c r="E118" s="402" t="s">
        <v>186</v>
      </c>
      <c r="F118" s="389"/>
    </row>
    <row r="119" spans="1:7" s="323" customFormat="1" ht="13.5" customHeight="1" x14ac:dyDescent="0.25">
      <c r="A119" s="382"/>
      <c r="B119" s="383"/>
      <c r="C119" s="384"/>
      <c r="D119" s="60"/>
      <c r="E119" s="396" t="s">
        <v>159</v>
      </c>
      <c r="F119" s="386"/>
    </row>
    <row r="120" spans="1:7" ht="78.75" customHeight="1" x14ac:dyDescent="0.25">
      <c r="A120" s="336">
        <v>13</v>
      </c>
      <c r="B120" s="336">
        <v>801</v>
      </c>
      <c r="C120" s="336">
        <v>80152</v>
      </c>
      <c r="D120" s="57" t="s">
        <v>129</v>
      </c>
      <c r="E120" s="342" t="s">
        <v>187</v>
      </c>
      <c r="F120" s="338">
        <f>944760.81+461079.88+180000+400000</f>
        <v>1985840.69</v>
      </c>
    </row>
    <row r="121" spans="1:7" s="323" customFormat="1" ht="13.5" customHeight="1" x14ac:dyDescent="0.25">
      <c r="A121" s="374"/>
      <c r="C121" s="375"/>
      <c r="D121" s="48"/>
      <c r="E121" s="376" t="s">
        <v>165</v>
      </c>
      <c r="F121" s="377"/>
    </row>
    <row r="122" spans="1:7" s="323" customFormat="1" ht="13.5" customHeight="1" x14ac:dyDescent="0.25">
      <c r="A122" s="382"/>
      <c r="B122" s="383"/>
      <c r="C122" s="384"/>
      <c r="D122" s="51"/>
      <c r="E122" s="412" t="s">
        <v>171</v>
      </c>
      <c r="F122" s="406"/>
    </row>
    <row r="123" spans="1:7" s="323" customFormat="1" ht="13.5" customHeight="1" x14ac:dyDescent="0.25">
      <c r="A123" s="374"/>
      <c r="C123" s="375"/>
      <c r="D123" s="47"/>
      <c r="E123" s="413" t="s">
        <v>152</v>
      </c>
      <c r="F123" s="377"/>
    </row>
    <row r="124" spans="1:7" s="323" customFormat="1" ht="22.9" customHeight="1" x14ac:dyDescent="0.25">
      <c r="A124" s="374"/>
      <c r="C124" s="375"/>
      <c r="D124" s="48"/>
      <c r="E124" s="380" t="s">
        <v>168</v>
      </c>
      <c r="F124" s="377"/>
    </row>
    <row r="125" spans="1:7" s="323" customFormat="1" ht="24.75" customHeight="1" x14ac:dyDescent="0.25">
      <c r="A125" s="374"/>
      <c r="C125" s="375"/>
      <c r="D125" s="48"/>
      <c r="E125" s="380" t="s">
        <v>169</v>
      </c>
      <c r="F125" s="381"/>
    </row>
    <row r="126" spans="1:7" s="323" customFormat="1" ht="13.5" customHeight="1" x14ac:dyDescent="0.25">
      <c r="A126" s="374"/>
      <c r="C126" s="375"/>
      <c r="D126" s="48"/>
      <c r="E126" s="394" t="s">
        <v>170</v>
      </c>
      <c r="F126" s="381"/>
    </row>
    <row r="127" spans="1:7" s="323" customFormat="1" ht="24" customHeight="1" x14ac:dyDescent="0.25">
      <c r="A127" s="382"/>
      <c r="B127" s="383"/>
      <c r="C127" s="384"/>
      <c r="D127" s="51"/>
      <c r="E127" s="385" t="s">
        <v>166</v>
      </c>
      <c r="F127" s="386"/>
    </row>
    <row r="128" spans="1:7" ht="15.75" customHeight="1" x14ac:dyDescent="0.25">
      <c r="A128" s="414">
        <v>14</v>
      </c>
      <c r="B128" s="414">
        <v>853</v>
      </c>
      <c r="C128" s="414">
        <v>85311</v>
      </c>
      <c r="D128" s="61">
        <v>2580</v>
      </c>
      <c r="E128" s="415" t="s">
        <v>188</v>
      </c>
      <c r="F128" s="343">
        <f>293325+27500</f>
        <v>320825</v>
      </c>
    </row>
    <row r="129" spans="1:6" s="323" customFormat="1" ht="13.5" customHeight="1" x14ac:dyDescent="0.25">
      <c r="A129" s="369"/>
      <c r="B129" s="370"/>
      <c r="C129" s="384"/>
      <c r="D129" s="62"/>
      <c r="E129" s="383" t="s">
        <v>189</v>
      </c>
      <c r="F129" s="386"/>
    </row>
    <row r="130" spans="1:6" ht="15.75" customHeight="1" x14ac:dyDescent="0.25">
      <c r="A130" s="357">
        <v>15</v>
      </c>
      <c r="B130" s="357">
        <v>854</v>
      </c>
      <c r="C130" s="40">
        <v>85402</v>
      </c>
      <c r="D130" s="61">
        <v>2540</v>
      </c>
      <c r="E130" s="319" t="s">
        <v>190</v>
      </c>
      <c r="F130" s="358">
        <f>1138913.09+260000</f>
        <v>1398913.09</v>
      </c>
    </row>
    <row r="131" spans="1:6" s="323" customFormat="1" ht="13.5" customHeight="1" x14ac:dyDescent="0.25">
      <c r="A131" s="369"/>
      <c r="B131" s="370"/>
      <c r="C131" s="371"/>
      <c r="D131" s="54"/>
      <c r="E131" s="416" t="s">
        <v>191</v>
      </c>
      <c r="F131" s="373"/>
    </row>
    <row r="132" spans="1:6" ht="25.5" customHeight="1" x14ac:dyDescent="0.25">
      <c r="A132" s="336">
        <v>16</v>
      </c>
      <c r="B132" s="336">
        <v>854</v>
      </c>
      <c r="C132" s="336">
        <v>85404</v>
      </c>
      <c r="D132" s="63" t="s">
        <v>129</v>
      </c>
      <c r="E132" s="401" t="s">
        <v>192</v>
      </c>
      <c r="F132" s="338">
        <f>1189786.53+20000+250000</f>
        <v>1459786.53</v>
      </c>
    </row>
    <row r="133" spans="1:6" s="323" customFormat="1" ht="13.5" customHeight="1" x14ac:dyDescent="0.25">
      <c r="A133" s="374"/>
      <c r="C133" s="375"/>
      <c r="D133" s="48"/>
      <c r="E133" s="395" t="s">
        <v>146</v>
      </c>
      <c r="F133" s="377"/>
    </row>
    <row r="134" spans="1:6" s="323" customFormat="1" ht="13.5" customHeight="1" x14ac:dyDescent="0.25">
      <c r="A134" s="374"/>
      <c r="C134" s="375"/>
      <c r="D134" s="48"/>
      <c r="E134" s="417" t="s">
        <v>137</v>
      </c>
      <c r="F134" s="381"/>
    </row>
    <row r="135" spans="1:6" s="323" customFormat="1" ht="13.5" customHeight="1" x14ac:dyDescent="0.25">
      <c r="A135" s="374"/>
      <c r="C135" s="375"/>
      <c r="D135" s="48"/>
      <c r="E135" s="380" t="s">
        <v>180</v>
      </c>
      <c r="F135" s="381"/>
    </row>
    <row r="136" spans="1:6" s="323" customFormat="1" ht="13.5" customHeight="1" x14ac:dyDescent="0.25">
      <c r="A136" s="374"/>
      <c r="C136" s="375"/>
      <c r="D136" s="48"/>
      <c r="E136" s="380" t="s">
        <v>145</v>
      </c>
      <c r="F136" s="381"/>
    </row>
    <row r="137" spans="1:6" s="323" customFormat="1" ht="13.5" customHeight="1" x14ac:dyDescent="0.25">
      <c r="A137" s="374"/>
      <c r="C137" s="375"/>
      <c r="D137" s="48"/>
      <c r="E137" s="394" t="s">
        <v>141</v>
      </c>
      <c r="F137" s="381"/>
    </row>
    <row r="138" spans="1:6" s="323" customFormat="1" ht="13.5" customHeight="1" x14ac:dyDescent="0.25">
      <c r="A138" s="374"/>
      <c r="C138" s="375"/>
      <c r="D138" s="48"/>
      <c r="E138" s="380" t="s">
        <v>181</v>
      </c>
      <c r="F138" s="381"/>
    </row>
    <row r="139" spans="1:6" s="323" customFormat="1" ht="13.5" customHeight="1" x14ac:dyDescent="0.25">
      <c r="A139" s="374"/>
      <c r="C139" s="375"/>
      <c r="D139" s="48"/>
      <c r="E139" s="380" t="s">
        <v>140</v>
      </c>
      <c r="F139" s="381"/>
    </row>
    <row r="140" spans="1:6" s="323" customFormat="1" ht="13.5" customHeight="1" x14ac:dyDescent="0.25">
      <c r="A140" s="374"/>
      <c r="C140" s="375"/>
      <c r="D140" s="48"/>
      <c r="E140" s="410" t="s">
        <v>135</v>
      </c>
      <c r="F140" s="377"/>
    </row>
    <row r="141" spans="1:6" s="323" customFormat="1" ht="13.5" customHeight="1" x14ac:dyDescent="0.25">
      <c r="A141" s="382"/>
      <c r="B141" s="383"/>
      <c r="C141" s="384"/>
      <c r="D141" s="48"/>
      <c r="E141" s="379" t="s">
        <v>148</v>
      </c>
      <c r="F141" s="418"/>
    </row>
    <row r="142" spans="1:6" ht="25.5" customHeight="1" x14ac:dyDescent="0.25">
      <c r="A142" s="419">
        <v>17</v>
      </c>
      <c r="B142" s="419">
        <v>854</v>
      </c>
      <c r="C142" s="419">
        <v>85406</v>
      </c>
      <c r="D142" s="64">
        <v>2540</v>
      </c>
      <c r="E142" s="420" t="s">
        <v>193</v>
      </c>
      <c r="F142" s="338">
        <f>123905.02</f>
        <v>123905.02</v>
      </c>
    </row>
    <row r="143" spans="1:6" s="323" customFormat="1" ht="13.5" customHeight="1" x14ac:dyDescent="0.25">
      <c r="A143" s="390"/>
      <c r="B143" s="391"/>
      <c r="C143" s="392"/>
      <c r="D143" s="53"/>
      <c r="E143" s="421" t="s">
        <v>194</v>
      </c>
      <c r="F143" s="389"/>
    </row>
    <row r="144" spans="1:6" ht="14.25" customHeight="1" x14ac:dyDescent="0.25">
      <c r="A144" s="357">
        <v>18</v>
      </c>
      <c r="B144" s="357">
        <v>854</v>
      </c>
      <c r="C144" s="357">
        <v>85410</v>
      </c>
      <c r="D144" s="61">
        <v>2590</v>
      </c>
      <c r="E144" s="399" t="s">
        <v>195</v>
      </c>
      <c r="F144" s="358">
        <f>1565082.91+400000+400000</f>
        <v>2365082.91</v>
      </c>
    </row>
    <row r="145" spans="1:7" s="323" customFormat="1" ht="13.5" customHeight="1" x14ac:dyDescent="0.25">
      <c r="A145" s="369"/>
      <c r="B145" s="370"/>
      <c r="C145" s="371"/>
      <c r="D145" s="62"/>
      <c r="E145" s="383" t="s">
        <v>196</v>
      </c>
      <c r="F145" s="373"/>
    </row>
    <row r="146" spans="1:7" ht="14.25" customHeight="1" x14ac:dyDescent="0.25">
      <c r="A146" s="422"/>
      <c r="B146" s="423"/>
      <c r="C146" s="423"/>
      <c r="D146" s="14"/>
      <c r="E146" s="423" t="s">
        <v>126</v>
      </c>
      <c r="F146" s="424">
        <f>SUM(F42:F145)</f>
        <v>65563382.840000004</v>
      </c>
    </row>
    <row r="147" spans="1:7" ht="15.75" customHeight="1" x14ac:dyDescent="0.25">
      <c r="A147" s="425"/>
      <c r="B147" s="426"/>
      <c r="C147" s="426"/>
      <c r="D147" s="14"/>
      <c r="E147" s="426" t="s">
        <v>197</v>
      </c>
      <c r="F147" s="427">
        <f>SUM(F39,F146)</f>
        <v>101437550.2</v>
      </c>
    </row>
    <row r="149" spans="1:7" ht="12.6" customHeight="1" x14ac:dyDescent="0.25">
      <c r="A149" s="428"/>
      <c r="F149" s="341"/>
    </row>
    <row r="150" spans="1:7" x14ac:dyDescent="0.25">
      <c r="F150" s="341"/>
      <c r="G150" s="323"/>
    </row>
    <row r="151" spans="1:7" x14ac:dyDescent="0.25">
      <c r="F151" s="341"/>
      <c r="G151" s="323"/>
    </row>
    <row r="152" spans="1:7" x14ac:dyDescent="0.25">
      <c r="F152" s="341"/>
    </row>
    <row r="153" spans="1:7" x14ac:dyDescent="0.25">
      <c r="F153" s="341"/>
    </row>
    <row r="154" spans="1:7" x14ac:dyDescent="0.25">
      <c r="F154" s="341"/>
    </row>
    <row r="155" spans="1:7" x14ac:dyDescent="0.25">
      <c r="F155" s="341"/>
    </row>
    <row r="156" spans="1:7" x14ac:dyDescent="0.25">
      <c r="F156" s="341"/>
    </row>
  </sheetData>
  <pageMargins left="0.51181102362204722" right="0.51181102362204722" top="0.70866141732283472" bottom="0.74803149606299213" header="0.31496062992125984" footer="0.31496062992125984"/>
  <pageSetup paperSize="9" firstPageNumber="66" orientation="portrait" r:id="rId1"/>
  <headerFooter>
    <oddFooter>&amp;C&amp;"Arial Narrow,Normalny"&amp;8&amp;P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E1C2C-95CD-4BAE-A978-95AF97BCF774}">
  <sheetPr>
    <tabColor rgb="FF00B0F0"/>
  </sheetPr>
  <dimension ref="A1:G41"/>
  <sheetViews>
    <sheetView zoomScale="130" zoomScaleNormal="130" workbookViewId="0"/>
  </sheetViews>
  <sheetFormatPr defaultRowHeight="15" x14ac:dyDescent="0.25"/>
  <cols>
    <col min="1" max="1" width="4.42578125" style="496" customWidth="1"/>
    <col min="2" max="2" width="7.5703125" style="496" customWidth="1"/>
    <col min="3" max="3" width="50.85546875" style="496" customWidth="1"/>
    <col min="4" max="4" width="14.85546875" style="496" customWidth="1"/>
    <col min="5" max="5" width="14" style="496" customWidth="1"/>
    <col min="6" max="6" width="14.140625" style="496" customWidth="1"/>
    <col min="7" max="7" width="14.7109375" style="496" customWidth="1"/>
    <col min="8" max="256" width="9.140625" style="496"/>
    <col min="257" max="257" width="4.42578125" style="496" customWidth="1"/>
    <col min="258" max="258" width="7.5703125" style="496" customWidth="1"/>
    <col min="259" max="259" width="47.42578125" style="496" customWidth="1"/>
    <col min="260" max="260" width="14.85546875" style="496" customWidth="1"/>
    <col min="261" max="261" width="14" style="496" customWidth="1"/>
    <col min="262" max="262" width="14.140625" style="496" customWidth="1"/>
    <col min="263" max="263" width="14.7109375" style="496" customWidth="1"/>
    <col min="264" max="512" width="9.140625" style="496"/>
    <col min="513" max="513" width="4.42578125" style="496" customWidth="1"/>
    <col min="514" max="514" width="7.5703125" style="496" customWidth="1"/>
    <col min="515" max="515" width="47.42578125" style="496" customWidth="1"/>
    <col min="516" max="516" width="14.85546875" style="496" customWidth="1"/>
    <col min="517" max="517" width="14" style="496" customWidth="1"/>
    <col min="518" max="518" width="14.140625" style="496" customWidth="1"/>
    <col min="519" max="519" width="14.7109375" style="496" customWidth="1"/>
    <col min="520" max="768" width="9.140625" style="496"/>
    <col min="769" max="769" width="4.42578125" style="496" customWidth="1"/>
    <col min="770" max="770" width="7.5703125" style="496" customWidth="1"/>
    <col min="771" max="771" width="47.42578125" style="496" customWidth="1"/>
    <col min="772" max="772" width="14.85546875" style="496" customWidth="1"/>
    <col min="773" max="773" width="14" style="496" customWidth="1"/>
    <col min="774" max="774" width="14.140625" style="496" customWidth="1"/>
    <col min="775" max="775" width="14.7109375" style="496" customWidth="1"/>
    <col min="776" max="1024" width="9.140625" style="496"/>
    <col min="1025" max="1025" width="4.42578125" style="496" customWidth="1"/>
    <col min="1026" max="1026" width="7.5703125" style="496" customWidth="1"/>
    <col min="1027" max="1027" width="47.42578125" style="496" customWidth="1"/>
    <col min="1028" max="1028" width="14.85546875" style="496" customWidth="1"/>
    <col min="1029" max="1029" width="14" style="496" customWidth="1"/>
    <col min="1030" max="1030" width="14.140625" style="496" customWidth="1"/>
    <col min="1031" max="1031" width="14.7109375" style="496" customWidth="1"/>
    <col min="1032" max="1280" width="9.140625" style="496"/>
    <col min="1281" max="1281" width="4.42578125" style="496" customWidth="1"/>
    <col min="1282" max="1282" width="7.5703125" style="496" customWidth="1"/>
    <col min="1283" max="1283" width="47.42578125" style="496" customWidth="1"/>
    <col min="1284" max="1284" width="14.85546875" style="496" customWidth="1"/>
    <col min="1285" max="1285" width="14" style="496" customWidth="1"/>
    <col min="1286" max="1286" width="14.140625" style="496" customWidth="1"/>
    <col min="1287" max="1287" width="14.7109375" style="496" customWidth="1"/>
    <col min="1288" max="1536" width="9.140625" style="496"/>
    <col min="1537" max="1537" width="4.42578125" style="496" customWidth="1"/>
    <col min="1538" max="1538" width="7.5703125" style="496" customWidth="1"/>
    <col min="1539" max="1539" width="47.42578125" style="496" customWidth="1"/>
    <col min="1540" max="1540" width="14.85546875" style="496" customWidth="1"/>
    <col min="1541" max="1541" width="14" style="496" customWidth="1"/>
    <col min="1542" max="1542" width="14.140625" style="496" customWidth="1"/>
    <col min="1543" max="1543" width="14.7109375" style="496" customWidth="1"/>
    <col min="1544" max="1792" width="9.140625" style="496"/>
    <col min="1793" max="1793" width="4.42578125" style="496" customWidth="1"/>
    <col min="1794" max="1794" width="7.5703125" style="496" customWidth="1"/>
    <col min="1795" max="1795" width="47.42578125" style="496" customWidth="1"/>
    <col min="1796" max="1796" width="14.85546875" style="496" customWidth="1"/>
    <col min="1797" max="1797" width="14" style="496" customWidth="1"/>
    <col min="1798" max="1798" width="14.140625" style="496" customWidth="1"/>
    <col min="1799" max="1799" width="14.7109375" style="496" customWidth="1"/>
    <col min="1800" max="2048" width="9.140625" style="496"/>
    <col min="2049" max="2049" width="4.42578125" style="496" customWidth="1"/>
    <col min="2050" max="2050" width="7.5703125" style="496" customWidth="1"/>
    <col min="2051" max="2051" width="47.42578125" style="496" customWidth="1"/>
    <col min="2052" max="2052" width="14.85546875" style="496" customWidth="1"/>
    <col min="2053" max="2053" width="14" style="496" customWidth="1"/>
    <col min="2054" max="2054" width="14.140625" style="496" customWidth="1"/>
    <col min="2055" max="2055" width="14.7109375" style="496" customWidth="1"/>
    <col min="2056" max="2304" width="9.140625" style="496"/>
    <col min="2305" max="2305" width="4.42578125" style="496" customWidth="1"/>
    <col min="2306" max="2306" width="7.5703125" style="496" customWidth="1"/>
    <col min="2307" max="2307" width="47.42578125" style="496" customWidth="1"/>
    <col min="2308" max="2308" width="14.85546875" style="496" customWidth="1"/>
    <col min="2309" max="2309" width="14" style="496" customWidth="1"/>
    <col min="2310" max="2310" width="14.140625" style="496" customWidth="1"/>
    <col min="2311" max="2311" width="14.7109375" style="496" customWidth="1"/>
    <col min="2312" max="2560" width="9.140625" style="496"/>
    <col min="2561" max="2561" width="4.42578125" style="496" customWidth="1"/>
    <col min="2562" max="2562" width="7.5703125" style="496" customWidth="1"/>
    <col min="2563" max="2563" width="47.42578125" style="496" customWidth="1"/>
    <col min="2564" max="2564" width="14.85546875" style="496" customWidth="1"/>
    <col min="2565" max="2565" width="14" style="496" customWidth="1"/>
    <col min="2566" max="2566" width="14.140625" style="496" customWidth="1"/>
    <col min="2567" max="2567" width="14.7109375" style="496" customWidth="1"/>
    <col min="2568" max="2816" width="9.140625" style="496"/>
    <col min="2817" max="2817" width="4.42578125" style="496" customWidth="1"/>
    <col min="2818" max="2818" width="7.5703125" style="496" customWidth="1"/>
    <col min="2819" max="2819" width="47.42578125" style="496" customWidth="1"/>
    <col min="2820" max="2820" width="14.85546875" style="496" customWidth="1"/>
    <col min="2821" max="2821" width="14" style="496" customWidth="1"/>
    <col min="2822" max="2822" width="14.140625" style="496" customWidth="1"/>
    <col min="2823" max="2823" width="14.7109375" style="496" customWidth="1"/>
    <col min="2824" max="3072" width="9.140625" style="496"/>
    <col min="3073" max="3073" width="4.42578125" style="496" customWidth="1"/>
    <col min="3074" max="3074" width="7.5703125" style="496" customWidth="1"/>
    <col min="3075" max="3075" width="47.42578125" style="496" customWidth="1"/>
    <col min="3076" max="3076" width="14.85546875" style="496" customWidth="1"/>
    <col min="3077" max="3077" width="14" style="496" customWidth="1"/>
    <col min="3078" max="3078" width="14.140625" style="496" customWidth="1"/>
    <col min="3079" max="3079" width="14.7109375" style="496" customWidth="1"/>
    <col min="3080" max="3328" width="9.140625" style="496"/>
    <col min="3329" max="3329" width="4.42578125" style="496" customWidth="1"/>
    <col min="3330" max="3330" width="7.5703125" style="496" customWidth="1"/>
    <col min="3331" max="3331" width="47.42578125" style="496" customWidth="1"/>
    <col min="3332" max="3332" width="14.85546875" style="496" customWidth="1"/>
    <col min="3333" max="3333" width="14" style="496" customWidth="1"/>
    <col min="3334" max="3334" width="14.140625" style="496" customWidth="1"/>
    <col min="3335" max="3335" width="14.7109375" style="496" customWidth="1"/>
    <col min="3336" max="3584" width="9.140625" style="496"/>
    <col min="3585" max="3585" width="4.42578125" style="496" customWidth="1"/>
    <col min="3586" max="3586" width="7.5703125" style="496" customWidth="1"/>
    <col min="3587" max="3587" width="47.42578125" style="496" customWidth="1"/>
    <col min="3588" max="3588" width="14.85546875" style="496" customWidth="1"/>
    <col min="3589" max="3589" width="14" style="496" customWidth="1"/>
    <col min="3590" max="3590" width="14.140625" style="496" customWidth="1"/>
    <col min="3591" max="3591" width="14.7109375" style="496" customWidth="1"/>
    <col min="3592" max="3840" width="9.140625" style="496"/>
    <col min="3841" max="3841" width="4.42578125" style="496" customWidth="1"/>
    <col min="3842" max="3842" width="7.5703125" style="496" customWidth="1"/>
    <col min="3843" max="3843" width="47.42578125" style="496" customWidth="1"/>
    <col min="3844" max="3844" width="14.85546875" style="496" customWidth="1"/>
    <col min="3845" max="3845" width="14" style="496" customWidth="1"/>
    <col min="3846" max="3846" width="14.140625" style="496" customWidth="1"/>
    <col min="3847" max="3847" width="14.7109375" style="496" customWidth="1"/>
    <col min="3848" max="4096" width="9.140625" style="496"/>
    <col min="4097" max="4097" width="4.42578125" style="496" customWidth="1"/>
    <col min="4098" max="4098" width="7.5703125" style="496" customWidth="1"/>
    <col min="4099" max="4099" width="47.42578125" style="496" customWidth="1"/>
    <col min="4100" max="4100" width="14.85546875" style="496" customWidth="1"/>
    <col min="4101" max="4101" width="14" style="496" customWidth="1"/>
    <col min="4102" max="4102" width="14.140625" style="496" customWidth="1"/>
    <col min="4103" max="4103" width="14.7109375" style="496" customWidth="1"/>
    <col min="4104" max="4352" width="9.140625" style="496"/>
    <col min="4353" max="4353" width="4.42578125" style="496" customWidth="1"/>
    <col min="4354" max="4354" width="7.5703125" style="496" customWidth="1"/>
    <col min="4355" max="4355" width="47.42578125" style="496" customWidth="1"/>
    <col min="4356" max="4356" width="14.85546875" style="496" customWidth="1"/>
    <col min="4357" max="4357" width="14" style="496" customWidth="1"/>
    <col min="4358" max="4358" width="14.140625" style="496" customWidth="1"/>
    <col min="4359" max="4359" width="14.7109375" style="496" customWidth="1"/>
    <col min="4360" max="4608" width="9.140625" style="496"/>
    <col min="4609" max="4609" width="4.42578125" style="496" customWidth="1"/>
    <col min="4610" max="4610" width="7.5703125" style="496" customWidth="1"/>
    <col min="4611" max="4611" width="47.42578125" style="496" customWidth="1"/>
    <col min="4612" max="4612" width="14.85546875" style="496" customWidth="1"/>
    <col min="4613" max="4613" width="14" style="496" customWidth="1"/>
    <col min="4614" max="4614" width="14.140625" style="496" customWidth="1"/>
    <col min="4615" max="4615" width="14.7109375" style="496" customWidth="1"/>
    <col min="4616" max="4864" width="9.140625" style="496"/>
    <col min="4865" max="4865" width="4.42578125" style="496" customWidth="1"/>
    <col min="4866" max="4866" width="7.5703125" style="496" customWidth="1"/>
    <col min="4867" max="4867" width="47.42578125" style="496" customWidth="1"/>
    <col min="4868" max="4868" width="14.85546875" style="496" customWidth="1"/>
    <col min="4869" max="4869" width="14" style="496" customWidth="1"/>
    <col min="4870" max="4870" width="14.140625" style="496" customWidth="1"/>
    <col min="4871" max="4871" width="14.7109375" style="496" customWidth="1"/>
    <col min="4872" max="5120" width="9.140625" style="496"/>
    <col min="5121" max="5121" width="4.42578125" style="496" customWidth="1"/>
    <col min="5122" max="5122" width="7.5703125" style="496" customWidth="1"/>
    <col min="5123" max="5123" width="47.42578125" style="496" customWidth="1"/>
    <col min="5124" max="5124" width="14.85546875" style="496" customWidth="1"/>
    <col min="5125" max="5125" width="14" style="496" customWidth="1"/>
    <col min="5126" max="5126" width="14.140625" style="496" customWidth="1"/>
    <col min="5127" max="5127" width="14.7109375" style="496" customWidth="1"/>
    <col min="5128" max="5376" width="9.140625" style="496"/>
    <col min="5377" max="5377" width="4.42578125" style="496" customWidth="1"/>
    <col min="5378" max="5378" width="7.5703125" style="496" customWidth="1"/>
    <col min="5379" max="5379" width="47.42578125" style="496" customWidth="1"/>
    <col min="5380" max="5380" width="14.85546875" style="496" customWidth="1"/>
    <col min="5381" max="5381" width="14" style="496" customWidth="1"/>
    <col min="5382" max="5382" width="14.140625" style="496" customWidth="1"/>
    <col min="5383" max="5383" width="14.7109375" style="496" customWidth="1"/>
    <col min="5384" max="5632" width="9.140625" style="496"/>
    <col min="5633" max="5633" width="4.42578125" style="496" customWidth="1"/>
    <col min="5634" max="5634" width="7.5703125" style="496" customWidth="1"/>
    <col min="5635" max="5635" width="47.42578125" style="496" customWidth="1"/>
    <col min="5636" max="5636" width="14.85546875" style="496" customWidth="1"/>
    <col min="5637" max="5637" width="14" style="496" customWidth="1"/>
    <col min="5638" max="5638" width="14.140625" style="496" customWidth="1"/>
    <col min="5639" max="5639" width="14.7109375" style="496" customWidth="1"/>
    <col min="5640" max="5888" width="9.140625" style="496"/>
    <col min="5889" max="5889" width="4.42578125" style="496" customWidth="1"/>
    <col min="5890" max="5890" width="7.5703125" style="496" customWidth="1"/>
    <col min="5891" max="5891" width="47.42578125" style="496" customWidth="1"/>
    <col min="5892" max="5892" width="14.85546875" style="496" customWidth="1"/>
    <col min="5893" max="5893" width="14" style="496" customWidth="1"/>
    <col min="5894" max="5894" width="14.140625" style="496" customWidth="1"/>
    <col min="5895" max="5895" width="14.7109375" style="496" customWidth="1"/>
    <col min="5896" max="6144" width="9.140625" style="496"/>
    <col min="6145" max="6145" width="4.42578125" style="496" customWidth="1"/>
    <col min="6146" max="6146" width="7.5703125" style="496" customWidth="1"/>
    <col min="6147" max="6147" width="47.42578125" style="496" customWidth="1"/>
    <col min="6148" max="6148" width="14.85546875" style="496" customWidth="1"/>
    <col min="6149" max="6149" width="14" style="496" customWidth="1"/>
    <col min="6150" max="6150" width="14.140625" style="496" customWidth="1"/>
    <col min="6151" max="6151" width="14.7109375" style="496" customWidth="1"/>
    <col min="6152" max="6400" width="9.140625" style="496"/>
    <col min="6401" max="6401" width="4.42578125" style="496" customWidth="1"/>
    <col min="6402" max="6402" width="7.5703125" style="496" customWidth="1"/>
    <col min="6403" max="6403" width="47.42578125" style="496" customWidth="1"/>
    <col min="6404" max="6404" width="14.85546875" style="496" customWidth="1"/>
    <col min="6405" max="6405" width="14" style="496" customWidth="1"/>
    <col min="6406" max="6406" width="14.140625" style="496" customWidth="1"/>
    <col min="6407" max="6407" width="14.7109375" style="496" customWidth="1"/>
    <col min="6408" max="6656" width="9.140625" style="496"/>
    <col min="6657" max="6657" width="4.42578125" style="496" customWidth="1"/>
    <col min="6658" max="6658" width="7.5703125" style="496" customWidth="1"/>
    <col min="6659" max="6659" width="47.42578125" style="496" customWidth="1"/>
    <col min="6660" max="6660" width="14.85546875" style="496" customWidth="1"/>
    <col min="6661" max="6661" width="14" style="496" customWidth="1"/>
    <col min="6662" max="6662" width="14.140625" style="496" customWidth="1"/>
    <col min="6663" max="6663" width="14.7109375" style="496" customWidth="1"/>
    <col min="6664" max="6912" width="9.140625" style="496"/>
    <col min="6913" max="6913" width="4.42578125" style="496" customWidth="1"/>
    <col min="6914" max="6914" width="7.5703125" style="496" customWidth="1"/>
    <col min="6915" max="6915" width="47.42578125" style="496" customWidth="1"/>
    <col min="6916" max="6916" width="14.85546875" style="496" customWidth="1"/>
    <col min="6917" max="6917" width="14" style="496" customWidth="1"/>
    <col min="6918" max="6918" width="14.140625" style="496" customWidth="1"/>
    <col min="6919" max="6919" width="14.7109375" style="496" customWidth="1"/>
    <col min="6920" max="7168" width="9.140625" style="496"/>
    <col min="7169" max="7169" width="4.42578125" style="496" customWidth="1"/>
    <col min="7170" max="7170" width="7.5703125" style="496" customWidth="1"/>
    <col min="7171" max="7171" width="47.42578125" style="496" customWidth="1"/>
    <col min="7172" max="7172" width="14.85546875" style="496" customWidth="1"/>
    <col min="7173" max="7173" width="14" style="496" customWidth="1"/>
    <col min="7174" max="7174" width="14.140625" style="496" customWidth="1"/>
    <col min="7175" max="7175" width="14.7109375" style="496" customWidth="1"/>
    <col min="7176" max="7424" width="9.140625" style="496"/>
    <col min="7425" max="7425" width="4.42578125" style="496" customWidth="1"/>
    <col min="7426" max="7426" width="7.5703125" style="496" customWidth="1"/>
    <col min="7427" max="7427" width="47.42578125" style="496" customWidth="1"/>
    <col min="7428" max="7428" width="14.85546875" style="496" customWidth="1"/>
    <col min="7429" max="7429" width="14" style="496" customWidth="1"/>
    <col min="7430" max="7430" width="14.140625" style="496" customWidth="1"/>
    <col min="7431" max="7431" width="14.7109375" style="496" customWidth="1"/>
    <col min="7432" max="7680" width="9.140625" style="496"/>
    <col min="7681" max="7681" width="4.42578125" style="496" customWidth="1"/>
    <col min="7682" max="7682" width="7.5703125" style="496" customWidth="1"/>
    <col min="7683" max="7683" width="47.42578125" style="496" customWidth="1"/>
    <col min="7684" max="7684" width="14.85546875" style="496" customWidth="1"/>
    <col min="7685" max="7685" width="14" style="496" customWidth="1"/>
    <col min="7686" max="7686" width="14.140625" style="496" customWidth="1"/>
    <col min="7687" max="7687" width="14.7109375" style="496" customWidth="1"/>
    <col min="7688" max="7936" width="9.140625" style="496"/>
    <col min="7937" max="7937" width="4.42578125" style="496" customWidth="1"/>
    <col min="7938" max="7938" width="7.5703125" style="496" customWidth="1"/>
    <col min="7939" max="7939" width="47.42578125" style="496" customWidth="1"/>
    <col min="7940" max="7940" width="14.85546875" style="496" customWidth="1"/>
    <col min="7941" max="7941" width="14" style="496" customWidth="1"/>
    <col min="7942" max="7942" width="14.140625" style="496" customWidth="1"/>
    <col min="7943" max="7943" width="14.7109375" style="496" customWidth="1"/>
    <col min="7944" max="8192" width="9.140625" style="496"/>
    <col min="8193" max="8193" width="4.42578125" style="496" customWidth="1"/>
    <col min="8194" max="8194" width="7.5703125" style="496" customWidth="1"/>
    <col min="8195" max="8195" width="47.42578125" style="496" customWidth="1"/>
    <col min="8196" max="8196" width="14.85546875" style="496" customWidth="1"/>
    <col min="8197" max="8197" width="14" style="496" customWidth="1"/>
    <col min="8198" max="8198" width="14.140625" style="496" customWidth="1"/>
    <col min="8199" max="8199" width="14.7109375" style="496" customWidth="1"/>
    <col min="8200" max="8448" width="9.140625" style="496"/>
    <col min="8449" max="8449" width="4.42578125" style="496" customWidth="1"/>
    <col min="8450" max="8450" width="7.5703125" style="496" customWidth="1"/>
    <col min="8451" max="8451" width="47.42578125" style="496" customWidth="1"/>
    <col min="8452" max="8452" width="14.85546875" style="496" customWidth="1"/>
    <col min="8453" max="8453" width="14" style="496" customWidth="1"/>
    <col min="8454" max="8454" width="14.140625" style="496" customWidth="1"/>
    <col min="8455" max="8455" width="14.7109375" style="496" customWidth="1"/>
    <col min="8456" max="8704" width="9.140625" style="496"/>
    <col min="8705" max="8705" width="4.42578125" style="496" customWidth="1"/>
    <col min="8706" max="8706" width="7.5703125" style="496" customWidth="1"/>
    <col min="8707" max="8707" width="47.42578125" style="496" customWidth="1"/>
    <col min="8708" max="8708" width="14.85546875" style="496" customWidth="1"/>
    <col min="8709" max="8709" width="14" style="496" customWidth="1"/>
    <col min="8710" max="8710" width="14.140625" style="496" customWidth="1"/>
    <col min="8711" max="8711" width="14.7109375" style="496" customWidth="1"/>
    <col min="8712" max="8960" width="9.140625" style="496"/>
    <col min="8961" max="8961" width="4.42578125" style="496" customWidth="1"/>
    <col min="8962" max="8962" width="7.5703125" style="496" customWidth="1"/>
    <col min="8963" max="8963" width="47.42578125" style="496" customWidth="1"/>
    <col min="8964" max="8964" width="14.85546875" style="496" customWidth="1"/>
    <col min="8965" max="8965" width="14" style="496" customWidth="1"/>
    <col min="8966" max="8966" width="14.140625" style="496" customWidth="1"/>
    <col min="8967" max="8967" width="14.7109375" style="496" customWidth="1"/>
    <col min="8968" max="9216" width="9.140625" style="496"/>
    <col min="9217" max="9217" width="4.42578125" style="496" customWidth="1"/>
    <col min="9218" max="9218" width="7.5703125" style="496" customWidth="1"/>
    <col min="9219" max="9219" width="47.42578125" style="496" customWidth="1"/>
    <col min="9220" max="9220" width="14.85546875" style="496" customWidth="1"/>
    <col min="9221" max="9221" width="14" style="496" customWidth="1"/>
    <col min="9222" max="9222" width="14.140625" style="496" customWidth="1"/>
    <col min="9223" max="9223" width="14.7109375" style="496" customWidth="1"/>
    <col min="9224" max="9472" width="9.140625" style="496"/>
    <col min="9473" max="9473" width="4.42578125" style="496" customWidth="1"/>
    <col min="9474" max="9474" width="7.5703125" style="496" customWidth="1"/>
    <col min="9475" max="9475" width="47.42578125" style="496" customWidth="1"/>
    <col min="9476" max="9476" width="14.85546875" style="496" customWidth="1"/>
    <col min="9477" max="9477" width="14" style="496" customWidth="1"/>
    <col min="9478" max="9478" width="14.140625" style="496" customWidth="1"/>
    <col min="9479" max="9479" width="14.7109375" style="496" customWidth="1"/>
    <col min="9480" max="9728" width="9.140625" style="496"/>
    <col min="9729" max="9729" width="4.42578125" style="496" customWidth="1"/>
    <col min="9730" max="9730" width="7.5703125" style="496" customWidth="1"/>
    <col min="9731" max="9731" width="47.42578125" style="496" customWidth="1"/>
    <col min="9732" max="9732" width="14.85546875" style="496" customWidth="1"/>
    <col min="9733" max="9733" width="14" style="496" customWidth="1"/>
    <col min="9734" max="9734" width="14.140625" style="496" customWidth="1"/>
    <col min="9735" max="9735" width="14.7109375" style="496" customWidth="1"/>
    <col min="9736" max="9984" width="9.140625" style="496"/>
    <col min="9985" max="9985" width="4.42578125" style="496" customWidth="1"/>
    <col min="9986" max="9986" width="7.5703125" style="496" customWidth="1"/>
    <col min="9987" max="9987" width="47.42578125" style="496" customWidth="1"/>
    <col min="9988" max="9988" width="14.85546875" style="496" customWidth="1"/>
    <col min="9989" max="9989" width="14" style="496" customWidth="1"/>
    <col min="9990" max="9990" width="14.140625" style="496" customWidth="1"/>
    <col min="9991" max="9991" width="14.7109375" style="496" customWidth="1"/>
    <col min="9992" max="10240" width="9.140625" style="496"/>
    <col min="10241" max="10241" width="4.42578125" style="496" customWidth="1"/>
    <col min="10242" max="10242" width="7.5703125" style="496" customWidth="1"/>
    <col min="10243" max="10243" width="47.42578125" style="496" customWidth="1"/>
    <col min="10244" max="10244" width="14.85546875" style="496" customWidth="1"/>
    <col min="10245" max="10245" width="14" style="496" customWidth="1"/>
    <col min="10246" max="10246" width="14.140625" style="496" customWidth="1"/>
    <col min="10247" max="10247" width="14.7109375" style="496" customWidth="1"/>
    <col min="10248" max="10496" width="9.140625" style="496"/>
    <col min="10497" max="10497" width="4.42578125" style="496" customWidth="1"/>
    <col min="10498" max="10498" width="7.5703125" style="496" customWidth="1"/>
    <col min="10499" max="10499" width="47.42578125" style="496" customWidth="1"/>
    <col min="10500" max="10500" width="14.85546875" style="496" customWidth="1"/>
    <col min="10501" max="10501" width="14" style="496" customWidth="1"/>
    <col min="10502" max="10502" width="14.140625" style="496" customWidth="1"/>
    <col min="10503" max="10503" width="14.7109375" style="496" customWidth="1"/>
    <col min="10504" max="10752" width="9.140625" style="496"/>
    <col min="10753" max="10753" width="4.42578125" style="496" customWidth="1"/>
    <col min="10754" max="10754" width="7.5703125" style="496" customWidth="1"/>
    <col min="10755" max="10755" width="47.42578125" style="496" customWidth="1"/>
    <col min="10756" max="10756" width="14.85546875" style="496" customWidth="1"/>
    <col min="10757" max="10757" width="14" style="496" customWidth="1"/>
    <col min="10758" max="10758" width="14.140625" style="496" customWidth="1"/>
    <col min="10759" max="10759" width="14.7109375" style="496" customWidth="1"/>
    <col min="10760" max="11008" width="9.140625" style="496"/>
    <col min="11009" max="11009" width="4.42578125" style="496" customWidth="1"/>
    <col min="11010" max="11010" width="7.5703125" style="496" customWidth="1"/>
    <col min="11011" max="11011" width="47.42578125" style="496" customWidth="1"/>
    <col min="11012" max="11012" width="14.85546875" style="496" customWidth="1"/>
    <col min="11013" max="11013" width="14" style="496" customWidth="1"/>
    <col min="11014" max="11014" width="14.140625" style="496" customWidth="1"/>
    <col min="11015" max="11015" width="14.7109375" style="496" customWidth="1"/>
    <col min="11016" max="11264" width="9.140625" style="496"/>
    <col min="11265" max="11265" width="4.42578125" style="496" customWidth="1"/>
    <col min="11266" max="11266" width="7.5703125" style="496" customWidth="1"/>
    <col min="11267" max="11267" width="47.42578125" style="496" customWidth="1"/>
    <col min="11268" max="11268" width="14.85546875" style="496" customWidth="1"/>
    <col min="11269" max="11269" width="14" style="496" customWidth="1"/>
    <col min="11270" max="11270" width="14.140625" style="496" customWidth="1"/>
    <col min="11271" max="11271" width="14.7109375" style="496" customWidth="1"/>
    <col min="11272" max="11520" width="9.140625" style="496"/>
    <col min="11521" max="11521" width="4.42578125" style="496" customWidth="1"/>
    <col min="11522" max="11522" width="7.5703125" style="496" customWidth="1"/>
    <col min="11523" max="11523" width="47.42578125" style="496" customWidth="1"/>
    <col min="11524" max="11524" width="14.85546875" style="496" customWidth="1"/>
    <col min="11525" max="11525" width="14" style="496" customWidth="1"/>
    <col min="11526" max="11526" width="14.140625" style="496" customWidth="1"/>
    <col min="11527" max="11527" width="14.7109375" style="496" customWidth="1"/>
    <col min="11528" max="11776" width="9.140625" style="496"/>
    <col min="11777" max="11777" width="4.42578125" style="496" customWidth="1"/>
    <col min="11778" max="11778" width="7.5703125" style="496" customWidth="1"/>
    <col min="11779" max="11779" width="47.42578125" style="496" customWidth="1"/>
    <col min="11780" max="11780" width="14.85546875" style="496" customWidth="1"/>
    <col min="11781" max="11781" width="14" style="496" customWidth="1"/>
    <col min="11782" max="11782" width="14.140625" style="496" customWidth="1"/>
    <col min="11783" max="11783" width="14.7109375" style="496" customWidth="1"/>
    <col min="11784" max="12032" width="9.140625" style="496"/>
    <col min="12033" max="12033" width="4.42578125" style="496" customWidth="1"/>
    <col min="12034" max="12034" width="7.5703125" style="496" customWidth="1"/>
    <col min="12035" max="12035" width="47.42578125" style="496" customWidth="1"/>
    <col min="12036" max="12036" width="14.85546875" style="496" customWidth="1"/>
    <col min="12037" max="12037" width="14" style="496" customWidth="1"/>
    <col min="12038" max="12038" width="14.140625" style="496" customWidth="1"/>
    <col min="12039" max="12039" width="14.7109375" style="496" customWidth="1"/>
    <col min="12040" max="12288" width="9.140625" style="496"/>
    <col min="12289" max="12289" width="4.42578125" style="496" customWidth="1"/>
    <col min="12290" max="12290" width="7.5703125" style="496" customWidth="1"/>
    <col min="12291" max="12291" width="47.42578125" style="496" customWidth="1"/>
    <col min="12292" max="12292" width="14.85546875" style="496" customWidth="1"/>
    <col min="12293" max="12293" width="14" style="496" customWidth="1"/>
    <col min="12294" max="12294" width="14.140625" style="496" customWidth="1"/>
    <col min="12295" max="12295" width="14.7109375" style="496" customWidth="1"/>
    <col min="12296" max="12544" width="9.140625" style="496"/>
    <col min="12545" max="12545" width="4.42578125" style="496" customWidth="1"/>
    <col min="12546" max="12546" width="7.5703125" style="496" customWidth="1"/>
    <col min="12547" max="12547" width="47.42578125" style="496" customWidth="1"/>
    <col min="12548" max="12548" width="14.85546875" style="496" customWidth="1"/>
    <col min="12549" max="12549" width="14" style="496" customWidth="1"/>
    <col min="12550" max="12550" width="14.140625" style="496" customWidth="1"/>
    <col min="12551" max="12551" width="14.7109375" style="496" customWidth="1"/>
    <col min="12552" max="12800" width="9.140625" style="496"/>
    <col min="12801" max="12801" width="4.42578125" style="496" customWidth="1"/>
    <col min="12802" max="12802" width="7.5703125" style="496" customWidth="1"/>
    <col min="12803" max="12803" width="47.42578125" style="496" customWidth="1"/>
    <col min="12804" max="12804" width="14.85546875" style="496" customWidth="1"/>
    <col min="12805" max="12805" width="14" style="496" customWidth="1"/>
    <col min="12806" max="12806" width="14.140625" style="496" customWidth="1"/>
    <col min="12807" max="12807" width="14.7109375" style="496" customWidth="1"/>
    <col min="12808" max="13056" width="9.140625" style="496"/>
    <col min="13057" max="13057" width="4.42578125" style="496" customWidth="1"/>
    <col min="13058" max="13058" width="7.5703125" style="496" customWidth="1"/>
    <col min="13059" max="13059" width="47.42578125" style="496" customWidth="1"/>
    <col min="13060" max="13060" width="14.85546875" style="496" customWidth="1"/>
    <col min="13061" max="13061" width="14" style="496" customWidth="1"/>
    <col min="13062" max="13062" width="14.140625" style="496" customWidth="1"/>
    <col min="13063" max="13063" width="14.7109375" style="496" customWidth="1"/>
    <col min="13064" max="13312" width="9.140625" style="496"/>
    <col min="13313" max="13313" width="4.42578125" style="496" customWidth="1"/>
    <col min="13314" max="13314" width="7.5703125" style="496" customWidth="1"/>
    <col min="13315" max="13315" width="47.42578125" style="496" customWidth="1"/>
    <col min="13316" max="13316" width="14.85546875" style="496" customWidth="1"/>
    <col min="13317" max="13317" width="14" style="496" customWidth="1"/>
    <col min="13318" max="13318" width="14.140625" style="496" customWidth="1"/>
    <col min="13319" max="13319" width="14.7109375" style="496" customWidth="1"/>
    <col min="13320" max="13568" width="9.140625" style="496"/>
    <col min="13569" max="13569" width="4.42578125" style="496" customWidth="1"/>
    <col min="13570" max="13570" width="7.5703125" style="496" customWidth="1"/>
    <col min="13571" max="13571" width="47.42578125" style="496" customWidth="1"/>
    <col min="13572" max="13572" width="14.85546875" style="496" customWidth="1"/>
    <col min="13573" max="13573" width="14" style="496" customWidth="1"/>
    <col min="13574" max="13574" width="14.140625" style="496" customWidth="1"/>
    <col min="13575" max="13575" width="14.7109375" style="496" customWidth="1"/>
    <col min="13576" max="13824" width="9.140625" style="496"/>
    <col min="13825" max="13825" width="4.42578125" style="496" customWidth="1"/>
    <col min="13826" max="13826" width="7.5703125" style="496" customWidth="1"/>
    <col min="13827" max="13827" width="47.42578125" style="496" customWidth="1"/>
    <col min="13828" max="13828" width="14.85546875" style="496" customWidth="1"/>
    <col min="13829" max="13829" width="14" style="496" customWidth="1"/>
    <col min="13830" max="13830" width="14.140625" style="496" customWidth="1"/>
    <col min="13831" max="13831" width="14.7109375" style="496" customWidth="1"/>
    <col min="13832" max="14080" width="9.140625" style="496"/>
    <col min="14081" max="14081" width="4.42578125" style="496" customWidth="1"/>
    <col min="14082" max="14082" width="7.5703125" style="496" customWidth="1"/>
    <col min="14083" max="14083" width="47.42578125" style="496" customWidth="1"/>
    <col min="14084" max="14084" width="14.85546875" style="496" customWidth="1"/>
    <col min="14085" max="14085" width="14" style="496" customWidth="1"/>
    <col min="14086" max="14086" width="14.140625" style="496" customWidth="1"/>
    <col min="14087" max="14087" width="14.7109375" style="496" customWidth="1"/>
    <col min="14088" max="14336" width="9.140625" style="496"/>
    <col min="14337" max="14337" width="4.42578125" style="496" customWidth="1"/>
    <col min="14338" max="14338" width="7.5703125" style="496" customWidth="1"/>
    <col min="14339" max="14339" width="47.42578125" style="496" customWidth="1"/>
    <col min="14340" max="14340" width="14.85546875" style="496" customWidth="1"/>
    <col min="14341" max="14341" width="14" style="496" customWidth="1"/>
    <col min="14342" max="14342" width="14.140625" style="496" customWidth="1"/>
    <col min="14343" max="14343" width="14.7109375" style="496" customWidth="1"/>
    <col min="14344" max="14592" width="9.140625" style="496"/>
    <col min="14593" max="14593" width="4.42578125" style="496" customWidth="1"/>
    <col min="14594" max="14594" width="7.5703125" style="496" customWidth="1"/>
    <col min="14595" max="14595" width="47.42578125" style="496" customWidth="1"/>
    <col min="14596" max="14596" width="14.85546875" style="496" customWidth="1"/>
    <col min="14597" max="14597" width="14" style="496" customWidth="1"/>
    <col min="14598" max="14598" width="14.140625" style="496" customWidth="1"/>
    <col min="14599" max="14599" width="14.7109375" style="496" customWidth="1"/>
    <col min="14600" max="14848" width="9.140625" style="496"/>
    <col min="14849" max="14849" width="4.42578125" style="496" customWidth="1"/>
    <col min="14850" max="14850" width="7.5703125" style="496" customWidth="1"/>
    <col min="14851" max="14851" width="47.42578125" style="496" customWidth="1"/>
    <col min="14852" max="14852" width="14.85546875" style="496" customWidth="1"/>
    <col min="14853" max="14853" width="14" style="496" customWidth="1"/>
    <col min="14854" max="14854" width="14.140625" style="496" customWidth="1"/>
    <col min="14855" max="14855" width="14.7109375" style="496" customWidth="1"/>
    <col min="14856" max="15104" width="9.140625" style="496"/>
    <col min="15105" max="15105" width="4.42578125" style="496" customWidth="1"/>
    <col min="15106" max="15106" width="7.5703125" style="496" customWidth="1"/>
    <col min="15107" max="15107" width="47.42578125" style="496" customWidth="1"/>
    <col min="15108" max="15108" width="14.85546875" style="496" customWidth="1"/>
    <col min="15109" max="15109" width="14" style="496" customWidth="1"/>
    <col min="15110" max="15110" width="14.140625" style="496" customWidth="1"/>
    <col min="15111" max="15111" width="14.7109375" style="496" customWidth="1"/>
    <col min="15112" max="15360" width="9.140625" style="496"/>
    <col min="15361" max="15361" width="4.42578125" style="496" customWidth="1"/>
    <col min="15362" max="15362" width="7.5703125" style="496" customWidth="1"/>
    <col min="15363" max="15363" width="47.42578125" style="496" customWidth="1"/>
    <col min="15364" max="15364" width="14.85546875" style="496" customWidth="1"/>
    <col min="15365" max="15365" width="14" style="496" customWidth="1"/>
    <col min="15366" max="15366" width="14.140625" style="496" customWidth="1"/>
    <col min="15367" max="15367" width="14.7109375" style="496" customWidth="1"/>
    <col min="15368" max="15616" width="9.140625" style="496"/>
    <col min="15617" max="15617" width="4.42578125" style="496" customWidth="1"/>
    <col min="15618" max="15618" width="7.5703125" style="496" customWidth="1"/>
    <col min="15619" max="15619" width="47.42578125" style="496" customWidth="1"/>
    <col min="15620" max="15620" width="14.85546875" style="496" customWidth="1"/>
    <col min="15621" max="15621" width="14" style="496" customWidth="1"/>
    <col min="15622" max="15622" width="14.140625" style="496" customWidth="1"/>
    <col min="15623" max="15623" width="14.7109375" style="496" customWidth="1"/>
    <col min="15624" max="15872" width="9.140625" style="496"/>
    <col min="15873" max="15873" width="4.42578125" style="496" customWidth="1"/>
    <col min="15874" max="15874" width="7.5703125" style="496" customWidth="1"/>
    <col min="15875" max="15875" width="47.42578125" style="496" customWidth="1"/>
    <col min="15876" max="15876" width="14.85546875" style="496" customWidth="1"/>
    <col min="15877" max="15877" width="14" style="496" customWidth="1"/>
    <col min="15878" max="15878" width="14.140625" style="496" customWidth="1"/>
    <col min="15879" max="15879" width="14.7109375" style="496" customWidth="1"/>
    <col min="15880" max="16128" width="9.140625" style="496"/>
    <col min="16129" max="16129" width="4.42578125" style="496" customWidth="1"/>
    <col min="16130" max="16130" width="7.5703125" style="496" customWidth="1"/>
    <col min="16131" max="16131" width="47.42578125" style="496" customWidth="1"/>
    <col min="16132" max="16132" width="14.85546875" style="496" customWidth="1"/>
    <col min="16133" max="16133" width="14" style="496" customWidth="1"/>
    <col min="16134" max="16134" width="14.140625" style="496" customWidth="1"/>
    <col min="16135" max="16135" width="14.7109375" style="496" customWidth="1"/>
    <col min="16136" max="16384" width="9.140625" style="496"/>
  </cols>
  <sheetData>
    <row r="1" spans="1:7" s="84" customFormat="1" ht="12.75" x14ac:dyDescent="0.25">
      <c r="F1" s="70" t="s">
        <v>415</v>
      </c>
    </row>
    <row r="2" spans="1:7" s="84" customFormat="1" ht="12.75" x14ac:dyDescent="0.25">
      <c r="F2" s="68" t="s">
        <v>353</v>
      </c>
    </row>
    <row r="3" spans="1:7" s="84" customFormat="1" ht="12.75" x14ac:dyDescent="0.25">
      <c r="F3" s="68" t="s">
        <v>0</v>
      </c>
    </row>
    <row r="4" spans="1:7" s="84" customFormat="1" ht="12.75" x14ac:dyDescent="0.25">
      <c r="F4" s="68" t="s">
        <v>354</v>
      </c>
    </row>
    <row r="5" spans="1:7" s="490" customFormat="1" ht="25.5" customHeight="1" x14ac:dyDescent="0.2">
      <c r="A5" s="558" t="s">
        <v>199</v>
      </c>
      <c r="B5" s="558"/>
      <c r="C5" s="558"/>
      <c r="D5" s="558"/>
      <c r="E5" s="558"/>
      <c r="F5" s="558"/>
      <c r="G5" s="558"/>
    </row>
    <row r="6" spans="1:7" s="490" customFormat="1" ht="12" x14ac:dyDescent="0.2">
      <c r="A6" s="491" t="s">
        <v>200</v>
      </c>
      <c r="B6" s="491"/>
      <c r="C6" s="491"/>
      <c r="D6" s="491"/>
      <c r="E6" s="491"/>
      <c r="F6" s="491"/>
      <c r="G6" s="491"/>
    </row>
    <row r="7" spans="1:7" s="492" customFormat="1" ht="12" x14ac:dyDescent="0.2">
      <c r="A7" s="559" t="s">
        <v>201</v>
      </c>
      <c r="B7" s="559"/>
      <c r="C7" s="559"/>
      <c r="D7" s="559"/>
      <c r="E7" s="559"/>
      <c r="F7" s="559"/>
      <c r="G7" s="559"/>
    </row>
    <row r="8" spans="1:7" x14ac:dyDescent="0.25">
      <c r="A8" s="493"/>
      <c r="B8" s="493"/>
      <c r="C8" s="494"/>
      <c r="D8" s="493"/>
      <c r="E8" s="493"/>
      <c r="F8" s="493"/>
      <c r="G8" s="495" t="s">
        <v>1</v>
      </c>
    </row>
    <row r="9" spans="1:7" x14ac:dyDescent="0.25">
      <c r="A9" s="560" t="s">
        <v>86</v>
      </c>
      <c r="B9" s="497"/>
      <c r="C9" s="560" t="s">
        <v>202</v>
      </c>
      <c r="D9" s="563" t="s">
        <v>203</v>
      </c>
      <c r="E9" s="498"/>
      <c r="F9" s="499"/>
      <c r="G9" s="563" t="s">
        <v>204</v>
      </c>
    </row>
    <row r="10" spans="1:7" ht="9.75" customHeight="1" x14ac:dyDescent="0.25">
      <c r="A10" s="561"/>
      <c r="B10" s="500" t="s">
        <v>3</v>
      </c>
      <c r="C10" s="561"/>
      <c r="D10" s="564"/>
      <c r="E10" s="564" t="s">
        <v>205</v>
      </c>
      <c r="F10" s="564" t="s">
        <v>206</v>
      </c>
      <c r="G10" s="564"/>
    </row>
    <row r="11" spans="1:7" ht="3.75" customHeight="1" x14ac:dyDescent="0.25">
      <c r="A11" s="561"/>
      <c r="B11" s="501"/>
      <c r="C11" s="561"/>
      <c r="D11" s="564"/>
      <c r="E11" s="564"/>
      <c r="F11" s="564"/>
      <c r="G11" s="564"/>
    </row>
    <row r="12" spans="1:7" ht="13.5" customHeight="1" x14ac:dyDescent="0.25">
      <c r="A12" s="562"/>
      <c r="B12" s="501" t="s">
        <v>4</v>
      </c>
      <c r="C12" s="562"/>
      <c r="D12" s="565"/>
      <c r="E12" s="565"/>
      <c r="F12" s="565"/>
      <c r="G12" s="565"/>
    </row>
    <row r="13" spans="1:7" x14ac:dyDescent="0.25">
      <c r="A13" s="502">
        <v>1</v>
      </c>
      <c r="B13" s="502">
        <v>2</v>
      </c>
      <c r="C13" s="502">
        <v>3</v>
      </c>
      <c r="D13" s="502">
        <v>4</v>
      </c>
      <c r="E13" s="502">
        <v>5</v>
      </c>
      <c r="F13" s="502">
        <v>6</v>
      </c>
      <c r="G13" s="502">
        <v>7</v>
      </c>
    </row>
    <row r="14" spans="1:7" s="493" customFormat="1" ht="12" customHeight="1" x14ac:dyDescent="0.25">
      <c r="A14" s="503"/>
      <c r="B14" s="504">
        <v>801</v>
      </c>
      <c r="C14" s="505"/>
      <c r="D14" s="506"/>
      <c r="E14" s="506"/>
      <c r="F14" s="506"/>
      <c r="G14" s="506"/>
    </row>
    <row r="15" spans="1:7" ht="12" customHeight="1" x14ac:dyDescent="0.25">
      <c r="A15" s="507" t="s">
        <v>207</v>
      </c>
      <c r="B15" s="508">
        <v>80101</v>
      </c>
      <c r="C15" s="509" t="s">
        <v>35</v>
      </c>
      <c r="D15" s="510">
        <v>333</v>
      </c>
      <c r="E15" s="510">
        <f>835422.84+30030+317578.47+8788.7</f>
        <v>1191820.01</v>
      </c>
      <c r="F15" s="510">
        <f>835755.84+30030+317578.47+17288.7-8500</f>
        <v>1192153.01</v>
      </c>
      <c r="G15" s="510">
        <v>0</v>
      </c>
    </row>
    <row r="16" spans="1:7" ht="12" customHeight="1" x14ac:dyDescent="0.25">
      <c r="A16" s="507" t="s">
        <v>208</v>
      </c>
      <c r="B16" s="508">
        <v>80104</v>
      </c>
      <c r="C16" s="511" t="s">
        <v>38</v>
      </c>
      <c r="D16" s="512">
        <v>2644.19</v>
      </c>
      <c r="E16" s="512">
        <f>5578632+905177.27</f>
        <v>6483809.2699999996</v>
      </c>
      <c r="F16" s="512">
        <f>5581276.19+905177.27</f>
        <v>6486453.4600000009</v>
      </c>
      <c r="G16" s="512">
        <v>0</v>
      </c>
    </row>
    <row r="17" spans="1:7" ht="12" customHeight="1" x14ac:dyDescent="0.25">
      <c r="A17" s="513" t="s">
        <v>209</v>
      </c>
      <c r="B17" s="514">
        <v>80148</v>
      </c>
      <c r="C17" s="515" t="s">
        <v>69</v>
      </c>
      <c r="D17" s="516">
        <v>215.62</v>
      </c>
      <c r="E17" s="516">
        <f>3299009+100000+1154596.29</f>
        <v>4553605.29</v>
      </c>
      <c r="F17" s="516">
        <f>3299224.62+100000+1154596.29</f>
        <v>4553820.91</v>
      </c>
      <c r="G17" s="516">
        <v>0</v>
      </c>
    </row>
    <row r="18" spans="1:7" ht="12" customHeight="1" x14ac:dyDescent="0.25">
      <c r="A18" s="517"/>
      <c r="B18" s="518">
        <v>854</v>
      </c>
      <c r="C18" s="519"/>
      <c r="D18" s="520"/>
      <c r="E18" s="520"/>
      <c r="F18" s="520"/>
      <c r="G18" s="516"/>
    </row>
    <row r="19" spans="1:7" ht="23.25" customHeight="1" x14ac:dyDescent="0.25">
      <c r="A19" s="521" t="s">
        <v>207</v>
      </c>
      <c r="B19" s="522">
        <v>85412</v>
      </c>
      <c r="C19" s="523" t="s">
        <v>210</v>
      </c>
      <c r="D19" s="524">
        <v>0</v>
      </c>
      <c r="E19" s="524">
        <v>15000</v>
      </c>
      <c r="F19" s="524">
        <v>15000</v>
      </c>
      <c r="G19" s="525">
        <v>0</v>
      </c>
    </row>
    <row r="20" spans="1:7" x14ac:dyDescent="0.25">
      <c r="A20" s="526"/>
      <c r="B20" s="527"/>
      <c r="C20" s="528" t="s">
        <v>211</v>
      </c>
      <c r="D20" s="529">
        <f>SUM(D15:D17)+D19</f>
        <v>3192.81</v>
      </c>
      <c r="E20" s="529">
        <f t="shared" ref="E20:G20" si="0">SUM(E15:E17)+E19</f>
        <v>12244234.57</v>
      </c>
      <c r="F20" s="529">
        <f t="shared" si="0"/>
        <v>12247427.380000001</v>
      </c>
      <c r="G20" s="530">
        <f t="shared" si="0"/>
        <v>0</v>
      </c>
    </row>
    <row r="21" spans="1:7" ht="9" customHeight="1" x14ac:dyDescent="0.25">
      <c r="A21" s="454"/>
      <c r="B21" s="531"/>
      <c r="C21" s="532"/>
      <c r="D21" s="533"/>
      <c r="E21" s="533"/>
      <c r="F21" s="533"/>
      <c r="G21" s="533"/>
    </row>
    <row r="22" spans="1:7" x14ac:dyDescent="0.25">
      <c r="A22" s="518"/>
      <c r="B22" s="518">
        <v>801</v>
      </c>
      <c r="C22" s="534"/>
      <c r="D22" s="535"/>
      <c r="E22" s="535"/>
      <c r="F22" s="535"/>
      <c r="G22" s="535"/>
    </row>
    <row r="23" spans="1:7" ht="12" customHeight="1" x14ac:dyDescent="0.25">
      <c r="A23" s="536" t="s">
        <v>207</v>
      </c>
      <c r="B23" s="537">
        <v>80102</v>
      </c>
      <c r="C23" s="509" t="s">
        <v>29</v>
      </c>
      <c r="D23" s="510">
        <v>5.54</v>
      </c>
      <c r="E23" s="510">
        <f>14400+44048</f>
        <v>58448</v>
      </c>
      <c r="F23" s="510">
        <f>14405.54+44048</f>
        <v>58453.54</v>
      </c>
      <c r="G23" s="510">
        <v>0</v>
      </c>
    </row>
    <row r="24" spans="1:7" ht="12" customHeight="1" x14ac:dyDescent="0.25">
      <c r="A24" s="507" t="s">
        <v>208</v>
      </c>
      <c r="B24" s="508">
        <v>80115</v>
      </c>
      <c r="C24" s="511" t="s">
        <v>151</v>
      </c>
      <c r="D24" s="512">
        <v>373.99</v>
      </c>
      <c r="E24" s="512">
        <v>1134651</v>
      </c>
      <c r="F24" s="512">
        <f>1135024.99+40000-40000</f>
        <v>1135024.99</v>
      </c>
      <c r="G24" s="512">
        <v>0</v>
      </c>
    </row>
    <row r="25" spans="1:7" ht="12" customHeight="1" x14ac:dyDescent="0.25">
      <c r="A25" s="507" t="s">
        <v>209</v>
      </c>
      <c r="B25" s="508">
        <v>80120</v>
      </c>
      <c r="C25" s="511" t="s">
        <v>167</v>
      </c>
      <c r="D25" s="538">
        <v>305.43</v>
      </c>
      <c r="E25" s="512">
        <f>278650+10000</f>
        <v>288650</v>
      </c>
      <c r="F25" s="512">
        <f>278955.43+9452+548</f>
        <v>288955.43</v>
      </c>
      <c r="G25" s="512">
        <v>0</v>
      </c>
    </row>
    <row r="26" spans="1:7" ht="12" customHeight="1" x14ac:dyDescent="0.25">
      <c r="A26" s="507" t="s">
        <v>212</v>
      </c>
      <c r="B26" s="508">
        <v>80132</v>
      </c>
      <c r="C26" s="511" t="s">
        <v>213</v>
      </c>
      <c r="D26" s="512">
        <v>0</v>
      </c>
      <c r="E26" s="512">
        <v>97791</v>
      </c>
      <c r="F26" s="512">
        <v>97791</v>
      </c>
      <c r="G26" s="539">
        <v>0</v>
      </c>
    </row>
    <row r="27" spans="1:7" ht="12" customHeight="1" x14ac:dyDescent="0.25">
      <c r="A27" s="540" t="s">
        <v>214</v>
      </c>
      <c r="B27" s="522">
        <v>80140</v>
      </c>
      <c r="C27" s="541" t="s">
        <v>215</v>
      </c>
      <c r="D27" s="542">
        <v>0</v>
      </c>
      <c r="E27" s="542">
        <f>150000+200+2300-2500</f>
        <v>150000</v>
      </c>
      <c r="F27" s="542">
        <v>150000</v>
      </c>
      <c r="G27" s="542">
        <v>0</v>
      </c>
    </row>
    <row r="28" spans="1:7" ht="12" customHeight="1" x14ac:dyDescent="0.25">
      <c r="A28" s="507" t="s">
        <v>216</v>
      </c>
      <c r="B28" s="522">
        <v>80142</v>
      </c>
      <c r="C28" s="541" t="s">
        <v>217</v>
      </c>
      <c r="D28" s="512">
        <v>0</v>
      </c>
      <c r="E28" s="512">
        <v>200000</v>
      </c>
      <c r="F28" s="512">
        <v>200000</v>
      </c>
      <c r="G28" s="512">
        <v>0</v>
      </c>
    </row>
    <row r="29" spans="1:7" ht="12" customHeight="1" x14ac:dyDescent="0.25">
      <c r="A29" s="507" t="s">
        <v>218</v>
      </c>
      <c r="B29" s="522">
        <v>80144</v>
      </c>
      <c r="C29" s="541" t="s">
        <v>219</v>
      </c>
      <c r="D29" s="512">
        <v>0</v>
      </c>
      <c r="E29" s="512">
        <v>100000</v>
      </c>
      <c r="F29" s="512">
        <v>100000</v>
      </c>
      <c r="G29" s="512">
        <v>0</v>
      </c>
    </row>
    <row r="30" spans="1:7" ht="12" customHeight="1" x14ac:dyDescent="0.25">
      <c r="A30" s="513" t="s">
        <v>220</v>
      </c>
      <c r="B30" s="514">
        <v>80148</v>
      </c>
      <c r="C30" s="515" t="s">
        <v>69</v>
      </c>
      <c r="D30" s="516">
        <v>0</v>
      </c>
      <c r="E30" s="516">
        <v>220315</v>
      </c>
      <c r="F30" s="516">
        <v>220315</v>
      </c>
      <c r="G30" s="516">
        <v>0</v>
      </c>
    </row>
    <row r="31" spans="1:7" ht="14.25" customHeight="1" x14ac:dyDescent="0.25">
      <c r="A31" s="543"/>
      <c r="B31" s="518">
        <v>854</v>
      </c>
      <c r="C31" s="544"/>
      <c r="D31" s="545"/>
      <c r="E31" s="545"/>
      <c r="F31" s="545"/>
      <c r="G31" s="545"/>
    </row>
    <row r="32" spans="1:7" ht="14.25" customHeight="1" x14ac:dyDescent="0.25">
      <c r="A32" s="522" t="s">
        <v>207</v>
      </c>
      <c r="B32" s="540">
        <v>85406</v>
      </c>
      <c r="C32" s="523" t="s">
        <v>221</v>
      </c>
      <c r="D32" s="542">
        <v>0</v>
      </c>
      <c r="E32" s="542">
        <v>4960</v>
      </c>
      <c r="F32" s="542">
        <v>4960</v>
      </c>
      <c r="G32" s="542">
        <v>0</v>
      </c>
    </row>
    <row r="33" spans="1:7" ht="12" customHeight="1" x14ac:dyDescent="0.25">
      <c r="A33" s="522" t="s">
        <v>208</v>
      </c>
      <c r="B33" s="508">
        <v>85410</v>
      </c>
      <c r="C33" s="511" t="s">
        <v>195</v>
      </c>
      <c r="D33" s="512">
        <v>318.79000000000002</v>
      </c>
      <c r="E33" s="512">
        <v>662650</v>
      </c>
      <c r="F33" s="512">
        <f>662968.79+8052-8052</f>
        <v>662968.79</v>
      </c>
      <c r="G33" s="512">
        <v>0</v>
      </c>
    </row>
    <row r="34" spans="1:7" ht="22.5" customHeight="1" x14ac:dyDescent="0.25">
      <c r="A34" s="522" t="s">
        <v>209</v>
      </c>
      <c r="B34" s="522">
        <v>85412</v>
      </c>
      <c r="C34" s="523" t="s">
        <v>210</v>
      </c>
      <c r="D34" s="542">
        <v>0</v>
      </c>
      <c r="E34" s="542">
        <v>2600</v>
      </c>
      <c r="F34" s="542">
        <v>2600</v>
      </c>
      <c r="G34" s="542">
        <v>0</v>
      </c>
    </row>
    <row r="35" spans="1:7" ht="12" customHeight="1" x14ac:dyDescent="0.25">
      <c r="A35" s="522" t="s">
        <v>212</v>
      </c>
      <c r="B35" s="508">
        <v>85417</v>
      </c>
      <c r="C35" s="523" t="s">
        <v>222</v>
      </c>
      <c r="D35" s="512">
        <v>0</v>
      </c>
      <c r="E35" s="512">
        <v>153400</v>
      </c>
      <c r="F35" s="512">
        <v>153400</v>
      </c>
      <c r="G35" s="512">
        <v>0</v>
      </c>
    </row>
    <row r="36" spans="1:7" ht="12" customHeight="1" x14ac:dyDescent="0.25">
      <c r="A36" s="514" t="s">
        <v>214</v>
      </c>
      <c r="B36" s="546">
        <v>85420</v>
      </c>
      <c r="C36" s="515" t="s">
        <v>223</v>
      </c>
      <c r="D36" s="547">
        <v>0</v>
      </c>
      <c r="E36" s="547">
        <v>37310.01</v>
      </c>
      <c r="F36" s="547">
        <v>37310.01</v>
      </c>
      <c r="G36" s="548">
        <v>0</v>
      </c>
    </row>
    <row r="37" spans="1:7" ht="12" customHeight="1" x14ac:dyDescent="0.25">
      <c r="A37" s="549"/>
      <c r="B37" s="546"/>
      <c r="C37" s="528" t="s">
        <v>224</v>
      </c>
      <c r="D37" s="550">
        <f>SUM(D23:D36)</f>
        <v>1003.75</v>
      </c>
      <c r="E37" s="550">
        <f>SUM(E23:E36)</f>
        <v>3110775.01</v>
      </c>
      <c r="F37" s="550">
        <f t="shared" ref="F37:G37" si="1">SUM(F23:F36)</f>
        <v>3111778.76</v>
      </c>
      <c r="G37" s="550">
        <f t="shared" si="1"/>
        <v>0</v>
      </c>
    </row>
    <row r="38" spans="1:7" ht="12" customHeight="1" x14ac:dyDescent="0.25">
      <c r="A38" s="551"/>
      <c r="B38" s="552"/>
      <c r="C38" s="528" t="s">
        <v>225</v>
      </c>
      <c r="D38" s="530">
        <f>D20+D37</f>
        <v>4196.5599999999995</v>
      </c>
      <c r="E38" s="530">
        <f>E20+E37</f>
        <v>15355009.58</v>
      </c>
      <c r="F38" s="530">
        <f t="shared" ref="F38:G38" si="2">F20+F37</f>
        <v>15359206.140000001</v>
      </c>
      <c r="G38" s="530">
        <f t="shared" si="2"/>
        <v>0</v>
      </c>
    </row>
    <row r="39" spans="1:7" x14ac:dyDescent="0.25">
      <c r="A39" s="553"/>
      <c r="B39" s="553"/>
      <c r="C39" s="554"/>
    </row>
    <row r="40" spans="1:7" x14ac:dyDescent="0.25">
      <c r="A40" s="553"/>
      <c r="B40" s="553"/>
      <c r="C40" s="554"/>
    </row>
    <row r="41" spans="1:7" x14ac:dyDescent="0.25">
      <c r="A41" s="553"/>
      <c r="B41" s="553"/>
      <c r="C41" s="554"/>
    </row>
  </sheetData>
  <mergeCells count="8">
    <mergeCell ref="A5:G5"/>
    <mergeCell ref="A7:G7"/>
    <mergeCell ref="A9:A12"/>
    <mergeCell ref="C9:C12"/>
    <mergeCell ref="D9:D12"/>
    <mergeCell ref="G9:G12"/>
    <mergeCell ref="E10:E12"/>
    <mergeCell ref="F10:F12"/>
  </mergeCells>
  <pageMargins left="0.70866141732283472" right="0.70866141732283472" top="0.55118110236220474" bottom="0.55118110236220474" header="0.31496062992125984" footer="0.31496062992125984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6</vt:i4>
      </vt:variant>
    </vt:vector>
  </HeadingPairs>
  <TitlesOfParts>
    <vt:vector size="11" baseType="lpstr">
      <vt:lpstr>Zał.Nr1</vt:lpstr>
      <vt:lpstr>Zał.Nr2</vt:lpstr>
      <vt:lpstr>Zał.Nr3</vt:lpstr>
      <vt:lpstr>Zał.Nr4</vt:lpstr>
      <vt:lpstr>Zał.Nr5</vt:lpstr>
      <vt:lpstr>Zał.Nr1!Obszar_wydruku</vt:lpstr>
      <vt:lpstr>Zał.Nr2!Obszar_wydruku</vt:lpstr>
      <vt:lpstr>Zał.Nr1!Tytuły_wydruku</vt:lpstr>
      <vt:lpstr>Zał.Nr2!Tytuły_wydruku</vt:lpstr>
      <vt:lpstr>Zał.Nr3!Tytuły_wydruku</vt:lpstr>
      <vt:lpstr>Zał.Nr4!Tytuły_wydruku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Szubska</dc:creator>
  <cp:lastModifiedBy>Renata Ciechurska</cp:lastModifiedBy>
  <cp:lastPrinted>2026-10-02T10:46:56Z</cp:lastPrinted>
  <dcterms:created xsi:type="dcterms:W3CDTF">2015-06-05T18:19:34Z</dcterms:created>
  <dcterms:modified xsi:type="dcterms:W3CDTF">2026-10-05T07:48:28Z</dcterms:modified>
</cp:coreProperties>
</file>